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otocastro/PycharmProjects/Custos_Laranja/"/>
    </mc:Choice>
  </mc:AlternateContent>
  <xr:revisionPtr revIDLastSave="0" documentId="13_ncr:1_{990ED765-9CC4-FF4E-967B-4E345CBB635D}" xr6:coauthVersionLast="47" xr6:coauthVersionMax="47" xr10:uidLastSave="{00000000-0000-0000-0000-000000000000}"/>
  <bookViews>
    <workbookView xWindow="860" yWindow="900" windowWidth="28360" windowHeight="18080" firstSheet="3" activeTab="11" xr2:uid="{B1594B4B-43F9-6348-BDBA-3CA2DC27FF66}"/>
  </bookViews>
  <sheets>
    <sheet name="SLP" sheetId="1" r:id="rId1"/>
    <sheet name="ROSA" sheetId="2" r:id="rId2"/>
    <sheet name="STA ANA" sheetId="3" r:id="rId3"/>
    <sheet name="BOA" sheetId="4" r:id="rId4"/>
    <sheet name="STA MARIA" sheetId="5" r:id="rId5"/>
    <sheet name="CB I" sheetId="10" r:id="rId6"/>
    <sheet name="IG" sheetId="6" r:id="rId7"/>
    <sheet name="PN" sheetId="7" r:id="rId8"/>
    <sheet name="MJ" sheetId="8" r:id="rId9"/>
    <sheet name="RB I" sheetId="9" r:id="rId10"/>
    <sheet name="SF I" sheetId="13" r:id="rId11"/>
    <sheet name="TOTAL PRODUÇÃO" sheetId="14" r:id="rId12"/>
  </sheets>
  <externalReferences>
    <externalReference r:id="rId13"/>
    <externalReference r:id="rId14"/>
    <externalReference r:id="rId15"/>
    <externalReference r:id="rId16"/>
  </externalReferences>
  <definedNames>
    <definedName name="_xlnm.Print_Area" localSheetId="3">BOA!$A$1:$AM$58</definedName>
    <definedName name="_xlnm.Print_Area" localSheetId="5">'CB I'!$A$1:$AM$58</definedName>
    <definedName name="_xlnm.Print_Area" localSheetId="6">IG!$A$1:$AM$58</definedName>
    <definedName name="_xlnm.Print_Area" localSheetId="8">MJ!$A$1:$AM$58</definedName>
    <definedName name="_xlnm.Print_Area" localSheetId="7">PN!$A$1:$AM$58</definedName>
    <definedName name="_xlnm.Print_Area" localSheetId="9">'RB I'!$A$1:$AM$58</definedName>
    <definedName name="_xlnm.Print_Area" localSheetId="1">ROSA!$A$1:$AM$58</definedName>
    <definedName name="_xlnm.Print_Area" localSheetId="10">'SF I'!$A$1:$AM$58</definedName>
    <definedName name="_xlnm.Print_Area" localSheetId="0">SLP!$A$1:$AM$58</definedName>
    <definedName name="_xlnm.Print_Area" localSheetId="2">'STA ANA'!$A$1:$AM$58</definedName>
    <definedName name="_xlnm.Print_Area" localSheetId="4">'STA MARIA'!$A$1:$AM$58</definedName>
    <definedName name="_xlnm.Print_Area" localSheetId="11">'TOTAL PRODUÇÃO'!$A$1:$AM$58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M5" i="13" l="1"/>
  <c r="CM6" i="13"/>
  <c r="CM7" i="13"/>
  <c r="CM8" i="13"/>
  <c r="CM9" i="13"/>
  <c r="CM10" i="13"/>
  <c r="CM11" i="13"/>
  <c r="CM12" i="13"/>
  <c r="CM13" i="13"/>
  <c r="CM14" i="13"/>
  <c r="CM15" i="13"/>
  <c r="CM16" i="13"/>
  <c r="CM17" i="13"/>
  <c r="CM18" i="13"/>
  <c r="CM19" i="13"/>
  <c r="CM20" i="13"/>
  <c r="CM21" i="13"/>
  <c r="CM22" i="13"/>
  <c r="CM23" i="13"/>
  <c r="CM24" i="13"/>
  <c r="CM25" i="13"/>
  <c r="CM26" i="13"/>
  <c r="CM27" i="13"/>
  <c r="CM28" i="13"/>
  <c r="CM29" i="13"/>
  <c r="CM30" i="13"/>
  <c r="CM31" i="13"/>
  <c r="CM32" i="13"/>
  <c r="CM33" i="13"/>
  <c r="CM34" i="13"/>
  <c r="CM35" i="13"/>
  <c r="CM36" i="13"/>
  <c r="CM37" i="13"/>
  <c r="CM38" i="13"/>
  <c r="CM39" i="13"/>
  <c r="CM40" i="13"/>
  <c r="CM41" i="13"/>
  <c r="CM42" i="13"/>
  <c r="CM43" i="13"/>
  <c r="CM44" i="13"/>
  <c r="CM45" i="13"/>
  <c r="CM46" i="13"/>
  <c r="CM47" i="13"/>
  <c r="CM48" i="13"/>
  <c r="CM49" i="13"/>
  <c r="CM50" i="13"/>
  <c r="CM51" i="13"/>
  <c r="CM52" i="13"/>
  <c r="CM53" i="13"/>
  <c r="CM54" i="13"/>
  <c r="CM55" i="13"/>
  <c r="CM56" i="13"/>
  <c r="CM57" i="13"/>
  <c r="CM58" i="13"/>
  <c r="CM4" i="13"/>
  <c r="CF5" i="13"/>
  <c r="CF6" i="13"/>
  <c r="CF7" i="13"/>
  <c r="CF8" i="13"/>
  <c r="CF9" i="13"/>
  <c r="CF9" i="14" s="1"/>
  <c r="CF10" i="13"/>
  <c r="CF10" i="14" s="1"/>
  <c r="CF11" i="13"/>
  <c r="CF12" i="13"/>
  <c r="CF13" i="13"/>
  <c r="CF14" i="13"/>
  <c r="CF15" i="13"/>
  <c r="CF16" i="13"/>
  <c r="CF17" i="13"/>
  <c r="CF18" i="13"/>
  <c r="CF19" i="13"/>
  <c r="CF20" i="13"/>
  <c r="CF21" i="13"/>
  <c r="CF22" i="13"/>
  <c r="CF23" i="13"/>
  <c r="CF24" i="13"/>
  <c r="CF25" i="13"/>
  <c r="CF26" i="13"/>
  <c r="CF26" i="14" s="1"/>
  <c r="CF27" i="13"/>
  <c r="CF28" i="13"/>
  <c r="CF29" i="13"/>
  <c r="CF30" i="13"/>
  <c r="CF31" i="13"/>
  <c r="CF32" i="13"/>
  <c r="CF33" i="13"/>
  <c r="CF34" i="13"/>
  <c r="CF34" i="14" s="1"/>
  <c r="CF35" i="13"/>
  <c r="CF36" i="13"/>
  <c r="CF37" i="13"/>
  <c r="CF38" i="13"/>
  <c r="CF39" i="13"/>
  <c r="CF40" i="13"/>
  <c r="CF41" i="13"/>
  <c r="CF42" i="13"/>
  <c r="CF42" i="14" s="1"/>
  <c r="CF43" i="13"/>
  <c r="CF44" i="13"/>
  <c r="CF45" i="13"/>
  <c r="CF46" i="13"/>
  <c r="CF47" i="13"/>
  <c r="CF48" i="13"/>
  <c r="CF49" i="13"/>
  <c r="CF50" i="13"/>
  <c r="CF50" i="14" s="1"/>
  <c r="CF51" i="13"/>
  <c r="CF52" i="13"/>
  <c r="CF53" i="13"/>
  <c r="CF54" i="13"/>
  <c r="CF55" i="13"/>
  <c r="CF56" i="13"/>
  <c r="CF57" i="13"/>
  <c r="CF58" i="13"/>
  <c r="CF4" i="13"/>
  <c r="BY5" i="13"/>
  <c r="BY6" i="13"/>
  <c r="BY7" i="13"/>
  <c r="BY8" i="13"/>
  <c r="BY9" i="13"/>
  <c r="BY10" i="13"/>
  <c r="BY11" i="13"/>
  <c r="BY12" i="13"/>
  <c r="BY13" i="13"/>
  <c r="BY14" i="13"/>
  <c r="BY15" i="13"/>
  <c r="BY16" i="13"/>
  <c r="BY17" i="13"/>
  <c r="BY18" i="13"/>
  <c r="BY19" i="13"/>
  <c r="BY20" i="13"/>
  <c r="BY20" i="14" s="1"/>
  <c r="BY21" i="13"/>
  <c r="BY22" i="13"/>
  <c r="BY23" i="13"/>
  <c r="BY24" i="13"/>
  <c r="BY25" i="13"/>
  <c r="BY26" i="13"/>
  <c r="BY27" i="13"/>
  <c r="BY28" i="13"/>
  <c r="BY29" i="13"/>
  <c r="BY30" i="13"/>
  <c r="BY31" i="13"/>
  <c r="BY32" i="13"/>
  <c r="BY33" i="13"/>
  <c r="BY34" i="13"/>
  <c r="BY35" i="13"/>
  <c r="BY36" i="13"/>
  <c r="BY36" i="14" s="1"/>
  <c r="BY37" i="13"/>
  <c r="BY38" i="13"/>
  <c r="BY39" i="13"/>
  <c r="BY40" i="13"/>
  <c r="BY41" i="13"/>
  <c r="BY42" i="13"/>
  <c r="BY43" i="13"/>
  <c r="BY44" i="13"/>
  <c r="BY45" i="13"/>
  <c r="BY46" i="13"/>
  <c r="BY47" i="13"/>
  <c r="BY48" i="13"/>
  <c r="BY49" i="13"/>
  <c r="BY50" i="13"/>
  <c r="BY51" i="13"/>
  <c r="BY52" i="13"/>
  <c r="BY52" i="14" s="1"/>
  <c r="BY53" i="13"/>
  <c r="BY54" i="13"/>
  <c r="BY55" i="13"/>
  <c r="BY56" i="13"/>
  <c r="BY57" i="13"/>
  <c r="BY58" i="13"/>
  <c r="BY4" i="13"/>
  <c r="BR5" i="13"/>
  <c r="BR6" i="13"/>
  <c r="BR7" i="13"/>
  <c r="BR8" i="13"/>
  <c r="BR8" i="14" s="1"/>
  <c r="BR9" i="13"/>
  <c r="BR10" i="13"/>
  <c r="BR11" i="13"/>
  <c r="BR12" i="13"/>
  <c r="BR13" i="13"/>
  <c r="BR14" i="13"/>
  <c r="BR15" i="13"/>
  <c r="BR16" i="13"/>
  <c r="BR16" i="14" s="1"/>
  <c r="BR17" i="13"/>
  <c r="BR18" i="13"/>
  <c r="BR19" i="13"/>
  <c r="BR20" i="13"/>
  <c r="BR21" i="13"/>
  <c r="BR22" i="13"/>
  <c r="BR23" i="13"/>
  <c r="BR24" i="13"/>
  <c r="BR24" i="14" s="1"/>
  <c r="BR25" i="13"/>
  <c r="BR26" i="13"/>
  <c r="BR27" i="13"/>
  <c r="BR28" i="13"/>
  <c r="BR29" i="13"/>
  <c r="BR30" i="13"/>
  <c r="BR31" i="13"/>
  <c r="BR32" i="13"/>
  <c r="BR32" i="14" s="1"/>
  <c r="BR33" i="13"/>
  <c r="BR34" i="13"/>
  <c r="BR35" i="13"/>
  <c r="BR36" i="13"/>
  <c r="BR37" i="13"/>
  <c r="BR38" i="13"/>
  <c r="BR39" i="13"/>
  <c r="BR40" i="13"/>
  <c r="BR40" i="14" s="1"/>
  <c r="BR41" i="13"/>
  <c r="BR42" i="13"/>
  <c r="BR43" i="13"/>
  <c r="BR44" i="13"/>
  <c r="BR45" i="13"/>
  <c r="BR46" i="13"/>
  <c r="BR47" i="13"/>
  <c r="BR48" i="13"/>
  <c r="BR48" i="14" s="1"/>
  <c r="BR49" i="13"/>
  <c r="BR50" i="13"/>
  <c r="BR51" i="13"/>
  <c r="BR52" i="13"/>
  <c r="BR53" i="13"/>
  <c r="BR54" i="13"/>
  <c r="BR55" i="13"/>
  <c r="BR56" i="13"/>
  <c r="BR56" i="14" s="1"/>
  <c r="BR57" i="13"/>
  <c r="BR58" i="13"/>
  <c r="BR4" i="13"/>
  <c r="BK5" i="13"/>
  <c r="BK6" i="13"/>
  <c r="BK7" i="13"/>
  <c r="BK8" i="13"/>
  <c r="BK9" i="13"/>
  <c r="BK10" i="13"/>
  <c r="BK10" i="14" s="1"/>
  <c r="BK11" i="13"/>
  <c r="BK11" i="14" s="1"/>
  <c r="BK12" i="13"/>
  <c r="BK13" i="13"/>
  <c r="BK14" i="13"/>
  <c r="BK15" i="13"/>
  <c r="BK16" i="13"/>
  <c r="BK17" i="13"/>
  <c r="BK18" i="13"/>
  <c r="BK19" i="13"/>
  <c r="BK20" i="13"/>
  <c r="BK21" i="13"/>
  <c r="BK22" i="13"/>
  <c r="BK23" i="13"/>
  <c r="BK24" i="13"/>
  <c r="BK25" i="13"/>
  <c r="BK26" i="13"/>
  <c r="BK27" i="13"/>
  <c r="BK28" i="13"/>
  <c r="BK29" i="13"/>
  <c r="BK30" i="13"/>
  <c r="BK31" i="13"/>
  <c r="BK32" i="13"/>
  <c r="BK33" i="13"/>
  <c r="BK34" i="13"/>
  <c r="BK35" i="13"/>
  <c r="BK36" i="13"/>
  <c r="BK37" i="13"/>
  <c r="BK38" i="13"/>
  <c r="BK39" i="13"/>
  <c r="BK40" i="13"/>
  <c r="BK41" i="13"/>
  <c r="BK42" i="13"/>
  <c r="BK43" i="13"/>
  <c r="BK44" i="13"/>
  <c r="BK45" i="13"/>
  <c r="BK46" i="13"/>
  <c r="BK47" i="13"/>
  <c r="BK48" i="13"/>
  <c r="BK49" i="13"/>
  <c r="BK50" i="13"/>
  <c r="BK51" i="13"/>
  <c r="BK52" i="13"/>
  <c r="BK53" i="13"/>
  <c r="BK54" i="13"/>
  <c r="BK55" i="13"/>
  <c r="BK56" i="13"/>
  <c r="BK57" i="13"/>
  <c r="BK58" i="13"/>
  <c r="BK4" i="13"/>
  <c r="BD5" i="13"/>
  <c r="BD6" i="13"/>
  <c r="BD7" i="13"/>
  <c r="BD8" i="13"/>
  <c r="BD9" i="13"/>
  <c r="BD10" i="13"/>
  <c r="BD11" i="13"/>
  <c r="BD12" i="13"/>
  <c r="BD13" i="13"/>
  <c r="BD14" i="13"/>
  <c r="BD15" i="13"/>
  <c r="BD16" i="13"/>
  <c r="BD17" i="13"/>
  <c r="BD18" i="13"/>
  <c r="BD19" i="13"/>
  <c r="BD20" i="13"/>
  <c r="BD21" i="13"/>
  <c r="BD22" i="13"/>
  <c r="BD23" i="13"/>
  <c r="BD24" i="13"/>
  <c r="BD25" i="13"/>
  <c r="BD26" i="13"/>
  <c r="BD27" i="13"/>
  <c r="BD28" i="13"/>
  <c r="BD29" i="13"/>
  <c r="BD30" i="13"/>
  <c r="BD31" i="13"/>
  <c r="BD32" i="13"/>
  <c r="BD33" i="13"/>
  <c r="BD34" i="13"/>
  <c r="BD35" i="13"/>
  <c r="BD36" i="13"/>
  <c r="BD37" i="13"/>
  <c r="BD38" i="13"/>
  <c r="BD39" i="13"/>
  <c r="BD40" i="13"/>
  <c r="BD41" i="13"/>
  <c r="BD42" i="13"/>
  <c r="BD43" i="13"/>
  <c r="BD44" i="13"/>
  <c r="BD45" i="13"/>
  <c r="BD46" i="13"/>
  <c r="BD47" i="13"/>
  <c r="BD48" i="13"/>
  <c r="BD49" i="13"/>
  <c r="BD50" i="13"/>
  <c r="BD51" i="13"/>
  <c r="BD52" i="13"/>
  <c r="BD53" i="13"/>
  <c r="BD54" i="13"/>
  <c r="BD55" i="13"/>
  <c r="BD56" i="13"/>
  <c r="BD57" i="13"/>
  <c r="BD58" i="13"/>
  <c r="BD4" i="13"/>
  <c r="AW5" i="13"/>
  <c r="AW6" i="13"/>
  <c r="AW7" i="13"/>
  <c r="AW8" i="13"/>
  <c r="AW9" i="13"/>
  <c r="AW10" i="13"/>
  <c r="AW11" i="13"/>
  <c r="AW12" i="13"/>
  <c r="AW13" i="13"/>
  <c r="AW14" i="13"/>
  <c r="AW15" i="13"/>
  <c r="AW16" i="13"/>
  <c r="AW17" i="13"/>
  <c r="AW18" i="13"/>
  <c r="AW19" i="13"/>
  <c r="AW20" i="13"/>
  <c r="AW21" i="13"/>
  <c r="AW22" i="13"/>
  <c r="AW23" i="13"/>
  <c r="AW24" i="13"/>
  <c r="AW25" i="13"/>
  <c r="AW26" i="13"/>
  <c r="AW27" i="13"/>
  <c r="AW28" i="13"/>
  <c r="AW29" i="13"/>
  <c r="AW30" i="13"/>
  <c r="AW31" i="13"/>
  <c r="AW32" i="13"/>
  <c r="AW33" i="13"/>
  <c r="AW34" i="13"/>
  <c r="AW35" i="13"/>
  <c r="AW36" i="13"/>
  <c r="AW37" i="13"/>
  <c r="AW38" i="13"/>
  <c r="AW39" i="13"/>
  <c r="AW40" i="13"/>
  <c r="AW41" i="13"/>
  <c r="AW42" i="13"/>
  <c r="AW43" i="13"/>
  <c r="AW44" i="13"/>
  <c r="AW45" i="13"/>
  <c r="AW46" i="13"/>
  <c r="AW47" i="13"/>
  <c r="AW48" i="13"/>
  <c r="AW49" i="13"/>
  <c r="AW50" i="13"/>
  <c r="AW51" i="13"/>
  <c r="AW52" i="13"/>
  <c r="AW53" i="13"/>
  <c r="AW54" i="13"/>
  <c r="AW55" i="13"/>
  <c r="AW56" i="13"/>
  <c r="AW57" i="13"/>
  <c r="AW58" i="13"/>
  <c r="AW4" i="13"/>
  <c r="AP5" i="13"/>
  <c r="AP6" i="13"/>
  <c r="AP7" i="13"/>
  <c r="AP8" i="13"/>
  <c r="AP8" i="14" s="1"/>
  <c r="AP9" i="13"/>
  <c r="AP9" i="14" s="1"/>
  <c r="AP10" i="13"/>
  <c r="AP11" i="13"/>
  <c r="AP12" i="13"/>
  <c r="AP12" i="14" s="1"/>
  <c r="AP13" i="13"/>
  <c r="AP14" i="13"/>
  <c r="AP15" i="13"/>
  <c r="AP16" i="13"/>
  <c r="AP17" i="13"/>
  <c r="AP18" i="13"/>
  <c r="AP19" i="13"/>
  <c r="AP20" i="13"/>
  <c r="AP20" i="14" s="1"/>
  <c r="AP21" i="13"/>
  <c r="AP22" i="13"/>
  <c r="AP23" i="13"/>
  <c r="AP24" i="13"/>
  <c r="AP25" i="13"/>
  <c r="AP26" i="13"/>
  <c r="AP27" i="13"/>
  <c r="AP28" i="13"/>
  <c r="AP28" i="14" s="1"/>
  <c r="AP29" i="13"/>
  <c r="AP30" i="13"/>
  <c r="AP31" i="13"/>
  <c r="AP32" i="13"/>
  <c r="AP33" i="13"/>
  <c r="AP34" i="13"/>
  <c r="AP35" i="13"/>
  <c r="AP36" i="13"/>
  <c r="AP36" i="14" s="1"/>
  <c r="AP37" i="13"/>
  <c r="AP38" i="13"/>
  <c r="AP39" i="13"/>
  <c r="AP40" i="13"/>
  <c r="AP41" i="13"/>
  <c r="AP42" i="13"/>
  <c r="AP43" i="13"/>
  <c r="AP44" i="13"/>
  <c r="AP44" i="14" s="1"/>
  <c r="AP45" i="13"/>
  <c r="AP46" i="13"/>
  <c r="AP47" i="13"/>
  <c r="AP48" i="13"/>
  <c r="AP49" i="13"/>
  <c r="AP50" i="13"/>
  <c r="AP51" i="13"/>
  <c r="AP52" i="13"/>
  <c r="AP52" i="14" s="1"/>
  <c r="AP53" i="13"/>
  <c r="AP54" i="13"/>
  <c r="AP55" i="13"/>
  <c r="AP56" i="13"/>
  <c r="AP57" i="13"/>
  <c r="AP58" i="13"/>
  <c r="AP4" i="13"/>
  <c r="AI5" i="13"/>
  <c r="AI6" i="13"/>
  <c r="AI7" i="13"/>
  <c r="AI8" i="13"/>
  <c r="AI9" i="13"/>
  <c r="AI10" i="13"/>
  <c r="AI11" i="13"/>
  <c r="AI12" i="13"/>
  <c r="AI13" i="13"/>
  <c r="AI14" i="13"/>
  <c r="AI15" i="13"/>
  <c r="AI16" i="13"/>
  <c r="AI17" i="13"/>
  <c r="AI18" i="13"/>
  <c r="AI19" i="13"/>
  <c r="AI20" i="13"/>
  <c r="AI21" i="13"/>
  <c r="AI22" i="13"/>
  <c r="AI23" i="13"/>
  <c r="AI24" i="13"/>
  <c r="AI25" i="13"/>
  <c r="AI26" i="13"/>
  <c r="AI27" i="13"/>
  <c r="AI28" i="13"/>
  <c r="AI29" i="13"/>
  <c r="AI30" i="13"/>
  <c r="AI31" i="13"/>
  <c r="AI32" i="13"/>
  <c r="AI33" i="13"/>
  <c r="AI34" i="13"/>
  <c r="AI35" i="13"/>
  <c r="AI36" i="13"/>
  <c r="AI37" i="13"/>
  <c r="AI38" i="13"/>
  <c r="AI39" i="13"/>
  <c r="AI40" i="13"/>
  <c r="AI41" i="13"/>
  <c r="AI42" i="13"/>
  <c r="AI43" i="13"/>
  <c r="AI44" i="13"/>
  <c r="AI45" i="13"/>
  <c r="AI46" i="13"/>
  <c r="AI47" i="13"/>
  <c r="AI48" i="13"/>
  <c r="AI49" i="13"/>
  <c r="AI50" i="13"/>
  <c r="AI51" i="13"/>
  <c r="AI52" i="13"/>
  <c r="AI53" i="13"/>
  <c r="AI54" i="13"/>
  <c r="AI55" i="13"/>
  <c r="AI56" i="13"/>
  <c r="AI57" i="13"/>
  <c r="AI58" i="13"/>
  <c r="AI4" i="13"/>
  <c r="AB5" i="13"/>
  <c r="AB6" i="13"/>
  <c r="AB7" i="13"/>
  <c r="AB7" i="14" s="1"/>
  <c r="AB8" i="13"/>
  <c r="AB9" i="13"/>
  <c r="AB9" i="14" s="1"/>
  <c r="AB10" i="13"/>
  <c r="AB11" i="13"/>
  <c r="AB12" i="13"/>
  <c r="AB13" i="13"/>
  <c r="AB14" i="13"/>
  <c r="AB15" i="13"/>
  <c r="AB16" i="13"/>
  <c r="AB17" i="13"/>
  <c r="AB17" i="14" s="1"/>
  <c r="AB18" i="13"/>
  <c r="AB19" i="13"/>
  <c r="AB20" i="13"/>
  <c r="AB21" i="13"/>
  <c r="AB22" i="13"/>
  <c r="AB23" i="13"/>
  <c r="AB24" i="13"/>
  <c r="AB25" i="13"/>
  <c r="AB25" i="14" s="1"/>
  <c r="AB26" i="13"/>
  <c r="AB27" i="13"/>
  <c r="AB28" i="13"/>
  <c r="AB29" i="13"/>
  <c r="AB30" i="13"/>
  <c r="AB31" i="13"/>
  <c r="AB32" i="13"/>
  <c r="AB33" i="13"/>
  <c r="AB33" i="14" s="1"/>
  <c r="AB34" i="13"/>
  <c r="AB35" i="13"/>
  <c r="AB36" i="13"/>
  <c r="AB37" i="13"/>
  <c r="AB38" i="13"/>
  <c r="AB39" i="13"/>
  <c r="AB40" i="13"/>
  <c r="AB41" i="13"/>
  <c r="AB41" i="14" s="1"/>
  <c r="AB42" i="13"/>
  <c r="AB43" i="13"/>
  <c r="AB44" i="13"/>
  <c r="AB45" i="13"/>
  <c r="AB46" i="13"/>
  <c r="AB47" i="13"/>
  <c r="AB48" i="13"/>
  <c r="AB49" i="13"/>
  <c r="AB49" i="14" s="1"/>
  <c r="AB50" i="13"/>
  <c r="AB51" i="13"/>
  <c r="AB52" i="13"/>
  <c r="AB53" i="13"/>
  <c r="AB54" i="13"/>
  <c r="AB55" i="13"/>
  <c r="AB56" i="13"/>
  <c r="AB57" i="13"/>
  <c r="AB57" i="14" s="1"/>
  <c r="AB58" i="13"/>
  <c r="AB4" i="13"/>
  <c r="U5" i="13"/>
  <c r="U6" i="13"/>
  <c r="U6" i="14" s="1"/>
  <c r="U7" i="13"/>
  <c r="U8" i="13"/>
  <c r="U8" i="14" s="1"/>
  <c r="U9" i="13"/>
  <c r="U10" i="13"/>
  <c r="U10" i="14" s="1"/>
  <c r="U11" i="13"/>
  <c r="U12" i="13"/>
  <c r="U13" i="13"/>
  <c r="U14" i="13"/>
  <c r="U15" i="13"/>
  <c r="U16" i="13"/>
  <c r="U16" i="14" s="1"/>
  <c r="U17" i="13"/>
  <c r="U18" i="13"/>
  <c r="U19" i="13"/>
  <c r="U20" i="13"/>
  <c r="U21" i="13"/>
  <c r="U22" i="13"/>
  <c r="U23" i="13"/>
  <c r="U24" i="13"/>
  <c r="U24" i="14" s="1"/>
  <c r="U25" i="13"/>
  <c r="U26" i="13"/>
  <c r="U27" i="13"/>
  <c r="U28" i="13"/>
  <c r="U29" i="13"/>
  <c r="U30" i="13"/>
  <c r="U31" i="13"/>
  <c r="U32" i="13"/>
  <c r="U32" i="14" s="1"/>
  <c r="U33" i="13"/>
  <c r="U34" i="13"/>
  <c r="U35" i="13"/>
  <c r="U36" i="13"/>
  <c r="U37" i="13"/>
  <c r="U38" i="13"/>
  <c r="U39" i="13"/>
  <c r="U40" i="13"/>
  <c r="U40" i="14" s="1"/>
  <c r="U41" i="13"/>
  <c r="U42" i="13"/>
  <c r="U43" i="13"/>
  <c r="U44" i="13"/>
  <c r="U45" i="13"/>
  <c r="U46" i="13"/>
  <c r="U47" i="13"/>
  <c r="U48" i="13"/>
  <c r="U48" i="14" s="1"/>
  <c r="U49" i="13"/>
  <c r="U50" i="13"/>
  <c r="U51" i="13"/>
  <c r="U52" i="13"/>
  <c r="U53" i="13"/>
  <c r="U54" i="13"/>
  <c r="U55" i="13"/>
  <c r="U56" i="13"/>
  <c r="U57" i="13"/>
  <c r="U58" i="13"/>
  <c r="U4" i="13"/>
  <c r="N5" i="13"/>
  <c r="N6" i="13"/>
  <c r="N7" i="13"/>
  <c r="N8" i="13"/>
  <c r="N9" i="13"/>
  <c r="N10" i="13"/>
  <c r="N11" i="13"/>
  <c r="N12" i="13"/>
  <c r="N13" i="13"/>
  <c r="N14" i="13"/>
  <c r="N15" i="13"/>
  <c r="N16" i="13"/>
  <c r="N17" i="13"/>
  <c r="N18" i="13"/>
  <c r="N19" i="13"/>
  <c r="N20" i="13"/>
  <c r="N21" i="13"/>
  <c r="N22" i="13"/>
  <c r="N23" i="13"/>
  <c r="N24" i="13"/>
  <c r="N25" i="13"/>
  <c r="N26" i="13"/>
  <c r="N27" i="13"/>
  <c r="N28" i="13"/>
  <c r="N29" i="13"/>
  <c r="N30" i="13"/>
  <c r="N31" i="13"/>
  <c r="N32" i="13"/>
  <c r="N33" i="13"/>
  <c r="N34" i="13"/>
  <c r="N35" i="13"/>
  <c r="N36" i="13"/>
  <c r="N37" i="13"/>
  <c r="N38" i="13"/>
  <c r="N39" i="13"/>
  <c r="N40" i="13"/>
  <c r="N41" i="13"/>
  <c r="N42" i="13"/>
  <c r="N43" i="13"/>
  <c r="N44" i="13"/>
  <c r="N45" i="13"/>
  <c r="N46" i="13"/>
  <c r="N47" i="13"/>
  <c r="N48" i="13"/>
  <c r="N49" i="13"/>
  <c r="N50" i="13"/>
  <c r="N51" i="13"/>
  <c r="N52" i="13"/>
  <c r="N53" i="13"/>
  <c r="N54" i="13"/>
  <c r="N55" i="13"/>
  <c r="N56" i="13"/>
  <c r="N57" i="13"/>
  <c r="N58" i="13"/>
  <c r="N4" i="13"/>
  <c r="CQ54" i="14"/>
  <c r="CQ47" i="14"/>
  <c r="CQ46" i="14"/>
  <c r="CQ45" i="14"/>
  <c r="CQ44" i="14"/>
  <c r="CQ42" i="14"/>
  <c r="CQ41" i="14"/>
  <c r="CQ35" i="14"/>
  <c r="CQ34" i="14"/>
  <c r="CQ33" i="14"/>
  <c r="CQ32" i="14"/>
  <c r="CQ29" i="14"/>
  <c r="CQ28" i="14"/>
  <c r="CQ27" i="14"/>
  <c r="CQ26" i="14"/>
  <c r="CQ25" i="14"/>
  <c r="CQ24" i="14"/>
  <c r="CQ23" i="14"/>
  <c r="CQ22" i="14"/>
  <c r="CQ21" i="14"/>
  <c r="CQ20" i="14"/>
  <c r="CQ19" i="14"/>
  <c r="CQ18" i="14"/>
  <c r="CQ17" i="14"/>
  <c r="CQ11" i="14"/>
  <c r="CQ8" i="14"/>
  <c r="CJ54" i="14"/>
  <c r="CJ47" i="14"/>
  <c r="CJ46" i="14"/>
  <c r="CJ45" i="14"/>
  <c r="CJ44" i="14"/>
  <c r="CJ42" i="14"/>
  <c r="CJ41" i="14"/>
  <c r="CJ35" i="14"/>
  <c r="CJ34" i="14"/>
  <c r="CJ33" i="14"/>
  <c r="CJ32" i="14"/>
  <c r="CJ29" i="14"/>
  <c r="CJ28" i="14"/>
  <c r="CJ27" i="14"/>
  <c r="CJ26" i="14"/>
  <c r="CJ25" i="14"/>
  <c r="CJ24" i="14"/>
  <c r="CJ23" i="14"/>
  <c r="CJ22" i="14"/>
  <c r="CJ21" i="14"/>
  <c r="CJ20" i="14"/>
  <c r="CJ19" i="14"/>
  <c r="CJ18" i="14"/>
  <c r="CJ17" i="14"/>
  <c r="CJ11" i="14"/>
  <c r="CJ8" i="14"/>
  <c r="CC54" i="14"/>
  <c r="CC47" i="14"/>
  <c r="CC46" i="14"/>
  <c r="CC45" i="14"/>
  <c r="CC44" i="14"/>
  <c r="CC42" i="14"/>
  <c r="CC41" i="14"/>
  <c r="CC35" i="14"/>
  <c r="CC34" i="14"/>
  <c r="CC33" i="14"/>
  <c r="CC29" i="14"/>
  <c r="CC28" i="14"/>
  <c r="CC27" i="14"/>
  <c r="CC26" i="14"/>
  <c r="CC25" i="14"/>
  <c r="CC24" i="14"/>
  <c r="CC23" i="14"/>
  <c r="CC22" i="14"/>
  <c r="CC21" i="14"/>
  <c r="CC20" i="14"/>
  <c r="CC19" i="14"/>
  <c r="CC18" i="14"/>
  <c r="CC17" i="14"/>
  <c r="CC11" i="14"/>
  <c r="CC8" i="14"/>
  <c r="BV54" i="14"/>
  <c r="BV47" i="14"/>
  <c r="BV46" i="14"/>
  <c r="BV45" i="14"/>
  <c r="BV44" i="14"/>
  <c r="BV42" i="14"/>
  <c r="BV41" i="14"/>
  <c r="BV35" i="14"/>
  <c r="BV34" i="14"/>
  <c r="BV33" i="14"/>
  <c r="BV29" i="14"/>
  <c r="BV28" i="14"/>
  <c r="BV27" i="14"/>
  <c r="BV26" i="14"/>
  <c r="BV25" i="14"/>
  <c r="BV24" i="14"/>
  <c r="BV23" i="14"/>
  <c r="BV22" i="14"/>
  <c r="BV21" i="14"/>
  <c r="BV20" i="14"/>
  <c r="BV19" i="14"/>
  <c r="BV18" i="14"/>
  <c r="BV17" i="14"/>
  <c r="BV11" i="14"/>
  <c r="BV8" i="14"/>
  <c r="BO54" i="14"/>
  <c r="BO47" i="14"/>
  <c r="BO46" i="14"/>
  <c r="BO45" i="14"/>
  <c r="BO44" i="14"/>
  <c r="BO42" i="14"/>
  <c r="BO41" i="14"/>
  <c r="BO35" i="14"/>
  <c r="BO33" i="14"/>
  <c r="BO29" i="14"/>
  <c r="BO28" i="14"/>
  <c r="BO27" i="14"/>
  <c r="BO26" i="14"/>
  <c r="BO25" i="14"/>
  <c r="BO24" i="14"/>
  <c r="BO23" i="14"/>
  <c r="BO22" i="14"/>
  <c r="BO21" i="14"/>
  <c r="BO20" i="14"/>
  <c r="BO19" i="14"/>
  <c r="BO18" i="14"/>
  <c r="BO17" i="14"/>
  <c r="BO11" i="14"/>
  <c r="BO8" i="14"/>
  <c r="BH47" i="14"/>
  <c r="BH46" i="14"/>
  <c r="BH45" i="14"/>
  <c r="BH44" i="14"/>
  <c r="BH42" i="14"/>
  <c r="BH41" i="14"/>
  <c r="BH35" i="14"/>
  <c r="BH29" i="14"/>
  <c r="BH28" i="14"/>
  <c r="BH27" i="14"/>
  <c r="BH26" i="14"/>
  <c r="BH25" i="14"/>
  <c r="BH24" i="14"/>
  <c r="BH23" i="14"/>
  <c r="BH22" i="14"/>
  <c r="BH21" i="14"/>
  <c r="BH20" i="14"/>
  <c r="BH19" i="14"/>
  <c r="BH18" i="14"/>
  <c r="BH17" i="14"/>
  <c r="BH11" i="14"/>
  <c r="BA47" i="14"/>
  <c r="BA46" i="14"/>
  <c r="BA45" i="14"/>
  <c r="BA44" i="14"/>
  <c r="BA35" i="14"/>
  <c r="BA34" i="14"/>
  <c r="BA23" i="14"/>
  <c r="BA21" i="14"/>
  <c r="BA11" i="14"/>
  <c r="BA8" i="14"/>
  <c r="AT47" i="14"/>
  <c r="AT46" i="14"/>
  <c r="AT45" i="14"/>
  <c r="AT44" i="14"/>
  <c r="AT35" i="14"/>
  <c r="AT34" i="14"/>
  <c r="AT23" i="14"/>
  <c r="AT21" i="14"/>
  <c r="AT11" i="14"/>
  <c r="AT8" i="14"/>
  <c r="AM47" i="14"/>
  <c r="AM46" i="14"/>
  <c r="AM45" i="14"/>
  <c r="AM44" i="14"/>
  <c r="AM42" i="14"/>
  <c r="AM41" i="14"/>
  <c r="AM35" i="14"/>
  <c r="AM34" i="14"/>
  <c r="AM33" i="14"/>
  <c r="AM32" i="14"/>
  <c r="AM29" i="14"/>
  <c r="AM28" i="14"/>
  <c r="AM27" i="14"/>
  <c r="AM26" i="14"/>
  <c r="AM25" i="14"/>
  <c r="AM24" i="14"/>
  <c r="AM23" i="14"/>
  <c r="AM22" i="14"/>
  <c r="AM21" i="14"/>
  <c r="AM20" i="14"/>
  <c r="AM19" i="14"/>
  <c r="AM18" i="14"/>
  <c r="AM17" i="14"/>
  <c r="AM11" i="14"/>
  <c r="AM8" i="14"/>
  <c r="AF47" i="14"/>
  <c r="AF46" i="14"/>
  <c r="AF45" i="14"/>
  <c r="AF44" i="14"/>
  <c r="AF42" i="14"/>
  <c r="AF41" i="14"/>
  <c r="AF35" i="14"/>
  <c r="AF34" i="14"/>
  <c r="AF33" i="14"/>
  <c r="AF32" i="14"/>
  <c r="AF29" i="14"/>
  <c r="AF28" i="14"/>
  <c r="AF27" i="14"/>
  <c r="AF26" i="14"/>
  <c r="AF25" i="14"/>
  <c r="AF24" i="14"/>
  <c r="AF23" i="14"/>
  <c r="AF22" i="14"/>
  <c r="AF21" i="14"/>
  <c r="AF20" i="14"/>
  <c r="AF19" i="14"/>
  <c r="AF18" i="14"/>
  <c r="AF17" i="14"/>
  <c r="AF11" i="14"/>
  <c r="AF8" i="14"/>
  <c r="Y47" i="14"/>
  <c r="Y46" i="14"/>
  <c r="Y45" i="14"/>
  <c r="Y44" i="14"/>
  <c r="Y42" i="14"/>
  <c r="Y41" i="14"/>
  <c r="Y33" i="14"/>
  <c r="Y32" i="14"/>
  <c r="Y29" i="14"/>
  <c r="Y28" i="14"/>
  <c r="Y27" i="14"/>
  <c r="Y26" i="14"/>
  <c r="Y25" i="14"/>
  <c r="Y24" i="14"/>
  <c r="Y23" i="14"/>
  <c r="Y22" i="14"/>
  <c r="Y21" i="14"/>
  <c r="Y20" i="14"/>
  <c r="Y19" i="14"/>
  <c r="Y18" i="14"/>
  <c r="Y17" i="14"/>
  <c r="Y11" i="14"/>
  <c r="Y8" i="14"/>
  <c r="R58" i="14"/>
  <c r="R57" i="14"/>
  <c r="R56" i="14"/>
  <c r="R55" i="14"/>
  <c r="R54" i="14"/>
  <c r="R53" i="14"/>
  <c r="R52" i="14"/>
  <c r="R51" i="14"/>
  <c r="R50" i="14"/>
  <c r="R49" i="14"/>
  <c r="R48" i="14"/>
  <c r="R47" i="14"/>
  <c r="R46" i="14"/>
  <c r="R45" i="14"/>
  <c r="R44" i="14"/>
  <c r="R43" i="14"/>
  <c r="R42" i="14"/>
  <c r="R41" i="14"/>
  <c r="R40" i="14"/>
  <c r="R39" i="14"/>
  <c r="R38" i="14"/>
  <c r="R37" i="14"/>
  <c r="R36" i="14"/>
  <c r="R35" i="14"/>
  <c r="R34" i="14"/>
  <c r="R33" i="14"/>
  <c r="R32" i="14"/>
  <c r="R31" i="14"/>
  <c r="R30" i="14"/>
  <c r="R29" i="14"/>
  <c r="R28" i="14"/>
  <c r="R27" i="14"/>
  <c r="R26" i="14"/>
  <c r="R25" i="14"/>
  <c r="R24" i="14"/>
  <c r="R23" i="14"/>
  <c r="R22" i="14"/>
  <c r="R21" i="14"/>
  <c r="R20" i="14"/>
  <c r="R19" i="14"/>
  <c r="R18" i="14"/>
  <c r="R17" i="14"/>
  <c r="R16" i="14"/>
  <c r="R15" i="14"/>
  <c r="R14" i="14"/>
  <c r="R13" i="14"/>
  <c r="R12" i="14"/>
  <c r="R11" i="14"/>
  <c r="R10" i="14"/>
  <c r="R9" i="14"/>
  <c r="R8" i="14"/>
  <c r="R7" i="14"/>
  <c r="R6" i="14"/>
  <c r="R5" i="14"/>
  <c r="R4" i="14"/>
  <c r="L5" i="14"/>
  <c r="N5" i="14"/>
  <c r="O5" i="14"/>
  <c r="P5" i="14"/>
  <c r="Q5" i="14"/>
  <c r="S5" i="14"/>
  <c r="U5" i="14"/>
  <c r="W5" i="14"/>
  <c r="Z5" i="14"/>
  <c r="AB5" i="14"/>
  <c r="AD5" i="14"/>
  <c r="AG5" i="14"/>
  <c r="AI5" i="14"/>
  <c r="AK5" i="14"/>
  <c r="AN5" i="14"/>
  <c r="AP5" i="14"/>
  <c r="AU5" i="14"/>
  <c r="AW5" i="14"/>
  <c r="BB5" i="14"/>
  <c r="BD5" i="14"/>
  <c r="BF5" i="14"/>
  <c r="BI5" i="14"/>
  <c r="BK5" i="14"/>
  <c r="BM5" i="14"/>
  <c r="BP5" i="14"/>
  <c r="BR5" i="14"/>
  <c r="BT5" i="14"/>
  <c r="BW5" i="14"/>
  <c r="BY5" i="14"/>
  <c r="CA5" i="14"/>
  <c r="CD5" i="14"/>
  <c r="CF5" i="14"/>
  <c r="CH5" i="14"/>
  <c r="CK5" i="14"/>
  <c r="CM5" i="14"/>
  <c r="CO5" i="14"/>
  <c r="L6" i="14"/>
  <c r="N6" i="14"/>
  <c r="O6" i="14"/>
  <c r="P6" i="14"/>
  <c r="Q6" i="14"/>
  <c r="S6" i="14"/>
  <c r="W6" i="14"/>
  <c r="Z6" i="14"/>
  <c r="AB6" i="14"/>
  <c r="AD6" i="14"/>
  <c r="AG6" i="14"/>
  <c r="AI6" i="14"/>
  <c r="AK6" i="14"/>
  <c r="AN6" i="14"/>
  <c r="AP6" i="14"/>
  <c r="AU6" i="14"/>
  <c r="AW6" i="14"/>
  <c r="BB6" i="14"/>
  <c r="BD6" i="14"/>
  <c r="BF6" i="14"/>
  <c r="BI6" i="14"/>
  <c r="BK6" i="14"/>
  <c r="BM6" i="14"/>
  <c r="BP6" i="14"/>
  <c r="BR6" i="14"/>
  <c r="BT6" i="14"/>
  <c r="BW6" i="14"/>
  <c r="BY6" i="14"/>
  <c r="CA6" i="14"/>
  <c r="CD6" i="14"/>
  <c r="CF6" i="14"/>
  <c r="CH6" i="14"/>
  <c r="CK6" i="14"/>
  <c r="CM6" i="14"/>
  <c r="CO6" i="14"/>
  <c r="L7" i="14"/>
  <c r="N7" i="14"/>
  <c r="O7" i="14"/>
  <c r="P7" i="14"/>
  <c r="Q7" i="14"/>
  <c r="S7" i="14"/>
  <c r="U7" i="14"/>
  <c r="W7" i="14"/>
  <c r="Z7" i="14"/>
  <c r="AD7" i="14"/>
  <c r="AG7" i="14"/>
  <c r="AI7" i="14"/>
  <c r="AK7" i="14"/>
  <c r="AN7" i="14"/>
  <c r="AP7" i="14"/>
  <c r="AU7" i="14"/>
  <c r="AW7" i="14"/>
  <c r="BB7" i="14"/>
  <c r="BD7" i="14"/>
  <c r="BF7" i="14"/>
  <c r="BI7" i="14"/>
  <c r="BK7" i="14"/>
  <c r="BM7" i="14"/>
  <c r="BP7" i="14"/>
  <c r="BR7" i="14"/>
  <c r="BT7" i="14"/>
  <c r="BW7" i="14"/>
  <c r="BY7" i="14"/>
  <c r="CA7" i="14"/>
  <c r="CD7" i="14"/>
  <c r="CF7" i="14"/>
  <c r="CH7" i="14"/>
  <c r="CK7" i="14"/>
  <c r="CM7" i="14"/>
  <c r="CO7" i="14"/>
  <c r="L8" i="14"/>
  <c r="N8" i="14"/>
  <c r="O8" i="14"/>
  <c r="P8" i="14"/>
  <c r="Q8" i="14"/>
  <c r="S8" i="14"/>
  <c r="W8" i="14"/>
  <c r="Z8" i="14"/>
  <c r="AB8" i="14"/>
  <c r="AD8" i="14"/>
  <c r="AG8" i="14"/>
  <c r="AI8" i="14"/>
  <c r="AK8" i="14"/>
  <c r="AN8" i="14"/>
  <c r="AU8" i="14"/>
  <c r="AW8" i="14"/>
  <c r="BB8" i="14"/>
  <c r="BD8" i="14"/>
  <c r="BF8" i="14"/>
  <c r="BI8" i="14"/>
  <c r="BK8" i="14"/>
  <c r="BM8" i="14"/>
  <c r="BP8" i="14"/>
  <c r="BT8" i="14"/>
  <c r="BW8" i="14"/>
  <c r="BY8" i="14"/>
  <c r="CA8" i="14"/>
  <c r="CD8" i="14"/>
  <c r="CF8" i="14"/>
  <c r="CH8" i="14"/>
  <c r="CK8" i="14"/>
  <c r="CM8" i="14"/>
  <c r="CO8" i="14"/>
  <c r="L9" i="14"/>
  <c r="N9" i="14"/>
  <c r="O9" i="14"/>
  <c r="P9" i="14"/>
  <c r="Q9" i="14"/>
  <c r="S9" i="14"/>
  <c r="U9" i="14"/>
  <c r="W9" i="14"/>
  <c r="Z9" i="14"/>
  <c r="AD9" i="14"/>
  <c r="AG9" i="14"/>
  <c r="AI9" i="14"/>
  <c r="AK9" i="14"/>
  <c r="AN9" i="14"/>
  <c r="AU9" i="14"/>
  <c r="AW9" i="14"/>
  <c r="BB9" i="14"/>
  <c r="BD9" i="14"/>
  <c r="BF9" i="14"/>
  <c r="BI9" i="14"/>
  <c r="BK9" i="14"/>
  <c r="BM9" i="14"/>
  <c r="BP9" i="14"/>
  <c r="BR9" i="14"/>
  <c r="BT9" i="14"/>
  <c r="BW9" i="14"/>
  <c r="BY9" i="14"/>
  <c r="CA9" i="14"/>
  <c r="CD9" i="14"/>
  <c r="CH9" i="14"/>
  <c r="CK9" i="14"/>
  <c r="CM9" i="14"/>
  <c r="CO9" i="14"/>
  <c r="L10" i="14"/>
  <c r="N10" i="14"/>
  <c r="O10" i="14"/>
  <c r="P10" i="14"/>
  <c r="Q10" i="14"/>
  <c r="S10" i="14"/>
  <c r="W10" i="14"/>
  <c r="Z10" i="14"/>
  <c r="AB10" i="14"/>
  <c r="AD10" i="14"/>
  <c r="AG10" i="14"/>
  <c r="AI10" i="14"/>
  <c r="AK10" i="14"/>
  <c r="AN10" i="14"/>
  <c r="AP10" i="14"/>
  <c r="AU10" i="14"/>
  <c r="AW10" i="14"/>
  <c r="BB10" i="14"/>
  <c r="BD10" i="14"/>
  <c r="BF10" i="14"/>
  <c r="BI10" i="14"/>
  <c r="BM10" i="14"/>
  <c r="BP10" i="14"/>
  <c r="BR10" i="14"/>
  <c r="BT10" i="14"/>
  <c r="BW10" i="14"/>
  <c r="BY10" i="14"/>
  <c r="CA10" i="14"/>
  <c r="CD10" i="14"/>
  <c r="CH10" i="14"/>
  <c r="CK10" i="14"/>
  <c r="CM10" i="14"/>
  <c r="CO10" i="14"/>
  <c r="L11" i="14"/>
  <c r="N11" i="14"/>
  <c r="O11" i="14"/>
  <c r="P11" i="14"/>
  <c r="Q11" i="14"/>
  <c r="S11" i="14"/>
  <c r="U11" i="14"/>
  <c r="W11" i="14"/>
  <c r="Z11" i="14"/>
  <c r="AB11" i="14"/>
  <c r="AD11" i="14"/>
  <c r="AG11" i="14"/>
  <c r="AI11" i="14"/>
  <c r="AK11" i="14"/>
  <c r="AN11" i="14"/>
  <c r="AP11" i="14"/>
  <c r="AU11" i="14"/>
  <c r="AW11" i="14"/>
  <c r="BB11" i="14"/>
  <c r="BD11" i="14"/>
  <c r="BF11" i="14"/>
  <c r="BI11" i="14"/>
  <c r="BM11" i="14"/>
  <c r="BP11" i="14"/>
  <c r="BR11" i="14"/>
  <c r="BT11" i="14"/>
  <c r="BW11" i="14"/>
  <c r="BY11" i="14"/>
  <c r="CA11" i="14"/>
  <c r="CD11" i="14"/>
  <c r="CF11" i="14"/>
  <c r="CH11" i="14"/>
  <c r="CK11" i="14"/>
  <c r="CM11" i="14"/>
  <c r="CO11" i="14"/>
  <c r="L12" i="14"/>
  <c r="N12" i="14"/>
  <c r="O12" i="14"/>
  <c r="P12" i="14"/>
  <c r="Q12" i="14"/>
  <c r="S12" i="14"/>
  <c r="U12" i="14"/>
  <c r="W12" i="14"/>
  <c r="Z12" i="14"/>
  <c r="AB12" i="14"/>
  <c r="AD12" i="14"/>
  <c r="AG12" i="14"/>
  <c r="AI12" i="14"/>
  <c r="AK12" i="14"/>
  <c r="AN12" i="14"/>
  <c r="AU12" i="14"/>
  <c r="AW12" i="14"/>
  <c r="BB12" i="14"/>
  <c r="BD12" i="14"/>
  <c r="BF12" i="14"/>
  <c r="BI12" i="14"/>
  <c r="BK12" i="14"/>
  <c r="BM12" i="14"/>
  <c r="BP12" i="14"/>
  <c r="BR12" i="14"/>
  <c r="BT12" i="14"/>
  <c r="BW12" i="14"/>
  <c r="BY12" i="14"/>
  <c r="CA12" i="14"/>
  <c r="CD12" i="14"/>
  <c r="CF12" i="14"/>
  <c r="CH12" i="14"/>
  <c r="CK12" i="14"/>
  <c r="CM12" i="14"/>
  <c r="CO12" i="14"/>
  <c r="L13" i="14"/>
  <c r="N13" i="14"/>
  <c r="O13" i="14"/>
  <c r="P13" i="14"/>
  <c r="Q13" i="14"/>
  <c r="S13" i="14"/>
  <c r="U13" i="14"/>
  <c r="W13" i="14"/>
  <c r="Z13" i="14"/>
  <c r="AB13" i="14"/>
  <c r="AD13" i="14"/>
  <c r="AG13" i="14"/>
  <c r="AI13" i="14"/>
  <c r="AK13" i="14"/>
  <c r="AN13" i="14"/>
  <c r="AP13" i="14"/>
  <c r="AU13" i="14"/>
  <c r="AW13" i="14"/>
  <c r="BB13" i="14"/>
  <c r="BD13" i="14"/>
  <c r="BF13" i="14"/>
  <c r="BI13" i="14"/>
  <c r="BK13" i="14"/>
  <c r="BM13" i="14"/>
  <c r="BP13" i="14"/>
  <c r="BR13" i="14"/>
  <c r="BT13" i="14"/>
  <c r="BW13" i="14"/>
  <c r="BY13" i="14"/>
  <c r="CA13" i="14"/>
  <c r="CD13" i="14"/>
  <c r="CF13" i="14"/>
  <c r="CH13" i="14"/>
  <c r="CK13" i="14"/>
  <c r="CM13" i="14"/>
  <c r="CO13" i="14"/>
  <c r="L14" i="14"/>
  <c r="N14" i="14"/>
  <c r="O14" i="14"/>
  <c r="P14" i="14"/>
  <c r="Q14" i="14"/>
  <c r="S14" i="14"/>
  <c r="U14" i="14"/>
  <c r="W14" i="14"/>
  <c r="Z14" i="14"/>
  <c r="AB14" i="14"/>
  <c r="AD14" i="14"/>
  <c r="AG14" i="14"/>
  <c r="AI14" i="14"/>
  <c r="AK14" i="14"/>
  <c r="AN14" i="14"/>
  <c r="AP14" i="14"/>
  <c r="AU14" i="14"/>
  <c r="AW14" i="14"/>
  <c r="BB14" i="14"/>
  <c r="BD14" i="14"/>
  <c r="BF14" i="14"/>
  <c r="BI14" i="14"/>
  <c r="BK14" i="14"/>
  <c r="BM14" i="14"/>
  <c r="BP14" i="14"/>
  <c r="BR14" i="14"/>
  <c r="BT14" i="14"/>
  <c r="BW14" i="14"/>
  <c r="BY14" i="14"/>
  <c r="CA14" i="14"/>
  <c r="CD14" i="14"/>
  <c r="CF14" i="14"/>
  <c r="CH14" i="14"/>
  <c r="CK14" i="14"/>
  <c r="CM14" i="14"/>
  <c r="CO14" i="14"/>
  <c r="L15" i="14"/>
  <c r="N15" i="14"/>
  <c r="O15" i="14"/>
  <c r="P15" i="14"/>
  <c r="Q15" i="14"/>
  <c r="S15" i="14"/>
  <c r="U15" i="14"/>
  <c r="W15" i="14"/>
  <c r="Z15" i="14"/>
  <c r="AB15" i="14"/>
  <c r="AD15" i="14"/>
  <c r="AG15" i="14"/>
  <c r="AI15" i="14"/>
  <c r="AK15" i="14"/>
  <c r="AN15" i="14"/>
  <c r="AP15" i="14"/>
  <c r="AU15" i="14"/>
  <c r="AW15" i="14"/>
  <c r="BB15" i="14"/>
  <c r="BD15" i="14"/>
  <c r="BF15" i="14"/>
  <c r="BI15" i="14"/>
  <c r="BK15" i="14"/>
  <c r="BM15" i="14"/>
  <c r="BP15" i="14"/>
  <c r="BR15" i="14"/>
  <c r="BT15" i="14"/>
  <c r="BW15" i="14"/>
  <c r="BY15" i="14"/>
  <c r="CA15" i="14"/>
  <c r="CD15" i="14"/>
  <c r="CF15" i="14"/>
  <c r="CH15" i="14"/>
  <c r="CK15" i="14"/>
  <c r="CM15" i="14"/>
  <c r="CO15" i="14"/>
  <c r="L16" i="14"/>
  <c r="N16" i="14"/>
  <c r="O16" i="14"/>
  <c r="P16" i="14"/>
  <c r="Q16" i="14"/>
  <c r="S16" i="14"/>
  <c r="W16" i="14"/>
  <c r="Z16" i="14"/>
  <c r="AB16" i="14"/>
  <c r="AD16" i="14"/>
  <c r="AG16" i="14"/>
  <c r="AI16" i="14"/>
  <c r="AK16" i="14"/>
  <c r="AN16" i="14"/>
  <c r="AP16" i="14"/>
  <c r="AU16" i="14"/>
  <c r="AW16" i="14"/>
  <c r="BB16" i="14"/>
  <c r="BD16" i="14"/>
  <c r="BF16" i="14"/>
  <c r="BI16" i="14"/>
  <c r="BK16" i="14"/>
  <c r="BM16" i="14"/>
  <c r="BP16" i="14"/>
  <c r="BT16" i="14"/>
  <c r="BW16" i="14"/>
  <c r="BY16" i="14"/>
  <c r="CA16" i="14"/>
  <c r="CD16" i="14"/>
  <c r="CF16" i="14"/>
  <c r="CH16" i="14"/>
  <c r="CK16" i="14"/>
  <c r="CM16" i="14"/>
  <c r="CO16" i="14"/>
  <c r="L17" i="14"/>
  <c r="N17" i="14"/>
  <c r="O17" i="14"/>
  <c r="P17" i="14"/>
  <c r="Q17" i="14"/>
  <c r="S17" i="14"/>
  <c r="U17" i="14"/>
  <c r="V17" i="14"/>
  <c r="W17" i="14"/>
  <c r="X17" i="14"/>
  <c r="Z17" i="14"/>
  <c r="AC17" i="14"/>
  <c r="AD17" i="14"/>
  <c r="AE17" i="14"/>
  <c r="AG17" i="14"/>
  <c r="AI17" i="14"/>
  <c r="AJ17" i="14"/>
  <c r="AK17" i="14"/>
  <c r="AL17" i="14"/>
  <c r="AN17" i="14"/>
  <c r="AP17" i="14"/>
  <c r="AS17" i="14"/>
  <c r="AT17" i="14" s="1"/>
  <c r="AU17" i="14"/>
  <c r="AW17" i="14"/>
  <c r="AZ17" i="14"/>
  <c r="BA17" i="14" s="1"/>
  <c r="BB17" i="14"/>
  <c r="BD17" i="14"/>
  <c r="BE17" i="14"/>
  <c r="BF17" i="14"/>
  <c r="BG17" i="14"/>
  <c r="BI17" i="14"/>
  <c r="BK17" i="14"/>
  <c r="BL17" i="14"/>
  <c r="BM17" i="14"/>
  <c r="BN17" i="14"/>
  <c r="BP17" i="14"/>
  <c r="BR17" i="14"/>
  <c r="BS17" i="14"/>
  <c r="BT17" i="14"/>
  <c r="BU17" i="14"/>
  <c r="BW17" i="14"/>
  <c r="BY17" i="14"/>
  <c r="BZ17" i="14"/>
  <c r="CA17" i="14"/>
  <c r="CB17" i="14"/>
  <c r="CD17" i="14"/>
  <c r="CF17" i="14"/>
  <c r="CG17" i="14"/>
  <c r="CH17" i="14"/>
  <c r="CI17" i="14"/>
  <c r="CK17" i="14"/>
  <c r="CM17" i="14"/>
  <c r="CN17" i="14"/>
  <c r="CO17" i="14"/>
  <c r="CP17" i="14"/>
  <c r="L18" i="14"/>
  <c r="N18" i="14"/>
  <c r="O18" i="14"/>
  <c r="P18" i="14"/>
  <c r="Q18" i="14"/>
  <c r="S18" i="14"/>
  <c r="U18" i="14"/>
  <c r="V18" i="14"/>
  <c r="W18" i="14"/>
  <c r="X18" i="14"/>
  <c r="Z18" i="14"/>
  <c r="AB18" i="14"/>
  <c r="AC18" i="14"/>
  <c r="AD18" i="14"/>
  <c r="AE18" i="14"/>
  <c r="AG18" i="14"/>
  <c r="AI18" i="14"/>
  <c r="AJ18" i="14"/>
  <c r="AK18" i="14"/>
  <c r="AL18" i="14"/>
  <c r="AN18" i="14"/>
  <c r="AP18" i="14"/>
  <c r="AS18" i="14"/>
  <c r="AT18" i="14" s="1"/>
  <c r="AU18" i="14"/>
  <c r="AW18" i="14"/>
  <c r="AZ18" i="14"/>
  <c r="BA18" i="14" s="1"/>
  <c r="BB18" i="14"/>
  <c r="BD18" i="14"/>
  <c r="BE18" i="14"/>
  <c r="BF18" i="14"/>
  <c r="BG18" i="14"/>
  <c r="BI18" i="14"/>
  <c r="BK18" i="14"/>
  <c r="BL18" i="14"/>
  <c r="BM18" i="14"/>
  <c r="BN18" i="14"/>
  <c r="BP18" i="14"/>
  <c r="BR18" i="14"/>
  <c r="BS18" i="14"/>
  <c r="BT18" i="14"/>
  <c r="BU18" i="14"/>
  <c r="BW18" i="14"/>
  <c r="BY18" i="14"/>
  <c r="BZ18" i="14"/>
  <c r="CA18" i="14"/>
  <c r="CB18" i="14"/>
  <c r="CD18" i="14"/>
  <c r="CF18" i="14"/>
  <c r="CG18" i="14"/>
  <c r="CH18" i="14"/>
  <c r="CI18" i="14"/>
  <c r="CK18" i="14"/>
  <c r="CM18" i="14"/>
  <c r="CN18" i="14"/>
  <c r="CO18" i="14"/>
  <c r="CP18" i="14"/>
  <c r="L19" i="14"/>
  <c r="N19" i="14"/>
  <c r="O19" i="14"/>
  <c r="P19" i="14"/>
  <c r="Q19" i="14"/>
  <c r="S19" i="14"/>
  <c r="U19" i="14"/>
  <c r="V19" i="14"/>
  <c r="W19" i="14"/>
  <c r="X19" i="14"/>
  <c r="Z19" i="14"/>
  <c r="AB19" i="14"/>
  <c r="AC19" i="14"/>
  <c r="AD19" i="14"/>
  <c r="AE19" i="14"/>
  <c r="AG19" i="14"/>
  <c r="AI19" i="14"/>
  <c r="AJ19" i="14"/>
  <c r="AK19" i="14"/>
  <c r="AL19" i="14"/>
  <c r="AN19" i="14"/>
  <c r="AP19" i="14"/>
  <c r="AS19" i="14"/>
  <c r="AT19" i="14" s="1"/>
  <c r="AU19" i="14"/>
  <c r="AW19" i="14"/>
  <c r="AZ19" i="14"/>
  <c r="BA19" i="14" s="1"/>
  <c r="BB19" i="14"/>
  <c r="BD19" i="14"/>
  <c r="BE19" i="14"/>
  <c r="BF19" i="14"/>
  <c r="BG19" i="14"/>
  <c r="BI19" i="14"/>
  <c r="BK19" i="14"/>
  <c r="BL19" i="14"/>
  <c r="BM19" i="14"/>
  <c r="BN19" i="14"/>
  <c r="BP19" i="14"/>
  <c r="BR19" i="14"/>
  <c r="BS19" i="14"/>
  <c r="BT19" i="14"/>
  <c r="BU19" i="14"/>
  <c r="BW19" i="14"/>
  <c r="BY19" i="14"/>
  <c r="BZ19" i="14"/>
  <c r="CA19" i="14"/>
  <c r="CB19" i="14"/>
  <c r="CD19" i="14"/>
  <c r="CF19" i="14"/>
  <c r="CG19" i="14"/>
  <c r="CH19" i="14"/>
  <c r="CI19" i="14"/>
  <c r="CK19" i="14"/>
  <c r="CM19" i="14"/>
  <c r="CN19" i="14"/>
  <c r="CO19" i="14"/>
  <c r="CP19" i="14"/>
  <c r="L20" i="14"/>
  <c r="N20" i="14"/>
  <c r="O20" i="14"/>
  <c r="P20" i="14"/>
  <c r="Q20" i="14"/>
  <c r="S20" i="14"/>
  <c r="U20" i="14"/>
  <c r="V20" i="14"/>
  <c r="W20" i="14"/>
  <c r="X20" i="14"/>
  <c r="Z20" i="14"/>
  <c r="AB20" i="14"/>
  <c r="AC20" i="14"/>
  <c r="AD20" i="14"/>
  <c r="AE20" i="14"/>
  <c r="AG20" i="14"/>
  <c r="AI20" i="14"/>
  <c r="AJ20" i="14"/>
  <c r="AK20" i="14"/>
  <c r="AL20" i="14"/>
  <c r="AN20" i="14"/>
  <c r="AS20" i="14"/>
  <c r="AT20" i="14" s="1"/>
  <c r="AU20" i="14"/>
  <c r="AW20" i="14"/>
  <c r="AZ20" i="14"/>
  <c r="BA20" i="14" s="1"/>
  <c r="BB20" i="14"/>
  <c r="BD20" i="14"/>
  <c r="BE20" i="14"/>
  <c r="BF20" i="14"/>
  <c r="BG20" i="14"/>
  <c r="BI20" i="14"/>
  <c r="BK20" i="14"/>
  <c r="BL20" i="14"/>
  <c r="BM20" i="14"/>
  <c r="BN20" i="14"/>
  <c r="BP20" i="14"/>
  <c r="BR20" i="14"/>
  <c r="BS20" i="14"/>
  <c r="BT20" i="14"/>
  <c r="BU20" i="14"/>
  <c r="BW20" i="14"/>
  <c r="BZ20" i="14"/>
  <c r="CA20" i="14"/>
  <c r="CB20" i="14"/>
  <c r="CD20" i="14"/>
  <c r="CF20" i="14"/>
  <c r="CG20" i="14"/>
  <c r="CH20" i="14"/>
  <c r="CI20" i="14"/>
  <c r="CK20" i="14"/>
  <c r="CM20" i="14"/>
  <c r="CN20" i="14"/>
  <c r="CO20" i="14"/>
  <c r="CP20" i="14"/>
  <c r="L21" i="14"/>
  <c r="N21" i="14"/>
  <c r="O21" i="14"/>
  <c r="P21" i="14"/>
  <c r="Q21" i="14"/>
  <c r="S21" i="14"/>
  <c r="U21" i="14"/>
  <c r="V21" i="14"/>
  <c r="W21" i="14"/>
  <c r="X21" i="14"/>
  <c r="Z21" i="14"/>
  <c r="AB21" i="14"/>
  <c r="AC21" i="14"/>
  <c r="AD21" i="14"/>
  <c r="AE21" i="14"/>
  <c r="AG21" i="14"/>
  <c r="AI21" i="14"/>
  <c r="AJ21" i="14"/>
  <c r="AK21" i="14"/>
  <c r="AL21" i="14"/>
  <c r="AN21" i="14"/>
  <c r="AP21" i="14"/>
  <c r="AS21" i="14"/>
  <c r="AU21" i="14"/>
  <c r="AW21" i="14"/>
  <c r="AZ21" i="14"/>
  <c r="BB21" i="14"/>
  <c r="BD21" i="14"/>
  <c r="BE21" i="14"/>
  <c r="BF21" i="14"/>
  <c r="BG21" i="14"/>
  <c r="BI21" i="14"/>
  <c r="BK21" i="14"/>
  <c r="BL21" i="14"/>
  <c r="BM21" i="14"/>
  <c r="BN21" i="14"/>
  <c r="BP21" i="14"/>
  <c r="BR21" i="14"/>
  <c r="BS21" i="14"/>
  <c r="BT21" i="14"/>
  <c r="BU21" i="14"/>
  <c r="BW21" i="14"/>
  <c r="BY21" i="14"/>
  <c r="BZ21" i="14"/>
  <c r="CA21" i="14"/>
  <c r="CB21" i="14"/>
  <c r="CD21" i="14"/>
  <c r="CF21" i="14"/>
  <c r="CG21" i="14"/>
  <c r="CH21" i="14"/>
  <c r="CI21" i="14"/>
  <c r="CK21" i="14"/>
  <c r="CM21" i="14"/>
  <c r="CN21" i="14"/>
  <c r="CO21" i="14"/>
  <c r="CP21" i="14"/>
  <c r="L22" i="14"/>
  <c r="N22" i="14"/>
  <c r="O22" i="14"/>
  <c r="P22" i="14"/>
  <c r="Q22" i="14"/>
  <c r="S22" i="14"/>
  <c r="U22" i="14"/>
  <c r="V22" i="14"/>
  <c r="W22" i="14"/>
  <c r="X22" i="14"/>
  <c r="Z22" i="14"/>
  <c r="AB22" i="14"/>
  <c r="AC22" i="14"/>
  <c r="AD22" i="14"/>
  <c r="AE22" i="14"/>
  <c r="AG22" i="14"/>
  <c r="AI22" i="14"/>
  <c r="AJ22" i="14"/>
  <c r="AK22" i="14"/>
  <c r="AL22" i="14"/>
  <c r="AN22" i="14"/>
  <c r="AP22" i="14"/>
  <c r="AS22" i="14"/>
  <c r="AT22" i="14" s="1"/>
  <c r="AU22" i="14"/>
  <c r="AW22" i="14"/>
  <c r="AZ22" i="14"/>
  <c r="BA22" i="14" s="1"/>
  <c r="BB22" i="14"/>
  <c r="BD22" i="14"/>
  <c r="BE22" i="14"/>
  <c r="BF22" i="14"/>
  <c r="BG22" i="14"/>
  <c r="BI22" i="14"/>
  <c r="BK22" i="14"/>
  <c r="BL22" i="14"/>
  <c r="BM22" i="14"/>
  <c r="BN22" i="14"/>
  <c r="BP22" i="14"/>
  <c r="BR22" i="14"/>
  <c r="BS22" i="14"/>
  <c r="BT22" i="14"/>
  <c r="BU22" i="14"/>
  <c r="BW22" i="14"/>
  <c r="BY22" i="14"/>
  <c r="BZ22" i="14"/>
  <c r="CA22" i="14"/>
  <c r="CB22" i="14"/>
  <c r="CD22" i="14"/>
  <c r="CF22" i="14"/>
  <c r="CG22" i="14"/>
  <c r="CH22" i="14"/>
  <c r="CI22" i="14"/>
  <c r="CK22" i="14"/>
  <c r="CM22" i="14"/>
  <c r="CN22" i="14"/>
  <c r="CO22" i="14"/>
  <c r="CP22" i="14"/>
  <c r="L23" i="14"/>
  <c r="N23" i="14"/>
  <c r="O23" i="14"/>
  <c r="P23" i="14"/>
  <c r="Q23" i="14"/>
  <c r="S23" i="14"/>
  <c r="U23" i="14"/>
  <c r="V23" i="14"/>
  <c r="W23" i="14"/>
  <c r="X23" i="14"/>
  <c r="Z23" i="14"/>
  <c r="AB23" i="14"/>
  <c r="AC23" i="14"/>
  <c r="AD23" i="14"/>
  <c r="AE23" i="14"/>
  <c r="AG23" i="14"/>
  <c r="AI23" i="14"/>
  <c r="AJ23" i="14"/>
  <c r="AK23" i="14"/>
  <c r="AL23" i="14"/>
  <c r="AN23" i="14"/>
  <c r="AP23" i="14"/>
  <c r="AS23" i="14"/>
  <c r="AU23" i="14"/>
  <c r="AW23" i="14"/>
  <c r="AZ23" i="14"/>
  <c r="BB23" i="14"/>
  <c r="BD23" i="14"/>
  <c r="BE23" i="14"/>
  <c r="BF23" i="14"/>
  <c r="BG23" i="14"/>
  <c r="BI23" i="14"/>
  <c r="BK23" i="14"/>
  <c r="BL23" i="14"/>
  <c r="BM23" i="14"/>
  <c r="BN23" i="14"/>
  <c r="BP23" i="14"/>
  <c r="BR23" i="14"/>
  <c r="BS23" i="14"/>
  <c r="BT23" i="14"/>
  <c r="BU23" i="14"/>
  <c r="BW23" i="14"/>
  <c r="BY23" i="14"/>
  <c r="BZ23" i="14"/>
  <c r="CA23" i="14"/>
  <c r="CB23" i="14"/>
  <c r="CD23" i="14"/>
  <c r="CF23" i="14"/>
  <c r="CG23" i="14"/>
  <c r="CH23" i="14"/>
  <c r="CI23" i="14"/>
  <c r="CK23" i="14"/>
  <c r="CM23" i="14"/>
  <c r="CN23" i="14"/>
  <c r="CO23" i="14"/>
  <c r="CP23" i="14"/>
  <c r="L24" i="14"/>
  <c r="N24" i="14"/>
  <c r="O24" i="14"/>
  <c r="P24" i="14"/>
  <c r="Q24" i="14"/>
  <c r="S24" i="14"/>
  <c r="V24" i="14"/>
  <c r="W24" i="14"/>
  <c r="X24" i="14"/>
  <c r="Z24" i="14"/>
  <c r="AB24" i="14"/>
  <c r="AC24" i="14"/>
  <c r="AD24" i="14"/>
  <c r="AE24" i="14"/>
  <c r="AG24" i="14"/>
  <c r="AI24" i="14"/>
  <c r="AJ24" i="14"/>
  <c r="AK24" i="14"/>
  <c r="AL24" i="14"/>
  <c r="AN24" i="14"/>
  <c r="AP24" i="14"/>
  <c r="AS24" i="14"/>
  <c r="AT24" i="14" s="1"/>
  <c r="AU24" i="14"/>
  <c r="AW24" i="14"/>
  <c r="AZ24" i="14"/>
  <c r="BA24" i="14" s="1"/>
  <c r="BB24" i="14"/>
  <c r="BD24" i="14"/>
  <c r="BE24" i="14"/>
  <c r="BF24" i="14"/>
  <c r="BG24" i="14"/>
  <c r="BI24" i="14"/>
  <c r="BK24" i="14"/>
  <c r="BL24" i="14"/>
  <c r="BM24" i="14"/>
  <c r="BN24" i="14"/>
  <c r="BP24" i="14"/>
  <c r="BS24" i="14"/>
  <c r="BT24" i="14"/>
  <c r="BU24" i="14"/>
  <c r="BW24" i="14"/>
  <c r="BY24" i="14"/>
  <c r="BZ24" i="14"/>
  <c r="CA24" i="14"/>
  <c r="CB24" i="14"/>
  <c r="CD24" i="14"/>
  <c r="CF24" i="14"/>
  <c r="CG24" i="14"/>
  <c r="CH24" i="14"/>
  <c r="CI24" i="14"/>
  <c r="CK24" i="14"/>
  <c r="CM24" i="14"/>
  <c r="CN24" i="14"/>
  <c r="CO24" i="14"/>
  <c r="CP24" i="14"/>
  <c r="L25" i="14"/>
  <c r="N25" i="14"/>
  <c r="O25" i="14"/>
  <c r="P25" i="14"/>
  <c r="Q25" i="14"/>
  <c r="S25" i="14"/>
  <c r="U25" i="14"/>
  <c r="V25" i="14"/>
  <c r="W25" i="14"/>
  <c r="X25" i="14"/>
  <c r="Z25" i="14"/>
  <c r="AC25" i="14"/>
  <c r="AD25" i="14"/>
  <c r="AE25" i="14"/>
  <c r="AG25" i="14"/>
  <c r="AI25" i="14"/>
  <c r="AJ25" i="14"/>
  <c r="AK25" i="14"/>
  <c r="AL25" i="14"/>
  <c r="AN25" i="14"/>
  <c r="AP25" i="14"/>
  <c r="AS25" i="14"/>
  <c r="AT25" i="14" s="1"/>
  <c r="AU25" i="14"/>
  <c r="AW25" i="14"/>
  <c r="AZ25" i="14"/>
  <c r="BA25" i="14" s="1"/>
  <c r="BB25" i="14"/>
  <c r="BD25" i="14"/>
  <c r="BE25" i="14"/>
  <c r="BF25" i="14"/>
  <c r="BG25" i="14"/>
  <c r="BI25" i="14"/>
  <c r="BK25" i="14"/>
  <c r="BL25" i="14"/>
  <c r="BM25" i="14"/>
  <c r="BN25" i="14"/>
  <c r="BP25" i="14"/>
  <c r="BR25" i="14"/>
  <c r="BS25" i="14"/>
  <c r="BT25" i="14"/>
  <c r="BU25" i="14"/>
  <c r="BW25" i="14"/>
  <c r="BY25" i="14"/>
  <c r="BZ25" i="14"/>
  <c r="CA25" i="14"/>
  <c r="CB25" i="14"/>
  <c r="CD25" i="14"/>
  <c r="CF25" i="14"/>
  <c r="CG25" i="14"/>
  <c r="CH25" i="14"/>
  <c r="CI25" i="14"/>
  <c r="CK25" i="14"/>
  <c r="CM25" i="14"/>
  <c r="CN25" i="14"/>
  <c r="CO25" i="14"/>
  <c r="CP25" i="14"/>
  <c r="L26" i="14"/>
  <c r="N26" i="14"/>
  <c r="O26" i="14"/>
  <c r="P26" i="14"/>
  <c r="Q26" i="14"/>
  <c r="S26" i="14"/>
  <c r="U26" i="14"/>
  <c r="V26" i="14"/>
  <c r="W26" i="14"/>
  <c r="X26" i="14"/>
  <c r="Z26" i="14"/>
  <c r="AB26" i="14"/>
  <c r="AC26" i="14"/>
  <c r="AD26" i="14"/>
  <c r="AE26" i="14"/>
  <c r="AG26" i="14"/>
  <c r="AI26" i="14"/>
  <c r="AJ26" i="14"/>
  <c r="AK26" i="14"/>
  <c r="AL26" i="14"/>
  <c r="AN26" i="14"/>
  <c r="AP26" i="14"/>
  <c r="AS26" i="14"/>
  <c r="AT26" i="14" s="1"/>
  <c r="AU26" i="14"/>
  <c r="AW26" i="14"/>
  <c r="AZ26" i="14"/>
  <c r="BA26" i="14" s="1"/>
  <c r="BB26" i="14"/>
  <c r="BD26" i="14"/>
  <c r="BE26" i="14"/>
  <c r="BF26" i="14"/>
  <c r="BG26" i="14"/>
  <c r="BI26" i="14"/>
  <c r="BK26" i="14"/>
  <c r="BL26" i="14"/>
  <c r="BM26" i="14"/>
  <c r="BN26" i="14"/>
  <c r="BP26" i="14"/>
  <c r="BR26" i="14"/>
  <c r="BS26" i="14"/>
  <c r="BT26" i="14"/>
  <c r="BU26" i="14"/>
  <c r="BW26" i="14"/>
  <c r="BY26" i="14"/>
  <c r="BZ26" i="14"/>
  <c r="CA26" i="14"/>
  <c r="CB26" i="14"/>
  <c r="CD26" i="14"/>
  <c r="CG26" i="14"/>
  <c r="CH26" i="14"/>
  <c r="CI26" i="14"/>
  <c r="CK26" i="14"/>
  <c r="CM26" i="14"/>
  <c r="CN26" i="14"/>
  <c r="CO26" i="14"/>
  <c r="CP26" i="14"/>
  <c r="L27" i="14"/>
  <c r="N27" i="14"/>
  <c r="O27" i="14"/>
  <c r="P27" i="14"/>
  <c r="Q27" i="14"/>
  <c r="S27" i="14"/>
  <c r="U27" i="14"/>
  <c r="V27" i="14"/>
  <c r="W27" i="14"/>
  <c r="X27" i="14"/>
  <c r="Z27" i="14"/>
  <c r="AB27" i="14"/>
  <c r="AC27" i="14"/>
  <c r="AD27" i="14"/>
  <c r="AE27" i="14"/>
  <c r="AG27" i="14"/>
  <c r="AI27" i="14"/>
  <c r="AJ27" i="14"/>
  <c r="AK27" i="14"/>
  <c r="AL27" i="14"/>
  <c r="AN27" i="14"/>
  <c r="AP27" i="14"/>
  <c r="AS27" i="14"/>
  <c r="AT27" i="14" s="1"/>
  <c r="AU27" i="14"/>
  <c r="AW27" i="14"/>
  <c r="AZ27" i="14"/>
  <c r="BA27" i="14" s="1"/>
  <c r="BB27" i="14"/>
  <c r="BD27" i="14"/>
  <c r="BE27" i="14"/>
  <c r="BF27" i="14"/>
  <c r="BG27" i="14"/>
  <c r="BI27" i="14"/>
  <c r="BK27" i="14"/>
  <c r="BL27" i="14"/>
  <c r="BM27" i="14"/>
  <c r="BN27" i="14"/>
  <c r="BP27" i="14"/>
  <c r="BR27" i="14"/>
  <c r="BS27" i="14"/>
  <c r="BT27" i="14"/>
  <c r="BU27" i="14"/>
  <c r="BW27" i="14"/>
  <c r="BY27" i="14"/>
  <c r="BZ27" i="14"/>
  <c r="CA27" i="14"/>
  <c r="CB27" i="14"/>
  <c r="CD27" i="14"/>
  <c r="CF27" i="14"/>
  <c r="CG27" i="14"/>
  <c r="CH27" i="14"/>
  <c r="CI27" i="14"/>
  <c r="CK27" i="14"/>
  <c r="CM27" i="14"/>
  <c r="CN27" i="14"/>
  <c r="CO27" i="14"/>
  <c r="CP27" i="14"/>
  <c r="L28" i="14"/>
  <c r="N28" i="14"/>
  <c r="O28" i="14"/>
  <c r="P28" i="14"/>
  <c r="Q28" i="14"/>
  <c r="S28" i="14"/>
  <c r="U28" i="14"/>
  <c r="V28" i="14"/>
  <c r="W28" i="14"/>
  <c r="X28" i="14"/>
  <c r="Z28" i="14"/>
  <c r="AB28" i="14"/>
  <c r="AC28" i="14"/>
  <c r="AD28" i="14"/>
  <c r="AE28" i="14"/>
  <c r="AG28" i="14"/>
  <c r="AI28" i="14"/>
  <c r="AJ28" i="14"/>
  <c r="AK28" i="14"/>
  <c r="AL28" i="14"/>
  <c r="AN28" i="14"/>
  <c r="AS28" i="14"/>
  <c r="AT28" i="14" s="1"/>
  <c r="AU28" i="14"/>
  <c r="AW28" i="14"/>
  <c r="AZ28" i="14"/>
  <c r="BA28" i="14" s="1"/>
  <c r="BB28" i="14"/>
  <c r="BD28" i="14"/>
  <c r="BE28" i="14"/>
  <c r="BF28" i="14"/>
  <c r="BG28" i="14"/>
  <c r="BI28" i="14"/>
  <c r="BK28" i="14"/>
  <c r="BL28" i="14"/>
  <c r="BM28" i="14"/>
  <c r="BN28" i="14"/>
  <c r="BP28" i="14"/>
  <c r="BR28" i="14"/>
  <c r="BS28" i="14"/>
  <c r="BT28" i="14"/>
  <c r="BU28" i="14"/>
  <c r="BW28" i="14"/>
  <c r="BY28" i="14"/>
  <c r="BZ28" i="14"/>
  <c r="CA28" i="14"/>
  <c r="CB28" i="14"/>
  <c r="CD28" i="14"/>
  <c r="CF28" i="14"/>
  <c r="CG28" i="14"/>
  <c r="CH28" i="14"/>
  <c r="CI28" i="14"/>
  <c r="CK28" i="14"/>
  <c r="CM28" i="14"/>
  <c r="CN28" i="14"/>
  <c r="CO28" i="14"/>
  <c r="CP28" i="14"/>
  <c r="L29" i="14"/>
  <c r="N29" i="14"/>
  <c r="O29" i="14"/>
  <c r="P29" i="14"/>
  <c r="Q29" i="14"/>
  <c r="S29" i="14"/>
  <c r="U29" i="14"/>
  <c r="V29" i="14"/>
  <c r="W29" i="14"/>
  <c r="X29" i="14"/>
  <c r="Z29" i="14"/>
  <c r="AB29" i="14"/>
  <c r="AC29" i="14"/>
  <c r="AD29" i="14"/>
  <c r="AE29" i="14"/>
  <c r="AG29" i="14"/>
  <c r="AI29" i="14"/>
  <c r="AJ29" i="14"/>
  <c r="AK29" i="14"/>
  <c r="AL29" i="14"/>
  <c r="AN29" i="14"/>
  <c r="AP29" i="14"/>
  <c r="AS29" i="14"/>
  <c r="AT29" i="14" s="1"/>
  <c r="AU29" i="14"/>
  <c r="AW29" i="14"/>
  <c r="AZ29" i="14"/>
  <c r="BA29" i="14" s="1"/>
  <c r="BB29" i="14"/>
  <c r="BD29" i="14"/>
  <c r="BE29" i="14"/>
  <c r="BF29" i="14"/>
  <c r="BG29" i="14"/>
  <c r="BI29" i="14"/>
  <c r="BK29" i="14"/>
  <c r="BL29" i="14"/>
  <c r="BM29" i="14"/>
  <c r="BN29" i="14"/>
  <c r="BP29" i="14"/>
  <c r="BR29" i="14"/>
  <c r="BS29" i="14"/>
  <c r="BT29" i="14"/>
  <c r="BU29" i="14"/>
  <c r="BW29" i="14"/>
  <c r="BY29" i="14"/>
  <c r="BZ29" i="14"/>
  <c r="CA29" i="14"/>
  <c r="CB29" i="14"/>
  <c r="CD29" i="14"/>
  <c r="CF29" i="14"/>
  <c r="CG29" i="14"/>
  <c r="CH29" i="14"/>
  <c r="CI29" i="14"/>
  <c r="CK29" i="14"/>
  <c r="CM29" i="14"/>
  <c r="CN29" i="14"/>
  <c r="CO29" i="14"/>
  <c r="CP29" i="14"/>
  <c r="L30" i="14"/>
  <c r="N30" i="14"/>
  <c r="O30" i="14"/>
  <c r="P30" i="14"/>
  <c r="Q30" i="14"/>
  <c r="S30" i="14"/>
  <c r="U30" i="14"/>
  <c r="W30" i="14"/>
  <c r="Z30" i="14"/>
  <c r="AB30" i="14"/>
  <c r="AD30" i="14"/>
  <c r="AG30" i="14"/>
  <c r="AI30" i="14"/>
  <c r="AK30" i="14"/>
  <c r="AN30" i="14"/>
  <c r="AP30" i="14"/>
  <c r="AU30" i="14"/>
  <c r="AW30" i="14"/>
  <c r="BB30" i="14"/>
  <c r="BD30" i="14"/>
  <c r="BF30" i="14"/>
  <c r="BI30" i="14"/>
  <c r="BK30" i="14"/>
  <c r="BM30" i="14"/>
  <c r="BP30" i="14"/>
  <c r="BR30" i="14"/>
  <c r="BT30" i="14"/>
  <c r="BW30" i="14"/>
  <c r="BY30" i="14"/>
  <c r="CA30" i="14"/>
  <c r="CD30" i="14"/>
  <c r="CF30" i="14"/>
  <c r="CH30" i="14"/>
  <c r="CK30" i="14"/>
  <c r="CM30" i="14"/>
  <c r="CO30" i="14"/>
  <c r="L31" i="14"/>
  <c r="N31" i="14"/>
  <c r="O31" i="14"/>
  <c r="P31" i="14"/>
  <c r="Q31" i="14"/>
  <c r="S31" i="14"/>
  <c r="U31" i="14"/>
  <c r="W31" i="14"/>
  <c r="Z31" i="14"/>
  <c r="AB31" i="14"/>
  <c r="AD31" i="14"/>
  <c r="AG31" i="14"/>
  <c r="AI31" i="14"/>
  <c r="AK31" i="14"/>
  <c r="AN31" i="14"/>
  <c r="AP31" i="14"/>
  <c r="AU31" i="14"/>
  <c r="AW31" i="14"/>
  <c r="BB31" i="14"/>
  <c r="BD31" i="14"/>
  <c r="BF31" i="14"/>
  <c r="BI31" i="14"/>
  <c r="BK31" i="14"/>
  <c r="BM31" i="14"/>
  <c r="BP31" i="14"/>
  <c r="BR31" i="14"/>
  <c r="BT31" i="14"/>
  <c r="BW31" i="14"/>
  <c r="BY31" i="14"/>
  <c r="CA31" i="14"/>
  <c r="CD31" i="14"/>
  <c r="CF31" i="14"/>
  <c r="CH31" i="14"/>
  <c r="CK31" i="14"/>
  <c r="CM31" i="14"/>
  <c r="CO31" i="14"/>
  <c r="L32" i="14"/>
  <c r="N32" i="14"/>
  <c r="O32" i="14"/>
  <c r="P32" i="14"/>
  <c r="Q32" i="14"/>
  <c r="S32" i="14"/>
  <c r="V32" i="14"/>
  <c r="W32" i="14"/>
  <c r="X32" i="14"/>
  <c r="Z32" i="14"/>
  <c r="AB32" i="14"/>
  <c r="AC32" i="14"/>
  <c r="AD32" i="14"/>
  <c r="AE32" i="14"/>
  <c r="AG32" i="14"/>
  <c r="AI32" i="14"/>
  <c r="AJ32" i="14"/>
  <c r="AK32" i="14"/>
  <c r="AL32" i="14"/>
  <c r="AN32" i="14"/>
  <c r="AP32" i="14"/>
  <c r="AU32" i="14"/>
  <c r="AW32" i="14"/>
  <c r="BB32" i="14"/>
  <c r="BD32" i="14"/>
  <c r="BF32" i="14"/>
  <c r="BI32" i="14"/>
  <c r="BK32" i="14"/>
  <c r="BM32" i="14"/>
  <c r="BP32" i="14"/>
  <c r="BT32" i="14"/>
  <c r="BW32" i="14"/>
  <c r="BY32" i="14"/>
  <c r="CA32" i="14"/>
  <c r="CD32" i="14"/>
  <c r="CF32" i="14"/>
  <c r="CH32" i="14"/>
  <c r="CK32" i="14"/>
  <c r="CM32" i="14"/>
  <c r="CO32" i="14"/>
  <c r="L33" i="14"/>
  <c r="N33" i="14"/>
  <c r="O33" i="14"/>
  <c r="P33" i="14"/>
  <c r="Q33" i="14"/>
  <c r="S33" i="14"/>
  <c r="U33" i="14"/>
  <c r="V33" i="14"/>
  <c r="W33" i="14"/>
  <c r="X33" i="14"/>
  <c r="Z33" i="14"/>
  <c r="AC33" i="14"/>
  <c r="AD33" i="14"/>
  <c r="AE33" i="14"/>
  <c r="AG33" i="14"/>
  <c r="AI33" i="14"/>
  <c r="AJ33" i="14"/>
  <c r="AK33" i="14"/>
  <c r="AL33" i="14"/>
  <c r="AN33" i="14"/>
  <c r="AP33" i="14"/>
  <c r="AU33" i="14"/>
  <c r="AW33" i="14"/>
  <c r="BB33" i="14"/>
  <c r="BD33" i="14"/>
  <c r="BF33" i="14"/>
  <c r="BI33" i="14"/>
  <c r="BK33" i="14"/>
  <c r="BM33" i="14"/>
  <c r="BP33" i="14"/>
  <c r="BR33" i="14"/>
  <c r="BT33" i="14"/>
  <c r="BW33" i="14"/>
  <c r="BY33" i="14"/>
  <c r="CA33" i="14"/>
  <c r="CD33" i="14"/>
  <c r="CF33" i="14"/>
  <c r="CH33" i="14"/>
  <c r="CK33" i="14"/>
  <c r="CM33" i="14"/>
  <c r="CO33" i="14"/>
  <c r="L34" i="14"/>
  <c r="N34" i="14"/>
  <c r="O34" i="14"/>
  <c r="P34" i="14"/>
  <c r="Q34" i="14"/>
  <c r="S34" i="14"/>
  <c r="U34" i="14"/>
  <c r="W34" i="14"/>
  <c r="Z34" i="14"/>
  <c r="AB34" i="14"/>
  <c r="AD34" i="14"/>
  <c r="AG34" i="14"/>
  <c r="AI34" i="14"/>
  <c r="AK34" i="14"/>
  <c r="AN34" i="14"/>
  <c r="AP34" i="14"/>
  <c r="AU34" i="14"/>
  <c r="AW34" i="14"/>
  <c r="BB34" i="14"/>
  <c r="BD34" i="14"/>
  <c r="BF34" i="14"/>
  <c r="BI34" i="14"/>
  <c r="BK34" i="14"/>
  <c r="BM34" i="14"/>
  <c r="BP34" i="14"/>
  <c r="BR34" i="14"/>
  <c r="BT34" i="14"/>
  <c r="BW34" i="14"/>
  <c r="BY34" i="14"/>
  <c r="CA34" i="14"/>
  <c r="CD34" i="14"/>
  <c r="CH34" i="14"/>
  <c r="CK34" i="14"/>
  <c r="CM34" i="14"/>
  <c r="CO34" i="14"/>
  <c r="L35" i="14"/>
  <c r="N35" i="14"/>
  <c r="O35" i="14"/>
  <c r="P35" i="14"/>
  <c r="Q35" i="14"/>
  <c r="S35" i="14"/>
  <c r="U35" i="14"/>
  <c r="W35" i="14"/>
  <c r="Z35" i="14"/>
  <c r="AB35" i="14"/>
  <c r="AD35" i="14"/>
  <c r="AG35" i="14"/>
  <c r="AI35" i="14"/>
  <c r="AK35" i="14"/>
  <c r="AN35" i="14"/>
  <c r="AP35" i="14"/>
  <c r="AU35" i="14"/>
  <c r="AW35" i="14"/>
  <c r="BB35" i="14"/>
  <c r="BD35" i="14"/>
  <c r="BF35" i="14"/>
  <c r="BI35" i="14"/>
  <c r="BK35" i="14"/>
  <c r="BM35" i="14"/>
  <c r="BP35" i="14"/>
  <c r="BR35" i="14"/>
  <c r="BT35" i="14"/>
  <c r="BW35" i="14"/>
  <c r="BY35" i="14"/>
  <c r="CA35" i="14"/>
  <c r="CD35" i="14"/>
  <c r="CF35" i="14"/>
  <c r="CH35" i="14"/>
  <c r="CK35" i="14"/>
  <c r="CM35" i="14"/>
  <c r="CO35" i="14"/>
  <c r="L36" i="14"/>
  <c r="N36" i="14"/>
  <c r="O36" i="14"/>
  <c r="P36" i="14"/>
  <c r="Q36" i="14"/>
  <c r="S36" i="14"/>
  <c r="U36" i="14"/>
  <c r="W36" i="14"/>
  <c r="Z36" i="14"/>
  <c r="AB36" i="14"/>
  <c r="AD36" i="14"/>
  <c r="AG36" i="14"/>
  <c r="AI36" i="14"/>
  <c r="AK36" i="14"/>
  <c r="AN36" i="14"/>
  <c r="AU36" i="14"/>
  <c r="AW36" i="14"/>
  <c r="BB36" i="14"/>
  <c r="BD36" i="14"/>
  <c r="BF36" i="14"/>
  <c r="BI36" i="14"/>
  <c r="BK36" i="14"/>
  <c r="BM36" i="14"/>
  <c r="BP36" i="14"/>
  <c r="BR36" i="14"/>
  <c r="BT36" i="14"/>
  <c r="BW36" i="14"/>
  <c r="CA36" i="14"/>
  <c r="CD36" i="14"/>
  <c r="CF36" i="14"/>
  <c r="CH36" i="14"/>
  <c r="CK36" i="14"/>
  <c r="CM36" i="14"/>
  <c r="CO36" i="14"/>
  <c r="L37" i="14"/>
  <c r="N37" i="14"/>
  <c r="O37" i="14"/>
  <c r="P37" i="14"/>
  <c r="Q37" i="14"/>
  <c r="S37" i="14"/>
  <c r="U37" i="14"/>
  <c r="W37" i="14"/>
  <c r="Z37" i="14"/>
  <c r="AB37" i="14"/>
  <c r="AD37" i="14"/>
  <c r="AG37" i="14"/>
  <c r="AI37" i="14"/>
  <c r="AK37" i="14"/>
  <c r="AN37" i="14"/>
  <c r="AP37" i="14"/>
  <c r="AU37" i="14"/>
  <c r="AW37" i="14"/>
  <c r="BB37" i="14"/>
  <c r="BD37" i="14"/>
  <c r="BF37" i="14"/>
  <c r="BI37" i="14"/>
  <c r="BK37" i="14"/>
  <c r="BM37" i="14"/>
  <c r="BP37" i="14"/>
  <c r="BR37" i="14"/>
  <c r="BT37" i="14"/>
  <c r="BW37" i="14"/>
  <c r="BY37" i="14"/>
  <c r="CA37" i="14"/>
  <c r="CD37" i="14"/>
  <c r="CF37" i="14"/>
  <c r="CH37" i="14"/>
  <c r="CK37" i="14"/>
  <c r="CM37" i="14"/>
  <c r="CO37" i="14"/>
  <c r="L38" i="14"/>
  <c r="N38" i="14"/>
  <c r="O38" i="14"/>
  <c r="P38" i="14"/>
  <c r="Q38" i="14"/>
  <c r="S38" i="14"/>
  <c r="U38" i="14"/>
  <c r="W38" i="14"/>
  <c r="Z38" i="14"/>
  <c r="AB38" i="14"/>
  <c r="AD38" i="14"/>
  <c r="AG38" i="14"/>
  <c r="AI38" i="14"/>
  <c r="AK38" i="14"/>
  <c r="AN38" i="14"/>
  <c r="AP38" i="14"/>
  <c r="AU38" i="14"/>
  <c r="AW38" i="14"/>
  <c r="BB38" i="14"/>
  <c r="BD38" i="14"/>
  <c r="BF38" i="14"/>
  <c r="BI38" i="14"/>
  <c r="BK38" i="14"/>
  <c r="BM38" i="14"/>
  <c r="BP38" i="14"/>
  <c r="BR38" i="14"/>
  <c r="BT38" i="14"/>
  <c r="BW38" i="14"/>
  <c r="BY38" i="14"/>
  <c r="CA38" i="14"/>
  <c r="CD38" i="14"/>
  <c r="CF38" i="14"/>
  <c r="CH38" i="14"/>
  <c r="CK38" i="14"/>
  <c r="CM38" i="14"/>
  <c r="CO38" i="14"/>
  <c r="L39" i="14"/>
  <c r="N39" i="14"/>
  <c r="O39" i="14"/>
  <c r="P39" i="14"/>
  <c r="Q39" i="14"/>
  <c r="S39" i="14"/>
  <c r="U39" i="14"/>
  <c r="W39" i="14"/>
  <c r="Z39" i="14"/>
  <c r="AB39" i="14"/>
  <c r="AD39" i="14"/>
  <c r="AG39" i="14"/>
  <c r="AI39" i="14"/>
  <c r="AK39" i="14"/>
  <c r="AN39" i="14"/>
  <c r="AP39" i="14"/>
  <c r="AU39" i="14"/>
  <c r="AW39" i="14"/>
  <c r="BB39" i="14"/>
  <c r="BD39" i="14"/>
  <c r="BF39" i="14"/>
  <c r="BI39" i="14"/>
  <c r="BK39" i="14"/>
  <c r="BM39" i="14"/>
  <c r="BP39" i="14"/>
  <c r="BR39" i="14"/>
  <c r="BT39" i="14"/>
  <c r="BW39" i="14"/>
  <c r="BY39" i="14"/>
  <c r="CA39" i="14"/>
  <c r="CD39" i="14"/>
  <c r="CF39" i="14"/>
  <c r="CH39" i="14"/>
  <c r="CK39" i="14"/>
  <c r="CM39" i="14"/>
  <c r="CO39" i="14"/>
  <c r="L40" i="14"/>
  <c r="N40" i="14"/>
  <c r="O40" i="14"/>
  <c r="P40" i="14"/>
  <c r="Q40" i="14"/>
  <c r="S40" i="14"/>
  <c r="W40" i="14"/>
  <c r="Z40" i="14"/>
  <c r="AB40" i="14"/>
  <c r="AD40" i="14"/>
  <c r="AG40" i="14"/>
  <c r="AI40" i="14"/>
  <c r="AK40" i="14"/>
  <c r="AN40" i="14"/>
  <c r="AP40" i="14"/>
  <c r="AU40" i="14"/>
  <c r="AW40" i="14"/>
  <c r="BB40" i="14"/>
  <c r="BD40" i="14"/>
  <c r="BF40" i="14"/>
  <c r="BI40" i="14"/>
  <c r="BK40" i="14"/>
  <c r="BM40" i="14"/>
  <c r="BP40" i="14"/>
  <c r="BT40" i="14"/>
  <c r="BW40" i="14"/>
  <c r="BY40" i="14"/>
  <c r="CA40" i="14"/>
  <c r="CD40" i="14"/>
  <c r="CF40" i="14"/>
  <c r="CH40" i="14"/>
  <c r="CK40" i="14"/>
  <c r="CM40" i="14"/>
  <c r="CO40" i="14"/>
  <c r="L41" i="14"/>
  <c r="N41" i="14"/>
  <c r="O41" i="14"/>
  <c r="P41" i="14"/>
  <c r="Q41" i="14"/>
  <c r="S41" i="14"/>
  <c r="U41" i="14"/>
  <c r="V41" i="14"/>
  <c r="W41" i="14"/>
  <c r="X41" i="14"/>
  <c r="Z41" i="14"/>
  <c r="AC41" i="14"/>
  <c r="AD41" i="14"/>
  <c r="AE41" i="14"/>
  <c r="AG41" i="14"/>
  <c r="AI41" i="14"/>
  <c r="AJ41" i="14"/>
  <c r="AK41" i="14"/>
  <c r="AL41" i="14"/>
  <c r="AN41" i="14"/>
  <c r="AP41" i="14"/>
  <c r="AS41" i="14"/>
  <c r="AT41" i="14" s="1"/>
  <c r="AU41" i="14"/>
  <c r="AW41" i="14"/>
  <c r="AZ41" i="14"/>
  <c r="BA41" i="14" s="1"/>
  <c r="BB41" i="14"/>
  <c r="BD41" i="14"/>
  <c r="BE41" i="14"/>
  <c r="BF41" i="14"/>
  <c r="BG41" i="14"/>
  <c r="BI41" i="14"/>
  <c r="BK41" i="14"/>
  <c r="BL41" i="14"/>
  <c r="BM41" i="14"/>
  <c r="BN41" i="14"/>
  <c r="BP41" i="14"/>
  <c r="BR41" i="14"/>
  <c r="BS41" i="14"/>
  <c r="BT41" i="14"/>
  <c r="BU41" i="14"/>
  <c r="BW41" i="14"/>
  <c r="BY41" i="14"/>
  <c r="BZ41" i="14"/>
  <c r="CA41" i="14"/>
  <c r="CB41" i="14"/>
  <c r="CD41" i="14"/>
  <c r="CF41" i="14"/>
  <c r="CG41" i="14"/>
  <c r="CH41" i="14"/>
  <c r="CI41" i="14"/>
  <c r="CK41" i="14"/>
  <c r="CM41" i="14"/>
  <c r="CN41" i="14"/>
  <c r="CO41" i="14"/>
  <c r="CP41" i="14"/>
  <c r="L42" i="14"/>
  <c r="N42" i="14"/>
  <c r="O42" i="14"/>
  <c r="P42" i="14"/>
  <c r="Q42" i="14"/>
  <c r="S42" i="14"/>
  <c r="U42" i="14"/>
  <c r="V42" i="14"/>
  <c r="W42" i="14"/>
  <c r="X42" i="14"/>
  <c r="Z42" i="14"/>
  <c r="AB42" i="14"/>
  <c r="AC42" i="14"/>
  <c r="AD42" i="14"/>
  <c r="AE42" i="14"/>
  <c r="AG42" i="14"/>
  <c r="AI42" i="14"/>
  <c r="AJ42" i="14"/>
  <c r="AK42" i="14"/>
  <c r="AL42" i="14"/>
  <c r="AN42" i="14"/>
  <c r="AP42" i="14"/>
  <c r="AS42" i="14"/>
  <c r="AT42" i="14" s="1"/>
  <c r="AU42" i="14"/>
  <c r="AW42" i="14"/>
  <c r="AZ42" i="14"/>
  <c r="BA42" i="14" s="1"/>
  <c r="BB42" i="14"/>
  <c r="BD42" i="14"/>
  <c r="BE42" i="14"/>
  <c r="BF42" i="14"/>
  <c r="BG42" i="14"/>
  <c r="BI42" i="14"/>
  <c r="BK42" i="14"/>
  <c r="BL42" i="14"/>
  <c r="BM42" i="14"/>
  <c r="BN42" i="14"/>
  <c r="BP42" i="14"/>
  <c r="BR42" i="14"/>
  <c r="BS42" i="14"/>
  <c r="BT42" i="14"/>
  <c r="BU42" i="14"/>
  <c r="BW42" i="14"/>
  <c r="BY42" i="14"/>
  <c r="BZ42" i="14"/>
  <c r="CA42" i="14"/>
  <c r="CB42" i="14"/>
  <c r="CD42" i="14"/>
  <c r="CG42" i="14"/>
  <c r="CH42" i="14"/>
  <c r="CI42" i="14"/>
  <c r="CK42" i="14"/>
  <c r="CM42" i="14"/>
  <c r="CN42" i="14"/>
  <c r="CO42" i="14"/>
  <c r="CP42" i="14"/>
  <c r="L43" i="14"/>
  <c r="N43" i="14"/>
  <c r="O43" i="14"/>
  <c r="P43" i="14"/>
  <c r="Q43" i="14"/>
  <c r="S43" i="14"/>
  <c r="U43" i="14"/>
  <c r="W43" i="14"/>
  <c r="Z43" i="14"/>
  <c r="AB43" i="14"/>
  <c r="AD43" i="14"/>
  <c r="AG43" i="14"/>
  <c r="AI43" i="14"/>
  <c r="AK43" i="14"/>
  <c r="AN43" i="14"/>
  <c r="AP43" i="14"/>
  <c r="AU43" i="14"/>
  <c r="AW43" i="14"/>
  <c r="BB43" i="14"/>
  <c r="BD43" i="14"/>
  <c r="BF43" i="14"/>
  <c r="BI43" i="14"/>
  <c r="BK43" i="14"/>
  <c r="BM43" i="14"/>
  <c r="BP43" i="14"/>
  <c r="BR43" i="14"/>
  <c r="BT43" i="14"/>
  <c r="BW43" i="14"/>
  <c r="BY43" i="14"/>
  <c r="CA43" i="14"/>
  <c r="CD43" i="14"/>
  <c r="CF43" i="14"/>
  <c r="CH43" i="14"/>
  <c r="CK43" i="14"/>
  <c r="CM43" i="14"/>
  <c r="CO43" i="14"/>
  <c r="L44" i="14"/>
  <c r="N44" i="14"/>
  <c r="O44" i="14"/>
  <c r="P44" i="14"/>
  <c r="Q44" i="14"/>
  <c r="S44" i="14"/>
  <c r="U44" i="14"/>
  <c r="W44" i="14"/>
  <c r="Z44" i="14"/>
  <c r="AB44" i="14"/>
  <c r="AD44" i="14"/>
  <c r="AG44" i="14"/>
  <c r="AI44" i="14"/>
  <c r="AK44" i="14"/>
  <c r="AN44" i="14"/>
  <c r="AU44" i="14"/>
  <c r="AW44" i="14"/>
  <c r="BB44" i="14"/>
  <c r="BD44" i="14"/>
  <c r="BF44" i="14"/>
  <c r="BI44" i="14"/>
  <c r="BK44" i="14"/>
  <c r="BM44" i="14"/>
  <c r="BP44" i="14"/>
  <c r="BR44" i="14"/>
  <c r="BT44" i="14"/>
  <c r="BW44" i="14"/>
  <c r="BY44" i="14"/>
  <c r="CA44" i="14"/>
  <c r="CD44" i="14"/>
  <c r="CF44" i="14"/>
  <c r="CH44" i="14"/>
  <c r="CK44" i="14"/>
  <c r="CM44" i="14"/>
  <c r="CO44" i="14"/>
  <c r="L45" i="14"/>
  <c r="N45" i="14"/>
  <c r="O45" i="14"/>
  <c r="P45" i="14"/>
  <c r="Q45" i="14"/>
  <c r="S45" i="14"/>
  <c r="U45" i="14"/>
  <c r="W45" i="14"/>
  <c r="Z45" i="14"/>
  <c r="AB45" i="14"/>
  <c r="AD45" i="14"/>
  <c r="AG45" i="14"/>
  <c r="AI45" i="14"/>
  <c r="AK45" i="14"/>
  <c r="AN45" i="14"/>
  <c r="AP45" i="14"/>
  <c r="AU45" i="14"/>
  <c r="AW45" i="14"/>
  <c r="BB45" i="14"/>
  <c r="BD45" i="14"/>
  <c r="BF45" i="14"/>
  <c r="BI45" i="14"/>
  <c r="BK45" i="14"/>
  <c r="BM45" i="14"/>
  <c r="BP45" i="14"/>
  <c r="BR45" i="14"/>
  <c r="BT45" i="14"/>
  <c r="BW45" i="14"/>
  <c r="BY45" i="14"/>
  <c r="CA45" i="14"/>
  <c r="CD45" i="14"/>
  <c r="CF45" i="14"/>
  <c r="CH45" i="14"/>
  <c r="CK45" i="14"/>
  <c r="CM45" i="14"/>
  <c r="CO45" i="14"/>
  <c r="L46" i="14"/>
  <c r="N46" i="14"/>
  <c r="O46" i="14"/>
  <c r="P46" i="14"/>
  <c r="Q46" i="14"/>
  <c r="S46" i="14"/>
  <c r="U46" i="14"/>
  <c r="W46" i="14"/>
  <c r="Z46" i="14"/>
  <c r="AB46" i="14"/>
  <c r="AD46" i="14"/>
  <c r="AG46" i="14"/>
  <c r="AI46" i="14"/>
  <c r="AK46" i="14"/>
  <c r="AN46" i="14"/>
  <c r="AP46" i="14"/>
  <c r="AU46" i="14"/>
  <c r="AW46" i="14"/>
  <c r="BB46" i="14"/>
  <c r="BD46" i="14"/>
  <c r="BF46" i="14"/>
  <c r="BI46" i="14"/>
  <c r="BK46" i="14"/>
  <c r="BM46" i="14"/>
  <c r="BP46" i="14"/>
  <c r="BR46" i="14"/>
  <c r="BT46" i="14"/>
  <c r="BW46" i="14"/>
  <c r="BY46" i="14"/>
  <c r="CA46" i="14"/>
  <c r="CD46" i="14"/>
  <c r="CF46" i="14"/>
  <c r="CH46" i="14"/>
  <c r="CK46" i="14"/>
  <c r="CM46" i="14"/>
  <c r="CO46" i="14"/>
  <c r="L47" i="14"/>
  <c r="N47" i="14"/>
  <c r="O47" i="14"/>
  <c r="P47" i="14"/>
  <c r="Q47" i="14"/>
  <c r="S47" i="14"/>
  <c r="U47" i="14"/>
  <c r="W47" i="14"/>
  <c r="Z47" i="14"/>
  <c r="AB47" i="14"/>
  <c r="AD47" i="14"/>
  <c r="AG47" i="14"/>
  <c r="AI47" i="14"/>
  <c r="AK47" i="14"/>
  <c r="AN47" i="14"/>
  <c r="AP47" i="14"/>
  <c r="AU47" i="14"/>
  <c r="AW47" i="14"/>
  <c r="BB47" i="14"/>
  <c r="BD47" i="14"/>
  <c r="BF47" i="14"/>
  <c r="BI47" i="14"/>
  <c r="BK47" i="14"/>
  <c r="BM47" i="14"/>
  <c r="BP47" i="14"/>
  <c r="BR47" i="14"/>
  <c r="BT47" i="14"/>
  <c r="BW47" i="14"/>
  <c r="BY47" i="14"/>
  <c r="CA47" i="14"/>
  <c r="CD47" i="14"/>
  <c r="CF47" i="14"/>
  <c r="CH47" i="14"/>
  <c r="CK47" i="14"/>
  <c r="CM47" i="14"/>
  <c r="CO47" i="14"/>
  <c r="L48" i="14"/>
  <c r="N48" i="14"/>
  <c r="O48" i="14"/>
  <c r="P48" i="14"/>
  <c r="Q48" i="14"/>
  <c r="S48" i="14"/>
  <c r="W48" i="14"/>
  <c r="Z48" i="14"/>
  <c r="AB48" i="14"/>
  <c r="AD48" i="14"/>
  <c r="AG48" i="14"/>
  <c r="AI48" i="14"/>
  <c r="AK48" i="14"/>
  <c r="AN48" i="14"/>
  <c r="AP48" i="14"/>
  <c r="AU48" i="14"/>
  <c r="AW48" i="14"/>
  <c r="BB48" i="14"/>
  <c r="BD48" i="14"/>
  <c r="BF48" i="14"/>
  <c r="BI48" i="14"/>
  <c r="BK48" i="14"/>
  <c r="BM48" i="14"/>
  <c r="BP48" i="14"/>
  <c r="BT48" i="14"/>
  <c r="BW48" i="14"/>
  <c r="BY48" i="14"/>
  <c r="CA48" i="14"/>
  <c r="CD48" i="14"/>
  <c r="CF48" i="14"/>
  <c r="CH48" i="14"/>
  <c r="CK48" i="14"/>
  <c r="CM48" i="14"/>
  <c r="CO48" i="14"/>
  <c r="L49" i="14"/>
  <c r="N49" i="14"/>
  <c r="O49" i="14"/>
  <c r="P49" i="14"/>
  <c r="Q49" i="14"/>
  <c r="S49" i="14"/>
  <c r="U49" i="14"/>
  <c r="W49" i="14"/>
  <c r="Z49" i="14"/>
  <c r="AD49" i="14"/>
  <c r="AG49" i="14"/>
  <c r="AI49" i="14"/>
  <c r="AK49" i="14"/>
  <c r="AN49" i="14"/>
  <c r="AP49" i="14"/>
  <c r="AU49" i="14"/>
  <c r="AW49" i="14"/>
  <c r="BB49" i="14"/>
  <c r="BD49" i="14"/>
  <c r="BF49" i="14"/>
  <c r="BI49" i="14"/>
  <c r="BK49" i="14"/>
  <c r="BM49" i="14"/>
  <c r="BP49" i="14"/>
  <c r="BR49" i="14"/>
  <c r="BT49" i="14"/>
  <c r="BW49" i="14"/>
  <c r="BY49" i="14"/>
  <c r="CA49" i="14"/>
  <c r="CD49" i="14"/>
  <c r="CF49" i="14"/>
  <c r="CH49" i="14"/>
  <c r="CK49" i="14"/>
  <c r="CM49" i="14"/>
  <c r="CO49" i="14"/>
  <c r="L50" i="14"/>
  <c r="N50" i="14"/>
  <c r="O50" i="14"/>
  <c r="P50" i="14"/>
  <c r="Q50" i="14"/>
  <c r="S50" i="14"/>
  <c r="U50" i="14"/>
  <c r="W50" i="14"/>
  <c r="Z50" i="14"/>
  <c r="AB50" i="14"/>
  <c r="AD50" i="14"/>
  <c r="AG50" i="14"/>
  <c r="AI50" i="14"/>
  <c r="AK50" i="14"/>
  <c r="AN50" i="14"/>
  <c r="AP50" i="14"/>
  <c r="AU50" i="14"/>
  <c r="AW50" i="14"/>
  <c r="BB50" i="14"/>
  <c r="BD50" i="14"/>
  <c r="BF50" i="14"/>
  <c r="BI50" i="14"/>
  <c r="BK50" i="14"/>
  <c r="BM50" i="14"/>
  <c r="BP50" i="14"/>
  <c r="BR50" i="14"/>
  <c r="BT50" i="14"/>
  <c r="BW50" i="14"/>
  <c r="BY50" i="14"/>
  <c r="CA50" i="14"/>
  <c r="CD50" i="14"/>
  <c r="CH50" i="14"/>
  <c r="CK50" i="14"/>
  <c r="CM50" i="14"/>
  <c r="CO50" i="14"/>
  <c r="L51" i="14"/>
  <c r="N51" i="14"/>
  <c r="O51" i="14"/>
  <c r="P51" i="14"/>
  <c r="Q51" i="14"/>
  <c r="S51" i="14"/>
  <c r="U51" i="14"/>
  <c r="W51" i="14"/>
  <c r="Z51" i="14"/>
  <c r="AB51" i="14"/>
  <c r="AD51" i="14"/>
  <c r="AG51" i="14"/>
  <c r="AI51" i="14"/>
  <c r="AK51" i="14"/>
  <c r="AN51" i="14"/>
  <c r="AP51" i="14"/>
  <c r="AU51" i="14"/>
  <c r="AW51" i="14"/>
  <c r="BB51" i="14"/>
  <c r="BD51" i="14"/>
  <c r="BF51" i="14"/>
  <c r="BI51" i="14"/>
  <c r="BK51" i="14"/>
  <c r="BM51" i="14"/>
  <c r="BP51" i="14"/>
  <c r="BR51" i="14"/>
  <c r="BT51" i="14"/>
  <c r="BW51" i="14"/>
  <c r="BY51" i="14"/>
  <c r="CA51" i="14"/>
  <c r="CD51" i="14"/>
  <c r="CF51" i="14"/>
  <c r="CH51" i="14"/>
  <c r="CK51" i="14"/>
  <c r="CM51" i="14"/>
  <c r="CO51" i="14"/>
  <c r="L52" i="14"/>
  <c r="N52" i="14"/>
  <c r="O52" i="14"/>
  <c r="P52" i="14"/>
  <c r="Q52" i="14"/>
  <c r="S52" i="14"/>
  <c r="U52" i="14"/>
  <c r="W52" i="14"/>
  <c r="Z52" i="14"/>
  <c r="AB52" i="14"/>
  <c r="AD52" i="14"/>
  <c r="AG52" i="14"/>
  <c r="AI52" i="14"/>
  <c r="AK52" i="14"/>
  <c r="AN52" i="14"/>
  <c r="AU52" i="14"/>
  <c r="AW52" i="14"/>
  <c r="BB52" i="14"/>
  <c r="BD52" i="14"/>
  <c r="BF52" i="14"/>
  <c r="BI52" i="14"/>
  <c r="BK52" i="14"/>
  <c r="BM52" i="14"/>
  <c r="BP52" i="14"/>
  <c r="BR52" i="14"/>
  <c r="BT52" i="14"/>
  <c r="BW52" i="14"/>
  <c r="CA52" i="14"/>
  <c r="CD52" i="14"/>
  <c r="CF52" i="14"/>
  <c r="CH52" i="14"/>
  <c r="CK52" i="14"/>
  <c r="CM52" i="14"/>
  <c r="CO52" i="14"/>
  <c r="L53" i="14"/>
  <c r="N53" i="14"/>
  <c r="O53" i="14"/>
  <c r="P53" i="14"/>
  <c r="Q53" i="14"/>
  <c r="S53" i="14"/>
  <c r="U53" i="14"/>
  <c r="W53" i="14"/>
  <c r="Z53" i="14"/>
  <c r="AB53" i="14"/>
  <c r="AD53" i="14"/>
  <c r="AG53" i="14"/>
  <c r="AI53" i="14"/>
  <c r="AK53" i="14"/>
  <c r="AN53" i="14"/>
  <c r="AP53" i="14"/>
  <c r="AU53" i="14"/>
  <c r="AW53" i="14"/>
  <c r="BB53" i="14"/>
  <c r="BD53" i="14"/>
  <c r="BF53" i="14"/>
  <c r="BI53" i="14"/>
  <c r="BK53" i="14"/>
  <c r="BM53" i="14"/>
  <c r="BP53" i="14"/>
  <c r="BR53" i="14"/>
  <c r="BT53" i="14"/>
  <c r="BW53" i="14"/>
  <c r="BY53" i="14"/>
  <c r="CA53" i="14"/>
  <c r="CD53" i="14"/>
  <c r="CF53" i="14"/>
  <c r="CH53" i="14"/>
  <c r="CK53" i="14"/>
  <c r="CM53" i="14"/>
  <c r="CO53" i="14"/>
  <c r="L54" i="14"/>
  <c r="N54" i="14"/>
  <c r="O54" i="14"/>
  <c r="P54" i="14"/>
  <c r="Q54" i="14"/>
  <c r="S54" i="14"/>
  <c r="U54" i="14"/>
  <c r="W54" i="14"/>
  <c r="Z54" i="14"/>
  <c r="AB54" i="14"/>
  <c r="AD54" i="14"/>
  <c r="AG54" i="14"/>
  <c r="AI54" i="14"/>
  <c r="AK54" i="14"/>
  <c r="AN54" i="14"/>
  <c r="AP54" i="14"/>
  <c r="AU54" i="14"/>
  <c r="AW54" i="14"/>
  <c r="BB54" i="14"/>
  <c r="BD54" i="14"/>
  <c r="BF54" i="14"/>
  <c r="BI54" i="14"/>
  <c r="BK54" i="14"/>
  <c r="BM54" i="14"/>
  <c r="BP54" i="14"/>
  <c r="BR54" i="14"/>
  <c r="BT54" i="14"/>
  <c r="BW54" i="14"/>
  <c r="BY54" i="14"/>
  <c r="CA54" i="14"/>
  <c r="CD54" i="14"/>
  <c r="CF54" i="14"/>
  <c r="CH54" i="14"/>
  <c r="CK54" i="14"/>
  <c r="CM54" i="14"/>
  <c r="CO54" i="14"/>
  <c r="L55" i="14"/>
  <c r="O55" i="14"/>
  <c r="P55" i="14"/>
  <c r="Q55" i="14"/>
  <c r="S55" i="14"/>
  <c r="W55" i="14"/>
  <c r="Z55" i="14"/>
  <c r="AD55" i="14"/>
  <c r="AG55" i="14"/>
  <c r="AK55" i="14"/>
  <c r="AN55" i="14"/>
  <c r="AU55" i="14"/>
  <c r="BB55" i="14"/>
  <c r="BF55" i="14"/>
  <c r="BI55" i="14"/>
  <c r="BM55" i="14"/>
  <c r="BP55" i="14"/>
  <c r="BT55" i="14"/>
  <c r="BW55" i="14"/>
  <c r="CA55" i="14"/>
  <c r="CD55" i="14"/>
  <c r="CH55" i="14"/>
  <c r="CK55" i="14"/>
  <c r="CO55" i="14"/>
  <c r="L56" i="14"/>
  <c r="N56" i="14"/>
  <c r="O56" i="14"/>
  <c r="P56" i="14"/>
  <c r="Q56" i="14"/>
  <c r="S56" i="14"/>
  <c r="U56" i="14"/>
  <c r="W56" i="14"/>
  <c r="Z56" i="14"/>
  <c r="AB56" i="14"/>
  <c r="AD56" i="14"/>
  <c r="AG56" i="14"/>
  <c r="AI56" i="14"/>
  <c r="AK56" i="14"/>
  <c r="AN56" i="14"/>
  <c r="AP56" i="14"/>
  <c r="AU56" i="14"/>
  <c r="AW56" i="14"/>
  <c r="BB56" i="14"/>
  <c r="BD56" i="14"/>
  <c r="BF56" i="14"/>
  <c r="BI56" i="14"/>
  <c r="BK56" i="14"/>
  <c r="BM56" i="14"/>
  <c r="BP56" i="14"/>
  <c r="BT56" i="14"/>
  <c r="BW56" i="14"/>
  <c r="BY56" i="14"/>
  <c r="CA56" i="14"/>
  <c r="CD56" i="14"/>
  <c r="CF56" i="14"/>
  <c r="CH56" i="14"/>
  <c r="CK56" i="14"/>
  <c r="CM56" i="14"/>
  <c r="CO56" i="14"/>
  <c r="L57" i="14"/>
  <c r="N57" i="14"/>
  <c r="O57" i="14"/>
  <c r="P57" i="14"/>
  <c r="Q57" i="14"/>
  <c r="S57" i="14"/>
  <c r="U57" i="14"/>
  <c r="W57" i="14"/>
  <c r="Z57" i="14"/>
  <c r="AD57" i="14"/>
  <c r="AG57" i="14"/>
  <c r="AI57" i="14"/>
  <c r="AK57" i="14"/>
  <c r="AN57" i="14"/>
  <c r="AP57" i="14"/>
  <c r="AU57" i="14"/>
  <c r="AW57" i="14"/>
  <c r="BB57" i="14"/>
  <c r="BD57" i="14"/>
  <c r="BF57" i="14"/>
  <c r="BI57" i="14"/>
  <c r="BK57" i="14"/>
  <c r="BM57" i="14"/>
  <c r="BP57" i="14"/>
  <c r="BR57" i="14"/>
  <c r="BT57" i="14"/>
  <c r="BW57" i="14"/>
  <c r="BY57" i="14"/>
  <c r="CA57" i="14"/>
  <c r="CD57" i="14"/>
  <c r="CF57" i="14"/>
  <c r="CH57" i="14"/>
  <c r="CK57" i="14"/>
  <c r="CM57" i="14"/>
  <c r="CO57" i="14"/>
  <c r="L58" i="14"/>
  <c r="O58" i="14"/>
  <c r="P58" i="14"/>
  <c r="Q58" i="14"/>
  <c r="S58" i="14"/>
  <c r="W58" i="14"/>
  <c r="Z58" i="14"/>
  <c r="AD58" i="14"/>
  <c r="AG58" i="14"/>
  <c r="AK58" i="14"/>
  <c r="AN58" i="14"/>
  <c r="AU58" i="14"/>
  <c r="BB58" i="14"/>
  <c r="BF58" i="14"/>
  <c r="BI58" i="14"/>
  <c r="BM58" i="14"/>
  <c r="BP58" i="14"/>
  <c r="BT58" i="14"/>
  <c r="BW58" i="14"/>
  <c r="CA58" i="14"/>
  <c r="CD58" i="14"/>
  <c r="CH58" i="14"/>
  <c r="CK58" i="14"/>
  <c r="CO58" i="14"/>
  <c r="N4" i="14"/>
  <c r="O4" i="14"/>
  <c r="P4" i="14"/>
  <c r="Q4" i="14"/>
  <c r="S4" i="14"/>
  <c r="U4" i="14"/>
  <c r="W4" i="14"/>
  <c r="Z4" i="14"/>
  <c r="AB4" i="14"/>
  <c r="AD4" i="14"/>
  <c r="AG4" i="14"/>
  <c r="AI4" i="14"/>
  <c r="AK4" i="14"/>
  <c r="AN4" i="14"/>
  <c r="AP4" i="14"/>
  <c r="AU4" i="14"/>
  <c r="AW4" i="14"/>
  <c r="BB4" i="14"/>
  <c r="BD4" i="14"/>
  <c r="BF4" i="14"/>
  <c r="BI4" i="14"/>
  <c r="BK4" i="14"/>
  <c r="BM4" i="14"/>
  <c r="BP4" i="14"/>
  <c r="BR4" i="14"/>
  <c r="BT4" i="14"/>
  <c r="BW4" i="14"/>
  <c r="BY4" i="14"/>
  <c r="CA4" i="14"/>
  <c r="CD4" i="14"/>
  <c r="CF4" i="14"/>
  <c r="CH4" i="14"/>
  <c r="CK4" i="14"/>
  <c r="CM4" i="14"/>
  <c r="CO4" i="14"/>
  <c r="L4" i="14"/>
  <c r="CM5" i="9"/>
  <c r="CM6" i="9"/>
  <c r="CM7" i="9"/>
  <c r="CM8" i="9"/>
  <c r="CM9" i="9"/>
  <c r="CM10" i="9"/>
  <c r="CM11" i="9"/>
  <c r="CM12" i="9"/>
  <c r="CM13" i="9"/>
  <c r="CM14" i="9"/>
  <c r="CM15" i="9"/>
  <c r="CM16" i="9"/>
  <c r="CM17" i="9"/>
  <c r="CM18" i="9"/>
  <c r="CM19" i="9"/>
  <c r="CM20" i="9"/>
  <c r="CM21" i="9"/>
  <c r="CM22" i="9"/>
  <c r="CM23" i="9"/>
  <c r="CM24" i="9"/>
  <c r="CM25" i="9"/>
  <c r="CM26" i="9"/>
  <c r="CM27" i="9"/>
  <c r="CM28" i="9"/>
  <c r="CM29" i="9"/>
  <c r="CM30" i="9"/>
  <c r="CM31" i="9"/>
  <c r="CM32" i="9"/>
  <c r="CM33" i="9"/>
  <c r="CM34" i="9"/>
  <c r="CM35" i="9"/>
  <c r="CM36" i="9"/>
  <c r="CM37" i="9"/>
  <c r="CM38" i="9"/>
  <c r="CM39" i="9"/>
  <c r="CM40" i="9"/>
  <c r="CM41" i="9"/>
  <c r="CM42" i="9"/>
  <c r="CM43" i="9"/>
  <c r="CM44" i="9"/>
  <c r="CM45" i="9"/>
  <c r="CM46" i="9"/>
  <c r="CM47" i="9"/>
  <c r="CM48" i="9"/>
  <c r="CM49" i="9"/>
  <c r="CM50" i="9"/>
  <c r="CM51" i="9"/>
  <c r="CM52" i="9"/>
  <c r="CM53" i="9"/>
  <c r="CM54" i="9"/>
  <c r="CM55" i="9"/>
  <c r="CM56" i="9"/>
  <c r="CM57" i="9"/>
  <c r="CM58" i="9"/>
  <c r="CM4" i="9"/>
  <c r="CF5" i="9"/>
  <c r="CF6" i="9"/>
  <c r="CF7" i="9"/>
  <c r="CF8" i="9"/>
  <c r="CF9" i="9"/>
  <c r="CF10" i="9"/>
  <c r="CF11" i="9"/>
  <c r="CF12" i="9"/>
  <c r="CF13" i="9"/>
  <c r="CF14" i="9"/>
  <c r="CF15" i="9"/>
  <c r="CF16" i="9"/>
  <c r="CF17" i="9"/>
  <c r="CF18" i="9"/>
  <c r="CF19" i="9"/>
  <c r="CF20" i="9"/>
  <c r="CF21" i="9"/>
  <c r="CF22" i="9"/>
  <c r="CF23" i="9"/>
  <c r="CF24" i="9"/>
  <c r="CF25" i="9"/>
  <c r="CF26" i="9"/>
  <c r="CF27" i="9"/>
  <c r="CF28" i="9"/>
  <c r="CF29" i="9"/>
  <c r="CF30" i="9"/>
  <c r="CF31" i="9"/>
  <c r="CF32" i="9"/>
  <c r="CF33" i="9"/>
  <c r="CF34" i="9"/>
  <c r="CF35" i="9"/>
  <c r="CF36" i="9"/>
  <c r="CF37" i="9"/>
  <c r="CF38" i="9"/>
  <c r="CF39" i="9"/>
  <c r="CF40" i="9"/>
  <c r="CF41" i="9"/>
  <c r="CF42" i="9"/>
  <c r="CF43" i="9"/>
  <c r="CF44" i="9"/>
  <c r="CF45" i="9"/>
  <c r="CF46" i="9"/>
  <c r="CF47" i="9"/>
  <c r="CF48" i="9"/>
  <c r="CF49" i="9"/>
  <c r="CF50" i="9"/>
  <c r="CF51" i="9"/>
  <c r="CF52" i="9"/>
  <c r="CF53" i="9"/>
  <c r="CF54" i="9"/>
  <c r="CF55" i="9"/>
  <c r="CF56" i="9"/>
  <c r="CF57" i="9"/>
  <c r="CF58" i="9"/>
  <c r="CF4" i="9"/>
  <c r="BY5" i="9"/>
  <c r="BY6" i="9"/>
  <c r="BY7" i="9"/>
  <c r="BY8" i="9"/>
  <c r="BY9" i="9"/>
  <c r="BY10" i="9"/>
  <c r="BY11" i="9"/>
  <c r="BY12" i="9"/>
  <c r="BY13" i="9"/>
  <c r="BY14" i="9"/>
  <c r="BY15" i="9"/>
  <c r="BY16" i="9"/>
  <c r="BY17" i="9"/>
  <c r="BY18" i="9"/>
  <c r="BY19" i="9"/>
  <c r="BY20" i="9"/>
  <c r="BY21" i="9"/>
  <c r="BY22" i="9"/>
  <c r="BY23" i="9"/>
  <c r="BY24" i="9"/>
  <c r="BY25" i="9"/>
  <c r="BY26" i="9"/>
  <c r="BY27" i="9"/>
  <c r="BY28" i="9"/>
  <c r="BY29" i="9"/>
  <c r="BY30" i="9"/>
  <c r="BY31" i="9"/>
  <c r="BY32" i="9"/>
  <c r="BY33" i="9"/>
  <c r="BY34" i="9"/>
  <c r="BY35" i="9"/>
  <c r="BY36" i="9"/>
  <c r="BY37" i="9"/>
  <c r="BY38" i="9"/>
  <c r="BY39" i="9"/>
  <c r="BY40" i="9"/>
  <c r="BY41" i="9"/>
  <c r="BY42" i="9"/>
  <c r="BY43" i="9"/>
  <c r="BY44" i="9"/>
  <c r="BY45" i="9"/>
  <c r="BY46" i="9"/>
  <c r="BY47" i="9"/>
  <c r="BY48" i="9"/>
  <c r="BY49" i="9"/>
  <c r="BY50" i="9"/>
  <c r="BY51" i="9"/>
  <c r="BY52" i="9"/>
  <c r="BY53" i="9"/>
  <c r="BY54" i="9"/>
  <c r="BY55" i="9"/>
  <c r="BY56" i="9"/>
  <c r="BY57" i="9"/>
  <c r="BY58" i="9"/>
  <c r="BY4" i="9"/>
  <c r="BR5" i="9"/>
  <c r="BR6" i="9"/>
  <c r="BR7" i="9"/>
  <c r="BR8" i="9"/>
  <c r="BR9" i="9"/>
  <c r="BR10" i="9"/>
  <c r="BR11" i="9"/>
  <c r="BR12" i="9"/>
  <c r="BR13" i="9"/>
  <c r="BR14" i="9"/>
  <c r="BR15" i="9"/>
  <c r="BR16" i="9"/>
  <c r="BR17" i="9"/>
  <c r="BR18" i="9"/>
  <c r="BR19" i="9"/>
  <c r="BR20" i="9"/>
  <c r="BR21" i="9"/>
  <c r="BR22" i="9"/>
  <c r="BR23" i="9"/>
  <c r="BR24" i="9"/>
  <c r="BR25" i="9"/>
  <c r="BR26" i="9"/>
  <c r="BR27" i="9"/>
  <c r="BR28" i="9"/>
  <c r="BR29" i="9"/>
  <c r="BR30" i="9"/>
  <c r="BR31" i="9"/>
  <c r="BR32" i="9"/>
  <c r="BR33" i="9"/>
  <c r="BR34" i="9"/>
  <c r="BR35" i="9"/>
  <c r="BR36" i="9"/>
  <c r="BR37" i="9"/>
  <c r="BR38" i="9"/>
  <c r="BR39" i="9"/>
  <c r="BR40" i="9"/>
  <c r="BR41" i="9"/>
  <c r="BR42" i="9"/>
  <c r="BR43" i="9"/>
  <c r="BR44" i="9"/>
  <c r="BR45" i="9"/>
  <c r="BR46" i="9"/>
  <c r="BR47" i="9"/>
  <c r="BR48" i="9"/>
  <c r="BR49" i="9"/>
  <c r="BR50" i="9"/>
  <c r="BR51" i="9"/>
  <c r="BR52" i="9"/>
  <c r="BR53" i="9"/>
  <c r="BR54" i="9"/>
  <c r="BR55" i="9"/>
  <c r="BR56" i="9"/>
  <c r="BR57" i="9"/>
  <c r="BR58" i="9"/>
  <c r="BR4" i="9"/>
  <c r="BK5" i="9"/>
  <c r="BK6" i="9"/>
  <c r="BK7" i="9"/>
  <c r="BK8" i="9"/>
  <c r="BK9" i="9"/>
  <c r="BK10" i="9"/>
  <c r="BK11" i="9"/>
  <c r="BK12" i="9"/>
  <c r="BK13" i="9"/>
  <c r="BK14" i="9"/>
  <c r="BK15" i="9"/>
  <c r="BK16" i="9"/>
  <c r="BK17" i="9"/>
  <c r="BK18" i="9"/>
  <c r="BK19" i="9"/>
  <c r="BK20" i="9"/>
  <c r="BK21" i="9"/>
  <c r="BK22" i="9"/>
  <c r="BK23" i="9"/>
  <c r="BK24" i="9"/>
  <c r="BK25" i="9"/>
  <c r="BK26" i="9"/>
  <c r="BK27" i="9"/>
  <c r="BK28" i="9"/>
  <c r="BK29" i="9"/>
  <c r="BK30" i="9"/>
  <c r="BK31" i="9"/>
  <c r="BK32" i="9"/>
  <c r="BK33" i="9"/>
  <c r="BK34" i="9"/>
  <c r="BK35" i="9"/>
  <c r="BK36" i="9"/>
  <c r="BK37" i="9"/>
  <c r="BK38" i="9"/>
  <c r="BK39" i="9"/>
  <c r="BK40" i="9"/>
  <c r="BK41" i="9"/>
  <c r="BK42" i="9"/>
  <c r="BK43" i="9"/>
  <c r="BK44" i="9"/>
  <c r="BK45" i="9"/>
  <c r="BK46" i="9"/>
  <c r="BK47" i="9"/>
  <c r="BK48" i="9"/>
  <c r="BK49" i="9"/>
  <c r="BK50" i="9"/>
  <c r="BK51" i="9"/>
  <c r="BK52" i="9"/>
  <c r="BK53" i="9"/>
  <c r="BK54" i="9"/>
  <c r="BK55" i="9"/>
  <c r="BK56" i="9"/>
  <c r="BK57" i="9"/>
  <c r="BK58" i="9"/>
  <c r="BK4" i="9"/>
  <c r="BD5" i="9"/>
  <c r="BD6" i="9"/>
  <c r="BD7" i="9"/>
  <c r="BD8" i="9"/>
  <c r="BD9" i="9"/>
  <c r="BD10" i="9"/>
  <c r="BD11" i="9"/>
  <c r="BD12" i="9"/>
  <c r="BD13" i="9"/>
  <c r="BD14" i="9"/>
  <c r="BD15" i="9"/>
  <c r="BD16" i="9"/>
  <c r="BD17" i="9"/>
  <c r="BD18" i="9"/>
  <c r="BD19" i="9"/>
  <c r="BD20" i="9"/>
  <c r="BD21" i="9"/>
  <c r="BD22" i="9"/>
  <c r="BD23" i="9"/>
  <c r="BD24" i="9"/>
  <c r="BD25" i="9"/>
  <c r="BD26" i="9"/>
  <c r="BD27" i="9"/>
  <c r="BD28" i="9"/>
  <c r="BD29" i="9"/>
  <c r="BD30" i="9"/>
  <c r="BD31" i="9"/>
  <c r="BD32" i="9"/>
  <c r="BD33" i="9"/>
  <c r="BD34" i="9"/>
  <c r="BD35" i="9"/>
  <c r="BD36" i="9"/>
  <c r="BD37" i="9"/>
  <c r="BD38" i="9"/>
  <c r="BD39" i="9"/>
  <c r="BD40" i="9"/>
  <c r="BD41" i="9"/>
  <c r="BD42" i="9"/>
  <c r="BD43" i="9"/>
  <c r="BD44" i="9"/>
  <c r="BD45" i="9"/>
  <c r="BD46" i="9"/>
  <c r="BD47" i="9"/>
  <c r="BD48" i="9"/>
  <c r="BD49" i="9"/>
  <c r="BD50" i="9"/>
  <c r="BD51" i="9"/>
  <c r="BD52" i="9"/>
  <c r="BD53" i="9"/>
  <c r="BD54" i="9"/>
  <c r="BD55" i="9"/>
  <c r="BD56" i="9"/>
  <c r="BD57" i="9"/>
  <c r="BD58" i="9"/>
  <c r="BD4" i="9"/>
  <c r="AW5" i="9"/>
  <c r="AW6" i="9"/>
  <c r="AW7" i="9"/>
  <c r="AW8" i="9"/>
  <c r="AW9" i="9"/>
  <c r="AW10" i="9"/>
  <c r="AW11" i="9"/>
  <c r="AW12" i="9"/>
  <c r="AW13" i="9"/>
  <c r="AW14" i="9"/>
  <c r="AW15" i="9"/>
  <c r="AW16" i="9"/>
  <c r="AW17" i="9"/>
  <c r="AW18" i="9"/>
  <c r="AW19" i="9"/>
  <c r="AW20" i="9"/>
  <c r="AW21" i="9"/>
  <c r="AW22" i="9"/>
  <c r="AW23" i="9"/>
  <c r="AW24" i="9"/>
  <c r="AW25" i="9"/>
  <c r="AW26" i="9"/>
  <c r="AW27" i="9"/>
  <c r="AW28" i="9"/>
  <c r="AW29" i="9"/>
  <c r="AW30" i="9"/>
  <c r="AW31" i="9"/>
  <c r="AW32" i="9"/>
  <c r="AW33" i="9"/>
  <c r="AW34" i="9"/>
  <c r="AW35" i="9"/>
  <c r="AW36" i="9"/>
  <c r="AW37" i="9"/>
  <c r="AW38" i="9"/>
  <c r="AW39" i="9"/>
  <c r="AW40" i="9"/>
  <c r="AW41" i="9"/>
  <c r="AW42" i="9"/>
  <c r="AW43" i="9"/>
  <c r="AW44" i="9"/>
  <c r="AW45" i="9"/>
  <c r="AW46" i="9"/>
  <c r="AW47" i="9"/>
  <c r="AW48" i="9"/>
  <c r="AW49" i="9"/>
  <c r="AW50" i="9"/>
  <c r="AW51" i="9"/>
  <c r="AW52" i="9"/>
  <c r="AW53" i="9"/>
  <c r="AW54" i="9"/>
  <c r="AW55" i="9"/>
  <c r="AW56" i="9"/>
  <c r="AW57" i="9"/>
  <c r="AW58" i="9"/>
  <c r="AW4" i="9"/>
  <c r="AP5" i="9"/>
  <c r="AP6" i="9"/>
  <c r="AP7" i="9"/>
  <c r="AP8" i="9"/>
  <c r="AP9" i="9"/>
  <c r="AP10" i="9"/>
  <c r="AP11" i="9"/>
  <c r="AP12" i="9"/>
  <c r="AP13" i="9"/>
  <c r="AP14" i="9"/>
  <c r="AP15" i="9"/>
  <c r="AP16" i="9"/>
  <c r="AP17" i="9"/>
  <c r="AP18" i="9"/>
  <c r="AP19" i="9"/>
  <c r="AP20" i="9"/>
  <c r="AP21" i="9"/>
  <c r="AP22" i="9"/>
  <c r="AP23" i="9"/>
  <c r="AP24" i="9"/>
  <c r="AP25" i="9"/>
  <c r="AP26" i="9"/>
  <c r="AP27" i="9"/>
  <c r="AP28" i="9"/>
  <c r="AP29" i="9"/>
  <c r="AP30" i="9"/>
  <c r="AP31" i="9"/>
  <c r="AP32" i="9"/>
  <c r="AP33" i="9"/>
  <c r="AP34" i="9"/>
  <c r="AP35" i="9"/>
  <c r="AP36" i="9"/>
  <c r="AP37" i="9"/>
  <c r="AP38" i="9"/>
  <c r="AP39" i="9"/>
  <c r="AP40" i="9"/>
  <c r="AP41" i="9"/>
  <c r="AP42" i="9"/>
  <c r="AP43" i="9"/>
  <c r="AP44" i="9"/>
  <c r="AP45" i="9"/>
  <c r="AP46" i="9"/>
  <c r="AP47" i="9"/>
  <c r="AP48" i="9"/>
  <c r="AP49" i="9"/>
  <c r="AP50" i="9"/>
  <c r="AP51" i="9"/>
  <c r="AP52" i="9"/>
  <c r="AP53" i="9"/>
  <c r="AP54" i="9"/>
  <c r="AP56" i="9"/>
  <c r="AP57" i="9"/>
  <c r="AP4" i="9"/>
  <c r="AI5" i="9"/>
  <c r="AI6" i="9"/>
  <c r="AI7" i="9"/>
  <c r="AI8" i="9"/>
  <c r="AI9" i="9"/>
  <c r="AI10" i="9"/>
  <c r="AI11" i="9"/>
  <c r="AI12" i="9"/>
  <c r="AI13" i="9"/>
  <c r="AI14" i="9"/>
  <c r="AI15" i="9"/>
  <c r="AI16" i="9"/>
  <c r="AI17" i="9"/>
  <c r="AI18" i="9"/>
  <c r="AI19" i="9"/>
  <c r="AI20" i="9"/>
  <c r="AI21" i="9"/>
  <c r="AI22" i="9"/>
  <c r="AI23" i="9"/>
  <c r="AI24" i="9"/>
  <c r="AI25" i="9"/>
  <c r="AI26" i="9"/>
  <c r="AI27" i="9"/>
  <c r="AI28" i="9"/>
  <c r="AI29" i="9"/>
  <c r="AI30" i="9"/>
  <c r="AI31" i="9"/>
  <c r="AI32" i="9"/>
  <c r="AI33" i="9"/>
  <c r="AI34" i="9"/>
  <c r="AI35" i="9"/>
  <c r="AI36" i="9"/>
  <c r="AI37" i="9"/>
  <c r="AI38" i="9"/>
  <c r="AI39" i="9"/>
  <c r="AI40" i="9"/>
  <c r="AI41" i="9"/>
  <c r="AI42" i="9"/>
  <c r="AI43" i="9"/>
  <c r="AI44" i="9"/>
  <c r="AI45" i="9"/>
  <c r="AI46" i="9"/>
  <c r="AI47" i="9"/>
  <c r="AI48" i="9"/>
  <c r="AI49" i="9"/>
  <c r="AI50" i="9"/>
  <c r="AI51" i="9"/>
  <c r="AI52" i="9"/>
  <c r="AI53" i="9"/>
  <c r="AI54" i="9"/>
  <c r="AI56" i="9"/>
  <c r="AI57" i="9"/>
  <c r="AI4" i="9"/>
  <c r="AB5" i="9"/>
  <c r="AB6" i="9"/>
  <c r="AB7" i="9"/>
  <c r="AB8" i="9"/>
  <c r="AB9" i="9"/>
  <c r="AB10" i="9"/>
  <c r="AB11" i="9"/>
  <c r="AB12" i="9"/>
  <c r="AB13" i="9"/>
  <c r="AB14" i="9"/>
  <c r="AB15" i="9"/>
  <c r="AB16" i="9"/>
  <c r="AB17" i="9"/>
  <c r="AB18" i="9"/>
  <c r="AB19" i="9"/>
  <c r="AB20" i="9"/>
  <c r="AB21" i="9"/>
  <c r="AB22" i="9"/>
  <c r="AB23" i="9"/>
  <c r="AB24" i="9"/>
  <c r="AB25" i="9"/>
  <c r="AB26" i="9"/>
  <c r="AB27" i="9"/>
  <c r="AB28" i="9"/>
  <c r="AB29" i="9"/>
  <c r="AB30" i="9"/>
  <c r="AB31" i="9"/>
  <c r="AB32" i="9"/>
  <c r="AB33" i="9"/>
  <c r="AB34" i="9"/>
  <c r="AB35" i="9"/>
  <c r="AB36" i="9"/>
  <c r="AB37" i="9"/>
  <c r="AB38" i="9"/>
  <c r="AB39" i="9"/>
  <c r="AB40" i="9"/>
  <c r="AB41" i="9"/>
  <c r="AB42" i="9"/>
  <c r="AB43" i="9"/>
  <c r="AB44" i="9"/>
  <c r="AB45" i="9"/>
  <c r="AB46" i="9"/>
  <c r="AB47" i="9"/>
  <c r="AB48" i="9"/>
  <c r="AB49" i="9"/>
  <c r="AB50" i="9"/>
  <c r="AB51" i="9"/>
  <c r="AB52" i="9"/>
  <c r="AB53" i="9"/>
  <c r="AB54" i="9"/>
  <c r="AB56" i="9"/>
  <c r="AB57" i="9"/>
  <c r="AB4" i="9"/>
  <c r="U5" i="9"/>
  <c r="U6" i="9"/>
  <c r="U7" i="9"/>
  <c r="U8" i="9"/>
  <c r="U9" i="9"/>
  <c r="U10" i="9"/>
  <c r="U11" i="9"/>
  <c r="U12" i="9"/>
  <c r="U13" i="9"/>
  <c r="U14" i="9"/>
  <c r="U15" i="9"/>
  <c r="U16" i="9"/>
  <c r="U17" i="9"/>
  <c r="U18" i="9"/>
  <c r="U19" i="9"/>
  <c r="U20" i="9"/>
  <c r="U21" i="9"/>
  <c r="U22" i="9"/>
  <c r="U23" i="9"/>
  <c r="U24" i="9"/>
  <c r="U25" i="9"/>
  <c r="U26" i="9"/>
  <c r="U27" i="9"/>
  <c r="U28" i="9"/>
  <c r="U29" i="9"/>
  <c r="U30" i="9"/>
  <c r="U31" i="9"/>
  <c r="U32" i="9"/>
  <c r="U33" i="9"/>
  <c r="U34" i="9"/>
  <c r="U35" i="9"/>
  <c r="U36" i="9"/>
  <c r="U37" i="9"/>
  <c r="U38" i="9"/>
  <c r="U39" i="9"/>
  <c r="U40" i="9"/>
  <c r="U41" i="9"/>
  <c r="U42" i="9"/>
  <c r="U43" i="9"/>
  <c r="U44" i="9"/>
  <c r="U45" i="9"/>
  <c r="U46" i="9"/>
  <c r="U47" i="9"/>
  <c r="U48" i="9"/>
  <c r="U49" i="9"/>
  <c r="U50" i="9"/>
  <c r="U51" i="9"/>
  <c r="U52" i="9"/>
  <c r="U53" i="9"/>
  <c r="U54" i="9"/>
  <c r="U56" i="9"/>
  <c r="U57" i="9"/>
  <c r="U4" i="9"/>
  <c r="N5" i="9"/>
  <c r="N6" i="9"/>
  <c r="N7" i="9"/>
  <c r="N8" i="9"/>
  <c r="N9" i="9"/>
  <c r="N10" i="9"/>
  <c r="N11" i="9"/>
  <c r="N12" i="9"/>
  <c r="N13" i="9"/>
  <c r="N14" i="9"/>
  <c r="N15" i="9"/>
  <c r="N16" i="9"/>
  <c r="N17" i="9"/>
  <c r="N18" i="9"/>
  <c r="N19" i="9"/>
  <c r="N20" i="9"/>
  <c r="N21" i="9"/>
  <c r="N22" i="9"/>
  <c r="N23" i="9"/>
  <c r="N24" i="9"/>
  <c r="N25" i="9"/>
  <c r="N26" i="9"/>
  <c r="N27" i="9"/>
  <c r="N28" i="9"/>
  <c r="N29" i="9"/>
  <c r="N30" i="9"/>
  <c r="N31" i="9"/>
  <c r="N32" i="9"/>
  <c r="N33" i="9"/>
  <c r="N34" i="9"/>
  <c r="N35" i="9"/>
  <c r="N36" i="9"/>
  <c r="N37" i="9"/>
  <c r="N38" i="9"/>
  <c r="N39" i="9"/>
  <c r="N40" i="9"/>
  <c r="N41" i="9"/>
  <c r="N42" i="9"/>
  <c r="N43" i="9"/>
  <c r="N44" i="9"/>
  <c r="N45" i="9"/>
  <c r="N46" i="9"/>
  <c r="N47" i="9"/>
  <c r="N48" i="9"/>
  <c r="N49" i="9"/>
  <c r="N50" i="9"/>
  <c r="N51" i="9"/>
  <c r="N52" i="9"/>
  <c r="N53" i="9"/>
  <c r="N54" i="9"/>
  <c r="N56" i="9"/>
  <c r="N57" i="9"/>
  <c r="N4" i="9"/>
  <c r="CM5" i="8"/>
  <c r="CM6" i="8"/>
  <c r="CM7" i="8"/>
  <c r="CM8" i="8"/>
  <c r="CM9" i="8"/>
  <c r="CM10" i="8"/>
  <c r="CM11" i="8"/>
  <c r="CM12" i="8"/>
  <c r="CM13" i="8"/>
  <c r="CM14" i="8"/>
  <c r="CM15" i="8"/>
  <c r="CM16" i="8"/>
  <c r="CM17" i="8"/>
  <c r="CM18" i="8"/>
  <c r="CM19" i="8"/>
  <c r="CM20" i="8"/>
  <c r="CM21" i="8"/>
  <c r="CM22" i="8"/>
  <c r="CM23" i="8"/>
  <c r="CM24" i="8"/>
  <c r="CM25" i="8"/>
  <c r="CM26" i="8"/>
  <c r="CM27" i="8"/>
  <c r="CM28" i="8"/>
  <c r="CM29" i="8"/>
  <c r="CM30" i="8"/>
  <c r="CM31" i="8"/>
  <c r="CM32" i="8"/>
  <c r="CM33" i="8"/>
  <c r="CM34" i="8"/>
  <c r="CM35" i="8"/>
  <c r="CM36" i="8"/>
  <c r="CM37" i="8"/>
  <c r="CM38" i="8"/>
  <c r="CM39" i="8"/>
  <c r="CM40" i="8"/>
  <c r="CM41" i="8"/>
  <c r="CM42" i="8"/>
  <c r="CM43" i="8"/>
  <c r="CM44" i="8"/>
  <c r="CM45" i="8"/>
  <c r="CM46" i="8"/>
  <c r="CM47" i="8"/>
  <c r="CM48" i="8"/>
  <c r="CM49" i="8"/>
  <c r="CM50" i="8"/>
  <c r="CM51" i="8"/>
  <c r="CM52" i="8"/>
  <c r="CM53" i="8"/>
  <c r="CM54" i="8"/>
  <c r="CM55" i="8"/>
  <c r="CM56" i="8"/>
  <c r="CM57" i="8"/>
  <c r="CM58" i="8"/>
  <c r="CM4" i="8"/>
  <c r="CF5" i="8"/>
  <c r="CF6" i="8"/>
  <c r="CF7" i="8"/>
  <c r="CF8" i="8"/>
  <c r="CF9" i="8"/>
  <c r="CF10" i="8"/>
  <c r="CF11" i="8"/>
  <c r="CF12" i="8"/>
  <c r="CF13" i="8"/>
  <c r="CF14" i="8"/>
  <c r="CF15" i="8"/>
  <c r="CF16" i="8"/>
  <c r="CF17" i="8"/>
  <c r="CF18" i="8"/>
  <c r="CF19" i="8"/>
  <c r="CF20" i="8"/>
  <c r="CF21" i="8"/>
  <c r="CF22" i="8"/>
  <c r="CF23" i="8"/>
  <c r="CF24" i="8"/>
  <c r="CF25" i="8"/>
  <c r="CF26" i="8"/>
  <c r="CF27" i="8"/>
  <c r="CF28" i="8"/>
  <c r="CF29" i="8"/>
  <c r="CF30" i="8"/>
  <c r="CF31" i="8"/>
  <c r="CF32" i="8"/>
  <c r="CF33" i="8"/>
  <c r="CF34" i="8"/>
  <c r="CF35" i="8"/>
  <c r="CF36" i="8"/>
  <c r="CF37" i="8"/>
  <c r="CF38" i="8"/>
  <c r="CF39" i="8"/>
  <c r="CF40" i="8"/>
  <c r="CF41" i="8"/>
  <c r="CF42" i="8"/>
  <c r="CF43" i="8"/>
  <c r="CF44" i="8"/>
  <c r="CF45" i="8"/>
  <c r="CF46" i="8"/>
  <c r="CF47" i="8"/>
  <c r="CF48" i="8"/>
  <c r="CF49" i="8"/>
  <c r="CF50" i="8"/>
  <c r="CF51" i="8"/>
  <c r="CF52" i="8"/>
  <c r="CF53" i="8"/>
  <c r="CF54" i="8"/>
  <c r="CF55" i="8"/>
  <c r="CF56" i="8"/>
  <c r="CF57" i="8"/>
  <c r="CF58" i="8"/>
  <c r="CF4" i="8"/>
  <c r="BY5" i="8"/>
  <c r="BY6" i="8"/>
  <c r="BY7" i="8"/>
  <c r="BY8" i="8"/>
  <c r="BY9" i="8"/>
  <c r="BY10" i="8"/>
  <c r="BY11" i="8"/>
  <c r="BY12" i="8"/>
  <c r="BY13" i="8"/>
  <c r="BY14" i="8"/>
  <c r="BY15" i="8"/>
  <c r="BY16" i="8"/>
  <c r="BY17" i="8"/>
  <c r="BY18" i="8"/>
  <c r="BY19" i="8"/>
  <c r="BY20" i="8"/>
  <c r="BY21" i="8"/>
  <c r="BY22" i="8"/>
  <c r="BY23" i="8"/>
  <c r="BY24" i="8"/>
  <c r="BY25" i="8"/>
  <c r="BY26" i="8"/>
  <c r="BY27" i="8"/>
  <c r="BY28" i="8"/>
  <c r="BY29" i="8"/>
  <c r="BY30" i="8"/>
  <c r="BY31" i="8"/>
  <c r="BY32" i="8"/>
  <c r="BY33" i="8"/>
  <c r="BY34" i="8"/>
  <c r="BY35" i="8"/>
  <c r="BY36" i="8"/>
  <c r="BY37" i="8"/>
  <c r="BY38" i="8"/>
  <c r="BY39" i="8"/>
  <c r="BY40" i="8"/>
  <c r="BY41" i="8"/>
  <c r="BY42" i="8"/>
  <c r="BY43" i="8"/>
  <c r="BY44" i="8"/>
  <c r="BY45" i="8"/>
  <c r="BY46" i="8"/>
  <c r="BY47" i="8"/>
  <c r="BY48" i="8"/>
  <c r="BY49" i="8"/>
  <c r="BY50" i="8"/>
  <c r="BY51" i="8"/>
  <c r="BY52" i="8"/>
  <c r="BY53" i="8"/>
  <c r="BY54" i="8"/>
  <c r="BY55" i="8"/>
  <c r="BY56" i="8"/>
  <c r="BY57" i="8"/>
  <c r="BY58" i="8"/>
  <c r="BY4" i="8"/>
  <c r="BR5" i="8"/>
  <c r="BR6" i="8"/>
  <c r="BR7" i="8"/>
  <c r="BR8" i="8"/>
  <c r="BR9" i="8"/>
  <c r="BR10" i="8"/>
  <c r="BR11" i="8"/>
  <c r="BR12" i="8"/>
  <c r="BR13" i="8"/>
  <c r="BR14" i="8"/>
  <c r="BR15" i="8"/>
  <c r="BR16" i="8"/>
  <c r="BR17" i="8"/>
  <c r="BR18" i="8"/>
  <c r="BR19" i="8"/>
  <c r="BR20" i="8"/>
  <c r="BR21" i="8"/>
  <c r="BR22" i="8"/>
  <c r="BR23" i="8"/>
  <c r="BR24" i="8"/>
  <c r="BR25" i="8"/>
  <c r="BR26" i="8"/>
  <c r="BR27" i="8"/>
  <c r="BR28" i="8"/>
  <c r="BR29" i="8"/>
  <c r="BR30" i="8"/>
  <c r="BR31" i="8"/>
  <c r="BR32" i="8"/>
  <c r="BR33" i="8"/>
  <c r="BR34" i="8"/>
  <c r="BR35" i="8"/>
  <c r="BR36" i="8"/>
  <c r="BR37" i="8"/>
  <c r="BR38" i="8"/>
  <c r="BR39" i="8"/>
  <c r="BR40" i="8"/>
  <c r="BR41" i="8"/>
  <c r="BR42" i="8"/>
  <c r="BR43" i="8"/>
  <c r="BR44" i="8"/>
  <c r="BR45" i="8"/>
  <c r="BR46" i="8"/>
  <c r="BR47" i="8"/>
  <c r="BR48" i="8"/>
  <c r="BR49" i="8"/>
  <c r="BR50" i="8"/>
  <c r="BR51" i="8"/>
  <c r="BR52" i="8"/>
  <c r="BR53" i="8"/>
  <c r="BR54" i="8"/>
  <c r="BR55" i="8"/>
  <c r="BR56" i="8"/>
  <c r="BR57" i="8"/>
  <c r="BR58" i="8"/>
  <c r="BR4" i="8"/>
  <c r="BK5" i="8"/>
  <c r="BK6" i="8"/>
  <c r="BK7" i="8"/>
  <c r="BK8" i="8"/>
  <c r="BK9" i="8"/>
  <c r="BK10" i="8"/>
  <c r="BK11" i="8"/>
  <c r="BK12" i="8"/>
  <c r="BK13" i="8"/>
  <c r="BK14" i="8"/>
  <c r="BK15" i="8"/>
  <c r="BK16" i="8"/>
  <c r="BK17" i="8"/>
  <c r="BK18" i="8"/>
  <c r="BK19" i="8"/>
  <c r="BK20" i="8"/>
  <c r="BK21" i="8"/>
  <c r="BK22" i="8"/>
  <c r="BK23" i="8"/>
  <c r="BK24" i="8"/>
  <c r="BK25" i="8"/>
  <c r="BK26" i="8"/>
  <c r="BK27" i="8"/>
  <c r="BK28" i="8"/>
  <c r="BK29" i="8"/>
  <c r="BK30" i="8"/>
  <c r="BK31" i="8"/>
  <c r="BK32" i="8"/>
  <c r="BK33" i="8"/>
  <c r="BK34" i="8"/>
  <c r="BK35" i="8"/>
  <c r="BK36" i="8"/>
  <c r="BK37" i="8"/>
  <c r="BK38" i="8"/>
  <c r="BK39" i="8"/>
  <c r="BK40" i="8"/>
  <c r="BK41" i="8"/>
  <c r="BK42" i="8"/>
  <c r="BK43" i="8"/>
  <c r="BK44" i="8"/>
  <c r="BK45" i="8"/>
  <c r="BK46" i="8"/>
  <c r="BK47" i="8"/>
  <c r="BK48" i="8"/>
  <c r="BK49" i="8"/>
  <c r="BK50" i="8"/>
  <c r="BK51" i="8"/>
  <c r="BK52" i="8"/>
  <c r="BK53" i="8"/>
  <c r="BK54" i="8"/>
  <c r="BK55" i="8"/>
  <c r="BK56" i="8"/>
  <c r="BK57" i="8"/>
  <c r="BK58" i="8"/>
  <c r="BK4" i="8"/>
  <c r="BD5" i="8"/>
  <c r="BD6" i="8"/>
  <c r="BD7" i="8"/>
  <c r="BD8" i="8"/>
  <c r="BD9" i="8"/>
  <c r="BD10" i="8"/>
  <c r="BD11" i="8"/>
  <c r="BD12" i="8"/>
  <c r="BD13" i="8"/>
  <c r="BD14" i="8"/>
  <c r="BD15" i="8"/>
  <c r="BD16" i="8"/>
  <c r="BD17" i="8"/>
  <c r="BD18" i="8"/>
  <c r="BD19" i="8"/>
  <c r="BD20" i="8"/>
  <c r="BD21" i="8"/>
  <c r="BD22" i="8"/>
  <c r="BD23" i="8"/>
  <c r="BD24" i="8"/>
  <c r="BD25" i="8"/>
  <c r="BD26" i="8"/>
  <c r="BD27" i="8"/>
  <c r="BD28" i="8"/>
  <c r="BD29" i="8"/>
  <c r="BD30" i="8"/>
  <c r="BD31" i="8"/>
  <c r="BD32" i="8"/>
  <c r="BD33" i="8"/>
  <c r="BD34" i="8"/>
  <c r="BD35" i="8"/>
  <c r="BD36" i="8"/>
  <c r="BD37" i="8"/>
  <c r="BD38" i="8"/>
  <c r="BD39" i="8"/>
  <c r="BD40" i="8"/>
  <c r="BD41" i="8"/>
  <c r="BD42" i="8"/>
  <c r="BD43" i="8"/>
  <c r="BD44" i="8"/>
  <c r="BD45" i="8"/>
  <c r="BD46" i="8"/>
  <c r="BD47" i="8"/>
  <c r="BD48" i="8"/>
  <c r="BD49" i="8"/>
  <c r="BD50" i="8"/>
  <c r="BD51" i="8"/>
  <c r="BD52" i="8"/>
  <c r="BD53" i="8"/>
  <c r="BD54" i="8"/>
  <c r="BD55" i="8"/>
  <c r="BD56" i="8"/>
  <c r="BD57" i="8"/>
  <c r="BD58" i="8"/>
  <c r="BD4" i="8"/>
  <c r="AW5" i="8"/>
  <c r="AW6" i="8"/>
  <c r="AW7" i="8"/>
  <c r="AW8" i="8"/>
  <c r="AW9" i="8"/>
  <c r="AW10" i="8"/>
  <c r="AW11" i="8"/>
  <c r="AW12" i="8"/>
  <c r="AW13" i="8"/>
  <c r="AW14" i="8"/>
  <c r="AW15" i="8"/>
  <c r="AW16" i="8"/>
  <c r="AW17" i="8"/>
  <c r="AW18" i="8"/>
  <c r="AW19" i="8"/>
  <c r="AW20" i="8"/>
  <c r="AW21" i="8"/>
  <c r="AW22" i="8"/>
  <c r="AW23" i="8"/>
  <c r="AW24" i="8"/>
  <c r="AW25" i="8"/>
  <c r="AW26" i="8"/>
  <c r="AW27" i="8"/>
  <c r="AW28" i="8"/>
  <c r="AW29" i="8"/>
  <c r="AW30" i="8"/>
  <c r="AW31" i="8"/>
  <c r="AW32" i="8"/>
  <c r="AW33" i="8"/>
  <c r="AW34" i="8"/>
  <c r="AW35" i="8"/>
  <c r="AW36" i="8"/>
  <c r="AW37" i="8"/>
  <c r="AW38" i="8"/>
  <c r="AW39" i="8"/>
  <c r="AW40" i="8"/>
  <c r="AW41" i="8"/>
  <c r="AW42" i="8"/>
  <c r="AW43" i="8"/>
  <c r="AW44" i="8"/>
  <c r="AW45" i="8"/>
  <c r="AW46" i="8"/>
  <c r="AW47" i="8"/>
  <c r="AW48" i="8"/>
  <c r="AW49" i="8"/>
  <c r="AW50" i="8"/>
  <c r="AW51" i="8"/>
  <c r="AW52" i="8"/>
  <c r="AW53" i="8"/>
  <c r="AW54" i="8"/>
  <c r="AW55" i="8"/>
  <c r="AW56" i="8"/>
  <c r="AW57" i="8"/>
  <c r="AW58" i="8"/>
  <c r="AW4" i="8"/>
  <c r="AP5" i="8"/>
  <c r="AP6" i="8"/>
  <c r="AP7" i="8"/>
  <c r="AP8" i="8"/>
  <c r="AP9" i="8"/>
  <c r="AP10" i="8"/>
  <c r="AP11" i="8"/>
  <c r="AP12" i="8"/>
  <c r="AP13" i="8"/>
  <c r="AP14" i="8"/>
  <c r="AP15" i="8"/>
  <c r="AP16" i="8"/>
  <c r="AP17" i="8"/>
  <c r="AP18" i="8"/>
  <c r="AP19" i="8"/>
  <c r="AP20" i="8"/>
  <c r="AP21" i="8"/>
  <c r="AP22" i="8"/>
  <c r="AP23" i="8"/>
  <c r="AP24" i="8"/>
  <c r="AP25" i="8"/>
  <c r="AP26" i="8"/>
  <c r="AP27" i="8"/>
  <c r="AP28" i="8"/>
  <c r="AP29" i="8"/>
  <c r="AP30" i="8"/>
  <c r="AP31" i="8"/>
  <c r="AP32" i="8"/>
  <c r="AP33" i="8"/>
  <c r="AP34" i="8"/>
  <c r="AP35" i="8"/>
  <c r="AP36" i="8"/>
  <c r="AP37" i="8"/>
  <c r="AP38" i="8"/>
  <c r="AP39" i="8"/>
  <c r="AP40" i="8"/>
  <c r="AP41" i="8"/>
  <c r="AP42" i="8"/>
  <c r="AP43" i="8"/>
  <c r="AP44" i="8"/>
  <c r="AP45" i="8"/>
  <c r="AP46" i="8"/>
  <c r="AP47" i="8"/>
  <c r="AP48" i="8"/>
  <c r="AP49" i="8"/>
  <c r="AP50" i="8"/>
  <c r="AP51" i="8"/>
  <c r="AP52" i="8"/>
  <c r="AP53" i="8"/>
  <c r="AP54" i="8"/>
  <c r="AP56" i="8"/>
  <c r="AP57" i="8"/>
  <c r="AP4" i="8"/>
  <c r="AI5" i="8"/>
  <c r="AI6" i="8"/>
  <c r="AI7" i="8"/>
  <c r="AI8" i="8"/>
  <c r="AI9" i="8"/>
  <c r="AI10" i="8"/>
  <c r="AI11" i="8"/>
  <c r="AI12" i="8"/>
  <c r="AI13" i="8"/>
  <c r="AI14" i="8"/>
  <c r="AI15" i="8"/>
  <c r="AI16" i="8"/>
  <c r="AI17" i="8"/>
  <c r="AI18" i="8"/>
  <c r="AI19" i="8"/>
  <c r="AI20" i="8"/>
  <c r="AI21" i="8"/>
  <c r="AI22" i="8"/>
  <c r="AI23" i="8"/>
  <c r="AI24" i="8"/>
  <c r="AI25" i="8"/>
  <c r="AI26" i="8"/>
  <c r="AI27" i="8"/>
  <c r="AI28" i="8"/>
  <c r="AI29" i="8"/>
  <c r="AI30" i="8"/>
  <c r="AI31" i="8"/>
  <c r="AI32" i="8"/>
  <c r="AI33" i="8"/>
  <c r="AI34" i="8"/>
  <c r="AI35" i="8"/>
  <c r="AI36" i="8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3" i="8"/>
  <c r="AI54" i="8"/>
  <c r="AI56" i="8"/>
  <c r="AI57" i="8"/>
  <c r="AI4" i="8"/>
  <c r="AB5" i="8"/>
  <c r="AB6" i="8"/>
  <c r="AB7" i="8"/>
  <c r="AB8" i="8"/>
  <c r="AB9" i="8"/>
  <c r="AB10" i="8"/>
  <c r="AB11" i="8"/>
  <c r="AB12" i="8"/>
  <c r="AB13" i="8"/>
  <c r="AB14" i="8"/>
  <c r="AB15" i="8"/>
  <c r="AB16" i="8"/>
  <c r="AB17" i="8"/>
  <c r="AB18" i="8"/>
  <c r="AB19" i="8"/>
  <c r="AB20" i="8"/>
  <c r="AB21" i="8"/>
  <c r="AB22" i="8"/>
  <c r="AB23" i="8"/>
  <c r="AB24" i="8"/>
  <c r="AB25" i="8"/>
  <c r="AB26" i="8"/>
  <c r="AB27" i="8"/>
  <c r="AB28" i="8"/>
  <c r="AB29" i="8"/>
  <c r="AB30" i="8"/>
  <c r="AB31" i="8"/>
  <c r="AB32" i="8"/>
  <c r="AB33" i="8"/>
  <c r="AB34" i="8"/>
  <c r="AB35" i="8"/>
  <c r="AB36" i="8"/>
  <c r="AB37" i="8"/>
  <c r="AB38" i="8"/>
  <c r="AB39" i="8"/>
  <c r="AB40" i="8"/>
  <c r="AB41" i="8"/>
  <c r="AB42" i="8"/>
  <c r="AB43" i="8"/>
  <c r="AB44" i="8"/>
  <c r="AB45" i="8"/>
  <c r="AB46" i="8"/>
  <c r="AB47" i="8"/>
  <c r="AB48" i="8"/>
  <c r="AB49" i="8"/>
  <c r="AB50" i="8"/>
  <c r="AB51" i="8"/>
  <c r="AB52" i="8"/>
  <c r="AB53" i="8"/>
  <c r="AB54" i="8"/>
  <c r="AB56" i="8"/>
  <c r="AB57" i="8"/>
  <c r="AB4" i="8"/>
  <c r="U5" i="8"/>
  <c r="U6" i="8"/>
  <c r="U7" i="8"/>
  <c r="U8" i="8"/>
  <c r="U9" i="8"/>
  <c r="U10" i="8"/>
  <c r="U11" i="8"/>
  <c r="U12" i="8"/>
  <c r="U13" i="8"/>
  <c r="U14" i="8"/>
  <c r="U15" i="8"/>
  <c r="U16" i="8"/>
  <c r="U17" i="8"/>
  <c r="U18" i="8"/>
  <c r="U19" i="8"/>
  <c r="U20" i="8"/>
  <c r="U21" i="8"/>
  <c r="U22" i="8"/>
  <c r="U23" i="8"/>
  <c r="U24" i="8"/>
  <c r="U25" i="8"/>
  <c r="U26" i="8"/>
  <c r="U27" i="8"/>
  <c r="U28" i="8"/>
  <c r="U29" i="8"/>
  <c r="U30" i="8"/>
  <c r="U31" i="8"/>
  <c r="U32" i="8"/>
  <c r="U33" i="8"/>
  <c r="U34" i="8"/>
  <c r="U35" i="8"/>
  <c r="U36" i="8"/>
  <c r="U37" i="8"/>
  <c r="U38" i="8"/>
  <c r="U39" i="8"/>
  <c r="U40" i="8"/>
  <c r="U41" i="8"/>
  <c r="U42" i="8"/>
  <c r="U43" i="8"/>
  <c r="U44" i="8"/>
  <c r="U45" i="8"/>
  <c r="U46" i="8"/>
  <c r="U47" i="8"/>
  <c r="U48" i="8"/>
  <c r="U49" i="8"/>
  <c r="U50" i="8"/>
  <c r="U51" i="8"/>
  <c r="U52" i="8"/>
  <c r="U53" i="8"/>
  <c r="U54" i="8"/>
  <c r="U56" i="8"/>
  <c r="U57" i="8"/>
  <c r="U4" i="8"/>
  <c r="N5" i="8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N26" i="8"/>
  <c r="N27" i="8"/>
  <c r="N28" i="8"/>
  <c r="N29" i="8"/>
  <c r="N30" i="8"/>
  <c r="N31" i="8"/>
  <c r="N32" i="8"/>
  <c r="N33" i="8"/>
  <c r="N34" i="8"/>
  <c r="N35" i="8"/>
  <c r="N36" i="8"/>
  <c r="N37" i="8"/>
  <c r="N38" i="8"/>
  <c r="N39" i="8"/>
  <c r="N40" i="8"/>
  <c r="N41" i="8"/>
  <c r="N42" i="8"/>
  <c r="N43" i="8"/>
  <c r="N44" i="8"/>
  <c r="N45" i="8"/>
  <c r="N46" i="8"/>
  <c r="N47" i="8"/>
  <c r="N48" i="8"/>
  <c r="N49" i="8"/>
  <c r="N50" i="8"/>
  <c r="N51" i="8"/>
  <c r="N52" i="8"/>
  <c r="N53" i="8"/>
  <c r="N54" i="8"/>
  <c r="N56" i="8"/>
  <c r="N57" i="8"/>
  <c r="N4" i="8"/>
  <c r="AP5" i="7"/>
  <c r="AP6" i="7"/>
  <c r="AP7" i="7"/>
  <c r="AP8" i="7"/>
  <c r="AP9" i="7"/>
  <c r="AP10" i="7"/>
  <c r="AP11" i="7"/>
  <c r="AP12" i="7"/>
  <c r="AP13" i="7"/>
  <c r="AP14" i="7"/>
  <c r="AP15" i="7"/>
  <c r="AP16" i="7"/>
  <c r="AP17" i="7"/>
  <c r="AP18" i="7"/>
  <c r="AP19" i="7"/>
  <c r="AP20" i="7"/>
  <c r="AP21" i="7"/>
  <c r="AP22" i="7"/>
  <c r="AP23" i="7"/>
  <c r="AP24" i="7"/>
  <c r="AP25" i="7"/>
  <c r="AP26" i="7"/>
  <c r="AP27" i="7"/>
  <c r="AP28" i="7"/>
  <c r="AP29" i="7"/>
  <c r="AP30" i="7"/>
  <c r="AP31" i="7"/>
  <c r="AP32" i="7"/>
  <c r="AP33" i="7"/>
  <c r="AP34" i="7"/>
  <c r="AP35" i="7"/>
  <c r="AP36" i="7"/>
  <c r="AP37" i="7"/>
  <c r="AP38" i="7"/>
  <c r="AP39" i="7"/>
  <c r="AP40" i="7"/>
  <c r="AP41" i="7"/>
  <c r="AP42" i="7"/>
  <c r="AP43" i="7"/>
  <c r="AP44" i="7"/>
  <c r="AP45" i="7"/>
  <c r="AP46" i="7"/>
  <c r="AP47" i="7"/>
  <c r="AP48" i="7"/>
  <c r="AP49" i="7"/>
  <c r="AP50" i="7"/>
  <c r="AP51" i="7"/>
  <c r="AP52" i="7"/>
  <c r="AP53" i="7"/>
  <c r="AP54" i="7"/>
  <c r="AP56" i="7"/>
  <c r="AP57" i="7"/>
  <c r="AP4" i="7"/>
  <c r="B4" i="14" l="1"/>
  <c r="CM5" i="7"/>
  <c r="CM6" i="7"/>
  <c r="CM7" i="7"/>
  <c r="CM8" i="7"/>
  <c r="CM9" i="7"/>
  <c r="CM10" i="7"/>
  <c r="CM11" i="7"/>
  <c r="CM12" i="7"/>
  <c r="CM13" i="7"/>
  <c r="CM14" i="7"/>
  <c r="CM15" i="7"/>
  <c r="CM16" i="7"/>
  <c r="CM17" i="7"/>
  <c r="CM18" i="7"/>
  <c r="CM19" i="7"/>
  <c r="CM20" i="7"/>
  <c r="CM21" i="7"/>
  <c r="CM22" i="7"/>
  <c r="CM23" i="7"/>
  <c r="CM24" i="7"/>
  <c r="CM25" i="7"/>
  <c r="CM26" i="7"/>
  <c r="CM27" i="7"/>
  <c r="CM28" i="7"/>
  <c r="CM29" i="7"/>
  <c r="CM30" i="7"/>
  <c r="CM31" i="7"/>
  <c r="CM32" i="7"/>
  <c r="CM33" i="7"/>
  <c r="CM34" i="7"/>
  <c r="CM35" i="7"/>
  <c r="CM36" i="7"/>
  <c r="CM37" i="7"/>
  <c r="CM38" i="7"/>
  <c r="CM39" i="7"/>
  <c r="CM40" i="7"/>
  <c r="CM41" i="7"/>
  <c r="CM42" i="7"/>
  <c r="CM43" i="7"/>
  <c r="CM44" i="7"/>
  <c r="CM45" i="7"/>
  <c r="CM46" i="7"/>
  <c r="CM47" i="7"/>
  <c r="CM48" i="7"/>
  <c r="CM49" i="7"/>
  <c r="CM50" i="7"/>
  <c r="CM51" i="7"/>
  <c r="CM52" i="7"/>
  <c r="CM53" i="7"/>
  <c r="CM54" i="7"/>
  <c r="CM55" i="7"/>
  <c r="CM56" i="7"/>
  <c r="CM57" i="7"/>
  <c r="CM58" i="7"/>
  <c r="CM4" i="7"/>
  <c r="CF5" i="7"/>
  <c r="CF6" i="7"/>
  <c r="CF7" i="7"/>
  <c r="CF8" i="7"/>
  <c r="CF9" i="7"/>
  <c r="CF10" i="7"/>
  <c r="CF11" i="7"/>
  <c r="CF12" i="7"/>
  <c r="CF13" i="7"/>
  <c r="CF14" i="7"/>
  <c r="CF15" i="7"/>
  <c r="CF16" i="7"/>
  <c r="CF17" i="7"/>
  <c r="CF18" i="7"/>
  <c r="CF19" i="7"/>
  <c r="CF20" i="7"/>
  <c r="CF21" i="7"/>
  <c r="CF22" i="7"/>
  <c r="CF23" i="7"/>
  <c r="CF24" i="7"/>
  <c r="CF25" i="7"/>
  <c r="CF26" i="7"/>
  <c r="CF27" i="7"/>
  <c r="CF28" i="7"/>
  <c r="CF29" i="7"/>
  <c r="CF30" i="7"/>
  <c r="CF31" i="7"/>
  <c r="CF32" i="7"/>
  <c r="CF33" i="7"/>
  <c r="CF34" i="7"/>
  <c r="CF35" i="7"/>
  <c r="CF36" i="7"/>
  <c r="CF37" i="7"/>
  <c r="CF38" i="7"/>
  <c r="CF39" i="7"/>
  <c r="CF40" i="7"/>
  <c r="CF41" i="7"/>
  <c r="CF42" i="7"/>
  <c r="CF43" i="7"/>
  <c r="CF44" i="7"/>
  <c r="CF45" i="7"/>
  <c r="CF46" i="7"/>
  <c r="CF47" i="7"/>
  <c r="CF48" i="7"/>
  <c r="CF49" i="7"/>
  <c r="CF50" i="7"/>
  <c r="CF51" i="7"/>
  <c r="CF52" i="7"/>
  <c r="CF53" i="7"/>
  <c r="CF54" i="7"/>
  <c r="CF55" i="7"/>
  <c r="CF56" i="7"/>
  <c r="CF57" i="7"/>
  <c r="CF58" i="7"/>
  <c r="CF4" i="7"/>
  <c r="BY5" i="7"/>
  <c r="BY6" i="7"/>
  <c r="BY7" i="7"/>
  <c r="BY8" i="7"/>
  <c r="BY9" i="7"/>
  <c r="BY10" i="7"/>
  <c r="BY11" i="7"/>
  <c r="BY12" i="7"/>
  <c r="BY13" i="7"/>
  <c r="BY14" i="7"/>
  <c r="BY15" i="7"/>
  <c r="BY16" i="7"/>
  <c r="BY17" i="7"/>
  <c r="BY18" i="7"/>
  <c r="BY19" i="7"/>
  <c r="BY20" i="7"/>
  <c r="BY21" i="7"/>
  <c r="BY22" i="7"/>
  <c r="BY23" i="7"/>
  <c r="BY24" i="7"/>
  <c r="BY25" i="7"/>
  <c r="BY26" i="7"/>
  <c r="BY27" i="7"/>
  <c r="BY28" i="7"/>
  <c r="BY29" i="7"/>
  <c r="BY30" i="7"/>
  <c r="BY31" i="7"/>
  <c r="BY32" i="7"/>
  <c r="BY33" i="7"/>
  <c r="BY34" i="7"/>
  <c r="BY35" i="7"/>
  <c r="BY36" i="7"/>
  <c r="BY37" i="7"/>
  <c r="BY38" i="7"/>
  <c r="BY39" i="7"/>
  <c r="BY40" i="7"/>
  <c r="BY41" i="7"/>
  <c r="BY42" i="7"/>
  <c r="BY43" i="7"/>
  <c r="BY44" i="7"/>
  <c r="BY45" i="7"/>
  <c r="BY46" i="7"/>
  <c r="BY47" i="7"/>
  <c r="BY48" i="7"/>
  <c r="BY49" i="7"/>
  <c r="BY50" i="7"/>
  <c r="BY51" i="7"/>
  <c r="BY52" i="7"/>
  <c r="BY53" i="7"/>
  <c r="BY54" i="7"/>
  <c r="BY55" i="7"/>
  <c r="BY56" i="7"/>
  <c r="BY57" i="7"/>
  <c r="BY58" i="7"/>
  <c r="BY4" i="7"/>
  <c r="BR5" i="7"/>
  <c r="BR6" i="7"/>
  <c r="BR7" i="7"/>
  <c r="BR8" i="7"/>
  <c r="BR9" i="7"/>
  <c r="BR10" i="7"/>
  <c r="BR11" i="7"/>
  <c r="BR12" i="7"/>
  <c r="BR13" i="7"/>
  <c r="BR14" i="7"/>
  <c r="BR15" i="7"/>
  <c r="BR16" i="7"/>
  <c r="BR17" i="7"/>
  <c r="BR18" i="7"/>
  <c r="BR19" i="7"/>
  <c r="BR20" i="7"/>
  <c r="BR21" i="7"/>
  <c r="BR22" i="7"/>
  <c r="BR23" i="7"/>
  <c r="BR24" i="7"/>
  <c r="BR25" i="7"/>
  <c r="BR26" i="7"/>
  <c r="BR27" i="7"/>
  <c r="BR28" i="7"/>
  <c r="BR29" i="7"/>
  <c r="BR30" i="7"/>
  <c r="BR31" i="7"/>
  <c r="BR32" i="7"/>
  <c r="BR33" i="7"/>
  <c r="BR34" i="7"/>
  <c r="BR35" i="7"/>
  <c r="BR36" i="7"/>
  <c r="BR37" i="7"/>
  <c r="BR38" i="7"/>
  <c r="BR39" i="7"/>
  <c r="BR40" i="7"/>
  <c r="BR41" i="7"/>
  <c r="BR42" i="7"/>
  <c r="BR43" i="7"/>
  <c r="BR44" i="7"/>
  <c r="BR45" i="7"/>
  <c r="BR46" i="7"/>
  <c r="BR47" i="7"/>
  <c r="BR48" i="7"/>
  <c r="BR49" i="7"/>
  <c r="BR50" i="7"/>
  <c r="BR51" i="7"/>
  <c r="BR52" i="7"/>
  <c r="BR53" i="7"/>
  <c r="BR54" i="7"/>
  <c r="BR55" i="7"/>
  <c r="BR56" i="7"/>
  <c r="BR57" i="7"/>
  <c r="BR58" i="7"/>
  <c r="BR4" i="7"/>
  <c r="BK5" i="7"/>
  <c r="BK6" i="7"/>
  <c r="BK7" i="7"/>
  <c r="BK8" i="7"/>
  <c r="BK9" i="7"/>
  <c r="BK10" i="7"/>
  <c r="BK11" i="7"/>
  <c r="BK12" i="7"/>
  <c r="BK13" i="7"/>
  <c r="BK14" i="7"/>
  <c r="BK15" i="7"/>
  <c r="BK16" i="7"/>
  <c r="BK17" i="7"/>
  <c r="BK18" i="7"/>
  <c r="BK19" i="7"/>
  <c r="BK20" i="7"/>
  <c r="BK21" i="7"/>
  <c r="BK22" i="7"/>
  <c r="BK23" i="7"/>
  <c r="BK24" i="7"/>
  <c r="BK25" i="7"/>
  <c r="BK26" i="7"/>
  <c r="BK27" i="7"/>
  <c r="BK28" i="7"/>
  <c r="BK29" i="7"/>
  <c r="BK30" i="7"/>
  <c r="BK31" i="7"/>
  <c r="BK32" i="7"/>
  <c r="BK33" i="7"/>
  <c r="BK34" i="7"/>
  <c r="BK35" i="7"/>
  <c r="BK36" i="7"/>
  <c r="BK37" i="7"/>
  <c r="BK38" i="7"/>
  <c r="BK39" i="7"/>
  <c r="BK40" i="7"/>
  <c r="BK41" i="7"/>
  <c r="BK42" i="7"/>
  <c r="BK43" i="7"/>
  <c r="BK44" i="7"/>
  <c r="BK45" i="7"/>
  <c r="BK46" i="7"/>
  <c r="BK47" i="7"/>
  <c r="BK48" i="7"/>
  <c r="BK49" i="7"/>
  <c r="BK50" i="7"/>
  <c r="BK51" i="7"/>
  <c r="BK52" i="7"/>
  <c r="BK53" i="7"/>
  <c r="BK54" i="7"/>
  <c r="BK55" i="7"/>
  <c r="BK56" i="7"/>
  <c r="BK57" i="7"/>
  <c r="BK58" i="7"/>
  <c r="BK4" i="7"/>
  <c r="BD5" i="7"/>
  <c r="BD6" i="7"/>
  <c r="BD7" i="7"/>
  <c r="BD8" i="7"/>
  <c r="BD9" i="7"/>
  <c r="BD10" i="7"/>
  <c r="BD11" i="7"/>
  <c r="BD12" i="7"/>
  <c r="BD13" i="7"/>
  <c r="BD14" i="7"/>
  <c r="BD15" i="7"/>
  <c r="BD16" i="7"/>
  <c r="BD17" i="7"/>
  <c r="BD18" i="7"/>
  <c r="BD19" i="7"/>
  <c r="BD20" i="7"/>
  <c r="BD21" i="7"/>
  <c r="BD22" i="7"/>
  <c r="BD23" i="7"/>
  <c r="BD24" i="7"/>
  <c r="BD25" i="7"/>
  <c r="BD26" i="7"/>
  <c r="BD27" i="7"/>
  <c r="BD28" i="7"/>
  <c r="BD29" i="7"/>
  <c r="BD30" i="7"/>
  <c r="BD31" i="7"/>
  <c r="BD32" i="7"/>
  <c r="BD33" i="7"/>
  <c r="BD34" i="7"/>
  <c r="BD35" i="7"/>
  <c r="BD36" i="7"/>
  <c r="BD37" i="7"/>
  <c r="BD38" i="7"/>
  <c r="BD39" i="7"/>
  <c r="BD40" i="7"/>
  <c r="BD41" i="7"/>
  <c r="BD42" i="7"/>
  <c r="BD43" i="7"/>
  <c r="BD44" i="7"/>
  <c r="BD45" i="7"/>
  <c r="BD46" i="7"/>
  <c r="BD47" i="7"/>
  <c r="BD48" i="7"/>
  <c r="BD49" i="7"/>
  <c r="BD50" i="7"/>
  <c r="BD51" i="7"/>
  <c r="BD52" i="7"/>
  <c r="BD53" i="7"/>
  <c r="BD54" i="7"/>
  <c r="BD55" i="7"/>
  <c r="BD56" i="7"/>
  <c r="BD57" i="7"/>
  <c r="BD58" i="7"/>
  <c r="BD4" i="7"/>
  <c r="AW5" i="7"/>
  <c r="AW6" i="7"/>
  <c r="AW7" i="7"/>
  <c r="AW8" i="7"/>
  <c r="AW9" i="7"/>
  <c r="AW10" i="7"/>
  <c r="AW11" i="7"/>
  <c r="AW12" i="7"/>
  <c r="AW13" i="7"/>
  <c r="AW14" i="7"/>
  <c r="AW15" i="7"/>
  <c r="AW16" i="7"/>
  <c r="AW17" i="7"/>
  <c r="AW18" i="7"/>
  <c r="AW19" i="7"/>
  <c r="AW20" i="7"/>
  <c r="AW21" i="7"/>
  <c r="AW22" i="7"/>
  <c r="AW23" i="7"/>
  <c r="AW24" i="7"/>
  <c r="AW25" i="7"/>
  <c r="AW26" i="7"/>
  <c r="AW27" i="7"/>
  <c r="AW28" i="7"/>
  <c r="AW29" i="7"/>
  <c r="AW30" i="7"/>
  <c r="AW31" i="7"/>
  <c r="AW32" i="7"/>
  <c r="AW33" i="7"/>
  <c r="AW34" i="7"/>
  <c r="AW35" i="7"/>
  <c r="AW36" i="7"/>
  <c r="AW37" i="7"/>
  <c r="AW38" i="7"/>
  <c r="AW39" i="7"/>
  <c r="AW40" i="7"/>
  <c r="AW41" i="7"/>
  <c r="AW42" i="7"/>
  <c r="AW43" i="7"/>
  <c r="AW44" i="7"/>
  <c r="AW45" i="7"/>
  <c r="AW46" i="7"/>
  <c r="AW47" i="7"/>
  <c r="AW48" i="7"/>
  <c r="AW49" i="7"/>
  <c r="AW50" i="7"/>
  <c r="AW51" i="7"/>
  <c r="AW52" i="7"/>
  <c r="AW53" i="7"/>
  <c r="AW54" i="7"/>
  <c r="AW55" i="7"/>
  <c r="AW56" i="7"/>
  <c r="AW57" i="7"/>
  <c r="AW58" i="7"/>
  <c r="AW4" i="7"/>
  <c r="AI5" i="7"/>
  <c r="AI6" i="7"/>
  <c r="AI7" i="7"/>
  <c r="AI8" i="7"/>
  <c r="AI9" i="7"/>
  <c r="AI10" i="7"/>
  <c r="AI11" i="7"/>
  <c r="AI12" i="7"/>
  <c r="AI13" i="7"/>
  <c r="AI14" i="7"/>
  <c r="AI15" i="7"/>
  <c r="AI16" i="7"/>
  <c r="AI17" i="7"/>
  <c r="AI18" i="7"/>
  <c r="AI19" i="7"/>
  <c r="AI20" i="7"/>
  <c r="AI21" i="7"/>
  <c r="AI22" i="7"/>
  <c r="AI23" i="7"/>
  <c r="AI24" i="7"/>
  <c r="AI25" i="7"/>
  <c r="AI26" i="7"/>
  <c r="AI27" i="7"/>
  <c r="AI28" i="7"/>
  <c r="AI29" i="7"/>
  <c r="AI30" i="7"/>
  <c r="AI31" i="7"/>
  <c r="AI32" i="7"/>
  <c r="AI33" i="7"/>
  <c r="AI34" i="7"/>
  <c r="AI35" i="7"/>
  <c r="AI36" i="7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3" i="7"/>
  <c r="AI54" i="7"/>
  <c r="AI56" i="7"/>
  <c r="AI57" i="7"/>
  <c r="AI4" i="7"/>
  <c r="AB5" i="7"/>
  <c r="AB6" i="7"/>
  <c r="AB7" i="7"/>
  <c r="AB8" i="7"/>
  <c r="AB9" i="7"/>
  <c r="AB10" i="7"/>
  <c r="AB11" i="7"/>
  <c r="AB12" i="7"/>
  <c r="AB13" i="7"/>
  <c r="AB14" i="7"/>
  <c r="AB15" i="7"/>
  <c r="AB16" i="7"/>
  <c r="AB17" i="7"/>
  <c r="AB18" i="7"/>
  <c r="AB19" i="7"/>
  <c r="AB20" i="7"/>
  <c r="AB21" i="7"/>
  <c r="AB22" i="7"/>
  <c r="AB23" i="7"/>
  <c r="AB24" i="7"/>
  <c r="AB25" i="7"/>
  <c r="AB26" i="7"/>
  <c r="AB27" i="7"/>
  <c r="AB28" i="7"/>
  <c r="AB29" i="7"/>
  <c r="AB30" i="7"/>
  <c r="AB31" i="7"/>
  <c r="AB32" i="7"/>
  <c r="AB33" i="7"/>
  <c r="AB34" i="7"/>
  <c r="AB35" i="7"/>
  <c r="AB36" i="7"/>
  <c r="AB37" i="7"/>
  <c r="AB38" i="7"/>
  <c r="AB39" i="7"/>
  <c r="AB40" i="7"/>
  <c r="AB41" i="7"/>
  <c r="AB42" i="7"/>
  <c r="AB43" i="7"/>
  <c r="AB44" i="7"/>
  <c r="AB45" i="7"/>
  <c r="AB46" i="7"/>
  <c r="AB47" i="7"/>
  <c r="AB48" i="7"/>
  <c r="AB49" i="7"/>
  <c r="AB50" i="7"/>
  <c r="AB51" i="7"/>
  <c r="AB52" i="7"/>
  <c r="AB53" i="7"/>
  <c r="AB54" i="7"/>
  <c r="AB56" i="7"/>
  <c r="AB57" i="7"/>
  <c r="AB4" i="7"/>
  <c r="U5" i="7"/>
  <c r="U6" i="7"/>
  <c r="U7" i="7"/>
  <c r="U8" i="7"/>
  <c r="U9" i="7"/>
  <c r="U10" i="7"/>
  <c r="U11" i="7"/>
  <c r="U12" i="7"/>
  <c r="U13" i="7"/>
  <c r="U14" i="7"/>
  <c r="U15" i="7"/>
  <c r="U16" i="7"/>
  <c r="U17" i="7"/>
  <c r="U18" i="7"/>
  <c r="U19" i="7"/>
  <c r="U20" i="7"/>
  <c r="U21" i="7"/>
  <c r="U22" i="7"/>
  <c r="U23" i="7"/>
  <c r="U24" i="7"/>
  <c r="U25" i="7"/>
  <c r="U26" i="7"/>
  <c r="U27" i="7"/>
  <c r="U28" i="7"/>
  <c r="U29" i="7"/>
  <c r="U30" i="7"/>
  <c r="U31" i="7"/>
  <c r="U32" i="7"/>
  <c r="U33" i="7"/>
  <c r="U34" i="7"/>
  <c r="U35" i="7"/>
  <c r="U36" i="7"/>
  <c r="U37" i="7"/>
  <c r="U38" i="7"/>
  <c r="U39" i="7"/>
  <c r="U40" i="7"/>
  <c r="U41" i="7"/>
  <c r="U42" i="7"/>
  <c r="U43" i="7"/>
  <c r="U44" i="7"/>
  <c r="U45" i="7"/>
  <c r="U46" i="7"/>
  <c r="U47" i="7"/>
  <c r="U48" i="7"/>
  <c r="U49" i="7"/>
  <c r="U50" i="7"/>
  <c r="U51" i="7"/>
  <c r="U52" i="7"/>
  <c r="U53" i="7"/>
  <c r="U54" i="7"/>
  <c r="U56" i="7"/>
  <c r="U57" i="7"/>
  <c r="U4" i="7"/>
  <c r="N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44" i="7"/>
  <c r="N45" i="7"/>
  <c r="N46" i="7"/>
  <c r="N47" i="7"/>
  <c r="N48" i="7"/>
  <c r="N49" i="7"/>
  <c r="N50" i="7"/>
  <c r="N51" i="7"/>
  <c r="N52" i="7"/>
  <c r="N53" i="7"/>
  <c r="N54" i="7"/>
  <c r="N56" i="7"/>
  <c r="N57" i="7"/>
  <c r="N4" i="7"/>
  <c r="CM5" i="6"/>
  <c r="CM6" i="6"/>
  <c r="CM7" i="6"/>
  <c r="CM8" i="6"/>
  <c r="CM9" i="6"/>
  <c r="CM10" i="6"/>
  <c r="CM11" i="6"/>
  <c r="CM12" i="6"/>
  <c r="CM13" i="6"/>
  <c r="CM14" i="6"/>
  <c r="CM15" i="6"/>
  <c r="CM16" i="6"/>
  <c r="CM17" i="6"/>
  <c r="CM18" i="6"/>
  <c r="CM19" i="6"/>
  <c r="CM20" i="6"/>
  <c r="CM21" i="6"/>
  <c r="CM22" i="6"/>
  <c r="CM23" i="6"/>
  <c r="CM24" i="6"/>
  <c r="CM25" i="6"/>
  <c r="CM26" i="6"/>
  <c r="CM27" i="6"/>
  <c r="CM28" i="6"/>
  <c r="CM29" i="6"/>
  <c r="CM30" i="6"/>
  <c r="CM31" i="6"/>
  <c r="CM32" i="6"/>
  <c r="CM33" i="6"/>
  <c r="CM34" i="6"/>
  <c r="CM35" i="6"/>
  <c r="CM36" i="6"/>
  <c r="CM37" i="6"/>
  <c r="CM38" i="6"/>
  <c r="CM39" i="6"/>
  <c r="CM40" i="6"/>
  <c r="CM41" i="6"/>
  <c r="CM42" i="6"/>
  <c r="CM43" i="6"/>
  <c r="CM44" i="6"/>
  <c r="CM45" i="6"/>
  <c r="CM46" i="6"/>
  <c r="CM47" i="6"/>
  <c r="CM48" i="6"/>
  <c r="CM49" i="6"/>
  <c r="CM50" i="6"/>
  <c r="CM51" i="6"/>
  <c r="CM52" i="6"/>
  <c r="CM53" i="6"/>
  <c r="CM54" i="6"/>
  <c r="CM55" i="6"/>
  <c r="CM56" i="6"/>
  <c r="CM57" i="6"/>
  <c r="CM58" i="6"/>
  <c r="CM4" i="6"/>
  <c r="CF5" i="6"/>
  <c r="CF6" i="6"/>
  <c r="CF7" i="6"/>
  <c r="CF8" i="6"/>
  <c r="CF9" i="6"/>
  <c r="CF10" i="6"/>
  <c r="CF11" i="6"/>
  <c r="CF12" i="6"/>
  <c r="CF13" i="6"/>
  <c r="CF14" i="6"/>
  <c r="CF15" i="6"/>
  <c r="CF16" i="6"/>
  <c r="CF17" i="6"/>
  <c r="CF18" i="6"/>
  <c r="CF19" i="6"/>
  <c r="CF20" i="6"/>
  <c r="CF21" i="6"/>
  <c r="CF22" i="6"/>
  <c r="CF23" i="6"/>
  <c r="CF24" i="6"/>
  <c r="CF25" i="6"/>
  <c r="CF26" i="6"/>
  <c r="CF27" i="6"/>
  <c r="CF28" i="6"/>
  <c r="CF29" i="6"/>
  <c r="CF30" i="6"/>
  <c r="CF31" i="6"/>
  <c r="CF32" i="6"/>
  <c r="CF33" i="6"/>
  <c r="CF34" i="6"/>
  <c r="CF35" i="6"/>
  <c r="CF36" i="6"/>
  <c r="CF37" i="6"/>
  <c r="CF38" i="6"/>
  <c r="CF39" i="6"/>
  <c r="CF40" i="6"/>
  <c r="CF41" i="6"/>
  <c r="CF42" i="6"/>
  <c r="CF43" i="6"/>
  <c r="CF44" i="6"/>
  <c r="CF45" i="6"/>
  <c r="CF46" i="6"/>
  <c r="CF47" i="6"/>
  <c r="CF48" i="6"/>
  <c r="CF49" i="6"/>
  <c r="CF50" i="6"/>
  <c r="CF51" i="6"/>
  <c r="CF52" i="6"/>
  <c r="CF53" i="6"/>
  <c r="CF54" i="6"/>
  <c r="CF55" i="6"/>
  <c r="CF56" i="6"/>
  <c r="CF57" i="6"/>
  <c r="CF58" i="6"/>
  <c r="CF4" i="6"/>
  <c r="BY5" i="6"/>
  <c r="BY6" i="6"/>
  <c r="BY7" i="6"/>
  <c r="BY8" i="6"/>
  <c r="BY9" i="6"/>
  <c r="BY10" i="6"/>
  <c r="BY11" i="6"/>
  <c r="BY12" i="6"/>
  <c r="BY13" i="6"/>
  <c r="BY14" i="6"/>
  <c r="BY15" i="6"/>
  <c r="BY16" i="6"/>
  <c r="BY17" i="6"/>
  <c r="BY18" i="6"/>
  <c r="BY19" i="6"/>
  <c r="BY20" i="6"/>
  <c r="BY21" i="6"/>
  <c r="BY22" i="6"/>
  <c r="BY23" i="6"/>
  <c r="BY24" i="6"/>
  <c r="BY25" i="6"/>
  <c r="BY26" i="6"/>
  <c r="BY27" i="6"/>
  <c r="BY28" i="6"/>
  <c r="BY29" i="6"/>
  <c r="BY30" i="6"/>
  <c r="BY31" i="6"/>
  <c r="BY32" i="6"/>
  <c r="BY33" i="6"/>
  <c r="BY34" i="6"/>
  <c r="BY35" i="6"/>
  <c r="BY36" i="6"/>
  <c r="BY37" i="6"/>
  <c r="BY38" i="6"/>
  <c r="BY39" i="6"/>
  <c r="BY40" i="6"/>
  <c r="BY41" i="6"/>
  <c r="BY42" i="6"/>
  <c r="BY43" i="6"/>
  <c r="BY44" i="6"/>
  <c r="BY45" i="6"/>
  <c r="BY46" i="6"/>
  <c r="BY47" i="6"/>
  <c r="BY48" i="6"/>
  <c r="BY49" i="6"/>
  <c r="BY50" i="6"/>
  <c r="BY51" i="6"/>
  <c r="BY52" i="6"/>
  <c r="BY53" i="6"/>
  <c r="BY54" i="6"/>
  <c r="BY55" i="6"/>
  <c r="BY56" i="6"/>
  <c r="BY57" i="6"/>
  <c r="BY58" i="6"/>
  <c r="BY4" i="6"/>
  <c r="BR5" i="6"/>
  <c r="BR6" i="6"/>
  <c r="BR7" i="6"/>
  <c r="BR8" i="6"/>
  <c r="BR9" i="6"/>
  <c r="BR10" i="6"/>
  <c r="BR11" i="6"/>
  <c r="BR12" i="6"/>
  <c r="BR13" i="6"/>
  <c r="BR14" i="6"/>
  <c r="BR15" i="6"/>
  <c r="BR16" i="6"/>
  <c r="BR17" i="6"/>
  <c r="BR18" i="6"/>
  <c r="BR19" i="6"/>
  <c r="BR20" i="6"/>
  <c r="BR21" i="6"/>
  <c r="BR22" i="6"/>
  <c r="BR23" i="6"/>
  <c r="BR24" i="6"/>
  <c r="BR25" i="6"/>
  <c r="BR26" i="6"/>
  <c r="BR27" i="6"/>
  <c r="BR28" i="6"/>
  <c r="BR29" i="6"/>
  <c r="BR30" i="6"/>
  <c r="BR31" i="6"/>
  <c r="BR32" i="6"/>
  <c r="BR33" i="6"/>
  <c r="BR34" i="6"/>
  <c r="BR35" i="6"/>
  <c r="BR36" i="6"/>
  <c r="BR37" i="6"/>
  <c r="BR38" i="6"/>
  <c r="BR39" i="6"/>
  <c r="BR40" i="6"/>
  <c r="BR41" i="6"/>
  <c r="BR42" i="6"/>
  <c r="BR43" i="6"/>
  <c r="BR44" i="6"/>
  <c r="BR45" i="6"/>
  <c r="BR46" i="6"/>
  <c r="BR47" i="6"/>
  <c r="BR48" i="6"/>
  <c r="BR49" i="6"/>
  <c r="BR50" i="6"/>
  <c r="BR51" i="6"/>
  <c r="BR52" i="6"/>
  <c r="BR53" i="6"/>
  <c r="BR54" i="6"/>
  <c r="BR55" i="6"/>
  <c r="BR56" i="6"/>
  <c r="BR57" i="6"/>
  <c r="BR58" i="6"/>
  <c r="BR4" i="6"/>
  <c r="BK5" i="6"/>
  <c r="BK6" i="6"/>
  <c r="BK7" i="6"/>
  <c r="BK8" i="6"/>
  <c r="BK9" i="6"/>
  <c r="BK10" i="6"/>
  <c r="BK11" i="6"/>
  <c r="BK12" i="6"/>
  <c r="BK13" i="6"/>
  <c r="BK14" i="6"/>
  <c r="BK15" i="6"/>
  <c r="BK16" i="6"/>
  <c r="BK17" i="6"/>
  <c r="BK18" i="6"/>
  <c r="BK19" i="6"/>
  <c r="BK20" i="6"/>
  <c r="BK21" i="6"/>
  <c r="BK22" i="6"/>
  <c r="BK23" i="6"/>
  <c r="BK24" i="6"/>
  <c r="BK25" i="6"/>
  <c r="BK26" i="6"/>
  <c r="BK27" i="6"/>
  <c r="BK28" i="6"/>
  <c r="BK29" i="6"/>
  <c r="BK30" i="6"/>
  <c r="BK31" i="6"/>
  <c r="BK32" i="6"/>
  <c r="BK33" i="6"/>
  <c r="BK34" i="6"/>
  <c r="BK35" i="6"/>
  <c r="BK36" i="6"/>
  <c r="BK37" i="6"/>
  <c r="BK38" i="6"/>
  <c r="BK39" i="6"/>
  <c r="BK40" i="6"/>
  <c r="BK41" i="6"/>
  <c r="BK42" i="6"/>
  <c r="BK43" i="6"/>
  <c r="BK44" i="6"/>
  <c r="BK45" i="6"/>
  <c r="BK46" i="6"/>
  <c r="BK47" i="6"/>
  <c r="BK48" i="6"/>
  <c r="BK49" i="6"/>
  <c r="BK50" i="6"/>
  <c r="BK51" i="6"/>
  <c r="BK52" i="6"/>
  <c r="BK53" i="6"/>
  <c r="BK54" i="6"/>
  <c r="BK55" i="6"/>
  <c r="BK56" i="6"/>
  <c r="BK57" i="6"/>
  <c r="BK58" i="6"/>
  <c r="BK4" i="6"/>
  <c r="BD5" i="6"/>
  <c r="BD6" i="6"/>
  <c r="BD7" i="6"/>
  <c r="BD8" i="6"/>
  <c r="BD9" i="6"/>
  <c r="BD10" i="6"/>
  <c r="BD11" i="6"/>
  <c r="BD12" i="6"/>
  <c r="BD13" i="6"/>
  <c r="BD14" i="6"/>
  <c r="BD15" i="6"/>
  <c r="BD16" i="6"/>
  <c r="BD17" i="6"/>
  <c r="BD18" i="6"/>
  <c r="BD19" i="6"/>
  <c r="BD20" i="6"/>
  <c r="BD21" i="6"/>
  <c r="BD22" i="6"/>
  <c r="BD23" i="6"/>
  <c r="BD24" i="6"/>
  <c r="BD25" i="6"/>
  <c r="BD26" i="6"/>
  <c r="BD27" i="6"/>
  <c r="BD28" i="6"/>
  <c r="BD29" i="6"/>
  <c r="BD30" i="6"/>
  <c r="BD31" i="6"/>
  <c r="BD32" i="6"/>
  <c r="BD33" i="6"/>
  <c r="BD34" i="6"/>
  <c r="BD35" i="6"/>
  <c r="BD36" i="6"/>
  <c r="BD37" i="6"/>
  <c r="BD38" i="6"/>
  <c r="BD39" i="6"/>
  <c r="BD40" i="6"/>
  <c r="BD41" i="6"/>
  <c r="BD42" i="6"/>
  <c r="BD43" i="6"/>
  <c r="BD44" i="6"/>
  <c r="BD45" i="6"/>
  <c r="BD46" i="6"/>
  <c r="BD47" i="6"/>
  <c r="BD48" i="6"/>
  <c r="BD49" i="6"/>
  <c r="BD50" i="6"/>
  <c r="BD51" i="6"/>
  <c r="BD52" i="6"/>
  <c r="BD53" i="6"/>
  <c r="BD54" i="6"/>
  <c r="BD55" i="6"/>
  <c r="BD56" i="6"/>
  <c r="BD57" i="6"/>
  <c r="BD58" i="6"/>
  <c r="BD4" i="6"/>
  <c r="AW5" i="6"/>
  <c r="AW6" i="6"/>
  <c r="AW7" i="6"/>
  <c r="AW8" i="6"/>
  <c r="AW9" i="6"/>
  <c r="AW10" i="6"/>
  <c r="AW11" i="6"/>
  <c r="AW12" i="6"/>
  <c r="AW13" i="6"/>
  <c r="AW14" i="6"/>
  <c r="AW15" i="6"/>
  <c r="AW16" i="6"/>
  <c r="AW17" i="6"/>
  <c r="AW18" i="6"/>
  <c r="AW19" i="6"/>
  <c r="AW20" i="6"/>
  <c r="AW21" i="6"/>
  <c r="AW22" i="6"/>
  <c r="AW23" i="6"/>
  <c r="AW24" i="6"/>
  <c r="AW25" i="6"/>
  <c r="AW26" i="6"/>
  <c r="AW27" i="6"/>
  <c r="AW28" i="6"/>
  <c r="AW29" i="6"/>
  <c r="AW30" i="6"/>
  <c r="AW31" i="6"/>
  <c r="AW32" i="6"/>
  <c r="AW33" i="6"/>
  <c r="AW34" i="6"/>
  <c r="AW35" i="6"/>
  <c r="AW36" i="6"/>
  <c r="AW37" i="6"/>
  <c r="AW38" i="6"/>
  <c r="AW39" i="6"/>
  <c r="AW40" i="6"/>
  <c r="AW41" i="6"/>
  <c r="AW42" i="6"/>
  <c r="AW43" i="6"/>
  <c r="AW44" i="6"/>
  <c r="AW45" i="6"/>
  <c r="AW46" i="6"/>
  <c r="AW47" i="6"/>
  <c r="AW48" i="6"/>
  <c r="AW49" i="6"/>
  <c r="AW50" i="6"/>
  <c r="AW51" i="6"/>
  <c r="AW52" i="6"/>
  <c r="AW53" i="6"/>
  <c r="AW54" i="6"/>
  <c r="AW55" i="6"/>
  <c r="AW56" i="6"/>
  <c r="AW57" i="6"/>
  <c r="AW58" i="6"/>
  <c r="AW4" i="6"/>
  <c r="AP5" i="6"/>
  <c r="AP6" i="6"/>
  <c r="AP7" i="6"/>
  <c r="AP8" i="6"/>
  <c r="AP9" i="6"/>
  <c r="AP10" i="6"/>
  <c r="AP11" i="6"/>
  <c r="AP12" i="6"/>
  <c r="AP13" i="6"/>
  <c r="AP14" i="6"/>
  <c r="AP15" i="6"/>
  <c r="AP16" i="6"/>
  <c r="AP17" i="6"/>
  <c r="AP18" i="6"/>
  <c r="AP19" i="6"/>
  <c r="AP20" i="6"/>
  <c r="AP21" i="6"/>
  <c r="AP22" i="6"/>
  <c r="AP23" i="6"/>
  <c r="AP24" i="6"/>
  <c r="AP25" i="6"/>
  <c r="AP26" i="6"/>
  <c r="AP27" i="6"/>
  <c r="AP28" i="6"/>
  <c r="AP29" i="6"/>
  <c r="AP30" i="6"/>
  <c r="AP31" i="6"/>
  <c r="AP32" i="6"/>
  <c r="AP33" i="6"/>
  <c r="AP34" i="6"/>
  <c r="AP35" i="6"/>
  <c r="AP36" i="6"/>
  <c r="AP37" i="6"/>
  <c r="AP38" i="6"/>
  <c r="AP39" i="6"/>
  <c r="AP40" i="6"/>
  <c r="AP41" i="6"/>
  <c r="AP42" i="6"/>
  <c r="AP43" i="6"/>
  <c r="AP44" i="6"/>
  <c r="AP45" i="6"/>
  <c r="AP46" i="6"/>
  <c r="AP47" i="6"/>
  <c r="AP48" i="6"/>
  <c r="AP49" i="6"/>
  <c r="AP50" i="6"/>
  <c r="AP51" i="6"/>
  <c r="AP52" i="6"/>
  <c r="AP53" i="6"/>
  <c r="AP54" i="6"/>
  <c r="AP56" i="6"/>
  <c r="AP57" i="6"/>
  <c r="AP4" i="6"/>
  <c r="AI5" i="6"/>
  <c r="AI6" i="6"/>
  <c r="AI7" i="6"/>
  <c r="AI8" i="6"/>
  <c r="AI9" i="6"/>
  <c r="AI10" i="6"/>
  <c r="AI11" i="6"/>
  <c r="AI12" i="6"/>
  <c r="AI13" i="6"/>
  <c r="AI14" i="6"/>
  <c r="AI15" i="6"/>
  <c r="AI16" i="6"/>
  <c r="AI17" i="6"/>
  <c r="AI18" i="6"/>
  <c r="AI19" i="6"/>
  <c r="AI20" i="6"/>
  <c r="AI21" i="6"/>
  <c r="AI22" i="6"/>
  <c r="AI23" i="6"/>
  <c r="AI24" i="6"/>
  <c r="AI25" i="6"/>
  <c r="AI26" i="6"/>
  <c r="AI27" i="6"/>
  <c r="AI28" i="6"/>
  <c r="AI29" i="6"/>
  <c r="AI30" i="6"/>
  <c r="AI31" i="6"/>
  <c r="AI32" i="6"/>
  <c r="AI33" i="6"/>
  <c r="AI34" i="6"/>
  <c r="AI35" i="6"/>
  <c r="AI36" i="6"/>
  <c r="AI37" i="6"/>
  <c r="AI38" i="6"/>
  <c r="AI39" i="6"/>
  <c r="AI40" i="6"/>
  <c r="AI41" i="6"/>
  <c r="AI42" i="6"/>
  <c r="AI43" i="6"/>
  <c r="AI44" i="6"/>
  <c r="AI45" i="6"/>
  <c r="AI46" i="6"/>
  <c r="AI47" i="6"/>
  <c r="AI48" i="6"/>
  <c r="AI49" i="6"/>
  <c r="AI50" i="6"/>
  <c r="AI51" i="6"/>
  <c r="AI52" i="6"/>
  <c r="AI53" i="6"/>
  <c r="AI54" i="6"/>
  <c r="AI56" i="6"/>
  <c r="AI57" i="6"/>
  <c r="AI4" i="6"/>
  <c r="AB5" i="6"/>
  <c r="AB6" i="6"/>
  <c r="AB7" i="6"/>
  <c r="AB8" i="6"/>
  <c r="AB9" i="6"/>
  <c r="AB10" i="6"/>
  <c r="AB11" i="6"/>
  <c r="AB12" i="6"/>
  <c r="AB13" i="6"/>
  <c r="AB14" i="6"/>
  <c r="AB15" i="6"/>
  <c r="AB16" i="6"/>
  <c r="AB17" i="6"/>
  <c r="AB18" i="6"/>
  <c r="AB19" i="6"/>
  <c r="AB20" i="6"/>
  <c r="AB21" i="6"/>
  <c r="AB22" i="6"/>
  <c r="AB23" i="6"/>
  <c r="AB24" i="6"/>
  <c r="AB25" i="6"/>
  <c r="AB26" i="6"/>
  <c r="AB27" i="6"/>
  <c r="AB28" i="6"/>
  <c r="AB29" i="6"/>
  <c r="AB30" i="6"/>
  <c r="AB31" i="6"/>
  <c r="AB32" i="6"/>
  <c r="AB33" i="6"/>
  <c r="AB34" i="6"/>
  <c r="AB35" i="6"/>
  <c r="AB36" i="6"/>
  <c r="AB37" i="6"/>
  <c r="AB38" i="6"/>
  <c r="AB39" i="6"/>
  <c r="AB40" i="6"/>
  <c r="AB41" i="6"/>
  <c r="AB42" i="6"/>
  <c r="AB43" i="6"/>
  <c r="AB44" i="6"/>
  <c r="AB45" i="6"/>
  <c r="AB46" i="6"/>
  <c r="AB47" i="6"/>
  <c r="AB48" i="6"/>
  <c r="AB49" i="6"/>
  <c r="AB50" i="6"/>
  <c r="AB51" i="6"/>
  <c r="AB52" i="6"/>
  <c r="AB53" i="6"/>
  <c r="AB54" i="6"/>
  <c r="AB56" i="6"/>
  <c r="AB57" i="6"/>
  <c r="AB4" i="6"/>
  <c r="U5" i="6"/>
  <c r="U6" i="6"/>
  <c r="U7" i="6"/>
  <c r="U8" i="6"/>
  <c r="U9" i="6"/>
  <c r="U10" i="6"/>
  <c r="U11" i="6"/>
  <c r="U12" i="6"/>
  <c r="U13" i="6"/>
  <c r="U14" i="6"/>
  <c r="U15" i="6"/>
  <c r="U16" i="6"/>
  <c r="U17" i="6"/>
  <c r="U18" i="6"/>
  <c r="U19" i="6"/>
  <c r="U20" i="6"/>
  <c r="U21" i="6"/>
  <c r="U22" i="6"/>
  <c r="U23" i="6"/>
  <c r="U24" i="6"/>
  <c r="U25" i="6"/>
  <c r="U26" i="6"/>
  <c r="U27" i="6"/>
  <c r="U28" i="6"/>
  <c r="U29" i="6"/>
  <c r="U30" i="6"/>
  <c r="U31" i="6"/>
  <c r="U32" i="6"/>
  <c r="U33" i="6"/>
  <c r="U34" i="6"/>
  <c r="U35" i="6"/>
  <c r="U36" i="6"/>
  <c r="U37" i="6"/>
  <c r="U38" i="6"/>
  <c r="U39" i="6"/>
  <c r="U40" i="6"/>
  <c r="U41" i="6"/>
  <c r="U42" i="6"/>
  <c r="U43" i="6"/>
  <c r="U44" i="6"/>
  <c r="U45" i="6"/>
  <c r="U46" i="6"/>
  <c r="U47" i="6"/>
  <c r="U48" i="6"/>
  <c r="U49" i="6"/>
  <c r="U50" i="6"/>
  <c r="U51" i="6"/>
  <c r="U52" i="6"/>
  <c r="U53" i="6"/>
  <c r="U54" i="6"/>
  <c r="U56" i="6"/>
  <c r="U57" i="6"/>
  <c r="U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6" i="6"/>
  <c r="N57" i="6"/>
  <c r="N4" i="6"/>
  <c r="CM5" i="10"/>
  <c r="CM6" i="10"/>
  <c r="CM7" i="10"/>
  <c r="CM8" i="10"/>
  <c r="CM9" i="10"/>
  <c r="CM10" i="10"/>
  <c r="CM11" i="10"/>
  <c r="CM12" i="10"/>
  <c r="CM13" i="10"/>
  <c r="CM14" i="10"/>
  <c r="CM15" i="10"/>
  <c r="CM16" i="10"/>
  <c r="CM17" i="10"/>
  <c r="CM18" i="10"/>
  <c r="CM19" i="10"/>
  <c r="CM20" i="10"/>
  <c r="CM21" i="10"/>
  <c r="CM22" i="10"/>
  <c r="CM23" i="10"/>
  <c r="CM24" i="10"/>
  <c r="CM25" i="10"/>
  <c r="CM26" i="10"/>
  <c r="CM27" i="10"/>
  <c r="CM28" i="10"/>
  <c r="CM29" i="10"/>
  <c r="CM30" i="10"/>
  <c r="CM31" i="10"/>
  <c r="CM32" i="10"/>
  <c r="CM33" i="10"/>
  <c r="CM34" i="10"/>
  <c r="CM35" i="10"/>
  <c r="CM36" i="10"/>
  <c r="CM37" i="10"/>
  <c r="CM38" i="10"/>
  <c r="CM39" i="10"/>
  <c r="CM40" i="10"/>
  <c r="CM41" i="10"/>
  <c r="CM42" i="10"/>
  <c r="CM43" i="10"/>
  <c r="CM44" i="10"/>
  <c r="CM45" i="10"/>
  <c r="CM46" i="10"/>
  <c r="CM47" i="10"/>
  <c r="CM48" i="10"/>
  <c r="CM49" i="10"/>
  <c r="CM50" i="10"/>
  <c r="CM51" i="10"/>
  <c r="CM52" i="10"/>
  <c r="CM53" i="10"/>
  <c r="CM54" i="10"/>
  <c r="CM56" i="10"/>
  <c r="CM57" i="10"/>
  <c r="CM4" i="10"/>
  <c r="CF5" i="10"/>
  <c r="CF6" i="10"/>
  <c r="CF7" i="10"/>
  <c r="CF8" i="10"/>
  <c r="CF9" i="10"/>
  <c r="CF10" i="10"/>
  <c r="CF11" i="10"/>
  <c r="CF12" i="10"/>
  <c r="CF13" i="10"/>
  <c r="CF14" i="10"/>
  <c r="CF15" i="10"/>
  <c r="CF16" i="10"/>
  <c r="CF17" i="10"/>
  <c r="CF18" i="10"/>
  <c r="CF19" i="10"/>
  <c r="CF20" i="10"/>
  <c r="CF21" i="10"/>
  <c r="CF22" i="10"/>
  <c r="CF23" i="10"/>
  <c r="CF24" i="10"/>
  <c r="CF25" i="10"/>
  <c r="CF26" i="10"/>
  <c r="CF27" i="10"/>
  <c r="CF28" i="10"/>
  <c r="CF29" i="10"/>
  <c r="CF30" i="10"/>
  <c r="CF31" i="10"/>
  <c r="CF32" i="10"/>
  <c r="CF33" i="10"/>
  <c r="CF34" i="10"/>
  <c r="CF35" i="10"/>
  <c r="CF36" i="10"/>
  <c r="CF37" i="10"/>
  <c r="CF38" i="10"/>
  <c r="CF39" i="10"/>
  <c r="CF40" i="10"/>
  <c r="CF41" i="10"/>
  <c r="CF42" i="10"/>
  <c r="CF43" i="10"/>
  <c r="CF44" i="10"/>
  <c r="CF45" i="10"/>
  <c r="CF46" i="10"/>
  <c r="CF47" i="10"/>
  <c r="CF48" i="10"/>
  <c r="CF49" i="10"/>
  <c r="CF50" i="10"/>
  <c r="CF51" i="10"/>
  <c r="CF52" i="10"/>
  <c r="CF53" i="10"/>
  <c r="CF54" i="10"/>
  <c r="CF56" i="10"/>
  <c r="CF57" i="10"/>
  <c r="CF4" i="10"/>
  <c r="BY5" i="10"/>
  <c r="BY6" i="10"/>
  <c r="BY7" i="10"/>
  <c r="BY8" i="10"/>
  <c r="BY9" i="10"/>
  <c r="BY10" i="10"/>
  <c r="BY11" i="10"/>
  <c r="BY12" i="10"/>
  <c r="BY13" i="10"/>
  <c r="BY14" i="10"/>
  <c r="BY15" i="10"/>
  <c r="BY16" i="10"/>
  <c r="BY17" i="10"/>
  <c r="BY18" i="10"/>
  <c r="BY19" i="10"/>
  <c r="BY20" i="10"/>
  <c r="BY21" i="10"/>
  <c r="BY22" i="10"/>
  <c r="BY23" i="10"/>
  <c r="BY24" i="10"/>
  <c r="BY25" i="10"/>
  <c r="BY26" i="10"/>
  <c r="BY27" i="10"/>
  <c r="BY28" i="10"/>
  <c r="BY29" i="10"/>
  <c r="BY30" i="10"/>
  <c r="BY31" i="10"/>
  <c r="BY32" i="10"/>
  <c r="BY33" i="10"/>
  <c r="BY34" i="10"/>
  <c r="BY35" i="10"/>
  <c r="BY36" i="10"/>
  <c r="BY37" i="10"/>
  <c r="BY38" i="10"/>
  <c r="BY39" i="10"/>
  <c r="BY40" i="10"/>
  <c r="BY41" i="10"/>
  <c r="BY42" i="10"/>
  <c r="BY43" i="10"/>
  <c r="BY44" i="10"/>
  <c r="BY45" i="10"/>
  <c r="BY46" i="10"/>
  <c r="BY47" i="10"/>
  <c r="BY48" i="10"/>
  <c r="BY49" i="10"/>
  <c r="BY50" i="10"/>
  <c r="BY51" i="10"/>
  <c r="BY52" i="10"/>
  <c r="BY53" i="10"/>
  <c r="BY54" i="10"/>
  <c r="BY56" i="10"/>
  <c r="BY57" i="10"/>
  <c r="BY4" i="10"/>
  <c r="BR5" i="10"/>
  <c r="BR6" i="10"/>
  <c r="BR7" i="10"/>
  <c r="BR8" i="10"/>
  <c r="BR9" i="10"/>
  <c r="BR10" i="10"/>
  <c r="BR11" i="10"/>
  <c r="BR12" i="10"/>
  <c r="BR13" i="10"/>
  <c r="BR14" i="10"/>
  <c r="BR15" i="10"/>
  <c r="BR16" i="10"/>
  <c r="BR17" i="10"/>
  <c r="BR18" i="10"/>
  <c r="BR19" i="10"/>
  <c r="BR20" i="10"/>
  <c r="BR21" i="10"/>
  <c r="BR22" i="10"/>
  <c r="BR23" i="10"/>
  <c r="BR24" i="10"/>
  <c r="BR25" i="10"/>
  <c r="BR26" i="10"/>
  <c r="BR27" i="10"/>
  <c r="BR28" i="10"/>
  <c r="BR29" i="10"/>
  <c r="BR30" i="10"/>
  <c r="BR31" i="10"/>
  <c r="BR32" i="10"/>
  <c r="BR33" i="10"/>
  <c r="BR34" i="10"/>
  <c r="BR35" i="10"/>
  <c r="BR36" i="10"/>
  <c r="BR37" i="10"/>
  <c r="BR38" i="10"/>
  <c r="BR39" i="10"/>
  <c r="BR40" i="10"/>
  <c r="BR41" i="10"/>
  <c r="BR42" i="10"/>
  <c r="BR43" i="10"/>
  <c r="BR44" i="10"/>
  <c r="BR45" i="10"/>
  <c r="BR46" i="10"/>
  <c r="BR47" i="10"/>
  <c r="BR48" i="10"/>
  <c r="BR49" i="10"/>
  <c r="BR50" i="10"/>
  <c r="BR51" i="10"/>
  <c r="BR52" i="10"/>
  <c r="BR53" i="10"/>
  <c r="BR54" i="10"/>
  <c r="BR56" i="10"/>
  <c r="BR57" i="10"/>
  <c r="BR4" i="10"/>
  <c r="BK5" i="10"/>
  <c r="BK6" i="10"/>
  <c r="BK7" i="10"/>
  <c r="BK8" i="10"/>
  <c r="BK9" i="10"/>
  <c r="BK10" i="10"/>
  <c r="BK11" i="10"/>
  <c r="BK12" i="10"/>
  <c r="BK13" i="10"/>
  <c r="BK14" i="10"/>
  <c r="BK15" i="10"/>
  <c r="BK16" i="10"/>
  <c r="BK17" i="10"/>
  <c r="BK18" i="10"/>
  <c r="BK19" i="10"/>
  <c r="BK20" i="10"/>
  <c r="BK21" i="10"/>
  <c r="BK22" i="10"/>
  <c r="BK23" i="10"/>
  <c r="BK24" i="10"/>
  <c r="BK25" i="10"/>
  <c r="BK26" i="10"/>
  <c r="BK27" i="10"/>
  <c r="BK28" i="10"/>
  <c r="BK29" i="10"/>
  <c r="BK30" i="10"/>
  <c r="BK31" i="10"/>
  <c r="BK32" i="10"/>
  <c r="BK33" i="10"/>
  <c r="BK34" i="10"/>
  <c r="BK35" i="10"/>
  <c r="BK36" i="10"/>
  <c r="BK37" i="10"/>
  <c r="BK38" i="10"/>
  <c r="BK39" i="10"/>
  <c r="BK40" i="10"/>
  <c r="BK41" i="10"/>
  <c r="BK42" i="10"/>
  <c r="BK43" i="10"/>
  <c r="BK44" i="10"/>
  <c r="BK45" i="10"/>
  <c r="BK46" i="10"/>
  <c r="BK47" i="10"/>
  <c r="BK48" i="10"/>
  <c r="BK49" i="10"/>
  <c r="BK50" i="10"/>
  <c r="BK51" i="10"/>
  <c r="BK52" i="10"/>
  <c r="BK53" i="10"/>
  <c r="BK54" i="10"/>
  <c r="BK56" i="10"/>
  <c r="BK57" i="10"/>
  <c r="BK4" i="10"/>
  <c r="BD5" i="10"/>
  <c r="BD6" i="10"/>
  <c r="BD7" i="10"/>
  <c r="BD8" i="10"/>
  <c r="BD9" i="10"/>
  <c r="BD10" i="10"/>
  <c r="BD11" i="10"/>
  <c r="BD12" i="10"/>
  <c r="BD13" i="10"/>
  <c r="BD14" i="10"/>
  <c r="BD15" i="10"/>
  <c r="BD16" i="10"/>
  <c r="BD17" i="10"/>
  <c r="BD18" i="10"/>
  <c r="BD19" i="10"/>
  <c r="BD20" i="10"/>
  <c r="BD21" i="10"/>
  <c r="BD22" i="10"/>
  <c r="BD23" i="10"/>
  <c r="BD24" i="10"/>
  <c r="BD25" i="10"/>
  <c r="BD26" i="10"/>
  <c r="BD27" i="10"/>
  <c r="BD28" i="10"/>
  <c r="BD29" i="10"/>
  <c r="BD30" i="10"/>
  <c r="BD31" i="10"/>
  <c r="BD32" i="10"/>
  <c r="BD33" i="10"/>
  <c r="BD34" i="10"/>
  <c r="BD35" i="10"/>
  <c r="BD36" i="10"/>
  <c r="BD37" i="10"/>
  <c r="BD38" i="10"/>
  <c r="BD39" i="10"/>
  <c r="BD40" i="10"/>
  <c r="BD41" i="10"/>
  <c r="BD42" i="10"/>
  <c r="BD43" i="10"/>
  <c r="BD44" i="10"/>
  <c r="BD45" i="10"/>
  <c r="BD46" i="10"/>
  <c r="BD47" i="10"/>
  <c r="BD48" i="10"/>
  <c r="BD49" i="10"/>
  <c r="BD50" i="10"/>
  <c r="BD51" i="10"/>
  <c r="BD52" i="10"/>
  <c r="BD53" i="10"/>
  <c r="BD54" i="10"/>
  <c r="BD56" i="10"/>
  <c r="BD57" i="10"/>
  <c r="BD4" i="10"/>
  <c r="AW5" i="10"/>
  <c r="AW6" i="10"/>
  <c r="AW7" i="10"/>
  <c r="AW8" i="10"/>
  <c r="AW9" i="10"/>
  <c r="AW10" i="10"/>
  <c r="AW11" i="10"/>
  <c r="AW12" i="10"/>
  <c r="AW13" i="10"/>
  <c r="AW14" i="10"/>
  <c r="AW15" i="10"/>
  <c r="AW16" i="10"/>
  <c r="AW17" i="10"/>
  <c r="AW18" i="10"/>
  <c r="AW19" i="10"/>
  <c r="AW20" i="10"/>
  <c r="AW21" i="10"/>
  <c r="AW22" i="10"/>
  <c r="AW23" i="10"/>
  <c r="AW24" i="10"/>
  <c r="AW25" i="10"/>
  <c r="AW26" i="10"/>
  <c r="AW27" i="10"/>
  <c r="AW28" i="10"/>
  <c r="AW29" i="10"/>
  <c r="AW30" i="10"/>
  <c r="AW31" i="10"/>
  <c r="AW32" i="10"/>
  <c r="AW33" i="10"/>
  <c r="AW34" i="10"/>
  <c r="AW35" i="10"/>
  <c r="AW36" i="10"/>
  <c r="AW37" i="10"/>
  <c r="AW38" i="10"/>
  <c r="AW39" i="10"/>
  <c r="AW40" i="10"/>
  <c r="AW41" i="10"/>
  <c r="AW42" i="10"/>
  <c r="AW43" i="10"/>
  <c r="AW44" i="10"/>
  <c r="AW45" i="10"/>
  <c r="AW46" i="10"/>
  <c r="AW47" i="10"/>
  <c r="AW48" i="10"/>
  <c r="AW49" i="10"/>
  <c r="AW50" i="10"/>
  <c r="AW51" i="10"/>
  <c r="AW52" i="10"/>
  <c r="AW53" i="10"/>
  <c r="AW54" i="10"/>
  <c r="AW56" i="10"/>
  <c r="AW57" i="10"/>
  <c r="AW4" i="10"/>
  <c r="AP5" i="10"/>
  <c r="AP6" i="10"/>
  <c r="AP7" i="10"/>
  <c r="AP8" i="10"/>
  <c r="AP9" i="10"/>
  <c r="AP10" i="10"/>
  <c r="AP11" i="10"/>
  <c r="AP12" i="10"/>
  <c r="AP13" i="10"/>
  <c r="AP14" i="10"/>
  <c r="AP15" i="10"/>
  <c r="AP16" i="10"/>
  <c r="AP17" i="10"/>
  <c r="AP18" i="10"/>
  <c r="AP19" i="10"/>
  <c r="AP20" i="10"/>
  <c r="AP21" i="10"/>
  <c r="AP22" i="10"/>
  <c r="AP23" i="10"/>
  <c r="AP24" i="10"/>
  <c r="AP25" i="10"/>
  <c r="AP26" i="10"/>
  <c r="AP27" i="10"/>
  <c r="AP28" i="10"/>
  <c r="AP29" i="10"/>
  <c r="AP30" i="10"/>
  <c r="AP31" i="10"/>
  <c r="AP32" i="10"/>
  <c r="AP33" i="10"/>
  <c r="AP34" i="10"/>
  <c r="AP35" i="10"/>
  <c r="AP36" i="10"/>
  <c r="AP37" i="10"/>
  <c r="AP38" i="10"/>
  <c r="AP39" i="10"/>
  <c r="AP40" i="10"/>
  <c r="AP41" i="10"/>
  <c r="AP42" i="10"/>
  <c r="AP43" i="10"/>
  <c r="AP44" i="10"/>
  <c r="AP45" i="10"/>
  <c r="AP46" i="10"/>
  <c r="AP47" i="10"/>
  <c r="AP48" i="10"/>
  <c r="AP49" i="10"/>
  <c r="AP50" i="10"/>
  <c r="AP51" i="10"/>
  <c r="AP52" i="10"/>
  <c r="AP53" i="10"/>
  <c r="AP54" i="10"/>
  <c r="AP56" i="10"/>
  <c r="AP57" i="10"/>
  <c r="AP4" i="10"/>
  <c r="AI5" i="10"/>
  <c r="AI6" i="10"/>
  <c r="AI7" i="10"/>
  <c r="AI8" i="10"/>
  <c r="AI9" i="10"/>
  <c r="AI10" i="10"/>
  <c r="AI11" i="10"/>
  <c r="AI12" i="10"/>
  <c r="AI13" i="10"/>
  <c r="AI14" i="10"/>
  <c r="AI15" i="10"/>
  <c r="AI16" i="10"/>
  <c r="AI17" i="10"/>
  <c r="AI18" i="10"/>
  <c r="AI19" i="10"/>
  <c r="AI20" i="10"/>
  <c r="AI21" i="10"/>
  <c r="AI22" i="10"/>
  <c r="AI23" i="10"/>
  <c r="AI24" i="10"/>
  <c r="AI25" i="10"/>
  <c r="AI26" i="10"/>
  <c r="AI27" i="10"/>
  <c r="AI28" i="10"/>
  <c r="AI29" i="10"/>
  <c r="AI30" i="10"/>
  <c r="AI31" i="10"/>
  <c r="AI32" i="10"/>
  <c r="AI33" i="10"/>
  <c r="AI34" i="10"/>
  <c r="AI35" i="10"/>
  <c r="AI36" i="10"/>
  <c r="AI37" i="10"/>
  <c r="AI38" i="10"/>
  <c r="AI39" i="10"/>
  <c r="AI40" i="10"/>
  <c r="AI41" i="10"/>
  <c r="AI42" i="10"/>
  <c r="AI43" i="10"/>
  <c r="AI44" i="10"/>
  <c r="AI45" i="10"/>
  <c r="AI46" i="10"/>
  <c r="AI47" i="10"/>
  <c r="AI48" i="10"/>
  <c r="AI49" i="10"/>
  <c r="AI50" i="10"/>
  <c r="AI51" i="10"/>
  <c r="AI52" i="10"/>
  <c r="AI53" i="10"/>
  <c r="AI54" i="10"/>
  <c r="AI56" i="10"/>
  <c r="AI57" i="10"/>
  <c r="AI4" i="10"/>
  <c r="AB5" i="10"/>
  <c r="AB6" i="10"/>
  <c r="AB7" i="10"/>
  <c r="AB8" i="10"/>
  <c r="AB9" i="10"/>
  <c r="AB10" i="10"/>
  <c r="AB11" i="10"/>
  <c r="AB12" i="10"/>
  <c r="AB13" i="10"/>
  <c r="AB14" i="10"/>
  <c r="AB15" i="10"/>
  <c r="AB16" i="10"/>
  <c r="AB17" i="10"/>
  <c r="AB18" i="10"/>
  <c r="AB19" i="10"/>
  <c r="AB20" i="10"/>
  <c r="AB21" i="10"/>
  <c r="AB22" i="10"/>
  <c r="AB23" i="10"/>
  <c r="AB24" i="10"/>
  <c r="AB25" i="10"/>
  <c r="AB26" i="10"/>
  <c r="AB27" i="10"/>
  <c r="AB28" i="10"/>
  <c r="AB29" i="10"/>
  <c r="AB30" i="10"/>
  <c r="AB31" i="10"/>
  <c r="AB32" i="10"/>
  <c r="AB33" i="10"/>
  <c r="AB34" i="10"/>
  <c r="AB35" i="10"/>
  <c r="AB36" i="10"/>
  <c r="AB37" i="10"/>
  <c r="AB38" i="10"/>
  <c r="AB39" i="10"/>
  <c r="AB40" i="10"/>
  <c r="AB41" i="10"/>
  <c r="AB42" i="10"/>
  <c r="AB43" i="10"/>
  <c r="AB44" i="10"/>
  <c r="AB45" i="10"/>
  <c r="AB46" i="10"/>
  <c r="AB47" i="10"/>
  <c r="AB48" i="10"/>
  <c r="AB49" i="10"/>
  <c r="AB50" i="10"/>
  <c r="AB51" i="10"/>
  <c r="AB52" i="10"/>
  <c r="AB53" i="10"/>
  <c r="AB54" i="10"/>
  <c r="AB56" i="10"/>
  <c r="AB57" i="10"/>
  <c r="AB4" i="10"/>
  <c r="U5" i="10"/>
  <c r="U6" i="10"/>
  <c r="U7" i="10"/>
  <c r="U8" i="10"/>
  <c r="U9" i="10"/>
  <c r="U10" i="10"/>
  <c r="U11" i="10"/>
  <c r="U12" i="10"/>
  <c r="U13" i="10"/>
  <c r="U14" i="10"/>
  <c r="U15" i="10"/>
  <c r="U16" i="10"/>
  <c r="U17" i="10"/>
  <c r="U18" i="10"/>
  <c r="U19" i="10"/>
  <c r="U20" i="10"/>
  <c r="U21" i="10"/>
  <c r="U22" i="10"/>
  <c r="U23" i="10"/>
  <c r="U24" i="10"/>
  <c r="U25" i="10"/>
  <c r="U26" i="10"/>
  <c r="U27" i="10"/>
  <c r="U28" i="10"/>
  <c r="U29" i="10"/>
  <c r="U30" i="10"/>
  <c r="U31" i="10"/>
  <c r="U32" i="10"/>
  <c r="U33" i="10"/>
  <c r="U34" i="10"/>
  <c r="U35" i="10"/>
  <c r="U36" i="10"/>
  <c r="U37" i="10"/>
  <c r="U38" i="10"/>
  <c r="U39" i="10"/>
  <c r="U40" i="10"/>
  <c r="U41" i="10"/>
  <c r="U42" i="10"/>
  <c r="U43" i="10"/>
  <c r="U44" i="10"/>
  <c r="U45" i="10"/>
  <c r="U46" i="10"/>
  <c r="U47" i="10"/>
  <c r="U48" i="10"/>
  <c r="U49" i="10"/>
  <c r="U50" i="10"/>
  <c r="U51" i="10"/>
  <c r="U52" i="10"/>
  <c r="U53" i="10"/>
  <c r="U54" i="10"/>
  <c r="U56" i="10"/>
  <c r="U57" i="10"/>
  <c r="U4" i="10"/>
  <c r="N5" i="10"/>
  <c r="N6" i="10"/>
  <c r="N7" i="10"/>
  <c r="N8" i="10"/>
  <c r="N9" i="10"/>
  <c r="N10" i="10"/>
  <c r="N11" i="10"/>
  <c r="N12" i="10"/>
  <c r="N13" i="10"/>
  <c r="N14" i="10"/>
  <c r="N15" i="10"/>
  <c r="N16" i="10"/>
  <c r="N17" i="10"/>
  <c r="N18" i="10"/>
  <c r="N19" i="10"/>
  <c r="N20" i="10"/>
  <c r="N21" i="10"/>
  <c r="N22" i="10"/>
  <c r="N23" i="10"/>
  <c r="N24" i="10"/>
  <c r="N25" i="10"/>
  <c r="N26" i="10"/>
  <c r="N27" i="10"/>
  <c r="N28" i="10"/>
  <c r="N29" i="10"/>
  <c r="N30" i="10"/>
  <c r="N31" i="10"/>
  <c r="N32" i="10"/>
  <c r="N33" i="10"/>
  <c r="N34" i="10"/>
  <c r="N35" i="10"/>
  <c r="N36" i="10"/>
  <c r="N37" i="10"/>
  <c r="N38" i="10"/>
  <c r="N39" i="10"/>
  <c r="N40" i="10"/>
  <c r="N41" i="10"/>
  <c r="N42" i="10"/>
  <c r="N43" i="10"/>
  <c r="N44" i="10"/>
  <c r="N45" i="10"/>
  <c r="N46" i="10"/>
  <c r="N47" i="10"/>
  <c r="N48" i="10"/>
  <c r="N49" i="10"/>
  <c r="N50" i="10"/>
  <c r="N51" i="10"/>
  <c r="N52" i="10"/>
  <c r="N53" i="10"/>
  <c r="N54" i="10"/>
  <c r="N56" i="10"/>
  <c r="N57" i="10"/>
  <c r="N4" i="10"/>
  <c r="P4" i="10"/>
  <c r="CM5" i="5"/>
  <c r="CM6" i="5"/>
  <c r="CM7" i="5"/>
  <c r="CM8" i="5"/>
  <c r="CM9" i="5"/>
  <c r="CM10" i="5"/>
  <c r="CM11" i="5"/>
  <c r="CM12" i="5"/>
  <c r="CM13" i="5"/>
  <c r="CM14" i="5"/>
  <c r="CM15" i="5"/>
  <c r="CM16" i="5"/>
  <c r="CM17" i="5"/>
  <c r="CM18" i="5"/>
  <c r="CM19" i="5"/>
  <c r="CM20" i="5"/>
  <c r="CM21" i="5"/>
  <c r="CM22" i="5"/>
  <c r="CM23" i="5"/>
  <c r="CM24" i="5"/>
  <c r="CM25" i="5"/>
  <c r="CM26" i="5"/>
  <c r="CM27" i="5"/>
  <c r="CM28" i="5"/>
  <c r="CM29" i="5"/>
  <c r="CM30" i="5"/>
  <c r="CM31" i="5"/>
  <c r="CM32" i="5"/>
  <c r="CM33" i="5"/>
  <c r="CM34" i="5"/>
  <c r="CM35" i="5"/>
  <c r="CM36" i="5"/>
  <c r="CM37" i="5"/>
  <c r="CM38" i="5"/>
  <c r="CM39" i="5"/>
  <c r="CM40" i="5"/>
  <c r="CM41" i="5"/>
  <c r="CM42" i="5"/>
  <c r="CM43" i="5"/>
  <c r="CM44" i="5"/>
  <c r="CM45" i="5"/>
  <c r="CM46" i="5"/>
  <c r="CM47" i="5"/>
  <c r="CM48" i="5"/>
  <c r="CM49" i="5"/>
  <c r="CM50" i="5"/>
  <c r="CM51" i="5"/>
  <c r="CM52" i="5"/>
  <c r="CM53" i="5"/>
  <c r="CM54" i="5"/>
  <c r="CM55" i="5"/>
  <c r="CM56" i="5"/>
  <c r="CM57" i="5"/>
  <c r="CM58" i="5"/>
  <c r="CM4" i="5"/>
  <c r="CF5" i="5"/>
  <c r="CF6" i="5"/>
  <c r="CF7" i="5"/>
  <c r="CF8" i="5"/>
  <c r="CF9" i="5"/>
  <c r="CF10" i="5"/>
  <c r="CF11" i="5"/>
  <c r="CF12" i="5"/>
  <c r="CF13" i="5"/>
  <c r="CF14" i="5"/>
  <c r="CF15" i="5"/>
  <c r="CF16" i="5"/>
  <c r="CF17" i="5"/>
  <c r="CF18" i="5"/>
  <c r="CF19" i="5"/>
  <c r="CF20" i="5"/>
  <c r="CF21" i="5"/>
  <c r="CF22" i="5"/>
  <c r="CF23" i="5"/>
  <c r="CF24" i="5"/>
  <c r="CF25" i="5"/>
  <c r="CF26" i="5"/>
  <c r="CF27" i="5"/>
  <c r="CF28" i="5"/>
  <c r="CF29" i="5"/>
  <c r="CF30" i="5"/>
  <c r="CF31" i="5"/>
  <c r="CF32" i="5"/>
  <c r="CF33" i="5"/>
  <c r="CF34" i="5"/>
  <c r="CF35" i="5"/>
  <c r="CF36" i="5"/>
  <c r="CF37" i="5"/>
  <c r="CF38" i="5"/>
  <c r="CF39" i="5"/>
  <c r="CF40" i="5"/>
  <c r="CF41" i="5"/>
  <c r="CF42" i="5"/>
  <c r="CF43" i="5"/>
  <c r="CF44" i="5"/>
  <c r="CF45" i="5"/>
  <c r="CF46" i="5"/>
  <c r="CF47" i="5"/>
  <c r="CF48" i="5"/>
  <c r="CF49" i="5"/>
  <c r="CF50" i="5"/>
  <c r="CF51" i="5"/>
  <c r="CF52" i="5"/>
  <c r="CF53" i="5"/>
  <c r="CF54" i="5"/>
  <c r="CF55" i="5"/>
  <c r="CF56" i="5"/>
  <c r="CF57" i="5"/>
  <c r="CF58" i="5"/>
  <c r="CF4" i="5"/>
  <c r="BY5" i="5"/>
  <c r="BY6" i="5"/>
  <c r="BY7" i="5"/>
  <c r="BY8" i="5"/>
  <c r="BY9" i="5"/>
  <c r="BY10" i="5"/>
  <c r="BY11" i="5"/>
  <c r="BY12" i="5"/>
  <c r="BY13" i="5"/>
  <c r="BY14" i="5"/>
  <c r="BY15" i="5"/>
  <c r="BY16" i="5"/>
  <c r="BY17" i="5"/>
  <c r="BY18" i="5"/>
  <c r="BY19" i="5"/>
  <c r="BY20" i="5"/>
  <c r="BY21" i="5"/>
  <c r="BY22" i="5"/>
  <c r="BY23" i="5"/>
  <c r="BY24" i="5"/>
  <c r="BY25" i="5"/>
  <c r="BY26" i="5"/>
  <c r="BY27" i="5"/>
  <c r="BY28" i="5"/>
  <c r="BY29" i="5"/>
  <c r="BY30" i="5"/>
  <c r="BY31" i="5"/>
  <c r="BY32" i="5"/>
  <c r="BY33" i="5"/>
  <c r="BY34" i="5"/>
  <c r="BY35" i="5"/>
  <c r="BY36" i="5"/>
  <c r="BY37" i="5"/>
  <c r="BY38" i="5"/>
  <c r="BY39" i="5"/>
  <c r="BY40" i="5"/>
  <c r="BY41" i="5"/>
  <c r="BY42" i="5"/>
  <c r="BY43" i="5"/>
  <c r="BY44" i="5"/>
  <c r="BY45" i="5"/>
  <c r="BY46" i="5"/>
  <c r="BY47" i="5"/>
  <c r="BY48" i="5"/>
  <c r="BY49" i="5"/>
  <c r="BY50" i="5"/>
  <c r="BY51" i="5"/>
  <c r="BY52" i="5"/>
  <c r="BY53" i="5"/>
  <c r="BY54" i="5"/>
  <c r="BY55" i="5"/>
  <c r="BY56" i="5"/>
  <c r="BY57" i="5"/>
  <c r="BY58" i="5"/>
  <c r="BY4" i="5"/>
  <c r="BR5" i="5"/>
  <c r="BR6" i="5"/>
  <c r="BR7" i="5"/>
  <c r="BR8" i="5"/>
  <c r="BR9" i="5"/>
  <c r="BR10" i="5"/>
  <c r="BR11" i="5"/>
  <c r="BR12" i="5"/>
  <c r="BR13" i="5"/>
  <c r="BR14" i="5"/>
  <c r="BR15" i="5"/>
  <c r="BR16" i="5"/>
  <c r="BR17" i="5"/>
  <c r="BR18" i="5"/>
  <c r="BR19" i="5"/>
  <c r="BR20" i="5"/>
  <c r="BR21" i="5"/>
  <c r="BR22" i="5"/>
  <c r="BR23" i="5"/>
  <c r="BR24" i="5"/>
  <c r="BR25" i="5"/>
  <c r="BR26" i="5"/>
  <c r="BR27" i="5"/>
  <c r="BR28" i="5"/>
  <c r="BR29" i="5"/>
  <c r="BR30" i="5"/>
  <c r="BR31" i="5"/>
  <c r="BR32" i="5"/>
  <c r="BR33" i="5"/>
  <c r="BR34" i="5"/>
  <c r="BR35" i="5"/>
  <c r="BR36" i="5"/>
  <c r="BR37" i="5"/>
  <c r="BR38" i="5"/>
  <c r="BR39" i="5"/>
  <c r="BR40" i="5"/>
  <c r="BR41" i="5"/>
  <c r="BR42" i="5"/>
  <c r="BR43" i="5"/>
  <c r="BR44" i="5"/>
  <c r="BR45" i="5"/>
  <c r="BR46" i="5"/>
  <c r="BR47" i="5"/>
  <c r="BR48" i="5"/>
  <c r="BR49" i="5"/>
  <c r="BR50" i="5"/>
  <c r="BR51" i="5"/>
  <c r="BR52" i="5"/>
  <c r="BR53" i="5"/>
  <c r="BR54" i="5"/>
  <c r="BR55" i="5"/>
  <c r="BR56" i="5"/>
  <c r="BR57" i="5"/>
  <c r="BR58" i="5"/>
  <c r="BR4" i="5"/>
  <c r="BK5" i="5"/>
  <c r="BK6" i="5"/>
  <c r="BK7" i="5"/>
  <c r="BK8" i="5"/>
  <c r="BK9" i="5"/>
  <c r="BK10" i="5"/>
  <c r="BK11" i="5"/>
  <c r="BK12" i="5"/>
  <c r="BK13" i="5"/>
  <c r="BK14" i="5"/>
  <c r="BK15" i="5"/>
  <c r="BK16" i="5"/>
  <c r="BK17" i="5"/>
  <c r="BK18" i="5"/>
  <c r="BK19" i="5"/>
  <c r="BK20" i="5"/>
  <c r="BK21" i="5"/>
  <c r="BK22" i="5"/>
  <c r="BK23" i="5"/>
  <c r="BK24" i="5"/>
  <c r="BK25" i="5"/>
  <c r="BK26" i="5"/>
  <c r="BK27" i="5"/>
  <c r="BK28" i="5"/>
  <c r="BK29" i="5"/>
  <c r="BK30" i="5"/>
  <c r="BK31" i="5"/>
  <c r="BK32" i="5"/>
  <c r="BK33" i="5"/>
  <c r="BK34" i="5"/>
  <c r="BK35" i="5"/>
  <c r="BK36" i="5"/>
  <c r="BK37" i="5"/>
  <c r="BK38" i="5"/>
  <c r="BK39" i="5"/>
  <c r="BK40" i="5"/>
  <c r="BK41" i="5"/>
  <c r="BK42" i="5"/>
  <c r="BK43" i="5"/>
  <c r="BK44" i="5"/>
  <c r="BK45" i="5"/>
  <c r="BK46" i="5"/>
  <c r="BK47" i="5"/>
  <c r="BK48" i="5"/>
  <c r="BK49" i="5"/>
  <c r="BK50" i="5"/>
  <c r="BK51" i="5"/>
  <c r="BK52" i="5"/>
  <c r="BK53" i="5"/>
  <c r="BK54" i="5"/>
  <c r="BK55" i="5"/>
  <c r="BK56" i="5"/>
  <c r="BK57" i="5"/>
  <c r="BK58" i="5"/>
  <c r="BK4" i="5"/>
  <c r="BD5" i="5"/>
  <c r="BD6" i="5"/>
  <c r="BD7" i="5"/>
  <c r="BD8" i="5"/>
  <c r="BD9" i="5"/>
  <c r="BD10" i="5"/>
  <c r="BD11" i="5"/>
  <c r="BD12" i="5"/>
  <c r="BD13" i="5"/>
  <c r="BD14" i="5"/>
  <c r="BD15" i="5"/>
  <c r="BD16" i="5"/>
  <c r="BD17" i="5"/>
  <c r="BD18" i="5"/>
  <c r="BD19" i="5"/>
  <c r="BD20" i="5"/>
  <c r="BD21" i="5"/>
  <c r="BD22" i="5"/>
  <c r="BD23" i="5"/>
  <c r="BD24" i="5"/>
  <c r="BD25" i="5"/>
  <c r="BD26" i="5"/>
  <c r="BD27" i="5"/>
  <c r="BD28" i="5"/>
  <c r="BD29" i="5"/>
  <c r="BD30" i="5"/>
  <c r="BD31" i="5"/>
  <c r="BD32" i="5"/>
  <c r="BD33" i="5"/>
  <c r="BD34" i="5"/>
  <c r="BD35" i="5"/>
  <c r="BD36" i="5"/>
  <c r="BD37" i="5"/>
  <c r="BD38" i="5"/>
  <c r="BD39" i="5"/>
  <c r="BD40" i="5"/>
  <c r="BD41" i="5"/>
  <c r="BD42" i="5"/>
  <c r="BD43" i="5"/>
  <c r="BD44" i="5"/>
  <c r="BD45" i="5"/>
  <c r="BD46" i="5"/>
  <c r="BD47" i="5"/>
  <c r="BD48" i="5"/>
  <c r="BD49" i="5"/>
  <c r="BD50" i="5"/>
  <c r="BD51" i="5"/>
  <c r="BD52" i="5"/>
  <c r="BD53" i="5"/>
  <c r="BD54" i="5"/>
  <c r="BD55" i="5"/>
  <c r="BD56" i="5"/>
  <c r="BD57" i="5"/>
  <c r="BD58" i="5"/>
  <c r="BD4" i="5"/>
  <c r="AW5" i="5"/>
  <c r="AW6" i="5"/>
  <c r="AW7" i="5"/>
  <c r="AW8" i="5"/>
  <c r="AW9" i="5"/>
  <c r="AW10" i="5"/>
  <c r="AW11" i="5"/>
  <c r="AW12" i="5"/>
  <c r="AW13" i="5"/>
  <c r="AW14" i="5"/>
  <c r="AW15" i="5"/>
  <c r="AW16" i="5"/>
  <c r="AW17" i="5"/>
  <c r="AW18" i="5"/>
  <c r="AW19" i="5"/>
  <c r="AW20" i="5"/>
  <c r="AW21" i="5"/>
  <c r="AW22" i="5"/>
  <c r="AW23" i="5"/>
  <c r="AW24" i="5"/>
  <c r="AW25" i="5"/>
  <c r="AW26" i="5"/>
  <c r="AW27" i="5"/>
  <c r="AW28" i="5"/>
  <c r="AW29" i="5"/>
  <c r="AW30" i="5"/>
  <c r="AW31" i="5"/>
  <c r="AW32" i="5"/>
  <c r="AW33" i="5"/>
  <c r="AW34" i="5"/>
  <c r="AW35" i="5"/>
  <c r="AW36" i="5"/>
  <c r="AW37" i="5"/>
  <c r="AW38" i="5"/>
  <c r="AW39" i="5"/>
  <c r="AW40" i="5"/>
  <c r="AW41" i="5"/>
  <c r="AW42" i="5"/>
  <c r="AW43" i="5"/>
  <c r="AW44" i="5"/>
  <c r="AW45" i="5"/>
  <c r="AW46" i="5"/>
  <c r="AW47" i="5"/>
  <c r="AW48" i="5"/>
  <c r="AW49" i="5"/>
  <c r="AW50" i="5"/>
  <c r="AW51" i="5"/>
  <c r="AW52" i="5"/>
  <c r="AW53" i="5"/>
  <c r="AW54" i="5"/>
  <c r="AW55" i="5"/>
  <c r="AW56" i="5"/>
  <c r="AW57" i="5"/>
  <c r="AW58" i="5"/>
  <c r="AW4" i="5"/>
  <c r="AP5" i="5"/>
  <c r="AP6" i="5"/>
  <c r="AP7" i="5"/>
  <c r="AP8" i="5"/>
  <c r="AP9" i="5"/>
  <c r="AP10" i="5"/>
  <c r="AP11" i="5"/>
  <c r="AP12" i="5"/>
  <c r="AP13" i="5"/>
  <c r="AP14" i="5"/>
  <c r="AP15" i="5"/>
  <c r="AP16" i="5"/>
  <c r="AP17" i="5"/>
  <c r="AP18" i="5"/>
  <c r="AP19" i="5"/>
  <c r="AP20" i="5"/>
  <c r="AP21" i="5"/>
  <c r="AP22" i="5"/>
  <c r="AP23" i="5"/>
  <c r="AP24" i="5"/>
  <c r="AP25" i="5"/>
  <c r="AP26" i="5"/>
  <c r="AP27" i="5"/>
  <c r="AP28" i="5"/>
  <c r="AP29" i="5"/>
  <c r="AP30" i="5"/>
  <c r="AP31" i="5"/>
  <c r="AP32" i="5"/>
  <c r="AP33" i="5"/>
  <c r="AP34" i="5"/>
  <c r="AP35" i="5"/>
  <c r="AP36" i="5"/>
  <c r="AP37" i="5"/>
  <c r="AP38" i="5"/>
  <c r="AP39" i="5"/>
  <c r="AP40" i="5"/>
  <c r="AP41" i="5"/>
  <c r="AP42" i="5"/>
  <c r="AP43" i="5"/>
  <c r="AP44" i="5"/>
  <c r="AP45" i="5"/>
  <c r="AP46" i="5"/>
  <c r="AP47" i="5"/>
  <c r="AP48" i="5"/>
  <c r="AP49" i="5"/>
  <c r="AP50" i="5"/>
  <c r="AP51" i="5"/>
  <c r="AP52" i="5"/>
  <c r="AP53" i="5"/>
  <c r="AP54" i="5"/>
  <c r="AP56" i="5"/>
  <c r="AP57" i="5"/>
  <c r="AP4" i="5"/>
  <c r="AI5" i="5"/>
  <c r="AI6" i="5"/>
  <c r="AI7" i="5"/>
  <c r="AI8" i="5"/>
  <c r="AI9" i="5"/>
  <c r="AI10" i="5"/>
  <c r="AI11" i="5"/>
  <c r="AI12" i="5"/>
  <c r="AI13" i="5"/>
  <c r="AI14" i="5"/>
  <c r="AI15" i="5"/>
  <c r="AI16" i="5"/>
  <c r="AI17" i="5"/>
  <c r="AI18" i="5"/>
  <c r="AI19" i="5"/>
  <c r="AI20" i="5"/>
  <c r="AI21" i="5"/>
  <c r="AI22" i="5"/>
  <c r="AI23" i="5"/>
  <c r="AI24" i="5"/>
  <c r="AI25" i="5"/>
  <c r="AI26" i="5"/>
  <c r="AI27" i="5"/>
  <c r="AI28" i="5"/>
  <c r="AI29" i="5"/>
  <c r="AI30" i="5"/>
  <c r="AI31" i="5"/>
  <c r="AI32" i="5"/>
  <c r="AI33" i="5"/>
  <c r="AI34" i="5"/>
  <c r="AI35" i="5"/>
  <c r="AI36" i="5"/>
  <c r="AI37" i="5"/>
  <c r="AI38" i="5"/>
  <c r="AI39" i="5"/>
  <c r="AI40" i="5"/>
  <c r="AI41" i="5"/>
  <c r="AI42" i="5"/>
  <c r="AI43" i="5"/>
  <c r="AI44" i="5"/>
  <c r="AI45" i="5"/>
  <c r="AI46" i="5"/>
  <c r="AI47" i="5"/>
  <c r="AI48" i="5"/>
  <c r="AI49" i="5"/>
  <c r="AI50" i="5"/>
  <c r="AI51" i="5"/>
  <c r="AI52" i="5"/>
  <c r="AI53" i="5"/>
  <c r="AI54" i="5"/>
  <c r="AI56" i="5"/>
  <c r="AI57" i="5"/>
  <c r="AI4" i="5"/>
  <c r="AB5" i="5"/>
  <c r="AB6" i="5"/>
  <c r="AB7" i="5"/>
  <c r="AB8" i="5"/>
  <c r="AB9" i="5"/>
  <c r="AB10" i="5"/>
  <c r="AB11" i="5"/>
  <c r="AB12" i="5"/>
  <c r="AB13" i="5"/>
  <c r="AB14" i="5"/>
  <c r="AB15" i="5"/>
  <c r="AB16" i="5"/>
  <c r="AB17" i="5"/>
  <c r="AB18" i="5"/>
  <c r="AB19" i="5"/>
  <c r="AB20" i="5"/>
  <c r="AB21" i="5"/>
  <c r="AB22" i="5"/>
  <c r="AB23" i="5"/>
  <c r="AB24" i="5"/>
  <c r="AB25" i="5"/>
  <c r="AB26" i="5"/>
  <c r="AB27" i="5"/>
  <c r="AB28" i="5"/>
  <c r="AB29" i="5"/>
  <c r="AB30" i="5"/>
  <c r="AB31" i="5"/>
  <c r="AB32" i="5"/>
  <c r="AB33" i="5"/>
  <c r="AB34" i="5"/>
  <c r="AB35" i="5"/>
  <c r="AB36" i="5"/>
  <c r="AB37" i="5"/>
  <c r="AB38" i="5"/>
  <c r="AB39" i="5"/>
  <c r="AB40" i="5"/>
  <c r="AB41" i="5"/>
  <c r="AB42" i="5"/>
  <c r="AB43" i="5"/>
  <c r="AB44" i="5"/>
  <c r="AB45" i="5"/>
  <c r="AB46" i="5"/>
  <c r="AB47" i="5"/>
  <c r="AB48" i="5"/>
  <c r="AB49" i="5"/>
  <c r="AB50" i="5"/>
  <c r="AB51" i="5"/>
  <c r="AB52" i="5"/>
  <c r="AB53" i="5"/>
  <c r="AB54" i="5"/>
  <c r="AB56" i="5"/>
  <c r="AB57" i="5"/>
  <c r="AB4" i="5"/>
  <c r="U5" i="5"/>
  <c r="U6" i="5"/>
  <c r="U7" i="5"/>
  <c r="U8" i="5"/>
  <c r="U9" i="5"/>
  <c r="U10" i="5"/>
  <c r="U11" i="5"/>
  <c r="U12" i="5"/>
  <c r="U13" i="5"/>
  <c r="U14" i="5"/>
  <c r="U15" i="5"/>
  <c r="U16" i="5"/>
  <c r="U17" i="5"/>
  <c r="U18" i="5"/>
  <c r="U19" i="5"/>
  <c r="U20" i="5"/>
  <c r="U21" i="5"/>
  <c r="U22" i="5"/>
  <c r="U23" i="5"/>
  <c r="U24" i="5"/>
  <c r="U25" i="5"/>
  <c r="U26" i="5"/>
  <c r="U27" i="5"/>
  <c r="U28" i="5"/>
  <c r="U29" i="5"/>
  <c r="U30" i="5"/>
  <c r="U31" i="5"/>
  <c r="U32" i="5"/>
  <c r="U33" i="5"/>
  <c r="U34" i="5"/>
  <c r="U35" i="5"/>
  <c r="U36" i="5"/>
  <c r="U37" i="5"/>
  <c r="U38" i="5"/>
  <c r="U39" i="5"/>
  <c r="U40" i="5"/>
  <c r="U41" i="5"/>
  <c r="U42" i="5"/>
  <c r="U43" i="5"/>
  <c r="U44" i="5"/>
  <c r="U45" i="5"/>
  <c r="U46" i="5"/>
  <c r="U47" i="5"/>
  <c r="U48" i="5"/>
  <c r="U49" i="5"/>
  <c r="U50" i="5"/>
  <c r="U51" i="5"/>
  <c r="U52" i="5"/>
  <c r="U53" i="5"/>
  <c r="U54" i="5"/>
  <c r="U56" i="5"/>
  <c r="U57" i="5"/>
  <c r="U4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6" i="5"/>
  <c r="N57" i="5"/>
  <c r="CM5" i="4"/>
  <c r="CM6" i="4"/>
  <c r="CM7" i="4"/>
  <c r="CM8" i="4"/>
  <c r="CM9" i="4"/>
  <c r="CM10" i="4"/>
  <c r="CM11" i="4"/>
  <c r="CM12" i="4"/>
  <c r="CM13" i="4"/>
  <c r="CM14" i="4"/>
  <c r="CM15" i="4"/>
  <c r="CM16" i="4"/>
  <c r="CM17" i="4"/>
  <c r="CM18" i="4"/>
  <c r="CM19" i="4"/>
  <c r="CM20" i="4"/>
  <c r="CM21" i="4"/>
  <c r="CM22" i="4"/>
  <c r="CM23" i="4"/>
  <c r="CM24" i="4"/>
  <c r="CM25" i="4"/>
  <c r="CM26" i="4"/>
  <c r="CM27" i="4"/>
  <c r="CM28" i="4"/>
  <c r="CM29" i="4"/>
  <c r="CM30" i="4"/>
  <c r="CM31" i="4"/>
  <c r="CM32" i="4"/>
  <c r="CM33" i="4"/>
  <c r="CM34" i="4"/>
  <c r="CM35" i="4"/>
  <c r="CM36" i="4"/>
  <c r="CM37" i="4"/>
  <c r="CM38" i="4"/>
  <c r="CM39" i="4"/>
  <c r="CM40" i="4"/>
  <c r="CM41" i="4"/>
  <c r="CM42" i="4"/>
  <c r="CM43" i="4"/>
  <c r="CM44" i="4"/>
  <c r="CM45" i="4"/>
  <c r="CM46" i="4"/>
  <c r="CM47" i="4"/>
  <c r="CM48" i="4"/>
  <c r="CM49" i="4"/>
  <c r="CM50" i="4"/>
  <c r="CM51" i="4"/>
  <c r="CM52" i="4"/>
  <c r="CM53" i="4"/>
  <c r="CM54" i="4"/>
  <c r="CM55" i="4"/>
  <c r="CM56" i="4"/>
  <c r="CM57" i="4"/>
  <c r="CM58" i="4"/>
  <c r="CM4" i="4"/>
  <c r="CF5" i="4"/>
  <c r="CF6" i="4"/>
  <c r="CF7" i="4"/>
  <c r="CF8" i="4"/>
  <c r="CF9" i="4"/>
  <c r="CF10" i="4"/>
  <c r="CF11" i="4"/>
  <c r="CF12" i="4"/>
  <c r="CF13" i="4"/>
  <c r="CF14" i="4"/>
  <c r="CF15" i="4"/>
  <c r="CF16" i="4"/>
  <c r="CF17" i="4"/>
  <c r="CF18" i="4"/>
  <c r="CF19" i="4"/>
  <c r="CF20" i="4"/>
  <c r="CF21" i="4"/>
  <c r="CF22" i="4"/>
  <c r="CF23" i="4"/>
  <c r="CF24" i="4"/>
  <c r="CF25" i="4"/>
  <c r="CF26" i="4"/>
  <c r="CF27" i="4"/>
  <c r="CF28" i="4"/>
  <c r="CF29" i="4"/>
  <c r="CF30" i="4"/>
  <c r="CF31" i="4"/>
  <c r="CF32" i="4"/>
  <c r="CF33" i="4"/>
  <c r="CF34" i="4"/>
  <c r="CF35" i="4"/>
  <c r="CF36" i="4"/>
  <c r="CF37" i="4"/>
  <c r="CF38" i="4"/>
  <c r="CF39" i="4"/>
  <c r="CF40" i="4"/>
  <c r="CF41" i="4"/>
  <c r="CF42" i="4"/>
  <c r="CF43" i="4"/>
  <c r="CF44" i="4"/>
  <c r="CF45" i="4"/>
  <c r="CF46" i="4"/>
  <c r="CF47" i="4"/>
  <c r="CF48" i="4"/>
  <c r="CF49" i="4"/>
  <c r="CF50" i="4"/>
  <c r="CF51" i="4"/>
  <c r="CF52" i="4"/>
  <c r="CF53" i="4"/>
  <c r="CF54" i="4"/>
  <c r="CF55" i="4"/>
  <c r="CF56" i="4"/>
  <c r="CF57" i="4"/>
  <c r="CF58" i="4"/>
  <c r="CF4" i="4"/>
  <c r="BY5" i="4"/>
  <c r="BY6" i="4"/>
  <c r="BY7" i="4"/>
  <c r="BY8" i="4"/>
  <c r="BY9" i="4"/>
  <c r="BY10" i="4"/>
  <c r="BY11" i="4"/>
  <c r="BY12" i="4"/>
  <c r="BY13" i="4"/>
  <c r="BY14" i="4"/>
  <c r="BY15" i="4"/>
  <c r="BY16" i="4"/>
  <c r="BY17" i="4"/>
  <c r="BY18" i="4"/>
  <c r="BY19" i="4"/>
  <c r="BY20" i="4"/>
  <c r="BY21" i="4"/>
  <c r="BY22" i="4"/>
  <c r="BY23" i="4"/>
  <c r="BY24" i="4"/>
  <c r="BY25" i="4"/>
  <c r="BY26" i="4"/>
  <c r="BY27" i="4"/>
  <c r="BY28" i="4"/>
  <c r="BY29" i="4"/>
  <c r="BY30" i="4"/>
  <c r="BY31" i="4"/>
  <c r="BY32" i="4"/>
  <c r="BY33" i="4"/>
  <c r="BY34" i="4"/>
  <c r="BY35" i="4"/>
  <c r="BY36" i="4"/>
  <c r="BY37" i="4"/>
  <c r="BY38" i="4"/>
  <c r="BY39" i="4"/>
  <c r="BY40" i="4"/>
  <c r="BY41" i="4"/>
  <c r="BY42" i="4"/>
  <c r="BY43" i="4"/>
  <c r="BY44" i="4"/>
  <c r="BY45" i="4"/>
  <c r="BY46" i="4"/>
  <c r="BY47" i="4"/>
  <c r="BY48" i="4"/>
  <c r="BY49" i="4"/>
  <c r="BY50" i="4"/>
  <c r="BY51" i="4"/>
  <c r="BY52" i="4"/>
  <c r="BY53" i="4"/>
  <c r="BY54" i="4"/>
  <c r="BY55" i="4"/>
  <c r="BY56" i="4"/>
  <c r="BY57" i="4"/>
  <c r="BY58" i="4"/>
  <c r="BY4" i="4"/>
  <c r="BR5" i="4"/>
  <c r="BR6" i="4"/>
  <c r="BR7" i="4"/>
  <c r="BR8" i="4"/>
  <c r="BR9" i="4"/>
  <c r="BR10" i="4"/>
  <c r="BR11" i="4"/>
  <c r="BR12" i="4"/>
  <c r="BR13" i="4"/>
  <c r="BR14" i="4"/>
  <c r="BR15" i="4"/>
  <c r="BR16" i="4"/>
  <c r="BR17" i="4"/>
  <c r="BR18" i="4"/>
  <c r="BR19" i="4"/>
  <c r="BR20" i="4"/>
  <c r="BR21" i="4"/>
  <c r="BR22" i="4"/>
  <c r="BR23" i="4"/>
  <c r="BR24" i="4"/>
  <c r="BR25" i="4"/>
  <c r="BR26" i="4"/>
  <c r="BR27" i="4"/>
  <c r="BR28" i="4"/>
  <c r="BR29" i="4"/>
  <c r="BR30" i="4"/>
  <c r="BR31" i="4"/>
  <c r="BR32" i="4"/>
  <c r="BR33" i="4"/>
  <c r="BR34" i="4"/>
  <c r="BR35" i="4"/>
  <c r="BR36" i="4"/>
  <c r="BR37" i="4"/>
  <c r="BR38" i="4"/>
  <c r="BR39" i="4"/>
  <c r="BR40" i="4"/>
  <c r="BR41" i="4"/>
  <c r="BR42" i="4"/>
  <c r="BR43" i="4"/>
  <c r="BR44" i="4"/>
  <c r="BR45" i="4"/>
  <c r="BR46" i="4"/>
  <c r="BR47" i="4"/>
  <c r="BR48" i="4"/>
  <c r="BR49" i="4"/>
  <c r="BR50" i="4"/>
  <c r="BR51" i="4"/>
  <c r="BR52" i="4"/>
  <c r="BR53" i="4"/>
  <c r="BR54" i="4"/>
  <c r="BR55" i="4"/>
  <c r="BR56" i="4"/>
  <c r="BR57" i="4"/>
  <c r="BR58" i="4"/>
  <c r="BR4" i="4"/>
  <c r="BK5" i="4"/>
  <c r="BK6" i="4"/>
  <c r="BK7" i="4"/>
  <c r="BK8" i="4"/>
  <c r="BK9" i="4"/>
  <c r="BK10" i="4"/>
  <c r="BK11" i="4"/>
  <c r="BK12" i="4"/>
  <c r="BK13" i="4"/>
  <c r="BK14" i="4"/>
  <c r="BK15" i="4"/>
  <c r="BK16" i="4"/>
  <c r="BK17" i="4"/>
  <c r="BK18" i="4"/>
  <c r="BK19" i="4"/>
  <c r="BK20" i="4"/>
  <c r="BK21" i="4"/>
  <c r="BK22" i="4"/>
  <c r="BK23" i="4"/>
  <c r="BK24" i="4"/>
  <c r="BK25" i="4"/>
  <c r="BK26" i="4"/>
  <c r="BK27" i="4"/>
  <c r="BK28" i="4"/>
  <c r="BK29" i="4"/>
  <c r="BK30" i="4"/>
  <c r="BK31" i="4"/>
  <c r="BK32" i="4"/>
  <c r="BK33" i="4"/>
  <c r="BK34" i="4"/>
  <c r="BK35" i="4"/>
  <c r="BK36" i="4"/>
  <c r="BK37" i="4"/>
  <c r="BK38" i="4"/>
  <c r="BK39" i="4"/>
  <c r="BK40" i="4"/>
  <c r="BK41" i="4"/>
  <c r="BK42" i="4"/>
  <c r="BK43" i="4"/>
  <c r="BK44" i="4"/>
  <c r="BK45" i="4"/>
  <c r="BK46" i="4"/>
  <c r="BK47" i="4"/>
  <c r="BK48" i="4"/>
  <c r="BK49" i="4"/>
  <c r="BK50" i="4"/>
  <c r="BK51" i="4"/>
  <c r="BK52" i="4"/>
  <c r="BK53" i="4"/>
  <c r="BK54" i="4"/>
  <c r="BK55" i="4"/>
  <c r="BK56" i="4"/>
  <c r="BK57" i="4"/>
  <c r="BK58" i="4"/>
  <c r="BK4" i="4"/>
  <c r="BD5" i="4"/>
  <c r="BD6" i="4"/>
  <c r="BD7" i="4"/>
  <c r="BD8" i="4"/>
  <c r="BD9" i="4"/>
  <c r="BD10" i="4"/>
  <c r="BD11" i="4"/>
  <c r="BD12" i="4"/>
  <c r="BD13" i="4"/>
  <c r="BD14" i="4"/>
  <c r="BD15" i="4"/>
  <c r="BD16" i="4"/>
  <c r="BD17" i="4"/>
  <c r="BD18" i="4"/>
  <c r="BD19" i="4"/>
  <c r="BD20" i="4"/>
  <c r="BD21" i="4"/>
  <c r="BD22" i="4"/>
  <c r="BD23" i="4"/>
  <c r="BD24" i="4"/>
  <c r="BD25" i="4"/>
  <c r="BD26" i="4"/>
  <c r="BD27" i="4"/>
  <c r="BD28" i="4"/>
  <c r="BD29" i="4"/>
  <c r="BD30" i="4"/>
  <c r="BD31" i="4"/>
  <c r="BD32" i="4"/>
  <c r="BD33" i="4"/>
  <c r="BD34" i="4"/>
  <c r="BD35" i="4"/>
  <c r="BD36" i="4"/>
  <c r="BD37" i="4"/>
  <c r="BD38" i="4"/>
  <c r="BD39" i="4"/>
  <c r="BD40" i="4"/>
  <c r="BD41" i="4"/>
  <c r="BD42" i="4"/>
  <c r="BD43" i="4"/>
  <c r="BD44" i="4"/>
  <c r="BD45" i="4"/>
  <c r="BD46" i="4"/>
  <c r="BD47" i="4"/>
  <c r="BD48" i="4"/>
  <c r="BD49" i="4"/>
  <c r="BD50" i="4"/>
  <c r="BD51" i="4"/>
  <c r="BD52" i="4"/>
  <c r="BD53" i="4"/>
  <c r="BD54" i="4"/>
  <c r="BD55" i="4"/>
  <c r="BD56" i="4"/>
  <c r="BD57" i="4"/>
  <c r="BD58" i="4"/>
  <c r="BD4" i="4"/>
  <c r="AW5" i="4"/>
  <c r="AW6" i="4"/>
  <c r="AW7" i="4"/>
  <c r="AW8" i="4"/>
  <c r="AW9" i="4"/>
  <c r="AW10" i="4"/>
  <c r="AW11" i="4"/>
  <c r="AW12" i="4"/>
  <c r="AW13" i="4"/>
  <c r="AW14" i="4"/>
  <c r="AW15" i="4"/>
  <c r="AW16" i="4"/>
  <c r="AW17" i="4"/>
  <c r="AW18" i="4"/>
  <c r="AW19" i="4"/>
  <c r="AW20" i="4"/>
  <c r="AW21" i="4"/>
  <c r="AW22" i="4"/>
  <c r="AW23" i="4"/>
  <c r="AW24" i="4"/>
  <c r="AW25" i="4"/>
  <c r="AW26" i="4"/>
  <c r="AW27" i="4"/>
  <c r="AW28" i="4"/>
  <c r="AW29" i="4"/>
  <c r="AW30" i="4"/>
  <c r="AW31" i="4"/>
  <c r="AW32" i="4"/>
  <c r="AW33" i="4"/>
  <c r="AW34" i="4"/>
  <c r="AW35" i="4"/>
  <c r="AW36" i="4"/>
  <c r="AW37" i="4"/>
  <c r="AW38" i="4"/>
  <c r="AW39" i="4"/>
  <c r="AW40" i="4"/>
  <c r="AW41" i="4"/>
  <c r="AW42" i="4"/>
  <c r="AW43" i="4"/>
  <c r="AW44" i="4"/>
  <c r="AW45" i="4"/>
  <c r="AW46" i="4"/>
  <c r="AW47" i="4"/>
  <c r="AW48" i="4"/>
  <c r="AW49" i="4"/>
  <c r="AW50" i="4"/>
  <c r="AW51" i="4"/>
  <c r="AW52" i="4"/>
  <c r="AW53" i="4"/>
  <c r="AW54" i="4"/>
  <c r="AW55" i="4"/>
  <c r="AW56" i="4"/>
  <c r="AW57" i="4"/>
  <c r="AW58" i="4"/>
  <c r="AW4" i="4"/>
  <c r="AP5" i="4"/>
  <c r="AP6" i="4"/>
  <c r="AP7" i="4"/>
  <c r="AP8" i="4"/>
  <c r="AP9" i="4"/>
  <c r="AP10" i="4"/>
  <c r="AP11" i="4"/>
  <c r="AP12" i="4"/>
  <c r="AP13" i="4"/>
  <c r="AP14" i="4"/>
  <c r="AP15" i="4"/>
  <c r="AP16" i="4"/>
  <c r="AP17" i="4"/>
  <c r="AP18" i="4"/>
  <c r="AP19" i="4"/>
  <c r="AP20" i="4"/>
  <c r="AP21" i="4"/>
  <c r="AP22" i="4"/>
  <c r="AP23" i="4"/>
  <c r="AP24" i="4"/>
  <c r="AP25" i="4"/>
  <c r="AP26" i="4"/>
  <c r="AP27" i="4"/>
  <c r="AP28" i="4"/>
  <c r="AP29" i="4"/>
  <c r="AP30" i="4"/>
  <c r="AP31" i="4"/>
  <c r="AP32" i="4"/>
  <c r="AP33" i="4"/>
  <c r="AP34" i="4"/>
  <c r="AP35" i="4"/>
  <c r="AP36" i="4"/>
  <c r="AP37" i="4"/>
  <c r="AP38" i="4"/>
  <c r="AP39" i="4"/>
  <c r="AP40" i="4"/>
  <c r="AP41" i="4"/>
  <c r="AP42" i="4"/>
  <c r="AP43" i="4"/>
  <c r="AP44" i="4"/>
  <c r="AP45" i="4"/>
  <c r="AP46" i="4"/>
  <c r="AP47" i="4"/>
  <c r="AP48" i="4"/>
  <c r="AP49" i="4"/>
  <c r="AP50" i="4"/>
  <c r="AP51" i="4"/>
  <c r="AP52" i="4"/>
  <c r="AP53" i="4"/>
  <c r="AP54" i="4"/>
  <c r="AP56" i="4"/>
  <c r="AP57" i="4"/>
  <c r="AP4" i="4"/>
  <c r="AI5" i="4"/>
  <c r="AI6" i="4"/>
  <c r="AI7" i="4"/>
  <c r="AI8" i="4"/>
  <c r="AI9" i="4"/>
  <c r="AI10" i="4"/>
  <c r="AI11" i="4"/>
  <c r="AI12" i="4"/>
  <c r="AI13" i="4"/>
  <c r="AI14" i="4"/>
  <c r="AI15" i="4"/>
  <c r="AI16" i="4"/>
  <c r="AI17" i="4"/>
  <c r="AI18" i="4"/>
  <c r="AI19" i="4"/>
  <c r="AI20" i="4"/>
  <c r="AI21" i="4"/>
  <c r="AI22" i="4"/>
  <c r="AI23" i="4"/>
  <c r="AI24" i="4"/>
  <c r="AI25" i="4"/>
  <c r="AI26" i="4"/>
  <c r="AI27" i="4"/>
  <c r="AI28" i="4"/>
  <c r="AI29" i="4"/>
  <c r="AI30" i="4"/>
  <c r="AI31" i="4"/>
  <c r="AI32" i="4"/>
  <c r="AI33" i="4"/>
  <c r="AI34" i="4"/>
  <c r="AI35" i="4"/>
  <c r="AI36" i="4"/>
  <c r="AI37" i="4"/>
  <c r="AI38" i="4"/>
  <c r="AI39" i="4"/>
  <c r="AI40" i="4"/>
  <c r="AI41" i="4"/>
  <c r="AI42" i="4"/>
  <c r="AI43" i="4"/>
  <c r="AI44" i="4"/>
  <c r="AI45" i="4"/>
  <c r="AI46" i="4"/>
  <c r="AI47" i="4"/>
  <c r="AI48" i="4"/>
  <c r="AI49" i="4"/>
  <c r="AI50" i="4"/>
  <c r="AI51" i="4"/>
  <c r="AI52" i="4"/>
  <c r="AI53" i="4"/>
  <c r="AI54" i="4"/>
  <c r="AI56" i="4"/>
  <c r="AI57" i="4"/>
  <c r="AI4" i="4"/>
  <c r="AB5" i="4"/>
  <c r="AB6" i="4"/>
  <c r="AB7" i="4"/>
  <c r="AB8" i="4"/>
  <c r="AB9" i="4"/>
  <c r="AB10" i="4"/>
  <c r="AB11" i="4"/>
  <c r="AB12" i="4"/>
  <c r="AB13" i="4"/>
  <c r="AB14" i="4"/>
  <c r="AB15" i="4"/>
  <c r="AB16" i="4"/>
  <c r="AB17" i="4"/>
  <c r="AB18" i="4"/>
  <c r="AB19" i="4"/>
  <c r="AB20" i="4"/>
  <c r="AB21" i="4"/>
  <c r="AB22" i="4"/>
  <c r="AB23" i="4"/>
  <c r="AB24" i="4"/>
  <c r="AB25" i="4"/>
  <c r="AB26" i="4"/>
  <c r="AB27" i="4"/>
  <c r="AB28" i="4"/>
  <c r="AB29" i="4"/>
  <c r="AB30" i="4"/>
  <c r="AB31" i="4"/>
  <c r="AB32" i="4"/>
  <c r="AB33" i="4"/>
  <c r="AB34" i="4"/>
  <c r="AB35" i="4"/>
  <c r="AB36" i="4"/>
  <c r="AB37" i="4"/>
  <c r="AB38" i="4"/>
  <c r="AB39" i="4"/>
  <c r="AB40" i="4"/>
  <c r="AB41" i="4"/>
  <c r="AB42" i="4"/>
  <c r="AB43" i="4"/>
  <c r="AB44" i="4"/>
  <c r="AB45" i="4"/>
  <c r="AB46" i="4"/>
  <c r="AB47" i="4"/>
  <c r="AB48" i="4"/>
  <c r="AB49" i="4"/>
  <c r="AB50" i="4"/>
  <c r="AB51" i="4"/>
  <c r="AB52" i="4"/>
  <c r="AB53" i="4"/>
  <c r="AB54" i="4"/>
  <c r="AB56" i="4"/>
  <c r="AB57" i="4"/>
  <c r="AB4" i="4"/>
  <c r="U5" i="4"/>
  <c r="U6" i="4"/>
  <c r="U7" i="4"/>
  <c r="U8" i="4"/>
  <c r="U9" i="4"/>
  <c r="U10" i="4"/>
  <c r="U11" i="4"/>
  <c r="U12" i="4"/>
  <c r="U13" i="4"/>
  <c r="U14" i="4"/>
  <c r="U15" i="4"/>
  <c r="U16" i="4"/>
  <c r="U17" i="4"/>
  <c r="U18" i="4"/>
  <c r="U19" i="4"/>
  <c r="U20" i="4"/>
  <c r="U21" i="4"/>
  <c r="U22" i="4"/>
  <c r="U23" i="4"/>
  <c r="U24" i="4"/>
  <c r="U25" i="4"/>
  <c r="U26" i="4"/>
  <c r="U27" i="4"/>
  <c r="U28" i="4"/>
  <c r="U29" i="4"/>
  <c r="U30" i="4"/>
  <c r="U31" i="4"/>
  <c r="U32" i="4"/>
  <c r="U33" i="4"/>
  <c r="U34" i="4"/>
  <c r="U35" i="4"/>
  <c r="U36" i="4"/>
  <c r="U37" i="4"/>
  <c r="U38" i="4"/>
  <c r="U39" i="4"/>
  <c r="U40" i="4"/>
  <c r="U41" i="4"/>
  <c r="U42" i="4"/>
  <c r="U43" i="4"/>
  <c r="U44" i="4"/>
  <c r="U45" i="4"/>
  <c r="U46" i="4"/>
  <c r="U47" i="4"/>
  <c r="U48" i="4"/>
  <c r="U49" i="4"/>
  <c r="U50" i="4"/>
  <c r="U51" i="4"/>
  <c r="U52" i="4"/>
  <c r="U53" i="4"/>
  <c r="U54" i="4"/>
  <c r="U56" i="4"/>
  <c r="U57" i="4"/>
  <c r="U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6" i="4"/>
  <c r="N57" i="4"/>
  <c r="N4" i="4"/>
  <c r="CM5" i="2"/>
  <c r="CM6" i="2"/>
  <c r="CM7" i="2"/>
  <c r="CM8" i="2"/>
  <c r="CM9" i="2"/>
  <c r="CM10" i="2"/>
  <c r="CM11" i="2"/>
  <c r="CM12" i="2"/>
  <c r="CM13" i="2"/>
  <c r="CM14" i="2"/>
  <c r="CM15" i="2"/>
  <c r="CM16" i="2"/>
  <c r="CM17" i="2"/>
  <c r="CM18" i="2"/>
  <c r="CM19" i="2"/>
  <c r="CM20" i="2"/>
  <c r="CM21" i="2"/>
  <c r="CM22" i="2"/>
  <c r="CM23" i="2"/>
  <c r="CM24" i="2"/>
  <c r="CM25" i="2"/>
  <c r="CM26" i="2"/>
  <c r="CM27" i="2"/>
  <c r="CM28" i="2"/>
  <c r="CM29" i="2"/>
  <c r="CM30" i="2"/>
  <c r="CM31" i="2"/>
  <c r="CM32" i="2"/>
  <c r="CM33" i="2"/>
  <c r="CM34" i="2"/>
  <c r="CM35" i="2"/>
  <c r="CM36" i="2"/>
  <c r="CM37" i="2"/>
  <c r="CM38" i="2"/>
  <c r="CM39" i="2"/>
  <c r="CM40" i="2"/>
  <c r="CM41" i="2"/>
  <c r="CM42" i="2"/>
  <c r="CM43" i="2"/>
  <c r="CM44" i="2"/>
  <c r="CM45" i="2"/>
  <c r="CM46" i="2"/>
  <c r="CM47" i="2"/>
  <c r="CM48" i="2"/>
  <c r="CM49" i="2"/>
  <c r="CM50" i="2"/>
  <c r="CM51" i="2"/>
  <c r="CM52" i="2"/>
  <c r="CM53" i="2"/>
  <c r="CM54" i="2"/>
  <c r="CM55" i="2"/>
  <c r="CM56" i="2"/>
  <c r="CM57" i="2"/>
  <c r="CM58" i="2"/>
  <c r="CM4" i="2"/>
  <c r="CF5" i="2"/>
  <c r="CF6" i="2"/>
  <c r="CF7" i="2"/>
  <c r="CF8" i="2"/>
  <c r="CF9" i="2"/>
  <c r="CF10" i="2"/>
  <c r="CF11" i="2"/>
  <c r="CF12" i="2"/>
  <c r="CF13" i="2"/>
  <c r="CF14" i="2"/>
  <c r="CF15" i="2"/>
  <c r="CF16" i="2"/>
  <c r="CF17" i="2"/>
  <c r="CF18" i="2"/>
  <c r="CF19" i="2"/>
  <c r="CF20" i="2"/>
  <c r="CF21" i="2"/>
  <c r="CF22" i="2"/>
  <c r="CF23" i="2"/>
  <c r="CF24" i="2"/>
  <c r="CF25" i="2"/>
  <c r="CF26" i="2"/>
  <c r="CF27" i="2"/>
  <c r="CF28" i="2"/>
  <c r="CF29" i="2"/>
  <c r="CF30" i="2"/>
  <c r="CF31" i="2"/>
  <c r="CF32" i="2"/>
  <c r="CF33" i="2"/>
  <c r="CF34" i="2"/>
  <c r="CF35" i="2"/>
  <c r="CF36" i="2"/>
  <c r="CF37" i="2"/>
  <c r="CF38" i="2"/>
  <c r="CF39" i="2"/>
  <c r="CF40" i="2"/>
  <c r="CF41" i="2"/>
  <c r="CF42" i="2"/>
  <c r="CF43" i="2"/>
  <c r="CF44" i="2"/>
  <c r="CF45" i="2"/>
  <c r="CF46" i="2"/>
  <c r="CF47" i="2"/>
  <c r="CF48" i="2"/>
  <c r="CF49" i="2"/>
  <c r="CF50" i="2"/>
  <c r="CF51" i="2"/>
  <c r="CF52" i="2"/>
  <c r="CF53" i="2"/>
  <c r="CF54" i="2"/>
  <c r="CF55" i="2"/>
  <c r="CF56" i="2"/>
  <c r="CF57" i="2"/>
  <c r="CF58" i="2"/>
  <c r="CF4" i="2"/>
  <c r="BY5" i="2"/>
  <c r="BY6" i="2"/>
  <c r="BY7" i="2"/>
  <c r="BY8" i="2"/>
  <c r="BY9" i="2"/>
  <c r="BY10" i="2"/>
  <c r="BY11" i="2"/>
  <c r="BY12" i="2"/>
  <c r="BY13" i="2"/>
  <c r="BY14" i="2"/>
  <c r="BY15" i="2"/>
  <c r="BY16" i="2"/>
  <c r="BY17" i="2"/>
  <c r="BY18" i="2"/>
  <c r="BY19" i="2"/>
  <c r="BY20" i="2"/>
  <c r="BY21" i="2"/>
  <c r="BY22" i="2"/>
  <c r="BY23" i="2"/>
  <c r="BY24" i="2"/>
  <c r="BY25" i="2"/>
  <c r="BY26" i="2"/>
  <c r="BY27" i="2"/>
  <c r="BY28" i="2"/>
  <c r="BY29" i="2"/>
  <c r="BY30" i="2"/>
  <c r="BY31" i="2"/>
  <c r="BY32" i="2"/>
  <c r="BY33" i="2"/>
  <c r="BY34" i="2"/>
  <c r="BY35" i="2"/>
  <c r="BY36" i="2"/>
  <c r="BY37" i="2"/>
  <c r="BY38" i="2"/>
  <c r="BY39" i="2"/>
  <c r="BY40" i="2"/>
  <c r="BY41" i="2"/>
  <c r="BY42" i="2"/>
  <c r="BY43" i="2"/>
  <c r="BY44" i="2"/>
  <c r="BY45" i="2"/>
  <c r="BY46" i="2"/>
  <c r="BY47" i="2"/>
  <c r="BY48" i="2"/>
  <c r="BY49" i="2"/>
  <c r="BY50" i="2"/>
  <c r="BY51" i="2"/>
  <c r="BY52" i="2"/>
  <c r="BY53" i="2"/>
  <c r="BY54" i="2"/>
  <c r="BY55" i="2"/>
  <c r="BY56" i="2"/>
  <c r="BY57" i="2"/>
  <c r="BY58" i="2"/>
  <c r="BY4" i="2"/>
  <c r="BR5" i="2"/>
  <c r="BR6" i="2"/>
  <c r="BR7" i="2"/>
  <c r="BR8" i="2"/>
  <c r="BR9" i="2"/>
  <c r="BR10" i="2"/>
  <c r="BR11" i="2"/>
  <c r="BR12" i="2"/>
  <c r="BR13" i="2"/>
  <c r="BR14" i="2"/>
  <c r="BR15" i="2"/>
  <c r="BR16" i="2"/>
  <c r="BR17" i="2"/>
  <c r="BR18" i="2"/>
  <c r="BR19" i="2"/>
  <c r="BR20" i="2"/>
  <c r="BR21" i="2"/>
  <c r="BR22" i="2"/>
  <c r="BR23" i="2"/>
  <c r="BR24" i="2"/>
  <c r="BR25" i="2"/>
  <c r="BR26" i="2"/>
  <c r="BR27" i="2"/>
  <c r="BR28" i="2"/>
  <c r="BR29" i="2"/>
  <c r="BR30" i="2"/>
  <c r="BR31" i="2"/>
  <c r="BR32" i="2"/>
  <c r="BR33" i="2"/>
  <c r="BR34" i="2"/>
  <c r="BR35" i="2"/>
  <c r="BR36" i="2"/>
  <c r="BR37" i="2"/>
  <c r="BR38" i="2"/>
  <c r="BR39" i="2"/>
  <c r="BR40" i="2"/>
  <c r="BR41" i="2"/>
  <c r="BR42" i="2"/>
  <c r="BR43" i="2"/>
  <c r="BR44" i="2"/>
  <c r="BR45" i="2"/>
  <c r="BR46" i="2"/>
  <c r="BR47" i="2"/>
  <c r="BR48" i="2"/>
  <c r="BR49" i="2"/>
  <c r="BR50" i="2"/>
  <c r="BR51" i="2"/>
  <c r="BR52" i="2"/>
  <c r="BR53" i="2"/>
  <c r="BR54" i="2"/>
  <c r="BR55" i="2"/>
  <c r="BR56" i="2"/>
  <c r="BR57" i="2"/>
  <c r="BR58" i="2"/>
  <c r="BR4" i="2"/>
  <c r="BK5" i="2"/>
  <c r="BK6" i="2"/>
  <c r="BK7" i="2"/>
  <c r="BK8" i="2"/>
  <c r="BK9" i="2"/>
  <c r="BK10" i="2"/>
  <c r="BK11" i="2"/>
  <c r="BK12" i="2"/>
  <c r="BK13" i="2"/>
  <c r="BK14" i="2"/>
  <c r="BK15" i="2"/>
  <c r="BK16" i="2"/>
  <c r="BK17" i="2"/>
  <c r="BK18" i="2"/>
  <c r="BK19" i="2"/>
  <c r="BK20" i="2"/>
  <c r="BK21" i="2"/>
  <c r="BK22" i="2"/>
  <c r="BK23" i="2"/>
  <c r="BK24" i="2"/>
  <c r="BK25" i="2"/>
  <c r="BK26" i="2"/>
  <c r="BK27" i="2"/>
  <c r="BK28" i="2"/>
  <c r="BK29" i="2"/>
  <c r="BK30" i="2"/>
  <c r="BK31" i="2"/>
  <c r="BK32" i="2"/>
  <c r="BK33" i="2"/>
  <c r="BK34" i="2"/>
  <c r="BK35" i="2"/>
  <c r="BK36" i="2"/>
  <c r="BK37" i="2"/>
  <c r="BK38" i="2"/>
  <c r="BK39" i="2"/>
  <c r="BK40" i="2"/>
  <c r="BK41" i="2"/>
  <c r="BK42" i="2"/>
  <c r="BK43" i="2"/>
  <c r="BK44" i="2"/>
  <c r="BK45" i="2"/>
  <c r="BK46" i="2"/>
  <c r="BK47" i="2"/>
  <c r="BK48" i="2"/>
  <c r="BK49" i="2"/>
  <c r="BK50" i="2"/>
  <c r="BK51" i="2"/>
  <c r="BK52" i="2"/>
  <c r="BK53" i="2"/>
  <c r="BK54" i="2"/>
  <c r="BK55" i="2"/>
  <c r="BK56" i="2"/>
  <c r="BK57" i="2"/>
  <c r="BK58" i="2"/>
  <c r="BK4" i="2"/>
  <c r="BD5" i="2"/>
  <c r="BD6" i="2"/>
  <c r="BD7" i="2"/>
  <c r="BD8" i="2"/>
  <c r="BD9" i="2"/>
  <c r="BD10" i="2"/>
  <c r="BD11" i="2"/>
  <c r="BD12" i="2"/>
  <c r="BD13" i="2"/>
  <c r="BD14" i="2"/>
  <c r="BD15" i="2"/>
  <c r="BD16" i="2"/>
  <c r="BD17" i="2"/>
  <c r="BD18" i="2"/>
  <c r="BD19" i="2"/>
  <c r="BD20" i="2"/>
  <c r="BD21" i="2"/>
  <c r="BD22" i="2"/>
  <c r="BD23" i="2"/>
  <c r="BD24" i="2"/>
  <c r="BD25" i="2"/>
  <c r="BD26" i="2"/>
  <c r="BD27" i="2"/>
  <c r="BD28" i="2"/>
  <c r="BD29" i="2"/>
  <c r="BD30" i="2"/>
  <c r="BD31" i="2"/>
  <c r="BD32" i="2"/>
  <c r="BD33" i="2"/>
  <c r="BD34" i="2"/>
  <c r="BD35" i="2"/>
  <c r="BD36" i="2"/>
  <c r="BD37" i="2"/>
  <c r="BD38" i="2"/>
  <c r="BD39" i="2"/>
  <c r="BD40" i="2"/>
  <c r="BD41" i="2"/>
  <c r="BD42" i="2"/>
  <c r="BD43" i="2"/>
  <c r="BD44" i="2"/>
  <c r="BD45" i="2"/>
  <c r="BD46" i="2"/>
  <c r="BD47" i="2"/>
  <c r="BD48" i="2"/>
  <c r="BD49" i="2"/>
  <c r="BD50" i="2"/>
  <c r="BD51" i="2"/>
  <c r="BD52" i="2"/>
  <c r="BD53" i="2"/>
  <c r="BD54" i="2"/>
  <c r="BD55" i="2"/>
  <c r="BD56" i="2"/>
  <c r="BD57" i="2"/>
  <c r="BD58" i="2"/>
  <c r="BD4" i="2"/>
  <c r="AW5" i="2"/>
  <c r="AW6" i="2"/>
  <c r="AW7" i="2"/>
  <c r="AW8" i="2"/>
  <c r="AW9" i="2"/>
  <c r="AW10" i="2"/>
  <c r="AW11" i="2"/>
  <c r="AW12" i="2"/>
  <c r="AW13" i="2"/>
  <c r="AW14" i="2"/>
  <c r="AW15" i="2"/>
  <c r="AW16" i="2"/>
  <c r="AW17" i="2"/>
  <c r="AW18" i="2"/>
  <c r="AW19" i="2"/>
  <c r="AW20" i="2"/>
  <c r="AW21" i="2"/>
  <c r="AW22" i="2"/>
  <c r="AW23" i="2"/>
  <c r="AW24" i="2"/>
  <c r="AW25" i="2"/>
  <c r="AW26" i="2"/>
  <c r="AW27" i="2"/>
  <c r="AW28" i="2"/>
  <c r="AW29" i="2"/>
  <c r="AW30" i="2"/>
  <c r="AW31" i="2"/>
  <c r="AW32" i="2"/>
  <c r="AW33" i="2"/>
  <c r="AW34" i="2"/>
  <c r="AW35" i="2"/>
  <c r="AW36" i="2"/>
  <c r="AW37" i="2"/>
  <c r="AW38" i="2"/>
  <c r="AW39" i="2"/>
  <c r="AW40" i="2"/>
  <c r="AW41" i="2"/>
  <c r="AW42" i="2"/>
  <c r="AW43" i="2"/>
  <c r="AW44" i="2"/>
  <c r="AW45" i="2"/>
  <c r="AW46" i="2"/>
  <c r="AW47" i="2"/>
  <c r="AW48" i="2"/>
  <c r="AW49" i="2"/>
  <c r="AW50" i="2"/>
  <c r="AW51" i="2"/>
  <c r="AW52" i="2"/>
  <c r="AW53" i="2"/>
  <c r="AW54" i="2"/>
  <c r="AW55" i="2"/>
  <c r="AW56" i="2"/>
  <c r="AW57" i="2"/>
  <c r="AW58" i="2"/>
  <c r="AW4" i="2"/>
  <c r="AP5" i="2"/>
  <c r="AP6" i="2"/>
  <c r="AP7" i="2"/>
  <c r="AP8" i="2"/>
  <c r="AP9" i="2"/>
  <c r="AP10" i="2"/>
  <c r="AP11" i="2"/>
  <c r="AP12" i="2"/>
  <c r="AP13" i="2"/>
  <c r="AP14" i="2"/>
  <c r="AP15" i="2"/>
  <c r="AP16" i="2"/>
  <c r="AP17" i="2"/>
  <c r="AP18" i="2"/>
  <c r="AP19" i="2"/>
  <c r="AP20" i="2"/>
  <c r="AP21" i="2"/>
  <c r="AP22" i="2"/>
  <c r="AP23" i="2"/>
  <c r="AP24" i="2"/>
  <c r="AP25" i="2"/>
  <c r="AP26" i="2"/>
  <c r="AP27" i="2"/>
  <c r="AP28" i="2"/>
  <c r="AP29" i="2"/>
  <c r="AP30" i="2"/>
  <c r="AP31" i="2"/>
  <c r="AP32" i="2"/>
  <c r="AP33" i="2"/>
  <c r="AP34" i="2"/>
  <c r="AP35" i="2"/>
  <c r="AP36" i="2"/>
  <c r="AP37" i="2"/>
  <c r="AP38" i="2"/>
  <c r="AP39" i="2"/>
  <c r="AP40" i="2"/>
  <c r="AP41" i="2"/>
  <c r="AP42" i="2"/>
  <c r="AP43" i="2"/>
  <c r="AP44" i="2"/>
  <c r="AP45" i="2"/>
  <c r="AP46" i="2"/>
  <c r="AP47" i="2"/>
  <c r="AP48" i="2"/>
  <c r="AP49" i="2"/>
  <c r="AP50" i="2"/>
  <c r="AP51" i="2"/>
  <c r="AP52" i="2"/>
  <c r="AP53" i="2"/>
  <c r="AP54" i="2"/>
  <c r="AP55" i="2"/>
  <c r="AP56" i="2"/>
  <c r="AP57" i="2"/>
  <c r="AP58" i="2"/>
  <c r="AP4" i="2"/>
  <c r="AI5" i="2"/>
  <c r="AI6" i="2"/>
  <c r="AI7" i="2"/>
  <c r="AI8" i="2"/>
  <c r="AI9" i="2"/>
  <c r="AI10" i="2"/>
  <c r="AI11" i="2"/>
  <c r="AI12" i="2"/>
  <c r="AI13" i="2"/>
  <c r="AI14" i="2"/>
  <c r="AI15" i="2"/>
  <c r="AI16" i="2"/>
  <c r="AI17" i="2"/>
  <c r="AI18" i="2"/>
  <c r="AI19" i="2"/>
  <c r="AI20" i="2"/>
  <c r="AI21" i="2"/>
  <c r="AI22" i="2"/>
  <c r="AI23" i="2"/>
  <c r="AI24" i="2"/>
  <c r="AI25" i="2"/>
  <c r="AI26" i="2"/>
  <c r="AI27" i="2"/>
  <c r="AI28" i="2"/>
  <c r="AI29" i="2"/>
  <c r="AI30" i="2"/>
  <c r="AI31" i="2"/>
  <c r="AI32" i="2"/>
  <c r="AI33" i="2"/>
  <c r="AI34" i="2"/>
  <c r="AI35" i="2"/>
  <c r="AI36" i="2"/>
  <c r="AI37" i="2"/>
  <c r="AI38" i="2"/>
  <c r="AI39" i="2"/>
  <c r="AI40" i="2"/>
  <c r="AI41" i="2"/>
  <c r="AI42" i="2"/>
  <c r="AI43" i="2"/>
  <c r="AI44" i="2"/>
  <c r="AI45" i="2"/>
  <c r="AI46" i="2"/>
  <c r="AI47" i="2"/>
  <c r="AI48" i="2"/>
  <c r="AI49" i="2"/>
  <c r="AI50" i="2"/>
  <c r="AI51" i="2"/>
  <c r="AI52" i="2"/>
  <c r="AI53" i="2"/>
  <c r="AI54" i="2"/>
  <c r="AI55" i="2"/>
  <c r="AI56" i="2"/>
  <c r="AI57" i="2"/>
  <c r="AI58" i="2"/>
  <c r="AI4" i="2"/>
  <c r="AB5" i="2"/>
  <c r="AB6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23" i="2"/>
  <c r="AB24" i="2"/>
  <c r="AB25" i="2"/>
  <c r="AB26" i="2"/>
  <c r="AB27" i="2"/>
  <c r="AB28" i="2"/>
  <c r="AB29" i="2"/>
  <c r="AB30" i="2"/>
  <c r="AB31" i="2"/>
  <c r="AB32" i="2"/>
  <c r="AB33" i="2"/>
  <c r="AB34" i="2"/>
  <c r="AB35" i="2"/>
  <c r="AB36" i="2"/>
  <c r="AB37" i="2"/>
  <c r="AB38" i="2"/>
  <c r="AB39" i="2"/>
  <c r="AB40" i="2"/>
  <c r="AB41" i="2"/>
  <c r="AB42" i="2"/>
  <c r="AB43" i="2"/>
  <c r="AB44" i="2"/>
  <c r="AB45" i="2"/>
  <c r="AB46" i="2"/>
  <c r="AB47" i="2"/>
  <c r="AB48" i="2"/>
  <c r="AB49" i="2"/>
  <c r="AB50" i="2"/>
  <c r="AB51" i="2"/>
  <c r="AB52" i="2"/>
  <c r="AB53" i="2"/>
  <c r="AB54" i="2"/>
  <c r="AB55" i="2"/>
  <c r="AB56" i="2"/>
  <c r="AB57" i="2"/>
  <c r="AB58" i="2"/>
  <c r="AB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4" i="2"/>
  <c r="CM5" i="3"/>
  <c r="CM6" i="3"/>
  <c r="CM7" i="3"/>
  <c r="CM8" i="3"/>
  <c r="CM9" i="3"/>
  <c r="CM10" i="3"/>
  <c r="CM11" i="3"/>
  <c r="CM12" i="3"/>
  <c r="CM13" i="3"/>
  <c r="CM14" i="3"/>
  <c r="CM15" i="3"/>
  <c r="CM16" i="3"/>
  <c r="CM17" i="3"/>
  <c r="CM18" i="3"/>
  <c r="CM19" i="3"/>
  <c r="CM20" i="3"/>
  <c r="CM21" i="3"/>
  <c r="CM22" i="3"/>
  <c r="CM23" i="3"/>
  <c r="CM24" i="3"/>
  <c r="CM25" i="3"/>
  <c r="CM26" i="3"/>
  <c r="CM27" i="3"/>
  <c r="CM28" i="3"/>
  <c r="CM29" i="3"/>
  <c r="CM30" i="3"/>
  <c r="CM31" i="3"/>
  <c r="CM32" i="3"/>
  <c r="CM33" i="3"/>
  <c r="CM34" i="3"/>
  <c r="CM35" i="3"/>
  <c r="CM36" i="3"/>
  <c r="CM37" i="3"/>
  <c r="CM38" i="3"/>
  <c r="CM39" i="3"/>
  <c r="CM40" i="3"/>
  <c r="CM41" i="3"/>
  <c r="CM42" i="3"/>
  <c r="CM43" i="3"/>
  <c r="CM44" i="3"/>
  <c r="CM45" i="3"/>
  <c r="CM46" i="3"/>
  <c r="CM47" i="3"/>
  <c r="CM48" i="3"/>
  <c r="CM49" i="3"/>
  <c r="CM50" i="3"/>
  <c r="CM51" i="3"/>
  <c r="CM52" i="3"/>
  <c r="CM53" i="3"/>
  <c r="CM54" i="3"/>
  <c r="CM55" i="3"/>
  <c r="CM56" i="3"/>
  <c r="CM57" i="3"/>
  <c r="CM58" i="3"/>
  <c r="CM4" i="3"/>
  <c r="CF5" i="3"/>
  <c r="CF6" i="3"/>
  <c r="CF7" i="3"/>
  <c r="CF8" i="3"/>
  <c r="CF9" i="3"/>
  <c r="CF10" i="3"/>
  <c r="CF11" i="3"/>
  <c r="CF12" i="3"/>
  <c r="CF13" i="3"/>
  <c r="CF14" i="3"/>
  <c r="CF15" i="3"/>
  <c r="CF16" i="3"/>
  <c r="CF17" i="3"/>
  <c r="CF18" i="3"/>
  <c r="CF19" i="3"/>
  <c r="CF20" i="3"/>
  <c r="CF21" i="3"/>
  <c r="CF22" i="3"/>
  <c r="CF23" i="3"/>
  <c r="CF24" i="3"/>
  <c r="CF25" i="3"/>
  <c r="CF26" i="3"/>
  <c r="CF27" i="3"/>
  <c r="CF28" i="3"/>
  <c r="CF29" i="3"/>
  <c r="CF30" i="3"/>
  <c r="CF31" i="3"/>
  <c r="CF32" i="3"/>
  <c r="CF33" i="3"/>
  <c r="CF34" i="3"/>
  <c r="CF35" i="3"/>
  <c r="CF36" i="3"/>
  <c r="CF37" i="3"/>
  <c r="CF38" i="3"/>
  <c r="CF39" i="3"/>
  <c r="CF40" i="3"/>
  <c r="CF41" i="3"/>
  <c r="CF42" i="3"/>
  <c r="CF43" i="3"/>
  <c r="CF44" i="3"/>
  <c r="CF45" i="3"/>
  <c r="CF46" i="3"/>
  <c r="CF47" i="3"/>
  <c r="CF48" i="3"/>
  <c r="CF49" i="3"/>
  <c r="CF50" i="3"/>
  <c r="CF51" i="3"/>
  <c r="CF52" i="3"/>
  <c r="CF53" i="3"/>
  <c r="CF54" i="3"/>
  <c r="CF55" i="3"/>
  <c r="CF56" i="3"/>
  <c r="CF57" i="3"/>
  <c r="CF58" i="3"/>
  <c r="CF4" i="3"/>
  <c r="BY58" i="3"/>
  <c r="BY55" i="3"/>
  <c r="BY5" i="3"/>
  <c r="BY6" i="3"/>
  <c r="BY7" i="3"/>
  <c r="BY8" i="3"/>
  <c r="BY9" i="3"/>
  <c r="BY10" i="3"/>
  <c r="BY11" i="3"/>
  <c r="BY12" i="3"/>
  <c r="BY13" i="3"/>
  <c r="BY14" i="3"/>
  <c r="BY15" i="3"/>
  <c r="BY16" i="3"/>
  <c r="BY17" i="3"/>
  <c r="BY18" i="3"/>
  <c r="BY19" i="3"/>
  <c r="BY20" i="3"/>
  <c r="BY21" i="3"/>
  <c r="BY22" i="3"/>
  <c r="BY23" i="3"/>
  <c r="BY24" i="3"/>
  <c r="BY25" i="3"/>
  <c r="BY26" i="3"/>
  <c r="BY27" i="3"/>
  <c r="BY28" i="3"/>
  <c r="BY29" i="3"/>
  <c r="BY30" i="3"/>
  <c r="BY31" i="3"/>
  <c r="BY32" i="3"/>
  <c r="BY33" i="3"/>
  <c r="BY34" i="3"/>
  <c r="BY35" i="3"/>
  <c r="BY36" i="3"/>
  <c r="BY37" i="3"/>
  <c r="BY38" i="3"/>
  <c r="BY39" i="3"/>
  <c r="BY40" i="3"/>
  <c r="BY41" i="3"/>
  <c r="BY42" i="3"/>
  <c r="BY43" i="3"/>
  <c r="BY44" i="3"/>
  <c r="BY45" i="3"/>
  <c r="BY46" i="3"/>
  <c r="BY47" i="3"/>
  <c r="BY48" i="3"/>
  <c r="BY49" i="3"/>
  <c r="BY50" i="3"/>
  <c r="BY51" i="3"/>
  <c r="BY52" i="3"/>
  <c r="BY53" i="3"/>
  <c r="BY54" i="3"/>
  <c r="BY56" i="3"/>
  <c r="BY57" i="3"/>
  <c r="BY4" i="3"/>
  <c r="BR58" i="3"/>
  <c r="BR55" i="3"/>
  <c r="BR5" i="3"/>
  <c r="BR6" i="3"/>
  <c r="BR7" i="3"/>
  <c r="BR8" i="3"/>
  <c r="BR9" i="3"/>
  <c r="BR10" i="3"/>
  <c r="BR11" i="3"/>
  <c r="BR12" i="3"/>
  <c r="BR13" i="3"/>
  <c r="BR14" i="3"/>
  <c r="BR15" i="3"/>
  <c r="BR16" i="3"/>
  <c r="BR17" i="3"/>
  <c r="BR18" i="3"/>
  <c r="BR19" i="3"/>
  <c r="BR20" i="3"/>
  <c r="BR21" i="3"/>
  <c r="BR22" i="3"/>
  <c r="BR23" i="3"/>
  <c r="BR24" i="3"/>
  <c r="BR25" i="3"/>
  <c r="BR26" i="3"/>
  <c r="BR27" i="3"/>
  <c r="BR28" i="3"/>
  <c r="BR29" i="3"/>
  <c r="BR30" i="3"/>
  <c r="BR31" i="3"/>
  <c r="BR32" i="3"/>
  <c r="BR33" i="3"/>
  <c r="BR34" i="3"/>
  <c r="BR35" i="3"/>
  <c r="BR36" i="3"/>
  <c r="BR37" i="3"/>
  <c r="BR38" i="3"/>
  <c r="BR39" i="3"/>
  <c r="BR40" i="3"/>
  <c r="BR41" i="3"/>
  <c r="BR42" i="3"/>
  <c r="BR43" i="3"/>
  <c r="BR44" i="3"/>
  <c r="BR45" i="3"/>
  <c r="BR46" i="3"/>
  <c r="BR47" i="3"/>
  <c r="BR48" i="3"/>
  <c r="BR49" i="3"/>
  <c r="BR50" i="3"/>
  <c r="BR51" i="3"/>
  <c r="BR52" i="3"/>
  <c r="BR53" i="3"/>
  <c r="BR54" i="3"/>
  <c r="BR56" i="3"/>
  <c r="BR57" i="3"/>
  <c r="BR4" i="3"/>
  <c r="BK58" i="3"/>
  <c r="BK55" i="3"/>
  <c r="BK5" i="3"/>
  <c r="BK6" i="3"/>
  <c r="BK7" i="3"/>
  <c r="BK8" i="3"/>
  <c r="BK9" i="3"/>
  <c r="BK10" i="3"/>
  <c r="BK11" i="3"/>
  <c r="BK12" i="3"/>
  <c r="BK13" i="3"/>
  <c r="BK14" i="3"/>
  <c r="BK15" i="3"/>
  <c r="BK16" i="3"/>
  <c r="BK17" i="3"/>
  <c r="BK18" i="3"/>
  <c r="BK19" i="3"/>
  <c r="BK20" i="3"/>
  <c r="BK21" i="3"/>
  <c r="BK22" i="3"/>
  <c r="BK23" i="3"/>
  <c r="BK24" i="3"/>
  <c r="BK25" i="3"/>
  <c r="BK26" i="3"/>
  <c r="BK27" i="3"/>
  <c r="BK28" i="3"/>
  <c r="BK29" i="3"/>
  <c r="BK30" i="3"/>
  <c r="BK31" i="3"/>
  <c r="BK32" i="3"/>
  <c r="BK33" i="3"/>
  <c r="BK34" i="3"/>
  <c r="BK35" i="3"/>
  <c r="BK36" i="3"/>
  <c r="BK37" i="3"/>
  <c r="BK38" i="3"/>
  <c r="BK39" i="3"/>
  <c r="BK40" i="3"/>
  <c r="BK41" i="3"/>
  <c r="BK42" i="3"/>
  <c r="BK43" i="3"/>
  <c r="BK44" i="3"/>
  <c r="BK45" i="3"/>
  <c r="BK46" i="3"/>
  <c r="BK47" i="3"/>
  <c r="BK48" i="3"/>
  <c r="BK49" i="3"/>
  <c r="BK50" i="3"/>
  <c r="BK51" i="3"/>
  <c r="BK52" i="3"/>
  <c r="BK53" i="3"/>
  <c r="BK54" i="3"/>
  <c r="BK56" i="3"/>
  <c r="BK57" i="3"/>
  <c r="BK4" i="3"/>
  <c r="BD58" i="3"/>
  <c r="BD55" i="3"/>
  <c r="BD5" i="3"/>
  <c r="BD6" i="3"/>
  <c r="BD7" i="3"/>
  <c r="BD8" i="3"/>
  <c r="BD9" i="3"/>
  <c r="BD10" i="3"/>
  <c r="BD11" i="3"/>
  <c r="BD12" i="3"/>
  <c r="BD13" i="3"/>
  <c r="BD14" i="3"/>
  <c r="BD15" i="3"/>
  <c r="BD16" i="3"/>
  <c r="BD17" i="3"/>
  <c r="BD18" i="3"/>
  <c r="BD19" i="3"/>
  <c r="BD20" i="3"/>
  <c r="BD21" i="3"/>
  <c r="BD22" i="3"/>
  <c r="BD23" i="3"/>
  <c r="BD24" i="3"/>
  <c r="BD25" i="3"/>
  <c r="BD26" i="3"/>
  <c r="BD27" i="3"/>
  <c r="BD28" i="3"/>
  <c r="BD29" i="3"/>
  <c r="BD30" i="3"/>
  <c r="BD31" i="3"/>
  <c r="BD32" i="3"/>
  <c r="BD33" i="3"/>
  <c r="BD34" i="3"/>
  <c r="BD35" i="3"/>
  <c r="BD36" i="3"/>
  <c r="BD37" i="3"/>
  <c r="BD38" i="3"/>
  <c r="BD39" i="3"/>
  <c r="BD40" i="3"/>
  <c r="BD41" i="3"/>
  <c r="BD42" i="3"/>
  <c r="BD43" i="3"/>
  <c r="BD44" i="3"/>
  <c r="BD45" i="3"/>
  <c r="BD46" i="3"/>
  <c r="BD47" i="3"/>
  <c r="BD48" i="3"/>
  <c r="BD49" i="3"/>
  <c r="BD50" i="3"/>
  <c r="BD51" i="3"/>
  <c r="BD52" i="3"/>
  <c r="BD53" i="3"/>
  <c r="BD54" i="3"/>
  <c r="BD56" i="3"/>
  <c r="BD57" i="3"/>
  <c r="BD4" i="3"/>
  <c r="AW58" i="3"/>
  <c r="AW55" i="3"/>
  <c r="AW5" i="3"/>
  <c r="AW6" i="3"/>
  <c r="AW7" i="3"/>
  <c r="AW8" i="3"/>
  <c r="AW9" i="3"/>
  <c r="AW10" i="3"/>
  <c r="AW11" i="3"/>
  <c r="AW12" i="3"/>
  <c r="AW13" i="3"/>
  <c r="AW14" i="3"/>
  <c r="AW15" i="3"/>
  <c r="AW16" i="3"/>
  <c r="AW17" i="3"/>
  <c r="AW18" i="3"/>
  <c r="AW19" i="3"/>
  <c r="AW20" i="3"/>
  <c r="AW21" i="3"/>
  <c r="AW22" i="3"/>
  <c r="AW23" i="3"/>
  <c r="AW24" i="3"/>
  <c r="AW25" i="3"/>
  <c r="AW26" i="3"/>
  <c r="AW27" i="3"/>
  <c r="AW28" i="3"/>
  <c r="AW29" i="3"/>
  <c r="AW30" i="3"/>
  <c r="AW31" i="3"/>
  <c r="AW32" i="3"/>
  <c r="AW33" i="3"/>
  <c r="AW34" i="3"/>
  <c r="AW35" i="3"/>
  <c r="AW36" i="3"/>
  <c r="AW37" i="3"/>
  <c r="AW38" i="3"/>
  <c r="AW39" i="3"/>
  <c r="AW40" i="3"/>
  <c r="AW41" i="3"/>
  <c r="AW42" i="3"/>
  <c r="AW43" i="3"/>
  <c r="AW44" i="3"/>
  <c r="AW45" i="3"/>
  <c r="AW46" i="3"/>
  <c r="AW47" i="3"/>
  <c r="AW48" i="3"/>
  <c r="AW49" i="3"/>
  <c r="AW50" i="3"/>
  <c r="AW51" i="3"/>
  <c r="AW52" i="3"/>
  <c r="AW53" i="3"/>
  <c r="AW54" i="3"/>
  <c r="AW56" i="3"/>
  <c r="AW57" i="3"/>
  <c r="AW4" i="3"/>
  <c r="AP58" i="3"/>
  <c r="AP55" i="3"/>
  <c r="AP5" i="3"/>
  <c r="AP6" i="3"/>
  <c r="AP7" i="3"/>
  <c r="AP8" i="3"/>
  <c r="AP9" i="3"/>
  <c r="AP10" i="3"/>
  <c r="AP11" i="3"/>
  <c r="AP12" i="3"/>
  <c r="AP13" i="3"/>
  <c r="AP14" i="3"/>
  <c r="AP15" i="3"/>
  <c r="AP16" i="3"/>
  <c r="AP17" i="3"/>
  <c r="AP18" i="3"/>
  <c r="AP19" i="3"/>
  <c r="AP20" i="3"/>
  <c r="AP21" i="3"/>
  <c r="AP22" i="3"/>
  <c r="AP23" i="3"/>
  <c r="AP24" i="3"/>
  <c r="AP25" i="3"/>
  <c r="AP26" i="3"/>
  <c r="AP27" i="3"/>
  <c r="AP28" i="3"/>
  <c r="AP29" i="3"/>
  <c r="AP30" i="3"/>
  <c r="AP31" i="3"/>
  <c r="AP32" i="3"/>
  <c r="AP33" i="3"/>
  <c r="AP34" i="3"/>
  <c r="AP35" i="3"/>
  <c r="AP36" i="3"/>
  <c r="AP37" i="3"/>
  <c r="AP38" i="3"/>
  <c r="AP39" i="3"/>
  <c r="AP40" i="3"/>
  <c r="AP41" i="3"/>
  <c r="AP42" i="3"/>
  <c r="AP43" i="3"/>
  <c r="AP44" i="3"/>
  <c r="AP45" i="3"/>
  <c r="AP46" i="3"/>
  <c r="AP47" i="3"/>
  <c r="AP48" i="3"/>
  <c r="AP49" i="3"/>
  <c r="AP50" i="3"/>
  <c r="AP51" i="3"/>
  <c r="AP52" i="3"/>
  <c r="AP53" i="3"/>
  <c r="AP54" i="3"/>
  <c r="AP56" i="3"/>
  <c r="AP57" i="3"/>
  <c r="AP4" i="3"/>
  <c r="AO4" i="3"/>
  <c r="AI58" i="3"/>
  <c r="AI55" i="3"/>
  <c r="AI5" i="3"/>
  <c r="AI6" i="3"/>
  <c r="AI7" i="3"/>
  <c r="AI8" i="3"/>
  <c r="AI9" i="3"/>
  <c r="AI10" i="3"/>
  <c r="AI11" i="3"/>
  <c r="AI12" i="3"/>
  <c r="AI13" i="3"/>
  <c r="AI14" i="3"/>
  <c r="AI15" i="3"/>
  <c r="AI16" i="3"/>
  <c r="AI17" i="3"/>
  <c r="AI18" i="3"/>
  <c r="AI19" i="3"/>
  <c r="AI20" i="3"/>
  <c r="AI21" i="3"/>
  <c r="AI22" i="3"/>
  <c r="AI23" i="3"/>
  <c r="AI24" i="3"/>
  <c r="AI25" i="3"/>
  <c r="AI26" i="3"/>
  <c r="AI27" i="3"/>
  <c r="AI28" i="3"/>
  <c r="AI29" i="3"/>
  <c r="AI30" i="3"/>
  <c r="AI31" i="3"/>
  <c r="AI32" i="3"/>
  <c r="AI33" i="3"/>
  <c r="AI34" i="3"/>
  <c r="AI35" i="3"/>
  <c r="AI36" i="3"/>
  <c r="AI37" i="3"/>
  <c r="AI38" i="3"/>
  <c r="AI39" i="3"/>
  <c r="AI40" i="3"/>
  <c r="AI41" i="3"/>
  <c r="AI42" i="3"/>
  <c r="AI43" i="3"/>
  <c r="AI44" i="3"/>
  <c r="AI45" i="3"/>
  <c r="AI46" i="3"/>
  <c r="AI47" i="3"/>
  <c r="AI48" i="3"/>
  <c r="AI49" i="3"/>
  <c r="AI50" i="3"/>
  <c r="AI51" i="3"/>
  <c r="AI52" i="3"/>
  <c r="AI53" i="3"/>
  <c r="AI54" i="3"/>
  <c r="AI56" i="3"/>
  <c r="AI57" i="3"/>
  <c r="AL4" i="3"/>
  <c r="AM4" i="3"/>
  <c r="AR4" i="3"/>
  <c r="AQ4" i="3" s="1"/>
  <c r="AI4" i="3"/>
  <c r="AB55" i="3"/>
  <c r="AB58" i="3" s="1"/>
  <c r="AB57" i="3"/>
  <c r="AB56" i="3"/>
  <c r="AB54" i="3"/>
  <c r="AB53" i="3"/>
  <c r="AB52" i="3"/>
  <c r="AB51" i="3"/>
  <c r="AB50" i="3"/>
  <c r="AB49" i="3"/>
  <c r="AB48" i="3"/>
  <c r="AB47" i="3"/>
  <c r="AB46" i="3"/>
  <c r="AB45" i="3"/>
  <c r="AB44" i="3"/>
  <c r="AB43" i="3"/>
  <c r="AB42" i="3"/>
  <c r="AB41" i="3"/>
  <c r="AB40" i="3"/>
  <c r="AB39" i="3"/>
  <c r="AB38" i="3"/>
  <c r="AB37" i="3"/>
  <c r="AB36" i="3"/>
  <c r="AB35" i="3"/>
  <c r="AB34" i="3"/>
  <c r="AB33" i="3"/>
  <c r="AB32" i="3"/>
  <c r="AB31" i="3"/>
  <c r="AB30" i="3"/>
  <c r="AB29" i="3"/>
  <c r="AB28" i="3"/>
  <c r="AB27" i="3"/>
  <c r="AB26" i="3"/>
  <c r="AB25" i="3"/>
  <c r="AB24" i="3"/>
  <c r="AB23" i="3"/>
  <c r="AB22" i="3"/>
  <c r="AB21" i="3"/>
  <c r="AB20" i="3"/>
  <c r="AB19" i="3"/>
  <c r="AB18" i="3"/>
  <c r="AB17" i="3"/>
  <c r="AB16" i="3"/>
  <c r="AB15" i="3"/>
  <c r="AB14" i="3"/>
  <c r="AB13" i="3"/>
  <c r="AB12" i="3"/>
  <c r="AB11" i="3"/>
  <c r="AB10" i="3"/>
  <c r="AB9" i="3"/>
  <c r="AB8" i="3"/>
  <c r="AB7" i="3"/>
  <c r="AB6" i="3"/>
  <c r="AB5" i="3"/>
  <c r="AB4" i="3"/>
  <c r="AD4" i="3"/>
  <c r="U58" i="3"/>
  <c r="U55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3" i="3"/>
  <c r="U54" i="3"/>
  <c r="U56" i="3"/>
  <c r="U57" i="3"/>
  <c r="U4" i="3"/>
  <c r="N4" i="3"/>
  <c r="N57" i="3"/>
  <c r="N56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P4" i="3"/>
  <c r="AK4" i="3" l="1"/>
  <c r="AJ4" i="3" s="1"/>
  <c r="B72" i="14"/>
  <c r="B70" i="14"/>
  <c r="B69" i="14"/>
  <c r="CV2" i="14"/>
  <c r="CT2" i="14"/>
  <c r="CS3" i="14" s="1"/>
  <c r="CD1" i="14"/>
  <c r="CO58" i="13"/>
  <c r="BT58" i="13"/>
  <c r="CP57" i="13"/>
  <c r="CK57" i="13"/>
  <c r="CI57" i="13"/>
  <c r="CD57" i="13"/>
  <c r="CB57" i="13"/>
  <c r="BW57" i="13"/>
  <c r="BU57" i="13"/>
  <c r="BP57" i="13"/>
  <c r="BN57" i="13"/>
  <c r="BI57" i="13"/>
  <c r="BJ57" i="13" s="1"/>
  <c r="BJ57" i="14" s="1"/>
  <c r="BG57" i="13"/>
  <c r="BG57" i="14" s="1"/>
  <c r="BH57" i="14" s="1"/>
  <c r="BB57" i="13"/>
  <c r="AZ57" i="13"/>
  <c r="AV57" i="13"/>
  <c r="AV57" i="14" s="1"/>
  <c r="AU57" i="13"/>
  <c r="AS57" i="13"/>
  <c r="AN57" i="13"/>
  <c r="AL57" i="13"/>
  <c r="AH57" i="13"/>
  <c r="AH57" i="14" s="1"/>
  <c r="AG57" i="13"/>
  <c r="AE57" i="13"/>
  <c r="Z57" i="13"/>
  <c r="X57" i="13"/>
  <c r="S57" i="13"/>
  <c r="R57" i="13"/>
  <c r="O57" i="13"/>
  <c r="L57" i="13"/>
  <c r="I57" i="13"/>
  <c r="CP56" i="13"/>
  <c r="CP56" i="14" s="1"/>
  <c r="CQ56" i="14" s="1"/>
  <c r="CL56" i="13"/>
  <c r="CL56" i="14" s="1"/>
  <c r="CK56" i="13"/>
  <c r="CI56" i="13"/>
  <c r="CD56" i="13"/>
  <c r="CB56" i="13"/>
  <c r="BW56" i="13"/>
  <c r="BU56" i="13"/>
  <c r="BP56" i="13"/>
  <c r="BN56" i="13"/>
  <c r="BJ56" i="13"/>
  <c r="BJ56" i="14" s="1"/>
  <c r="BI56" i="13"/>
  <c r="BG56" i="13"/>
  <c r="BB56" i="13"/>
  <c r="AZ56" i="13"/>
  <c r="AU56" i="13"/>
  <c r="AS56" i="13"/>
  <c r="AN56" i="13"/>
  <c r="AO56" i="13" s="1"/>
  <c r="AO56" i="14" s="1"/>
  <c r="AL56" i="13"/>
  <c r="AH56" i="13"/>
  <c r="AH56" i="14" s="1"/>
  <c r="AG56" i="13"/>
  <c r="AE56" i="13"/>
  <c r="Z56" i="13"/>
  <c r="X56" i="13"/>
  <c r="S56" i="13"/>
  <c r="O56" i="13"/>
  <c r="L56" i="13"/>
  <c r="I56" i="13"/>
  <c r="CO55" i="13"/>
  <c r="CH55" i="13"/>
  <c r="CH58" i="13" s="1"/>
  <c r="CA55" i="13"/>
  <c r="CA58" i="13" s="1"/>
  <c r="BT55" i="13"/>
  <c r="BM55" i="13"/>
  <c r="BM58" i="13" s="1"/>
  <c r="BF55" i="13"/>
  <c r="BF58" i="13" s="1"/>
  <c r="AY55" i="13"/>
  <c r="AY58" i="13" s="1"/>
  <c r="AR55" i="13"/>
  <c r="AR58" i="13" s="1"/>
  <c r="AK55" i="13"/>
  <c r="AK58" i="13" s="1"/>
  <c r="AD55" i="13"/>
  <c r="AD58" i="13" s="1"/>
  <c r="W55" i="13"/>
  <c r="W58" i="13" s="1"/>
  <c r="Q55" i="13"/>
  <c r="Q58" i="13" s="1"/>
  <c r="P55" i="13"/>
  <c r="P58" i="13" s="1"/>
  <c r="CQ54" i="13"/>
  <c r="CP54" i="13"/>
  <c r="CK54" i="13"/>
  <c r="CL54" i="13" s="1"/>
  <c r="CL54" i="14" s="1"/>
  <c r="CI54" i="13"/>
  <c r="CD54" i="13"/>
  <c r="CJ54" i="13" s="1"/>
  <c r="CB54" i="13"/>
  <c r="BW54" i="13"/>
  <c r="CC54" i="13" s="1"/>
  <c r="BU54" i="13"/>
  <c r="BP54" i="13"/>
  <c r="BV54" i="13" s="1"/>
  <c r="BO54" i="13"/>
  <c r="BN54" i="13"/>
  <c r="BN54" i="14" s="1"/>
  <c r="BI54" i="13"/>
  <c r="BG54" i="13"/>
  <c r="BB54" i="13"/>
  <c r="AU54" i="13"/>
  <c r="AN54" i="13"/>
  <c r="AL54" i="13"/>
  <c r="AH54" i="13"/>
  <c r="AH54" i="14" s="1"/>
  <c r="AG54" i="13"/>
  <c r="AE54" i="13"/>
  <c r="Z54" i="13"/>
  <c r="X54" i="13"/>
  <c r="S54" i="13"/>
  <c r="O54" i="13"/>
  <c r="L54" i="13"/>
  <c r="R54" i="13" s="1"/>
  <c r="I54" i="13"/>
  <c r="B54" i="13"/>
  <c r="CP53" i="13"/>
  <c r="CP53" i="14" s="1"/>
  <c r="CQ53" i="14" s="1"/>
  <c r="CK53" i="13"/>
  <c r="CL53" i="13" s="1"/>
  <c r="CL53" i="14" s="1"/>
  <c r="CI53" i="13"/>
  <c r="CD53" i="13"/>
  <c r="CB53" i="13"/>
  <c r="BW53" i="13"/>
  <c r="BU53" i="13"/>
  <c r="BP53" i="13"/>
  <c r="BN53" i="13"/>
  <c r="BJ53" i="13"/>
  <c r="BJ53" i="14" s="1"/>
  <c r="BI53" i="13"/>
  <c r="BG53" i="13"/>
  <c r="BG53" i="14" s="1"/>
  <c r="BH53" i="14" s="1"/>
  <c r="BB53" i="13"/>
  <c r="AU53" i="13"/>
  <c r="AN53" i="13"/>
  <c r="AL53" i="13"/>
  <c r="AG53" i="13"/>
  <c r="AE53" i="13"/>
  <c r="AA53" i="13"/>
  <c r="AA53" i="14" s="1"/>
  <c r="Z53" i="13"/>
  <c r="X53" i="13"/>
  <c r="S53" i="13"/>
  <c r="O53" i="13"/>
  <c r="L53" i="13"/>
  <c r="I53" i="13"/>
  <c r="CP52" i="13"/>
  <c r="CK52" i="13"/>
  <c r="CI52" i="13"/>
  <c r="CD52" i="13"/>
  <c r="CB52" i="13"/>
  <c r="BW52" i="13"/>
  <c r="BU52" i="13"/>
  <c r="BP52" i="13"/>
  <c r="BN52" i="13"/>
  <c r="BI52" i="13"/>
  <c r="BG52" i="13"/>
  <c r="BG52" i="14" s="1"/>
  <c r="BH52" i="14" s="1"/>
  <c r="BB52" i="13"/>
  <c r="AV52" i="13"/>
  <c r="AV52" i="14" s="1"/>
  <c r="AU52" i="13"/>
  <c r="AN52" i="13"/>
  <c r="AL52" i="13"/>
  <c r="AG52" i="13"/>
  <c r="AE52" i="13"/>
  <c r="Z52" i="13"/>
  <c r="X52" i="13"/>
  <c r="S52" i="13"/>
  <c r="E52" i="13" s="1"/>
  <c r="R52" i="13"/>
  <c r="O52" i="13"/>
  <c r="L52" i="13"/>
  <c r="I52" i="13"/>
  <c r="CP51" i="13"/>
  <c r="CK51" i="13"/>
  <c r="CJ51" i="13"/>
  <c r="CI51" i="13"/>
  <c r="CD51" i="13"/>
  <c r="CE51" i="13" s="1"/>
  <c r="CE51" i="14" s="1"/>
  <c r="CB51" i="13"/>
  <c r="BW51" i="13"/>
  <c r="CC51" i="13" s="1"/>
  <c r="BU51" i="13"/>
  <c r="BP51" i="13"/>
  <c r="BV51" i="13" s="1"/>
  <c r="BN51" i="13"/>
  <c r="BI51" i="13"/>
  <c r="BH51" i="13"/>
  <c r="BG51" i="13"/>
  <c r="BB51" i="13"/>
  <c r="BC51" i="13" s="1"/>
  <c r="BC51" i="14" s="1"/>
  <c r="AU51" i="13"/>
  <c r="AN51" i="13"/>
  <c r="AT51" i="13" s="1"/>
  <c r="AL51" i="13"/>
  <c r="AG51" i="13"/>
  <c r="AF51" i="13"/>
  <c r="AE51" i="13"/>
  <c r="AE51" i="14" s="1"/>
  <c r="AF51" i="14" s="1"/>
  <c r="AA51" i="13"/>
  <c r="AA51" i="14" s="1"/>
  <c r="Z51" i="13"/>
  <c r="X51" i="13"/>
  <c r="S51" i="13"/>
  <c r="O51" i="13"/>
  <c r="L51" i="13"/>
  <c r="I51" i="13"/>
  <c r="CP50" i="13"/>
  <c r="CK50" i="13"/>
  <c r="CQ50" i="13" s="1"/>
  <c r="CI50" i="13"/>
  <c r="CD50" i="13"/>
  <c r="CB50" i="13"/>
  <c r="BW50" i="13"/>
  <c r="BU50" i="13"/>
  <c r="BP50" i="13"/>
  <c r="BV50" i="13" s="1"/>
  <c r="BN50" i="13"/>
  <c r="BI50" i="13"/>
  <c r="BH50" i="13"/>
  <c r="BG50" i="13"/>
  <c r="BB50" i="13"/>
  <c r="AU50" i="13"/>
  <c r="AN50" i="13"/>
  <c r="AL50" i="13"/>
  <c r="AG50" i="13"/>
  <c r="AM50" i="13" s="1"/>
  <c r="AE50" i="13"/>
  <c r="Z50" i="13"/>
  <c r="X50" i="13"/>
  <c r="X50" i="14" s="1"/>
  <c r="Y50" i="14" s="1"/>
  <c r="S50" i="13"/>
  <c r="Y50" i="13" s="1"/>
  <c r="O50" i="13"/>
  <c r="L50" i="13"/>
  <c r="I50" i="13"/>
  <c r="CP49" i="13"/>
  <c r="CK49" i="13"/>
  <c r="CI49" i="13"/>
  <c r="CI49" i="14" s="1"/>
  <c r="CJ49" i="14" s="1"/>
  <c r="CE49" i="13"/>
  <c r="CE49" i="14" s="1"/>
  <c r="CD49" i="13"/>
  <c r="CB49" i="13"/>
  <c r="BW49" i="13"/>
  <c r="BX49" i="13" s="1"/>
  <c r="BX49" i="14" s="1"/>
  <c r="BU49" i="13"/>
  <c r="BP49" i="13"/>
  <c r="BN49" i="13"/>
  <c r="BI49" i="13"/>
  <c r="BG49" i="13"/>
  <c r="BB49" i="13"/>
  <c r="AV49" i="13"/>
  <c r="AV49" i="14" s="1"/>
  <c r="AU49" i="13"/>
  <c r="AN49" i="13"/>
  <c r="AL49" i="13"/>
  <c r="AH49" i="13"/>
  <c r="AH49" i="14" s="1"/>
  <c r="AG49" i="13"/>
  <c r="AE49" i="13"/>
  <c r="Z49" i="13"/>
  <c r="X49" i="13"/>
  <c r="S49" i="13"/>
  <c r="T49" i="13" s="1"/>
  <c r="T49" i="14" s="1"/>
  <c r="R49" i="13"/>
  <c r="O49" i="13"/>
  <c r="L49" i="13"/>
  <c r="I49" i="13"/>
  <c r="CP48" i="13"/>
  <c r="CK48" i="13"/>
  <c r="CI48" i="13"/>
  <c r="CD48" i="13"/>
  <c r="CB48" i="13"/>
  <c r="BW48" i="13"/>
  <c r="BU48" i="13"/>
  <c r="BP48" i="13"/>
  <c r="BQ48" i="13" s="1"/>
  <c r="BQ48" i="14" s="1"/>
  <c r="BN48" i="13"/>
  <c r="BI48" i="13"/>
  <c r="BG48" i="13"/>
  <c r="BB48" i="13"/>
  <c r="AU48" i="13"/>
  <c r="AN48" i="13"/>
  <c r="AL48" i="13"/>
  <c r="AG48" i="13"/>
  <c r="AE48" i="13"/>
  <c r="AE48" i="14" s="1"/>
  <c r="AF48" i="14" s="1"/>
  <c r="Z48" i="13"/>
  <c r="X48" i="13"/>
  <c r="T48" i="13"/>
  <c r="T48" i="14" s="1"/>
  <c r="S48" i="13"/>
  <c r="O48" i="13"/>
  <c r="L48" i="13"/>
  <c r="I48" i="13"/>
  <c r="CQ47" i="13"/>
  <c r="CP47" i="13"/>
  <c r="CK47" i="13"/>
  <c r="CI47" i="13"/>
  <c r="CD47" i="13"/>
  <c r="CB47" i="13"/>
  <c r="BX47" i="13"/>
  <c r="BX47" i="14" s="1"/>
  <c r="BW47" i="13"/>
  <c r="CC47" i="13" s="1"/>
  <c r="BU47" i="13"/>
  <c r="BP47" i="13"/>
  <c r="BO47" i="13"/>
  <c r="BN47" i="13"/>
  <c r="BN47" i="14" s="1"/>
  <c r="BI47" i="13"/>
  <c r="BG47" i="13"/>
  <c r="BB47" i="13"/>
  <c r="AU47" i="13"/>
  <c r="AN47" i="13"/>
  <c r="AL47" i="13"/>
  <c r="AG47" i="13"/>
  <c r="AE47" i="13"/>
  <c r="AE47" i="14" s="1"/>
  <c r="Z47" i="13"/>
  <c r="X47" i="13"/>
  <c r="S47" i="13"/>
  <c r="Y47" i="13" s="1"/>
  <c r="O47" i="13"/>
  <c r="L47" i="13"/>
  <c r="I47" i="13"/>
  <c r="CP46" i="13"/>
  <c r="CK46" i="13"/>
  <c r="CI46" i="13"/>
  <c r="CD46" i="13"/>
  <c r="CJ46" i="13" s="1"/>
  <c r="CB46" i="13"/>
  <c r="BW46" i="13"/>
  <c r="CC46" i="13" s="1"/>
  <c r="BU46" i="13"/>
  <c r="BP46" i="13"/>
  <c r="BV46" i="13" s="1"/>
  <c r="BN46" i="13"/>
  <c r="BI46" i="13"/>
  <c r="BG46" i="13"/>
  <c r="BB46" i="13"/>
  <c r="BH46" i="13" s="1"/>
  <c r="AU46" i="13"/>
  <c r="BA46" i="13" s="1"/>
  <c r="AN46" i="13"/>
  <c r="AM46" i="13"/>
  <c r="AL46" i="13"/>
  <c r="AG46" i="13"/>
  <c r="AE46" i="13"/>
  <c r="Z46" i="13"/>
  <c r="AF46" i="13" s="1"/>
  <c r="X46" i="13"/>
  <c r="X46" i="14" s="1"/>
  <c r="S46" i="13"/>
  <c r="O46" i="13"/>
  <c r="L46" i="13"/>
  <c r="I46" i="13"/>
  <c r="CP45" i="13"/>
  <c r="CK45" i="13"/>
  <c r="CJ45" i="13"/>
  <c r="CI45" i="13"/>
  <c r="CD45" i="13"/>
  <c r="CB45" i="13"/>
  <c r="BW45" i="13"/>
  <c r="BU45" i="13"/>
  <c r="BP45" i="13"/>
  <c r="BN45" i="13"/>
  <c r="BI45" i="13"/>
  <c r="BO45" i="13" s="1"/>
  <c r="BG45" i="13"/>
  <c r="BB45" i="13"/>
  <c r="AU45" i="13"/>
  <c r="AN45" i="13"/>
  <c r="AT45" i="13" s="1"/>
  <c r="AL45" i="13"/>
  <c r="AG45" i="13"/>
  <c r="AM45" i="13" s="1"/>
  <c r="AE45" i="13"/>
  <c r="Z45" i="13"/>
  <c r="Y45" i="13"/>
  <c r="X45" i="13"/>
  <c r="X45" i="14" s="1"/>
  <c r="S45" i="13"/>
  <c r="O45" i="13"/>
  <c r="L45" i="13"/>
  <c r="R45" i="13" s="1"/>
  <c r="I45" i="13"/>
  <c r="CQ44" i="13"/>
  <c r="CP44" i="13"/>
  <c r="CK44" i="13"/>
  <c r="CI44" i="13"/>
  <c r="CE44" i="13"/>
  <c r="CE44" i="14" s="1"/>
  <c r="CD44" i="13"/>
  <c r="CB44" i="13"/>
  <c r="BW44" i="13"/>
  <c r="CC44" i="13" s="1"/>
  <c r="BV44" i="13"/>
  <c r="BU44" i="13"/>
  <c r="BP44" i="13"/>
  <c r="BN44" i="13"/>
  <c r="BI44" i="13"/>
  <c r="BG44" i="13"/>
  <c r="BB44" i="13"/>
  <c r="AU44" i="13"/>
  <c r="BA44" i="13" s="1"/>
  <c r="AN44" i="13"/>
  <c r="AL44" i="13"/>
  <c r="AG44" i="13"/>
  <c r="AE44" i="13"/>
  <c r="AA44" i="13"/>
  <c r="AA44" i="14" s="1"/>
  <c r="Z44" i="13"/>
  <c r="X44" i="13"/>
  <c r="X44" i="14" s="1"/>
  <c r="S44" i="13"/>
  <c r="R44" i="13"/>
  <c r="O44" i="13"/>
  <c r="L44" i="13"/>
  <c r="I44" i="13"/>
  <c r="CP43" i="13"/>
  <c r="CL43" i="13"/>
  <c r="CL43" i="14" s="1"/>
  <c r="CK43" i="13"/>
  <c r="CI43" i="13"/>
  <c r="CD43" i="13"/>
  <c r="CB43" i="13"/>
  <c r="CB43" i="14" s="1"/>
  <c r="CC43" i="14" s="1"/>
  <c r="BW43" i="13"/>
  <c r="BU43" i="13"/>
  <c r="BP43" i="13"/>
  <c r="BN43" i="13"/>
  <c r="BI43" i="13"/>
  <c r="BG43" i="13"/>
  <c r="BB43" i="13"/>
  <c r="AU43" i="13"/>
  <c r="AN43" i="13"/>
  <c r="AL43" i="13"/>
  <c r="AH43" i="13"/>
  <c r="AH43" i="14" s="1"/>
  <c r="AG43" i="13"/>
  <c r="AE43" i="13"/>
  <c r="Z43" i="13"/>
  <c r="X43" i="13"/>
  <c r="S43" i="13"/>
  <c r="O43" i="13"/>
  <c r="L43" i="13"/>
  <c r="R43" i="13" s="1"/>
  <c r="I43" i="13"/>
  <c r="CQ42" i="13"/>
  <c r="CN42" i="13"/>
  <c r="CL42" i="13"/>
  <c r="CL42" i="14" s="1"/>
  <c r="CK42" i="13"/>
  <c r="CG42" i="13"/>
  <c r="CD42" i="13"/>
  <c r="CJ42" i="13" s="1"/>
  <c r="BZ42" i="13"/>
  <c r="BW42" i="13"/>
  <c r="BS42" i="13"/>
  <c r="BP42" i="13"/>
  <c r="BV42" i="13" s="1"/>
  <c r="BL42" i="13"/>
  <c r="BI42" i="13"/>
  <c r="BO42" i="13" s="1"/>
  <c r="BH42" i="13"/>
  <c r="BE42" i="13"/>
  <c r="BB42" i="13"/>
  <c r="AX42" i="13"/>
  <c r="AU42" i="13"/>
  <c r="BA42" i="13" s="1"/>
  <c r="AQ42" i="13"/>
  <c r="AO42" i="13"/>
  <c r="AO42" i="14" s="1"/>
  <c r="AN42" i="13"/>
  <c r="AM42" i="13"/>
  <c r="AJ42" i="13"/>
  <c r="AG42" i="13"/>
  <c r="AC42" i="13"/>
  <c r="Z42" i="13"/>
  <c r="AF42" i="13" s="1"/>
  <c r="V42" i="13"/>
  <c r="S42" i="13"/>
  <c r="O42" i="13"/>
  <c r="L42" i="13"/>
  <c r="R42" i="13" s="1"/>
  <c r="J42" i="13"/>
  <c r="I42" i="13"/>
  <c r="E42" i="13"/>
  <c r="CN41" i="13"/>
  <c r="CK41" i="13"/>
  <c r="CG41" i="13"/>
  <c r="CD41" i="13"/>
  <c r="CC41" i="13"/>
  <c r="BZ41" i="13"/>
  <c r="BX41" i="13"/>
  <c r="BX41" i="14" s="1"/>
  <c r="BW41" i="13"/>
  <c r="BS41" i="13"/>
  <c r="BP41" i="13"/>
  <c r="BV41" i="13" s="1"/>
  <c r="BL41" i="13"/>
  <c r="BI41" i="13"/>
  <c r="BE41" i="13"/>
  <c r="BB41" i="13"/>
  <c r="AX41" i="13"/>
  <c r="AU41" i="13"/>
  <c r="BA41" i="13" s="1"/>
  <c r="AT41" i="13"/>
  <c r="AQ41" i="13"/>
  <c r="AN41" i="13"/>
  <c r="AJ41" i="13"/>
  <c r="AG41" i="13"/>
  <c r="AM41" i="13" s="1"/>
  <c r="AC41" i="13"/>
  <c r="Z41" i="13"/>
  <c r="Y41" i="13"/>
  <c r="V41" i="13"/>
  <c r="S41" i="13"/>
  <c r="T41" i="13" s="1"/>
  <c r="T41" i="14" s="1"/>
  <c r="O41" i="13"/>
  <c r="L41" i="13"/>
  <c r="R41" i="13" s="1"/>
  <c r="J41" i="13"/>
  <c r="I41" i="13"/>
  <c r="CP40" i="13"/>
  <c r="CK40" i="13"/>
  <c r="CI40" i="13"/>
  <c r="CD40" i="13"/>
  <c r="CB40" i="13"/>
  <c r="BW40" i="13"/>
  <c r="BU40" i="13"/>
  <c r="BU40" i="14" s="1"/>
  <c r="BV40" i="14" s="1"/>
  <c r="BP40" i="13"/>
  <c r="BN40" i="13"/>
  <c r="BJ40" i="13"/>
  <c r="BJ40" i="14" s="1"/>
  <c r="BI40" i="13"/>
  <c r="BG40" i="13"/>
  <c r="BB40" i="13"/>
  <c r="AU40" i="13"/>
  <c r="AN40" i="13"/>
  <c r="AL40" i="13"/>
  <c r="AG40" i="13"/>
  <c r="AE40" i="13"/>
  <c r="AA40" i="13"/>
  <c r="AA40" i="14" s="1"/>
  <c r="Z40" i="13"/>
  <c r="X40" i="13"/>
  <c r="S40" i="13"/>
  <c r="R40" i="13"/>
  <c r="O40" i="13"/>
  <c r="L40" i="13"/>
  <c r="I40" i="13"/>
  <c r="E40" i="13"/>
  <c r="CP39" i="13"/>
  <c r="CK39" i="13"/>
  <c r="CI39" i="13"/>
  <c r="CD39" i="13"/>
  <c r="CB39" i="13"/>
  <c r="BW39" i="13"/>
  <c r="BU39" i="13"/>
  <c r="BQ39" i="13"/>
  <c r="BQ39" i="14" s="1"/>
  <c r="BP39" i="13"/>
  <c r="BN39" i="13"/>
  <c r="BI39" i="13"/>
  <c r="BG39" i="13"/>
  <c r="BG39" i="14" s="1"/>
  <c r="BH39" i="14" s="1"/>
  <c r="BB39" i="13"/>
  <c r="AU39" i="13"/>
  <c r="AN39" i="13"/>
  <c r="AL39" i="13"/>
  <c r="AG39" i="13"/>
  <c r="AE39" i="13"/>
  <c r="Z39" i="13"/>
  <c r="X39" i="13"/>
  <c r="X39" i="14" s="1"/>
  <c r="Y39" i="14" s="1"/>
  <c r="S39" i="13"/>
  <c r="O39" i="13"/>
  <c r="M39" i="13"/>
  <c r="M39" i="14" s="1"/>
  <c r="L39" i="13"/>
  <c r="I39" i="13"/>
  <c r="CP38" i="13"/>
  <c r="CK38" i="13"/>
  <c r="CI38" i="13"/>
  <c r="CD38" i="13"/>
  <c r="CB38" i="13"/>
  <c r="BW38" i="13"/>
  <c r="BU38" i="13"/>
  <c r="BU38" i="14" s="1"/>
  <c r="BV38" i="14" s="1"/>
  <c r="BP38" i="13"/>
  <c r="BN38" i="13"/>
  <c r="BI38" i="13"/>
  <c r="BG38" i="13"/>
  <c r="BB38" i="13"/>
  <c r="AU38" i="13"/>
  <c r="AN38" i="13"/>
  <c r="AL38" i="13"/>
  <c r="AL38" i="14" s="1"/>
  <c r="AM38" i="14" s="1"/>
  <c r="AG38" i="13"/>
  <c r="AE38" i="13"/>
  <c r="Z38" i="13"/>
  <c r="X38" i="13"/>
  <c r="S38" i="13"/>
  <c r="R38" i="13"/>
  <c r="O38" i="13"/>
  <c r="L38" i="13"/>
  <c r="I38" i="13"/>
  <c r="CP37" i="13"/>
  <c r="CP37" i="14" s="1"/>
  <c r="CQ37" i="14" s="1"/>
  <c r="CK37" i="13"/>
  <c r="CI37" i="13"/>
  <c r="CD37" i="13"/>
  <c r="CB37" i="13"/>
  <c r="BW37" i="13"/>
  <c r="BU37" i="13"/>
  <c r="BP37" i="13"/>
  <c r="BN37" i="13"/>
  <c r="BI37" i="13"/>
  <c r="BG37" i="13"/>
  <c r="BB37" i="13"/>
  <c r="AU37" i="13"/>
  <c r="AN37" i="13"/>
  <c r="AL37" i="13"/>
  <c r="AL37" i="14" s="1"/>
  <c r="AM37" i="14" s="1"/>
  <c r="AH37" i="13"/>
  <c r="AH37" i="14" s="1"/>
  <c r="AG37" i="13"/>
  <c r="AE37" i="13"/>
  <c r="Z37" i="13"/>
  <c r="X37" i="13"/>
  <c r="X37" i="14" s="1"/>
  <c r="Y37" i="14" s="1"/>
  <c r="S37" i="13"/>
  <c r="O37" i="13"/>
  <c r="L37" i="13"/>
  <c r="I37" i="13"/>
  <c r="CP36" i="13"/>
  <c r="CK36" i="13"/>
  <c r="CI36" i="13"/>
  <c r="CI36" i="14" s="1"/>
  <c r="CJ36" i="14" s="1"/>
  <c r="CD36" i="13"/>
  <c r="CB36" i="13"/>
  <c r="BW36" i="13"/>
  <c r="BU36" i="13"/>
  <c r="BP36" i="13"/>
  <c r="BN36" i="13"/>
  <c r="BN36" i="14" s="1"/>
  <c r="BO36" i="14" s="1"/>
  <c r="BI36" i="13"/>
  <c r="BG36" i="13"/>
  <c r="BB36" i="13"/>
  <c r="AU36" i="13"/>
  <c r="AN36" i="13"/>
  <c r="AL36" i="13"/>
  <c r="AG36" i="13"/>
  <c r="AE36" i="13"/>
  <c r="AE36" i="14" s="1"/>
  <c r="AF36" i="14" s="1"/>
  <c r="Z36" i="13"/>
  <c r="X36" i="13"/>
  <c r="S36" i="13"/>
  <c r="R36" i="13"/>
  <c r="O36" i="13"/>
  <c r="L36" i="13"/>
  <c r="I36" i="13"/>
  <c r="CP35" i="13"/>
  <c r="CK35" i="13"/>
  <c r="CJ35" i="13"/>
  <c r="CI35" i="13"/>
  <c r="CD35" i="13"/>
  <c r="CE35" i="13" s="1"/>
  <c r="CE35" i="14" s="1"/>
  <c r="CB35" i="13"/>
  <c r="BX35" i="13"/>
  <c r="BX35" i="14" s="1"/>
  <c r="BW35" i="13"/>
  <c r="CC35" i="13" s="1"/>
  <c r="BU35" i="13"/>
  <c r="BU35" i="14" s="1"/>
  <c r="BP35" i="13"/>
  <c r="BO35" i="13"/>
  <c r="BN35" i="13"/>
  <c r="BI35" i="13"/>
  <c r="BG35" i="13"/>
  <c r="BB35" i="13"/>
  <c r="BH35" i="13" s="1"/>
  <c r="AU35" i="13"/>
  <c r="AN35" i="13"/>
  <c r="AL35" i="13"/>
  <c r="AG35" i="13"/>
  <c r="AE35" i="13"/>
  <c r="Z35" i="13"/>
  <c r="X35" i="13"/>
  <c r="S35" i="13"/>
  <c r="Y35" i="13" s="1"/>
  <c r="O35" i="13"/>
  <c r="L35" i="13"/>
  <c r="I35" i="13"/>
  <c r="CQ34" i="13"/>
  <c r="CP34" i="13"/>
  <c r="CK34" i="13"/>
  <c r="CI34" i="13"/>
  <c r="CD34" i="13"/>
  <c r="CB34" i="13"/>
  <c r="BW34" i="13"/>
  <c r="BU34" i="13"/>
  <c r="BP34" i="13"/>
  <c r="BV34" i="13" s="1"/>
  <c r="BO34" i="13"/>
  <c r="BN34" i="13"/>
  <c r="BI34" i="13"/>
  <c r="BG34" i="13"/>
  <c r="BB34" i="13"/>
  <c r="BA34" i="13"/>
  <c r="AU34" i="13"/>
  <c r="AN34" i="13"/>
  <c r="AM34" i="13"/>
  <c r="AL34" i="13"/>
  <c r="AG34" i="13"/>
  <c r="AE34" i="13"/>
  <c r="Z34" i="13"/>
  <c r="X34" i="13"/>
  <c r="S34" i="13"/>
  <c r="O34" i="13"/>
  <c r="L34" i="13"/>
  <c r="R34" i="13" s="1"/>
  <c r="I34" i="13"/>
  <c r="CP33" i="13"/>
  <c r="CK33" i="13"/>
  <c r="CI33" i="13"/>
  <c r="CD33" i="13"/>
  <c r="CB33" i="13"/>
  <c r="BW33" i="13"/>
  <c r="CC33" i="13" s="1"/>
  <c r="BU33" i="13"/>
  <c r="BP33" i="13"/>
  <c r="BV33" i="13" s="1"/>
  <c r="BN33" i="13"/>
  <c r="BI33" i="13"/>
  <c r="BH33" i="13"/>
  <c r="BG33" i="13"/>
  <c r="BB33" i="13"/>
  <c r="BA33" i="13"/>
  <c r="AV33" i="13"/>
  <c r="AV33" i="14" s="1"/>
  <c r="AU33" i="13"/>
  <c r="AN33" i="13"/>
  <c r="AT33" i="13" s="1"/>
  <c r="AJ33" i="13"/>
  <c r="AG33" i="13"/>
  <c r="AF33" i="13"/>
  <c r="AC33" i="13"/>
  <c r="Z33" i="13"/>
  <c r="AA33" i="13" s="1"/>
  <c r="AA33" i="14" s="1"/>
  <c r="V33" i="13"/>
  <c r="T33" i="13"/>
  <c r="T33" i="14" s="1"/>
  <c r="S33" i="13"/>
  <c r="Y33" i="13" s="1"/>
  <c r="O33" i="13"/>
  <c r="L33" i="13"/>
  <c r="I33" i="13"/>
  <c r="CP32" i="13"/>
  <c r="CK32" i="13"/>
  <c r="CJ32" i="13"/>
  <c r="CI32" i="13"/>
  <c r="CD32" i="13"/>
  <c r="CB32" i="13"/>
  <c r="BW32" i="13"/>
  <c r="CC32" i="13" s="1"/>
  <c r="BU32" i="13"/>
  <c r="BP32" i="13"/>
  <c r="BN32" i="13"/>
  <c r="BI32" i="13"/>
  <c r="BG32" i="13"/>
  <c r="BB32" i="13"/>
  <c r="AU32" i="13"/>
  <c r="AN32" i="13"/>
  <c r="AM32" i="13"/>
  <c r="AJ32" i="13"/>
  <c r="AG32" i="13"/>
  <c r="AE32" i="13"/>
  <c r="AC32" i="13"/>
  <c r="Z32" i="13"/>
  <c r="X32" i="13"/>
  <c r="V32" i="13"/>
  <c r="S32" i="13"/>
  <c r="R32" i="13"/>
  <c r="O32" i="13"/>
  <c r="L32" i="13"/>
  <c r="I32" i="13"/>
  <c r="CP31" i="13"/>
  <c r="CK31" i="13"/>
  <c r="CI31" i="13"/>
  <c r="CI31" i="14" s="1"/>
  <c r="CJ31" i="14" s="1"/>
  <c r="CD31" i="13"/>
  <c r="CB31" i="13"/>
  <c r="BW31" i="13"/>
  <c r="BU31" i="13"/>
  <c r="BP31" i="13"/>
  <c r="BN31" i="13"/>
  <c r="BI31" i="13"/>
  <c r="BG31" i="13"/>
  <c r="BG31" i="14" s="1"/>
  <c r="BH31" i="14" s="1"/>
  <c r="BC31" i="13"/>
  <c r="BC31" i="14" s="1"/>
  <c r="BB31" i="13"/>
  <c r="AU31" i="13"/>
  <c r="AN31" i="13"/>
  <c r="AL31" i="13"/>
  <c r="AG31" i="13"/>
  <c r="AE31" i="13"/>
  <c r="Z31" i="13"/>
  <c r="X31" i="13"/>
  <c r="X31" i="14" s="1"/>
  <c r="Y31" i="14" s="1"/>
  <c r="S31" i="13"/>
  <c r="T31" i="13" s="1"/>
  <c r="T31" i="14" s="1"/>
  <c r="O31" i="13"/>
  <c r="L31" i="13"/>
  <c r="E31" i="13" s="1"/>
  <c r="I31" i="13"/>
  <c r="CP30" i="13"/>
  <c r="CK30" i="13"/>
  <c r="CI30" i="13"/>
  <c r="CI30" i="14" s="1"/>
  <c r="CJ30" i="14" s="1"/>
  <c r="CD30" i="13"/>
  <c r="CB30" i="13"/>
  <c r="BW30" i="13"/>
  <c r="BU30" i="13"/>
  <c r="BP30" i="13"/>
  <c r="BN30" i="13"/>
  <c r="BI30" i="13"/>
  <c r="BG30" i="13"/>
  <c r="BB30" i="13"/>
  <c r="AU30" i="13"/>
  <c r="AN30" i="13"/>
  <c r="AL30" i="13"/>
  <c r="AG30" i="13"/>
  <c r="AE30" i="13"/>
  <c r="Z30" i="13"/>
  <c r="X30" i="13"/>
  <c r="T30" i="13"/>
  <c r="T30" i="14" s="1"/>
  <c r="S30" i="13"/>
  <c r="O30" i="13"/>
  <c r="L30" i="13"/>
  <c r="R30" i="13" s="1"/>
  <c r="I30" i="13"/>
  <c r="CN29" i="13"/>
  <c r="CK29" i="13"/>
  <c r="CJ29" i="13"/>
  <c r="CG29" i="13"/>
  <c r="CE29" i="13"/>
  <c r="CE29" i="14" s="1"/>
  <c r="CD29" i="13"/>
  <c r="BZ29" i="13"/>
  <c r="BW29" i="13"/>
  <c r="CC29" i="13" s="1"/>
  <c r="BV29" i="13"/>
  <c r="BS29" i="13"/>
  <c r="BQ29" i="13"/>
  <c r="BQ29" i="14" s="1"/>
  <c r="BP29" i="13"/>
  <c r="BL29" i="13"/>
  <c r="BI29" i="13"/>
  <c r="BO29" i="13" s="1"/>
  <c r="BE29" i="13"/>
  <c r="BB29" i="13"/>
  <c r="AX29" i="13"/>
  <c r="AU29" i="13"/>
  <c r="AQ29" i="13"/>
  <c r="AN29" i="13"/>
  <c r="AJ29" i="13"/>
  <c r="AG29" i="13"/>
  <c r="AC29" i="13"/>
  <c r="Z29" i="13"/>
  <c r="AF29" i="13" s="1"/>
  <c r="Y29" i="13"/>
  <c r="V29" i="13"/>
  <c r="S29" i="13"/>
  <c r="O29" i="13"/>
  <c r="L29" i="13"/>
  <c r="J29" i="13"/>
  <c r="I29" i="13"/>
  <c r="CN28" i="13"/>
  <c r="CK28" i="13"/>
  <c r="CG28" i="13"/>
  <c r="CD28" i="13"/>
  <c r="CJ28" i="13" s="1"/>
  <c r="BZ28" i="13"/>
  <c r="BW28" i="13"/>
  <c r="CC28" i="13" s="1"/>
  <c r="BS28" i="13"/>
  <c r="BP28" i="13"/>
  <c r="BL28" i="13"/>
  <c r="BI28" i="13"/>
  <c r="BH28" i="13"/>
  <c r="BE28" i="13"/>
  <c r="BB28" i="13"/>
  <c r="AX28" i="13"/>
  <c r="AU28" i="13"/>
  <c r="AQ28" i="13"/>
  <c r="AN28" i="13"/>
  <c r="AJ28" i="13"/>
  <c r="AG28" i="13"/>
  <c r="AC28" i="13"/>
  <c r="Z28" i="13"/>
  <c r="Y28" i="13"/>
  <c r="V28" i="13"/>
  <c r="S28" i="13"/>
  <c r="O28" i="13"/>
  <c r="L28" i="13"/>
  <c r="J28" i="13"/>
  <c r="I28" i="13"/>
  <c r="CN27" i="13"/>
  <c r="CK27" i="13"/>
  <c r="CG27" i="13"/>
  <c r="CD27" i="13"/>
  <c r="BZ27" i="13"/>
  <c r="BW27" i="13"/>
  <c r="BV27" i="13"/>
  <c r="BS27" i="13"/>
  <c r="BP27" i="13"/>
  <c r="BL27" i="13"/>
  <c r="BI27" i="13"/>
  <c r="BH27" i="13"/>
  <c r="BE27" i="13"/>
  <c r="BC27" i="13"/>
  <c r="BC27" i="14" s="1"/>
  <c r="BB27" i="13"/>
  <c r="AX27" i="13"/>
  <c r="AV27" i="13"/>
  <c r="AV27" i="14" s="1"/>
  <c r="AU27" i="13"/>
  <c r="BA27" i="13" s="1"/>
  <c r="AQ27" i="13"/>
  <c r="AN27" i="13"/>
  <c r="AJ27" i="13"/>
  <c r="AG27" i="13"/>
  <c r="AM27" i="13" s="1"/>
  <c r="AC27" i="13"/>
  <c r="Z27" i="13"/>
  <c r="Y27" i="13"/>
  <c r="V27" i="13"/>
  <c r="H27" i="13" s="1"/>
  <c r="S27" i="13"/>
  <c r="O27" i="13"/>
  <c r="L27" i="13"/>
  <c r="J27" i="13"/>
  <c r="I27" i="13"/>
  <c r="CN26" i="13"/>
  <c r="CL26" i="13"/>
  <c r="CL26" i="14" s="1"/>
  <c r="CK26" i="13"/>
  <c r="CQ26" i="13" s="1"/>
  <c r="CG26" i="13"/>
  <c r="CD26" i="13"/>
  <c r="BZ26" i="13"/>
  <c r="BX26" i="13"/>
  <c r="BX26" i="14" s="1"/>
  <c r="BW26" i="13"/>
  <c r="CC26" i="13" s="1"/>
  <c r="BS26" i="13"/>
  <c r="BP26" i="13"/>
  <c r="BV26" i="13" s="1"/>
  <c r="BL26" i="13"/>
  <c r="BI26" i="13"/>
  <c r="BO26" i="13" s="1"/>
  <c r="BE26" i="13"/>
  <c r="BB26" i="13"/>
  <c r="AX26" i="13"/>
  <c r="AU26" i="13"/>
  <c r="AT26" i="13"/>
  <c r="AQ26" i="13"/>
  <c r="AO26" i="13"/>
  <c r="AO26" i="14" s="1"/>
  <c r="AN26" i="13"/>
  <c r="AJ26" i="13"/>
  <c r="AG26" i="13"/>
  <c r="AM26" i="13" s="1"/>
  <c r="AC26" i="13"/>
  <c r="AA26" i="13"/>
  <c r="AA26" i="14" s="1"/>
  <c r="Z26" i="13"/>
  <c r="V26" i="13"/>
  <c r="S26" i="13"/>
  <c r="Y26" i="13" s="1"/>
  <c r="O26" i="13"/>
  <c r="L26" i="13"/>
  <c r="J26" i="13"/>
  <c r="I26" i="13"/>
  <c r="CN25" i="13"/>
  <c r="CK25" i="13"/>
  <c r="CQ25" i="13" s="1"/>
  <c r="CG25" i="13"/>
  <c r="CD25" i="13"/>
  <c r="CJ25" i="13" s="1"/>
  <c r="CC25" i="13"/>
  <c r="BZ25" i="13"/>
  <c r="BW25" i="13"/>
  <c r="BS25" i="13"/>
  <c r="BP25" i="13"/>
  <c r="BO25" i="13"/>
  <c r="BL25" i="13"/>
  <c r="BI25" i="13"/>
  <c r="BE25" i="13"/>
  <c r="BB25" i="13"/>
  <c r="AX25" i="13"/>
  <c r="AU25" i="13"/>
  <c r="BA25" i="13" s="1"/>
  <c r="AQ25" i="13"/>
  <c r="AN25" i="13"/>
  <c r="AT25" i="13" s="1"/>
  <c r="AJ25" i="13"/>
  <c r="AG25" i="13"/>
  <c r="AF25" i="13"/>
  <c r="AC25" i="13"/>
  <c r="AA25" i="13"/>
  <c r="AA25" i="14" s="1"/>
  <c r="Z25" i="13"/>
  <c r="V25" i="13"/>
  <c r="S25" i="13"/>
  <c r="O25" i="13"/>
  <c r="L25" i="13"/>
  <c r="J25" i="13"/>
  <c r="I25" i="13"/>
  <c r="CN24" i="13"/>
  <c r="CK24" i="13"/>
  <c r="CQ24" i="13" s="1"/>
  <c r="CG24" i="13"/>
  <c r="CD24" i="13"/>
  <c r="CC24" i="13"/>
  <c r="BZ24" i="13"/>
  <c r="BX24" i="13"/>
  <c r="BX24" i="14" s="1"/>
  <c r="BW24" i="13"/>
  <c r="BS24" i="13"/>
  <c r="BP24" i="13"/>
  <c r="BV24" i="13" s="1"/>
  <c r="BL24" i="13"/>
  <c r="BI24" i="13"/>
  <c r="BO24" i="13" s="1"/>
  <c r="BE24" i="13"/>
  <c r="BB24" i="13"/>
  <c r="AX24" i="13"/>
  <c r="AU24" i="13"/>
  <c r="AT24" i="13"/>
  <c r="AQ24" i="13"/>
  <c r="AO24" i="13"/>
  <c r="AO24" i="14" s="1"/>
  <c r="AN24" i="13"/>
  <c r="AJ24" i="13"/>
  <c r="AG24" i="13"/>
  <c r="AM24" i="13" s="1"/>
  <c r="AC24" i="13"/>
  <c r="Z24" i="13"/>
  <c r="AF24" i="13" s="1"/>
  <c r="Y24" i="13"/>
  <c r="V24" i="13"/>
  <c r="S24" i="13"/>
  <c r="O24" i="13"/>
  <c r="L24" i="13"/>
  <c r="J24" i="13"/>
  <c r="I24" i="13"/>
  <c r="CQ23" i="13"/>
  <c r="CN23" i="13"/>
  <c r="CK23" i="13"/>
  <c r="CG23" i="13"/>
  <c r="CD23" i="13"/>
  <c r="BZ23" i="13"/>
  <c r="BW23" i="13"/>
  <c r="BS23" i="13"/>
  <c r="BP23" i="13"/>
  <c r="BL23" i="13"/>
  <c r="BI23" i="13"/>
  <c r="BE23" i="13"/>
  <c r="BC23" i="13"/>
  <c r="BC23" i="14" s="1"/>
  <c r="BB23" i="13"/>
  <c r="BH23" i="13" s="1"/>
  <c r="BA23" i="13"/>
  <c r="AX23" i="13"/>
  <c r="AU23" i="13"/>
  <c r="AQ23" i="13"/>
  <c r="AN23" i="13"/>
  <c r="AT23" i="13" s="1"/>
  <c r="AJ23" i="13"/>
  <c r="AG23" i="13"/>
  <c r="AC23" i="13"/>
  <c r="Z23" i="13"/>
  <c r="V23" i="13"/>
  <c r="S23" i="13"/>
  <c r="R23" i="13"/>
  <c r="O23" i="13"/>
  <c r="L23" i="13"/>
  <c r="J23" i="13"/>
  <c r="I23" i="13"/>
  <c r="CQ22" i="13"/>
  <c r="CN22" i="13"/>
  <c r="CK22" i="13"/>
  <c r="CG22" i="13"/>
  <c r="CD22" i="13"/>
  <c r="BZ22" i="13"/>
  <c r="BW22" i="13"/>
  <c r="BV22" i="13"/>
  <c r="BS22" i="13"/>
  <c r="BP22" i="13"/>
  <c r="BL22" i="13"/>
  <c r="BJ22" i="13"/>
  <c r="BJ22" i="14" s="1"/>
  <c r="BI22" i="13"/>
  <c r="BO22" i="13" s="1"/>
  <c r="BH22" i="13"/>
  <c r="BE22" i="13"/>
  <c r="BB22" i="13"/>
  <c r="AX22" i="13"/>
  <c r="AU22" i="13"/>
  <c r="BA22" i="13" s="1"/>
  <c r="AQ22" i="13"/>
  <c r="AN22" i="13"/>
  <c r="AT22" i="13" s="1"/>
  <c r="AM22" i="13"/>
  <c r="AJ22" i="13"/>
  <c r="AG22" i="13"/>
  <c r="AC22" i="13"/>
  <c r="Z22" i="13"/>
  <c r="Y22" i="13"/>
  <c r="V22" i="13"/>
  <c r="T22" i="13"/>
  <c r="T22" i="14" s="1"/>
  <c r="S22" i="13"/>
  <c r="O22" i="13"/>
  <c r="L22" i="13"/>
  <c r="J22" i="13"/>
  <c r="I22" i="13"/>
  <c r="CN21" i="13"/>
  <c r="CK21" i="13"/>
  <c r="CQ21" i="13" s="1"/>
  <c r="CG21" i="13"/>
  <c r="CD21" i="13"/>
  <c r="CC21" i="13"/>
  <c r="BZ21" i="13"/>
  <c r="BW21" i="13"/>
  <c r="BS21" i="13"/>
  <c r="BP21" i="13"/>
  <c r="BV21" i="13" s="1"/>
  <c r="BL21" i="13"/>
  <c r="BI21" i="13"/>
  <c r="BH21" i="13"/>
  <c r="BE21" i="13"/>
  <c r="BB21" i="13"/>
  <c r="AX21" i="13"/>
  <c r="AU21" i="13"/>
  <c r="BA21" i="13" s="1"/>
  <c r="AQ21" i="13"/>
  <c r="AN21" i="13"/>
  <c r="AM21" i="13"/>
  <c r="AJ21" i="13"/>
  <c r="AG21" i="13"/>
  <c r="AC21" i="13"/>
  <c r="Z21" i="13"/>
  <c r="AF21" i="13" s="1"/>
  <c r="Y21" i="13"/>
  <c r="V21" i="13"/>
  <c r="S21" i="13"/>
  <c r="O21" i="13"/>
  <c r="L21" i="13"/>
  <c r="J21" i="13"/>
  <c r="I21" i="13"/>
  <c r="CN20" i="13"/>
  <c r="CK20" i="13"/>
  <c r="CJ20" i="13"/>
  <c r="CG20" i="13"/>
  <c r="CD20" i="13"/>
  <c r="BZ20" i="13"/>
  <c r="BW20" i="13"/>
  <c r="BS20" i="13"/>
  <c r="BP20" i="13"/>
  <c r="BV20" i="13" s="1"/>
  <c r="BO20" i="13"/>
  <c r="BL20" i="13"/>
  <c r="BI20" i="13"/>
  <c r="BH20" i="13"/>
  <c r="BE20" i="13"/>
  <c r="BB20" i="13"/>
  <c r="AX20" i="13"/>
  <c r="AU20" i="13"/>
  <c r="AQ20" i="13"/>
  <c r="AN20" i="13"/>
  <c r="AT20" i="13" s="1"/>
  <c r="AJ20" i="13"/>
  <c r="AG20" i="13"/>
  <c r="AM20" i="13" s="1"/>
  <c r="AC20" i="13"/>
  <c r="Z20" i="13"/>
  <c r="AF20" i="13" s="1"/>
  <c r="V20" i="13"/>
  <c r="S20" i="13"/>
  <c r="O20" i="13"/>
  <c r="H20" i="13" s="1"/>
  <c r="L20" i="13"/>
  <c r="R20" i="13" s="1"/>
  <c r="J20" i="13"/>
  <c r="I20" i="13"/>
  <c r="CN19" i="13"/>
  <c r="CK19" i="13"/>
  <c r="CJ19" i="13"/>
  <c r="CG19" i="13"/>
  <c r="CE19" i="13"/>
  <c r="CE19" i="14" s="1"/>
  <c r="CD19" i="13"/>
  <c r="BZ19" i="13"/>
  <c r="BW19" i="13"/>
  <c r="CC19" i="13" s="1"/>
  <c r="BS19" i="13"/>
  <c r="BP19" i="13"/>
  <c r="BL19" i="13"/>
  <c r="BI19" i="13"/>
  <c r="BO19" i="13" s="1"/>
  <c r="BE19" i="13"/>
  <c r="BB19" i="13"/>
  <c r="AX19" i="13"/>
  <c r="AU19" i="13"/>
  <c r="AQ19" i="13"/>
  <c r="AN19" i="13"/>
  <c r="AJ19" i="13"/>
  <c r="AG19" i="13"/>
  <c r="AF19" i="13"/>
  <c r="AC19" i="13"/>
  <c r="AA19" i="13"/>
  <c r="AA19" i="14" s="1"/>
  <c r="Z19" i="13"/>
  <c r="V19" i="13"/>
  <c r="S19" i="13"/>
  <c r="Y19" i="13" s="1"/>
  <c r="O19" i="13"/>
  <c r="L19" i="13"/>
  <c r="J19" i="13"/>
  <c r="I19" i="13"/>
  <c r="CN18" i="13"/>
  <c r="CK18" i="13"/>
  <c r="CQ18" i="13" s="1"/>
  <c r="CG18" i="13"/>
  <c r="CD18" i="13"/>
  <c r="CJ18" i="13" s="1"/>
  <c r="CC18" i="13"/>
  <c r="BZ18" i="13"/>
  <c r="BW18" i="13"/>
  <c r="BS18" i="13"/>
  <c r="BP18" i="13"/>
  <c r="BL18" i="13"/>
  <c r="BI18" i="13"/>
  <c r="BO18" i="13" s="1"/>
  <c r="BE18" i="13"/>
  <c r="BB18" i="13"/>
  <c r="AX18" i="13"/>
  <c r="AU18" i="13"/>
  <c r="AQ18" i="13"/>
  <c r="AN18" i="13"/>
  <c r="AT18" i="13" s="1"/>
  <c r="AJ18" i="13"/>
  <c r="AG18" i="13"/>
  <c r="AC18" i="13"/>
  <c r="Z18" i="13"/>
  <c r="AF18" i="13" s="1"/>
  <c r="V18" i="13"/>
  <c r="S18" i="13"/>
  <c r="E18" i="13" s="1"/>
  <c r="K18" i="13" s="1"/>
  <c r="O18" i="13"/>
  <c r="H18" i="13" s="1"/>
  <c r="L18" i="13"/>
  <c r="R18" i="13" s="1"/>
  <c r="J18" i="13"/>
  <c r="I18" i="13"/>
  <c r="CN17" i="13"/>
  <c r="CK17" i="13"/>
  <c r="CG17" i="13"/>
  <c r="CD17" i="13"/>
  <c r="CC17" i="13"/>
  <c r="BZ17" i="13"/>
  <c r="BW17" i="13"/>
  <c r="BS17" i="13"/>
  <c r="BP17" i="13"/>
  <c r="BL17" i="13"/>
  <c r="BI17" i="13"/>
  <c r="BH17" i="13"/>
  <c r="BE17" i="13"/>
  <c r="BB17" i="13"/>
  <c r="AX17" i="13"/>
  <c r="AU17" i="13"/>
  <c r="BA17" i="13" s="1"/>
  <c r="AT17" i="13"/>
  <c r="AQ17" i="13"/>
  <c r="AN17" i="13"/>
  <c r="AJ17" i="13"/>
  <c r="AG17" i="13"/>
  <c r="AM17" i="13" s="1"/>
  <c r="AC17" i="13"/>
  <c r="Z17" i="13"/>
  <c r="AF17" i="13" s="1"/>
  <c r="Y17" i="13"/>
  <c r="V17" i="13"/>
  <c r="S17" i="13"/>
  <c r="O17" i="13"/>
  <c r="L17" i="13"/>
  <c r="R17" i="13" s="1"/>
  <c r="J17" i="13"/>
  <c r="I17" i="13"/>
  <c r="H17" i="13"/>
  <c r="CP16" i="13"/>
  <c r="CK16" i="13"/>
  <c r="CI16" i="13"/>
  <c r="CD16" i="13"/>
  <c r="CB16" i="13"/>
  <c r="BW16" i="13"/>
  <c r="BU16" i="13"/>
  <c r="BU16" i="14" s="1"/>
  <c r="BV16" i="14" s="1"/>
  <c r="BP16" i="13"/>
  <c r="BQ16" i="13" s="1"/>
  <c r="BQ16" i="14" s="1"/>
  <c r="BN16" i="13"/>
  <c r="BI16" i="13"/>
  <c r="BG16" i="13"/>
  <c r="BB16" i="13"/>
  <c r="AU16" i="13"/>
  <c r="AS16" i="14"/>
  <c r="AT16" i="14" s="1"/>
  <c r="AN16" i="13"/>
  <c r="AL16" i="13"/>
  <c r="AG16" i="13"/>
  <c r="AE16" i="13"/>
  <c r="Z16" i="13"/>
  <c r="X16" i="13"/>
  <c r="S16" i="13"/>
  <c r="R16" i="13"/>
  <c r="O16" i="13"/>
  <c r="L16" i="13"/>
  <c r="I16" i="13"/>
  <c r="CP15" i="13"/>
  <c r="CK15" i="13"/>
  <c r="CI15" i="13"/>
  <c r="CD15" i="13"/>
  <c r="CB15" i="13"/>
  <c r="BW15" i="13"/>
  <c r="BU15" i="13"/>
  <c r="BP15" i="13"/>
  <c r="BN15" i="13"/>
  <c r="BI15" i="13"/>
  <c r="BG15" i="13"/>
  <c r="BC15" i="13"/>
  <c r="BC15" i="14" s="1"/>
  <c r="BB15" i="13"/>
  <c r="AU15" i="13"/>
  <c r="AN15" i="13"/>
  <c r="AL15" i="13"/>
  <c r="AG15" i="13"/>
  <c r="AE15" i="13"/>
  <c r="Z15" i="13"/>
  <c r="X15" i="13"/>
  <c r="S15" i="13"/>
  <c r="R15" i="13"/>
  <c r="O15" i="13"/>
  <c r="M15" i="13"/>
  <c r="M15" i="14" s="1"/>
  <c r="L15" i="13"/>
  <c r="I15" i="13"/>
  <c r="CP14" i="13"/>
  <c r="CK14" i="13"/>
  <c r="CL14" i="13" s="1"/>
  <c r="CL14" i="14" s="1"/>
  <c r="CI14" i="13"/>
  <c r="CD14" i="13"/>
  <c r="CB14" i="13"/>
  <c r="BW14" i="13"/>
  <c r="BU14" i="13"/>
  <c r="BP14" i="13"/>
  <c r="BN14" i="13"/>
  <c r="BJ14" i="13"/>
  <c r="BJ14" i="14" s="1"/>
  <c r="BI14" i="13"/>
  <c r="BG14" i="13"/>
  <c r="BB14" i="13"/>
  <c r="AU14" i="13"/>
  <c r="AN14" i="13"/>
  <c r="AL14" i="13"/>
  <c r="AG14" i="13"/>
  <c r="AE14" i="13"/>
  <c r="AA14" i="13"/>
  <c r="AA14" i="14" s="1"/>
  <c r="Z14" i="13"/>
  <c r="X14" i="13"/>
  <c r="S14" i="13"/>
  <c r="O14" i="13"/>
  <c r="L14" i="13"/>
  <c r="I14" i="13"/>
  <c r="CP13" i="13"/>
  <c r="CK13" i="13"/>
  <c r="CI13" i="13"/>
  <c r="CE13" i="13"/>
  <c r="CE13" i="14" s="1"/>
  <c r="CD13" i="13"/>
  <c r="CJ13" i="13" s="1"/>
  <c r="CB13" i="13"/>
  <c r="BW13" i="13"/>
  <c r="CC13" i="13" s="1"/>
  <c r="BU13" i="13"/>
  <c r="BP13" i="13"/>
  <c r="BO13" i="13"/>
  <c r="BN13" i="13"/>
  <c r="BI13" i="13"/>
  <c r="BG13" i="13"/>
  <c r="BB13" i="13"/>
  <c r="AU13" i="13"/>
  <c r="BA13" i="13" s="1"/>
  <c r="AN13" i="13"/>
  <c r="AM13" i="13"/>
  <c r="AL13" i="13"/>
  <c r="AG13" i="13"/>
  <c r="AE13" i="13"/>
  <c r="Z13" i="13"/>
  <c r="AF13" i="13" s="1"/>
  <c r="X13" i="13"/>
  <c r="S13" i="13"/>
  <c r="Y13" i="13" s="1"/>
  <c r="O13" i="13"/>
  <c r="L13" i="13"/>
  <c r="R13" i="13" s="1"/>
  <c r="I13" i="13"/>
  <c r="B13" i="13"/>
  <c r="CP12" i="13"/>
  <c r="CK12" i="13"/>
  <c r="CI12" i="13"/>
  <c r="CD12" i="13"/>
  <c r="CE12" i="13" s="1"/>
  <c r="CE12" i="14" s="1"/>
  <c r="CB12" i="13"/>
  <c r="BW12" i="13"/>
  <c r="BU12" i="13"/>
  <c r="BP12" i="13"/>
  <c r="BN12" i="13"/>
  <c r="BI12" i="13"/>
  <c r="BG12" i="13"/>
  <c r="BB12" i="13"/>
  <c r="BC12" i="13" s="1"/>
  <c r="BC12" i="14" s="1"/>
  <c r="AU12" i="13"/>
  <c r="AN12" i="13"/>
  <c r="AL12" i="13"/>
  <c r="AG12" i="13"/>
  <c r="AE12" i="13"/>
  <c r="AE12" i="14" s="1"/>
  <c r="AF12" i="14" s="1"/>
  <c r="AA12" i="13"/>
  <c r="AA12" i="14" s="1"/>
  <c r="Z12" i="13"/>
  <c r="X12" i="13"/>
  <c r="S12" i="13"/>
  <c r="O12" i="13"/>
  <c r="L12" i="13"/>
  <c r="I12" i="13"/>
  <c r="CP11" i="13"/>
  <c r="CK11" i="13"/>
  <c r="CI11" i="13"/>
  <c r="CD11" i="13"/>
  <c r="CB11" i="13"/>
  <c r="BW11" i="13"/>
  <c r="BU11" i="13"/>
  <c r="BP11" i="13"/>
  <c r="BV11" i="13" s="1"/>
  <c r="BO11" i="13"/>
  <c r="BN11" i="13"/>
  <c r="BI11" i="13"/>
  <c r="BG11" i="13"/>
  <c r="BG11" i="14" s="1"/>
  <c r="BB11" i="13"/>
  <c r="AU11" i="13"/>
  <c r="BA11" i="13" s="1"/>
  <c r="AN11" i="13"/>
  <c r="AT11" i="13" s="1"/>
  <c r="AL11" i="13"/>
  <c r="AG11" i="13"/>
  <c r="AE11" i="13"/>
  <c r="Z11" i="13"/>
  <c r="AF11" i="13" s="1"/>
  <c r="Y11" i="13"/>
  <c r="X11" i="13"/>
  <c r="S11" i="13"/>
  <c r="O11" i="13"/>
  <c r="M11" i="13"/>
  <c r="M11" i="14" s="1"/>
  <c r="L11" i="13"/>
  <c r="R11" i="13" s="1"/>
  <c r="I11" i="13"/>
  <c r="E11" i="13"/>
  <c r="K11" i="13" s="1"/>
  <c r="CP10" i="13"/>
  <c r="CK10" i="13"/>
  <c r="CI10" i="13"/>
  <c r="CG10" i="13" s="1"/>
  <c r="CG10" i="14" s="1"/>
  <c r="CD10" i="13"/>
  <c r="CB10" i="13"/>
  <c r="BW10" i="13"/>
  <c r="BU10" i="13"/>
  <c r="BP10" i="13"/>
  <c r="BN10" i="13"/>
  <c r="BI10" i="13"/>
  <c r="BG10" i="13"/>
  <c r="BB10" i="13"/>
  <c r="AZ10" i="14"/>
  <c r="BA10" i="14" s="1"/>
  <c r="AU10" i="13"/>
  <c r="AN10" i="13"/>
  <c r="AL10" i="13"/>
  <c r="AG10" i="13"/>
  <c r="AE10" i="13"/>
  <c r="Z10" i="13"/>
  <c r="X10" i="13"/>
  <c r="S10" i="13"/>
  <c r="O10" i="13"/>
  <c r="L10" i="13"/>
  <c r="I10" i="13"/>
  <c r="CP9" i="13"/>
  <c r="CK9" i="13"/>
  <c r="CI9" i="13"/>
  <c r="CD9" i="13"/>
  <c r="CB9" i="13"/>
  <c r="BW9" i="13"/>
  <c r="BU9" i="13"/>
  <c r="BP9" i="13"/>
  <c r="BN9" i="13"/>
  <c r="BI9" i="13"/>
  <c r="BG9" i="13"/>
  <c r="BG9" i="14" s="1"/>
  <c r="BH9" i="14" s="1"/>
  <c r="BB9" i="13"/>
  <c r="AU9" i="13"/>
  <c r="AN9" i="13"/>
  <c r="AL9" i="13"/>
  <c r="AG9" i="13"/>
  <c r="AE9" i="13"/>
  <c r="Z9" i="13"/>
  <c r="X9" i="13"/>
  <c r="S9" i="13"/>
  <c r="T9" i="13" s="1"/>
  <c r="T9" i="14" s="1"/>
  <c r="O9" i="13"/>
  <c r="L9" i="13"/>
  <c r="I9" i="13"/>
  <c r="CP8" i="13"/>
  <c r="CK8" i="13"/>
  <c r="CQ8" i="13" s="1"/>
  <c r="CI8" i="13"/>
  <c r="CD8" i="13"/>
  <c r="CB8" i="13"/>
  <c r="BW8" i="13"/>
  <c r="BV8" i="13"/>
  <c r="BU8" i="13"/>
  <c r="BP8" i="13"/>
  <c r="BN8" i="13"/>
  <c r="BI8" i="13"/>
  <c r="BO8" i="13" s="1"/>
  <c r="BG8" i="13"/>
  <c r="BB8" i="13"/>
  <c r="BA8" i="13"/>
  <c r="AU8" i="13"/>
  <c r="AN8" i="13"/>
  <c r="AT8" i="13" s="1"/>
  <c r="AL8" i="13"/>
  <c r="AG8" i="13"/>
  <c r="AM8" i="13" s="1"/>
  <c r="AE8" i="13"/>
  <c r="Z8" i="13"/>
  <c r="Y8" i="13"/>
  <c r="X8" i="13"/>
  <c r="S8" i="13"/>
  <c r="O8" i="13"/>
  <c r="L8" i="13"/>
  <c r="E8" i="13" s="1"/>
  <c r="K8" i="13" s="1"/>
  <c r="I8" i="13"/>
  <c r="CP7" i="13"/>
  <c r="CK7" i="13"/>
  <c r="CI7" i="13"/>
  <c r="CD7" i="13"/>
  <c r="CB7" i="13"/>
  <c r="BW7" i="13"/>
  <c r="BU7" i="13"/>
  <c r="BP7" i="13"/>
  <c r="BQ7" i="13" s="1"/>
  <c r="BQ7" i="14" s="1"/>
  <c r="BN7" i="13"/>
  <c r="BI7" i="13"/>
  <c r="BG7" i="13"/>
  <c r="BB7" i="13"/>
  <c r="AU7" i="13"/>
  <c r="AN7" i="13"/>
  <c r="AO7" i="13" s="1"/>
  <c r="AO7" i="14" s="1"/>
  <c r="AL7" i="13"/>
  <c r="AH7" i="13"/>
  <c r="AH7" i="14" s="1"/>
  <c r="AG7" i="13"/>
  <c r="AE7" i="13"/>
  <c r="Z7" i="13"/>
  <c r="X7" i="13"/>
  <c r="V7" i="13" s="1"/>
  <c r="V7" i="14" s="1"/>
  <c r="S7" i="13"/>
  <c r="O7" i="13"/>
  <c r="L7" i="13"/>
  <c r="I7" i="13"/>
  <c r="E7" i="13"/>
  <c r="CP6" i="13"/>
  <c r="CK6" i="13"/>
  <c r="CI6" i="13"/>
  <c r="CD6" i="13"/>
  <c r="CB6" i="13"/>
  <c r="BW6" i="13"/>
  <c r="BU6" i="13"/>
  <c r="BP6" i="13"/>
  <c r="BN6" i="13"/>
  <c r="BN6" i="14" s="1"/>
  <c r="BO6" i="14" s="1"/>
  <c r="BI6" i="13"/>
  <c r="BG6" i="13"/>
  <c r="BB6" i="13"/>
  <c r="AU6" i="13"/>
  <c r="AN6" i="13"/>
  <c r="AL6" i="13"/>
  <c r="AG6" i="13"/>
  <c r="AE6" i="13"/>
  <c r="Z6" i="13"/>
  <c r="X6" i="13"/>
  <c r="S6" i="13"/>
  <c r="O6" i="13"/>
  <c r="L6" i="13"/>
  <c r="R6" i="13" s="1"/>
  <c r="I6" i="13"/>
  <c r="CP5" i="13"/>
  <c r="CL5" i="13"/>
  <c r="CL5" i="14" s="1"/>
  <c r="CK5" i="13"/>
  <c r="CI5" i="13"/>
  <c r="CD5" i="13"/>
  <c r="CB5" i="13"/>
  <c r="BW5" i="13"/>
  <c r="BU5" i="13"/>
  <c r="BP5" i="13"/>
  <c r="BN5" i="13"/>
  <c r="BI5" i="13"/>
  <c r="BG5" i="13"/>
  <c r="BB5" i="13"/>
  <c r="AU5" i="13"/>
  <c r="AN5" i="13"/>
  <c r="AL5" i="13"/>
  <c r="AL5" i="14" s="1"/>
  <c r="AM5" i="14" s="1"/>
  <c r="AG5" i="13"/>
  <c r="AE5" i="13"/>
  <c r="Z5" i="13"/>
  <c r="X5" i="13"/>
  <c r="S5" i="13"/>
  <c r="R5" i="13"/>
  <c r="O5" i="13"/>
  <c r="L5" i="13"/>
  <c r="I5" i="13"/>
  <c r="CP4" i="13"/>
  <c r="CK4" i="13"/>
  <c r="CI4" i="13"/>
  <c r="CI4" i="14" s="1"/>
  <c r="CJ4" i="14" s="1"/>
  <c r="CD4" i="13"/>
  <c r="CB4" i="13"/>
  <c r="BW4" i="13"/>
  <c r="BU4" i="13"/>
  <c r="BU4" i="14" s="1"/>
  <c r="BV4" i="14" s="1"/>
  <c r="BP4" i="13"/>
  <c r="BN4" i="13"/>
  <c r="BI4" i="13"/>
  <c r="BG4" i="13"/>
  <c r="BB4" i="13"/>
  <c r="AU4" i="13"/>
  <c r="AS4" i="14"/>
  <c r="AT4" i="14" s="1"/>
  <c r="AN4" i="13"/>
  <c r="AL4" i="13"/>
  <c r="AG4" i="13"/>
  <c r="AE4" i="13"/>
  <c r="Z4" i="13"/>
  <c r="X4" i="13"/>
  <c r="X4" i="14" s="1"/>
  <c r="Y4" i="14" s="1"/>
  <c r="S4" i="13"/>
  <c r="O4" i="13"/>
  <c r="L4" i="13"/>
  <c r="I4" i="13"/>
  <c r="I55" i="13" s="1"/>
  <c r="I58" i="13" s="1"/>
  <c r="CQ83" i="10"/>
  <c r="CJ83" i="10"/>
  <c r="CC83" i="10"/>
  <c r="BV83" i="10"/>
  <c r="BO83" i="10"/>
  <c r="BH83" i="10"/>
  <c r="BA83" i="10"/>
  <c r="AT83" i="10"/>
  <c r="AF79" i="10"/>
  <c r="AM78" i="10"/>
  <c r="Y78" i="10"/>
  <c r="Y77" i="10"/>
  <c r="AF76" i="10"/>
  <c r="Y76" i="10"/>
  <c r="AM75" i="10"/>
  <c r="AF75" i="10"/>
  <c r="Y75" i="10"/>
  <c r="R75" i="10"/>
  <c r="AM74" i="10"/>
  <c r="AF74" i="10"/>
  <c r="Y74" i="10"/>
  <c r="R74" i="10"/>
  <c r="AM72" i="10"/>
  <c r="R72" i="10"/>
  <c r="R71" i="10"/>
  <c r="AM70" i="10"/>
  <c r="R70" i="10"/>
  <c r="R69" i="10"/>
  <c r="AM67" i="10"/>
  <c r="Y67" i="10"/>
  <c r="R67" i="10"/>
  <c r="AM66" i="10"/>
  <c r="R66" i="10"/>
  <c r="AM64" i="10"/>
  <c r="AF64" i="10"/>
  <c r="Y64" i="10"/>
  <c r="R64" i="10"/>
  <c r="AM62" i="10"/>
  <c r="AF62" i="10"/>
  <c r="Y62" i="10"/>
  <c r="R62" i="10"/>
  <c r="AM61" i="10"/>
  <c r="AM83" i="10" s="1"/>
  <c r="R61" i="10"/>
  <c r="CP57" i="10"/>
  <c r="CO57" i="10" s="1"/>
  <c r="CK57" i="10"/>
  <c r="CQ57" i="10" s="1"/>
  <c r="CI57" i="10"/>
  <c r="CH57" i="10"/>
  <c r="CG57" i="10" s="1"/>
  <c r="CD57" i="10"/>
  <c r="CC57" i="10"/>
  <c r="CB57" i="10"/>
  <c r="CA57" i="10" s="1"/>
  <c r="BX57" i="10"/>
  <c r="BW57" i="10"/>
  <c r="BU57" i="10"/>
  <c r="BT57" i="10" s="1"/>
  <c r="BP57" i="10"/>
  <c r="BN57" i="10"/>
  <c r="BI57" i="10"/>
  <c r="BG57" i="10"/>
  <c r="BF57" i="10"/>
  <c r="BE57" i="10" s="1"/>
  <c r="BB57" i="10"/>
  <c r="AY57" i="10"/>
  <c r="AU57" i="10"/>
  <c r="AR57" i="10"/>
  <c r="AN57" i="10"/>
  <c r="AO57" i="10" s="1"/>
  <c r="AL57" i="10"/>
  <c r="AK57" i="10"/>
  <c r="AJ57" i="10" s="1"/>
  <c r="AG57" i="10"/>
  <c r="AM57" i="10" s="1"/>
  <c r="AE57" i="10"/>
  <c r="AD57" i="10" s="1"/>
  <c r="AC57" i="10" s="1"/>
  <c r="Z57" i="10"/>
  <c r="Y57" i="10"/>
  <c r="X57" i="10"/>
  <c r="W57" i="10"/>
  <c r="V57" i="10" s="1"/>
  <c r="T57" i="10"/>
  <c r="S57" i="10"/>
  <c r="Q57" i="10"/>
  <c r="P57" i="10" s="1"/>
  <c r="L57" i="10"/>
  <c r="CV56" i="10"/>
  <c r="CU56" i="10"/>
  <c r="CP56" i="10"/>
  <c r="CO56" i="10" s="1"/>
  <c r="CK56" i="10"/>
  <c r="CI56" i="10"/>
  <c r="CH56" i="10" s="1"/>
  <c r="CG56" i="10" s="1"/>
  <c r="CD56" i="10"/>
  <c r="CC56" i="10"/>
  <c r="CB56" i="10"/>
  <c r="CA56" i="10" s="1"/>
  <c r="BZ56" i="10"/>
  <c r="BX56" i="10"/>
  <c r="BW56" i="10"/>
  <c r="BU56" i="10"/>
  <c r="BT56" i="10" s="1"/>
  <c r="BP56" i="10"/>
  <c r="BN56" i="10"/>
  <c r="BI56" i="10"/>
  <c r="BH56" i="10"/>
  <c r="BG56" i="10"/>
  <c r="BF56" i="10" s="1"/>
  <c r="BE56" i="10" s="1"/>
  <c r="BB56" i="10"/>
  <c r="AY56" i="10"/>
  <c r="AU56" i="10"/>
  <c r="AT56" i="10"/>
  <c r="AN56" i="10"/>
  <c r="AL56" i="10"/>
  <c r="AK56" i="10"/>
  <c r="AJ56" i="10" s="1"/>
  <c r="AG56" i="10"/>
  <c r="AM56" i="10" s="1"/>
  <c r="AE56" i="10"/>
  <c r="AD56" i="10" s="1"/>
  <c r="AC56" i="10" s="1"/>
  <c r="Z56" i="10"/>
  <c r="X56" i="10"/>
  <c r="S56" i="10"/>
  <c r="T56" i="10" s="1"/>
  <c r="Q56" i="10"/>
  <c r="P56" i="10" s="1"/>
  <c r="L56" i="10"/>
  <c r="CT54" i="10"/>
  <c r="CP54" i="10"/>
  <c r="CO54" i="10" s="1"/>
  <c r="CK54" i="10"/>
  <c r="CQ54" i="10" s="1"/>
  <c r="CI54" i="10"/>
  <c r="CD54" i="10"/>
  <c r="CC54" i="10"/>
  <c r="CB54" i="10"/>
  <c r="CA54" i="10" s="1"/>
  <c r="BZ54" i="10" s="1"/>
  <c r="BW54" i="10"/>
  <c r="BU54" i="10"/>
  <c r="BT54" i="10" s="1"/>
  <c r="BP54" i="10"/>
  <c r="BO54" i="10"/>
  <c r="BN54" i="10"/>
  <c r="BI54" i="10"/>
  <c r="BJ54" i="10" s="1"/>
  <c r="BG54" i="10"/>
  <c r="BF54" i="10" s="1"/>
  <c r="BB54" i="10"/>
  <c r="AY54" i="10"/>
  <c r="AX54" i="10" s="1"/>
  <c r="AU54" i="10"/>
  <c r="AR54" i="10"/>
  <c r="AN54" i="10"/>
  <c r="AL54" i="10"/>
  <c r="AK54" i="10" s="1"/>
  <c r="AG54" i="10"/>
  <c r="AE54" i="10"/>
  <c r="Z54" i="10"/>
  <c r="X54" i="10"/>
  <c r="W54" i="10"/>
  <c r="V54" i="10" s="1"/>
  <c r="S54" i="10"/>
  <c r="R54" i="10"/>
  <c r="Q54" i="10"/>
  <c r="P54" i="10" s="1"/>
  <c r="L54" i="10"/>
  <c r="CT53" i="10"/>
  <c r="CP53" i="10"/>
  <c r="CK53" i="10"/>
  <c r="CI53" i="10"/>
  <c r="CJ53" i="10" s="1"/>
  <c r="CH53" i="10"/>
  <c r="CG53" i="10" s="1"/>
  <c r="CD53" i="10"/>
  <c r="CB53" i="10"/>
  <c r="CA53" i="10" s="1"/>
  <c r="BW53" i="10"/>
  <c r="BX53" i="10" s="1"/>
  <c r="BU53" i="10"/>
  <c r="BV53" i="10" s="1"/>
  <c r="BP53" i="10"/>
  <c r="BN53" i="10"/>
  <c r="BM53" i="10"/>
  <c r="BL53" i="10" s="1"/>
  <c r="BI53" i="10"/>
  <c r="BG53" i="10"/>
  <c r="BE53" i="10" s="1"/>
  <c r="BF53" i="10"/>
  <c r="BB53" i="10"/>
  <c r="AV53" i="10"/>
  <c r="AU53" i="10"/>
  <c r="AO53" i="10"/>
  <c r="AN53" i="10"/>
  <c r="AL53" i="10"/>
  <c r="AK53" i="10" s="1"/>
  <c r="AJ53" i="10" s="1"/>
  <c r="AG53" i="10"/>
  <c r="AM53" i="10" s="1"/>
  <c r="AE53" i="10"/>
  <c r="AC53" i="10" s="1"/>
  <c r="AD53" i="10"/>
  <c r="Z53" i="10"/>
  <c r="X53" i="10"/>
  <c r="S53" i="10"/>
  <c r="Q53" i="10"/>
  <c r="P53" i="10" s="1"/>
  <c r="L53" i="10"/>
  <c r="CV52" i="10"/>
  <c r="CU52" i="10"/>
  <c r="AE52" i="10" s="1"/>
  <c r="CT52" i="10"/>
  <c r="CS52" i="10"/>
  <c r="Q52" i="10" s="1"/>
  <c r="CQ52" i="10"/>
  <c r="CP52" i="10"/>
  <c r="CO52" i="10" s="1"/>
  <c r="CL52" i="10"/>
  <c r="CK52" i="10"/>
  <c r="CI52" i="10"/>
  <c r="CD52" i="10"/>
  <c r="CJ52" i="10" s="1"/>
  <c r="CB52" i="10"/>
  <c r="CA52" i="10" s="1"/>
  <c r="BZ52" i="10" s="1"/>
  <c r="BW52" i="10"/>
  <c r="BU52" i="10"/>
  <c r="BT52" i="10" s="1"/>
  <c r="BS52" i="10" s="1"/>
  <c r="BP52" i="10"/>
  <c r="BV52" i="10" s="1"/>
  <c r="BN52" i="10"/>
  <c r="BM52" i="10" s="1"/>
  <c r="BL52" i="10" s="1"/>
  <c r="BJ52" i="10"/>
  <c r="BI52" i="10"/>
  <c r="BG52" i="10"/>
  <c r="BF52" i="10" s="1"/>
  <c r="BB52" i="10"/>
  <c r="AU52" i="10"/>
  <c r="AR52" i="10"/>
  <c r="AQ52" i="10" s="1"/>
  <c r="AN52" i="10"/>
  <c r="AL52" i="10"/>
  <c r="AM52" i="10" s="1"/>
  <c r="AK52" i="10"/>
  <c r="AJ52" i="10" s="1"/>
  <c r="AH52" i="10"/>
  <c r="AG52" i="10"/>
  <c r="Z52" i="10"/>
  <c r="AA52" i="10" s="1"/>
  <c r="X52" i="10"/>
  <c r="S52" i="10"/>
  <c r="L52" i="10"/>
  <c r="CV51" i="10"/>
  <c r="CU51" i="10"/>
  <c r="AE51" i="10" s="1"/>
  <c r="CT51" i="10"/>
  <c r="X51" i="10" s="1"/>
  <c r="CS51" i="10"/>
  <c r="CP51" i="10"/>
  <c r="CO51" i="10" s="1"/>
  <c r="CK51" i="10"/>
  <c r="CI51" i="10"/>
  <c r="CD51" i="10"/>
  <c r="CB51" i="10"/>
  <c r="CA51" i="10" s="1"/>
  <c r="BW51" i="10"/>
  <c r="BX51" i="10" s="1"/>
  <c r="BU51" i="10"/>
  <c r="BV51" i="10" s="1"/>
  <c r="BP51" i="10"/>
  <c r="BN51" i="10"/>
  <c r="BM51" i="10"/>
  <c r="BL51" i="10" s="1"/>
  <c r="BI51" i="10"/>
  <c r="BO51" i="10" s="1"/>
  <c r="BG51" i="10"/>
  <c r="BF51" i="10"/>
  <c r="BB51" i="10"/>
  <c r="AY51" i="10"/>
  <c r="AV51" i="10"/>
  <c r="AU51" i="10"/>
  <c r="AR51" i="10"/>
  <c r="AN51" i="10"/>
  <c r="AL51" i="10"/>
  <c r="AK51" i="10" s="1"/>
  <c r="AH51" i="10"/>
  <c r="AG51" i="10"/>
  <c r="AD51" i="10"/>
  <c r="AC51" i="10" s="1"/>
  <c r="Z51" i="10"/>
  <c r="Y51" i="10"/>
  <c r="S51" i="10"/>
  <c r="T51" i="10" s="1"/>
  <c r="Q51" i="10"/>
  <c r="M51" i="10"/>
  <c r="L51" i="10"/>
  <c r="CV50" i="10"/>
  <c r="AL50" i="10" s="1"/>
  <c r="CU50" i="10"/>
  <c r="AE50" i="10" s="1"/>
  <c r="CT50" i="10"/>
  <c r="X50" i="10" s="1"/>
  <c r="CS50" i="10"/>
  <c r="CP50" i="10"/>
  <c r="CO50" i="10" s="1"/>
  <c r="CK50" i="10"/>
  <c r="CQ50" i="10" s="1"/>
  <c r="CI50" i="10"/>
  <c r="CH50" i="10" s="1"/>
  <c r="CD50" i="10"/>
  <c r="CC50" i="10"/>
  <c r="CB50" i="10"/>
  <c r="BW50" i="10"/>
  <c r="BU50" i="10"/>
  <c r="BP50" i="10"/>
  <c r="BN50" i="10"/>
  <c r="BO50" i="10" s="1"/>
  <c r="BM50" i="10"/>
  <c r="BJ50" i="10"/>
  <c r="BI50" i="10"/>
  <c r="BG50" i="10"/>
  <c r="BF50" i="10" s="1"/>
  <c r="BE50" i="10" s="1"/>
  <c r="BC50" i="10"/>
  <c r="BB50" i="10"/>
  <c r="BH50" i="10" s="1"/>
  <c r="AU50" i="10"/>
  <c r="AT50" i="10"/>
  <c r="AR50" i="10"/>
  <c r="AQ50" i="10" s="1"/>
  <c r="AN50" i="10"/>
  <c r="AG50" i="10"/>
  <c r="Z50" i="10"/>
  <c r="S50" i="10"/>
  <c r="Q50" i="10"/>
  <c r="L50" i="10"/>
  <c r="CV49" i="10"/>
  <c r="CP49" i="10"/>
  <c r="CQ49" i="10" s="1"/>
  <c r="CL49" i="10"/>
  <c r="CK49" i="10"/>
  <c r="CI49" i="10"/>
  <c r="CD49" i="10"/>
  <c r="CB49" i="10"/>
  <c r="CA49" i="10" s="1"/>
  <c r="BZ49" i="10" s="1"/>
  <c r="BW49" i="10"/>
  <c r="BV49" i="10"/>
  <c r="BU49" i="10"/>
  <c r="BT49" i="10" s="1"/>
  <c r="BS49" i="10" s="1"/>
  <c r="BP49" i="10"/>
  <c r="BQ49" i="10" s="1"/>
  <c r="BN49" i="10"/>
  <c r="BM49" i="10" s="1"/>
  <c r="BL49" i="10"/>
  <c r="BI49" i="10"/>
  <c r="BG49" i="10"/>
  <c r="BF49" i="10" s="1"/>
  <c r="BB49" i="10"/>
  <c r="AU49" i="10"/>
  <c r="AR49" i="10"/>
  <c r="AN49" i="10"/>
  <c r="AL49" i="10"/>
  <c r="AK49" i="10" s="1"/>
  <c r="AH49" i="10"/>
  <c r="AG49" i="10"/>
  <c r="Z49" i="10"/>
  <c r="S49" i="10"/>
  <c r="L49" i="10"/>
  <c r="CV48" i="10"/>
  <c r="CU48" i="10"/>
  <c r="CT48" i="10"/>
  <c r="X48" i="10" s="1"/>
  <c r="CS48" i="10"/>
  <c r="CP48" i="10"/>
  <c r="CO48" i="10" s="1"/>
  <c r="CN48" i="10" s="1"/>
  <c r="CL48" i="10"/>
  <c r="CK48" i="10"/>
  <c r="CI48" i="10"/>
  <c r="CH48" i="10" s="1"/>
  <c r="CG48" i="10" s="1"/>
  <c r="CD48" i="10"/>
  <c r="CB48" i="10"/>
  <c r="CA48" i="10" s="1"/>
  <c r="BX48" i="10"/>
  <c r="BW48" i="10"/>
  <c r="BU48" i="10"/>
  <c r="BP48" i="10"/>
  <c r="BN48" i="10"/>
  <c r="BL48" i="10" s="1"/>
  <c r="BM48" i="10"/>
  <c r="BI48" i="10"/>
  <c r="BJ48" i="10" s="1"/>
  <c r="BG48" i="10"/>
  <c r="BF48" i="10"/>
  <c r="BE48" i="10" s="1"/>
  <c r="BB48" i="10"/>
  <c r="AU48" i="10"/>
  <c r="BA48" i="10" s="1"/>
  <c r="AN48" i="10"/>
  <c r="AL48" i="10"/>
  <c r="AK48" i="10" s="1"/>
  <c r="AJ48" i="10" s="1"/>
  <c r="AG48" i="10"/>
  <c r="AE48" i="10"/>
  <c r="Z48" i="10"/>
  <c r="E48" i="10" s="1"/>
  <c r="T48" i="10"/>
  <c r="S48" i="10"/>
  <c r="R48" i="10"/>
  <c r="Q48" i="10"/>
  <c r="P48" i="10" s="1"/>
  <c r="L48" i="10"/>
  <c r="CP47" i="10"/>
  <c r="CK47" i="10"/>
  <c r="CI47" i="10"/>
  <c r="CH47" i="10" s="1"/>
  <c r="CD47" i="10"/>
  <c r="CJ47" i="10" s="1"/>
  <c r="CB47" i="10"/>
  <c r="CA47" i="10" s="1"/>
  <c r="BW47" i="10"/>
  <c r="BU47" i="10"/>
  <c r="BT47" i="10"/>
  <c r="BS47" i="10"/>
  <c r="BQ47" i="10"/>
  <c r="BP47" i="10"/>
  <c r="BV47" i="10" s="1"/>
  <c r="BN47" i="10"/>
  <c r="BM47" i="10" s="1"/>
  <c r="BL47" i="10" s="1"/>
  <c r="BI47" i="10"/>
  <c r="BG47" i="10"/>
  <c r="BF47" i="10" s="1"/>
  <c r="BB47" i="10"/>
  <c r="AY47" i="10"/>
  <c r="AU47" i="10"/>
  <c r="AT47" i="10"/>
  <c r="AR47" i="10"/>
  <c r="AN47" i="10"/>
  <c r="AL47" i="10"/>
  <c r="AK47" i="10" s="1"/>
  <c r="AJ47" i="10" s="1"/>
  <c r="AG47" i="10"/>
  <c r="AE47" i="10"/>
  <c r="AD47" i="10" s="1"/>
  <c r="Z47" i="10"/>
  <c r="X47" i="10"/>
  <c r="W47" i="10" s="1"/>
  <c r="V47" i="10" s="1"/>
  <c r="S47" i="10"/>
  <c r="Q47" i="10"/>
  <c r="L47" i="10"/>
  <c r="CP46" i="10"/>
  <c r="CO46" i="10" s="1"/>
  <c r="CN46" i="10" s="1"/>
  <c r="CK46" i="10"/>
  <c r="CI46" i="10"/>
  <c r="CD46" i="10"/>
  <c r="CC46" i="10"/>
  <c r="CB46" i="10"/>
  <c r="CA46" i="10" s="1"/>
  <c r="BW46" i="10"/>
  <c r="BU46" i="10"/>
  <c r="BT46" i="10"/>
  <c r="BS46" i="10" s="1"/>
  <c r="BP46" i="10"/>
  <c r="BO46" i="10"/>
  <c r="BN46" i="10"/>
  <c r="BJ46" i="10"/>
  <c r="BI46" i="10"/>
  <c r="BH46" i="10"/>
  <c r="BG46" i="10"/>
  <c r="BF46" i="10"/>
  <c r="BB46" i="10"/>
  <c r="AU46" i="10"/>
  <c r="AR46" i="10"/>
  <c r="AQ46" i="10" s="1"/>
  <c r="AO46" i="10"/>
  <c r="AN46" i="10"/>
  <c r="AT46" i="10" s="1"/>
  <c r="AL46" i="10"/>
  <c r="AK46" i="10" s="1"/>
  <c r="AG46" i="10"/>
  <c r="AE46" i="10"/>
  <c r="Z46" i="10"/>
  <c r="Y46" i="10"/>
  <c r="X46" i="10"/>
  <c r="W46" i="10" s="1"/>
  <c r="S46" i="10"/>
  <c r="Q46" i="10"/>
  <c r="P46" i="10" s="1"/>
  <c r="L46" i="10"/>
  <c r="CP45" i="10"/>
  <c r="CO45" i="10" s="1"/>
  <c r="CK45" i="10"/>
  <c r="CI45" i="10"/>
  <c r="CH45" i="10"/>
  <c r="CG45" i="10" s="1"/>
  <c r="CD45" i="10"/>
  <c r="CB45" i="10"/>
  <c r="BW45" i="10"/>
  <c r="CC45" i="10" s="1"/>
  <c r="BV45" i="10"/>
  <c r="BU45" i="10"/>
  <c r="BT45" i="10"/>
  <c r="BP45" i="10"/>
  <c r="BN45" i="10"/>
  <c r="BM45" i="10" s="1"/>
  <c r="BL45" i="10" s="1"/>
  <c r="BJ45" i="10"/>
  <c r="BI45" i="10"/>
  <c r="BO45" i="10" s="1"/>
  <c r="BG45" i="10"/>
  <c r="BF45" i="10" s="1"/>
  <c r="BB45" i="10"/>
  <c r="BH45" i="10" s="1"/>
  <c r="AU45" i="10"/>
  <c r="BA45" i="10" s="1"/>
  <c r="AN45" i="10"/>
  <c r="AL45" i="10"/>
  <c r="AK45" i="10"/>
  <c r="AG45" i="10"/>
  <c r="AE45" i="10"/>
  <c r="AD45" i="10" s="1"/>
  <c r="Z45" i="10"/>
  <c r="X45" i="10"/>
  <c r="W45" i="10" s="1"/>
  <c r="S45" i="10"/>
  <c r="Q45" i="10"/>
  <c r="L45" i="10"/>
  <c r="R45" i="10" s="1"/>
  <c r="CP44" i="10"/>
  <c r="CO44" i="10" s="1"/>
  <c r="CL44" i="10"/>
  <c r="CK44" i="10"/>
  <c r="CQ44" i="10" s="1"/>
  <c r="CJ44" i="10"/>
  <c r="CI44" i="10"/>
  <c r="CD44" i="10"/>
  <c r="CB44" i="10"/>
  <c r="CA44" i="10" s="1"/>
  <c r="BZ44" i="10" s="1"/>
  <c r="BW44" i="10"/>
  <c r="CC44" i="10" s="1"/>
  <c r="BU44" i="10"/>
  <c r="BT44" i="10" s="1"/>
  <c r="BS44" i="10" s="1"/>
  <c r="BP44" i="10"/>
  <c r="BN44" i="10"/>
  <c r="BM44" i="10" s="1"/>
  <c r="BJ44" i="10"/>
  <c r="BI44" i="10"/>
  <c r="BO44" i="10" s="1"/>
  <c r="BG44" i="10"/>
  <c r="BF44" i="10" s="1"/>
  <c r="BB44" i="10"/>
  <c r="BA44" i="10"/>
  <c r="AU44" i="10"/>
  <c r="AR44" i="10"/>
  <c r="AQ44" i="10" s="1"/>
  <c r="AN44" i="10"/>
  <c r="AT44" i="10" s="1"/>
  <c r="AM44" i="10"/>
  <c r="AL44" i="10"/>
  <c r="AK44" i="10" s="1"/>
  <c r="AG44" i="10"/>
  <c r="AE44" i="10"/>
  <c r="AD44" i="10"/>
  <c r="Z44" i="10"/>
  <c r="AF44" i="10" s="1"/>
  <c r="X44" i="10"/>
  <c r="W44" i="10" s="1"/>
  <c r="S44" i="10"/>
  <c r="B44" i="10" s="1"/>
  <c r="Q44" i="10"/>
  <c r="J44" i="10" s="1"/>
  <c r="L44" i="10"/>
  <c r="R44" i="10" s="1"/>
  <c r="CV43" i="10"/>
  <c r="CU43" i="10"/>
  <c r="CT43" i="10"/>
  <c r="CS43" i="10"/>
  <c r="CP43" i="10"/>
  <c r="CO43" i="10"/>
  <c r="CK43" i="10"/>
  <c r="CI43" i="10"/>
  <c r="CH43" i="10" s="1"/>
  <c r="CG43" i="10" s="1"/>
  <c r="CD43" i="10"/>
  <c r="CB43" i="10"/>
  <c r="CC43" i="10" s="1"/>
  <c r="BW43" i="10"/>
  <c r="BX43" i="10" s="1"/>
  <c r="BU43" i="10"/>
  <c r="BT43" i="10" s="1"/>
  <c r="BP43" i="10"/>
  <c r="BN43" i="10"/>
  <c r="BM43" i="10"/>
  <c r="BJ43" i="10"/>
  <c r="BI43" i="10"/>
  <c r="BG43" i="10"/>
  <c r="BF43" i="10"/>
  <c r="BE43" i="10"/>
  <c r="BB43" i="10"/>
  <c r="AU43" i="10"/>
  <c r="AT43" i="10"/>
  <c r="AN43" i="10"/>
  <c r="AL43" i="10"/>
  <c r="AK43" i="10" s="1"/>
  <c r="AG43" i="10"/>
  <c r="AE43" i="10"/>
  <c r="AD43" i="10"/>
  <c r="Z43" i="10"/>
  <c r="X43" i="10"/>
  <c r="Y43" i="10" s="1"/>
  <c r="T43" i="10"/>
  <c r="S43" i="10"/>
  <c r="Q43" i="10"/>
  <c r="P43" i="10"/>
  <c r="O43" i="10"/>
  <c r="L43" i="10"/>
  <c r="E43" i="10"/>
  <c r="CQ42" i="10"/>
  <c r="CO42" i="10"/>
  <c r="CN42" i="10" s="1"/>
  <c r="CK42" i="10"/>
  <c r="CL42" i="10" s="1"/>
  <c r="CH42" i="10"/>
  <c r="CG42" i="10"/>
  <c r="CD42" i="10"/>
  <c r="CJ42" i="10" s="1"/>
  <c r="CC42" i="10"/>
  <c r="CA42" i="10"/>
  <c r="BZ42" i="10" s="1"/>
  <c r="BW42" i="10"/>
  <c r="BT42" i="10"/>
  <c r="BS42" i="10" s="1"/>
  <c r="BP42" i="10"/>
  <c r="BM42" i="10"/>
  <c r="BL42" i="10"/>
  <c r="BI42" i="10"/>
  <c r="BF42" i="10"/>
  <c r="BE42" i="10" s="1"/>
  <c r="BB42" i="10"/>
  <c r="BH42" i="10" s="1"/>
  <c r="AY42" i="10"/>
  <c r="AX42" i="10" s="1"/>
  <c r="AU42" i="10"/>
  <c r="AR42" i="10"/>
  <c r="AQ42" i="10" s="1"/>
  <c r="AN42" i="10"/>
  <c r="AK42" i="10"/>
  <c r="AJ42" i="10" s="1"/>
  <c r="AG42" i="10"/>
  <c r="AH42" i="10" s="1"/>
  <c r="AD42" i="10"/>
  <c r="AC42" i="10" s="1"/>
  <c r="Z42" i="10"/>
  <c r="AF42" i="10" s="1"/>
  <c r="Y42" i="10"/>
  <c r="W42" i="10"/>
  <c r="V42" i="10" s="1"/>
  <c r="S42" i="10"/>
  <c r="P42" i="10"/>
  <c r="O42" i="10" s="1"/>
  <c r="L42" i="10"/>
  <c r="B42" i="10" s="1"/>
  <c r="J42" i="10"/>
  <c r="CO41" i="10"/>
  <c r="CN41" i="10"/>
  <c r="CK41" i="10"/>
  <c r="CH41" i="10"/>
  <c r="CG41" i="10" s="1"/>
  <c r="CE41" i="10"/>
  <c r="CD41" i="10"/>
  <c r="CJ41" i="10" s="1"/>
  <c r="CA41" i="10"/>
  <c r="BZ41" i="10" s="1"/>
  <c r="BW41" i="10"/>
  <c r="CC41" i="10" s="1"/>
  <c r="BT41" i="10"/>
  <c r="BS41" i="10" s="1"/>
  <c r="BP41" i="10"/>
  <c r="BV41" i="10" s="1"/>
  <c r="BO41" i="10"/>
  <c r="BM41" i="10"/>
  <c r="BL41" i="10" s="1"/>
  <c r="BI41" i="10"/>
  <c r="BF41" i="10"/>
  <c r="BE41" i="10" s="1"/>
  <c r="BB41" i="10"/>
  <c r="AY41" i="10"/>
  <c r="AX41" i="10" s="1"/>
  <c r="AU41" i="10"/>
  <c r="BA41" i="10" s="1"/>
  <c r="AR41" i="10"/>
  <c r="AQ41" i="10" s="1"/>
  <c r="AN41" i="10"/>
  <c r="AM41" i="10"/>
  <c r="AK41" i="10"/>
  <c r="AJ41" i="10" s="1"/>
  <c r="AG41" i="10"/>
  <c r="AD41" i="10"/>
  <c r="AC41" i="10"/>
  <c r="AA41" i="10"/>
  <c r="Z41" i="10"/>
  <c r="AF41" i="10" s="1"/>
  <c r="W41" i="10"/>
  <c r="V41" i="10"/>
  <c r="S41" i="10"/>
  <c r="P41" i="10"/>
  <c r="O41" i="10" s="1"/>
  <c r="L41" i="10"/>
  <c r="R41" i="10" s="1"/>
  <c r="J41" i="10"/>
  <c r="CV40" i="10"/>
  <c r="AL40" i="10" s="1"/>
  <c r="CU40" i="10"/>
  <c r="CT40" i="10"/>
  <c r="CS40" i="10"/>
  <c r="Q40" i="10" s="1"/>
  <c r="CP40" i="10"/>
  <c r="CO40" i="10"/>
  <c r="CN40" i="10" s="1"/>
  <c r="CK40" i="10"/>
  <c r="CL40" i="10" s="1"/>
  <c r="CI40" i="10"/>
  <c r="CH40" i="10" s="1"/>
  <c r="CD40" i="10"/>
  <c r="CB40" i="10"/>
  <c r="CA40" i="10"/>
  <c r="BZ40" i="10" s="1"/>
  <c r="BW40" i="10"/>
  <c r="BU40" i="10"/>
  <c r="BT40" i="10"/>
  <c r="BS40" i="10" s="1"/>
  <c r="BP40" i="10"/>
  <c r="BV40" i="10" s="1"/>
  <c r="BO40" i="10"/>
  <c r="BN40" i="10"/>
  <c r="BM40" i="10" s="1"/>
  <c r="BI40" i="10"/>
  <c r="BG40" i="10"/>
  <c r="BB40" i="10"/>
  <c r="BH40" i="10" s="1"/>
  <c r="AU40" i="10"/>
  <c r="AN40" i="10"/>
  <c r="AG40" i="10"/>
  <c r="AH40" i="10" s="1"/>
  <c r="AE40" i="10"/>
  <c r="AD40" i="10" s="1"/>
  <c r="AA40" i="10"/>
  <c r="Z40" i="10"/>
  <c r="X40" i="10"/>
  <c r="W40" i="10"/>
  <c r="V40" i="10"/>
  <c r="S40" i="10"/>
  <c r="L40" i="10"/>
  <c r="CV39" i="10"/>
  <c r="CU39" i="10"/>
  <c r="CT39" i="10"/>
  <c r="X39" i="10" s="1"/>
  <c r="CS39" i="10"/>
  <c r="Q39" i="10" s="1"/>
  <c r="CP39" i="10"/>
  <c r="CO39" i="10"/>
  <c r="CN39" i="10" s="1"/>
  <c r="CK39" i="10"/>
  <c r="CI39" i="10"/>
  <c r="CD39" i="10"/>
  <c r="CB39" i="10"/>
  <c r="BW39" i="10"/>
  <c r="BU39" i="10"/>
  <c r="BP39" i="10"/>
  <c r="BN39" i="10"/>
  <c r="BM39" i="10" s="1"/>
  <c r="BI39" i="10"/>
  <c r="BG39" i="10"/>
  <c r="BB39" i="10"/>
  <c r="AV39" i="10"/>
  <c r="AU39" i="10"/>
  <c r="AR39" i="10"/>
  <c r="AN39" i="10"/>
  <c r="AL39" i="10"/>
  <c r="AG39" i="10"/>
  <c r="AE39" i="10"/>
  <c r="AF39" i="10" s="1"/>
  <c r="AD39" i="10"/>
  <c r="AC39" i="10" s="1"/>
  <c r="Z39" i="10"/>
  <c r="W39" i="10"/>
  <c r="S39" i="10"/>
  <c r="L39" i="10"/>
  <c r="CV38" i="10"/>
  <c r="CS38" i="10"/>
  <c r="Q38" i="10" s="1"/>
  <c r="CP38" i="10"/>
  <c r="CK38" i="10"/>
  <c r="CQ38" i="10" s="1"/>
  <c r="CJ38" i="10"/>
  <c r="CI38" i="10"/>
  <c r="CH38" i="10"/>
  <c r="CG38" i="10" s="1"/>
  <c r="CD38" i="10"/>
  <c r="CB38" i="10"/>
  <c r="CA38" i="10"/>
  <c r="BZ38" i="10" s="1"/>
  <c r="BX38" i="10"/>
  <c r="BW38" i="10"/>
  <c r="BU38" i="10"/>
  <c r="BT38" i="10" s="1"/>
  <c r="BP38" i="10"/>
  <c r="BN38" i="10"/>
  <c r="BM38" i="10"/>
  <c r="BL38" i="10" s="1"/>
  <c r="BI38" i="10"/>
  <c r="BH38" i="10"/>
  <c r="BG38" i="10"/>
  <c r="BF38" i="10" s="1"/>
  <c r="BB38" i="10"/>
  <c r="AV38" i="10"/>
  <c r="AU38" i="10"/>
  <c r="BA38" i="10" s="1"/>
  <c r="AR38" i="10"/>
  <c r="AO38" i="10"/>
  <c r="AN38" i="10"/>
  <c r="AL38" i="10"/>
  <c r="AK38" i="10" s="1"/>
  <c r="AG38" i="10"/>
  <c r="AE38" i="10"/>
  <c r="Z38" i="10"/>
  <c r="X38" i="10"/>
  <c r="W38" i="10"/>
  <c r="S38" i="10"/>
  <c r="L38" i="10"/>
  <c r="CV37" i="10"/>
  <c r="AL37" i="10" s="1"/>
  <c r="CT37" i="10"/>
  <c r="X37" i="10" s="1"/>
  <c r="W37" i="10" s="1"/>
  <c r="CP37" i="10"/>
  <c r="CK37" i="10"/>
  <c r="CI37" i="10"/>
  <c r="CH37" i="10" s="1"/>
  <c r="CE37" i="10"/>
  <c r="CD37" i="10"/>
  <c r="CB37" i="10"/>
  <c r="CA37" i="10" s="1"/>
  <c r="BZ37" i="10" s="1"/>
  <c r="BW37" i="10"/>
  <c r="BU37" i="10"/>
  <c r="BP37" i="10"/>
  <c r="BN37" i="10"/>
  <c r="BJ37" i="10"/>
  <c r="BI37" i="10"/>
  <c r="BG37" i="10"/>
  <c r="BF37" i="10" s="1"/>
  <c r="BC37" i="10"/>
  <c r="BB37" i="10"/>
  <c r="AY37" i="10"/>
  <c r="AU37" i="10"/>
  <c r="AN37" i="10"/>
  <c r="AG37" i="10"/>
  <c r="Z37" i="10"/>
  <c r="V37" i="10"/>
  <c r="S37" i="10"/>
  <c r="R37" i="10"/>
  <c r="L37" i="10"/>
  <c r="CV36" i="10"/>
  <c r="AL36" i="10" s="1"/>
  <c r="CU36" i="10"/>
  <c r="AE36" i="10" s="1"/>
  <c r="CT36" i="10"/>
  <c r="X36" i="10" s="1"/>
  <c r="CS36" i="10"/>
  <c r="CS37" i="10" s="1"/>
  <c r="Q37" i="10" s="1"/>
  <c r="CP36" i="10"/>
  <c r="CO36" i="10" s="1"/>
  <c r="CK36" i="10"/>
  <c r="CI36" i="10"/>
  <c r="CG36" i="10" s="1"/>
  <c r="CH36" i="10"/>
  <c r="CD36" i="10"/>
  <c r="CB36" i="10"/>
  <c r="BX36" i="10"/>
  <c r="BW36" i="10"/>
  <c r="BU36" i="10"/>
  <c r="BT36" i="10" s="1"/>
  <c r="BP36" i="10"/>
  <c r="BN36" i="10"/>
  <c r="BI36" i="10"/>
  <c r="BH36" i="10"/>
  <c r="BG36" i="10"/>
  <c r="BF36" i="10"/>
  <c r="BE36" i="10" s="1"/>
  <c r="BB36" i="10"/>
  <c r="BA36" i="10"/>
  <c r="AV36" i="10"/>
  <c r="AU36" i="10"/>
  <c r="AR36" i="10"/>
  <c r="AQ36" i="10"/>
  <c r="AN36" i="10"/>
  <c r="AK36" i="10"/>
  <c r="AG36" i="10"/>
  <c r="Z36" i="10"/>
  <c r="S36" i="10"/>
  <c r="Q36" i="10"/>
  <c r="P36" i="10"/>
  <c r="L36" i="10"/>
  <c r="J36" i="10"/>
  <c r="CO35" i="10"/>
  <c r="CN35" i="10" s="1"/>
  <c r="CK35" i="10"/>
  <c r="CH35" i="10"/>
  <c r="CG35" i="10" s="1"/>
  <c r="CD35" i="10"/>
  <c r="CA35" i="10"/>
  <c r="BZ35" i="10" s="1"/>
  <c r="BW35" i="10"/>
  <c r="BT35" i="10"/>
  <c r="BS35" i="10"/>
  <c r="BP35" i="10"/>
  <c r="BM35" i="10"/>
  <c r="BL35" i="10" s="1"/>
  <c r="BI35" i="10"/>
  <c r="BF35" i="10"/>
  <c r="BE35" i="10" s="1"/>
  <c r="BB35" i="10"/>
  <c r="BH35" i="10" s="1"/>
  <c r="BA35" i="10"/>
  <c r="AY35" i="10"/>
  <c r="AX35" i="10"/>
  <c r="AU35" i="10"/>
  <c r="AR35" i="10"/>
  <c r="AQ35" i="10" s="1"/>
  <c r="AN35" i="10"/>
  <c r="AT35" i="10" s="1"/>
  <c r="AK35" i="10"/>
  <c r="AJ35" i="10" s="1"/>
  <c r="AG35" i="10"/>
  <c r="AD35" i="10"/>
  <c r="AC35" i="10" s="1"/>
  <c r="Z35" i="10"/>
  <c r="W35" i="10"/>
  <c r="V35" i="10" s="1"/>
  <c r="S35" i="10"/>
  <c r="P35" i="10"/>
  <c r="O35" i="10" s="1"/>
  <c r="L35" i="10"/>
  <c r="J35" i="10"/>
  <c r="CO34" i="10"/>
  <c r="CN34" i="10" s="1"/>
  <c r="CK34" i="10"/>
  <c r="CQ34" i="10" s="1"/>
  <c r="CH34" i="10"/>
  <c r="CG34" i="10" s="1"/>
  <c r="CD34" i="10"/>
  <c r="CA34" i="10"/>
  <c r="BZ34" i="10"/>
  <c r="BW34" i="10"/>
  <c r="BV34" i="10"/>
  <c r="BT34" i="10"/>
  <c r="BS34" i="10" s="1"/>
  <c r="BP34" i="10"/>
  <c r="BM34" i="10"/>
  <c r="BL34" i="10" s="1"/>
  <c r="BI34" i="10"/>
  <c r="BF34" i="10"/>
  <c r="BE34" i="10" s="1"/>
  <c r="BB34" i="10"/>
  <c r="BA34" i="10"/>
  <c r="AY34" i="10"/>
  <c r="AX34" i="10" s="1"/>
  <c r="AU34" i="10"/>
  <c r="AR34" i="10"/>
  <c r="AQ34" i="10" s="1"/>
  <c r="AN34" i="10"/>
  <c r="AK34" i="10"/>
  <c r="AJ34" i="10"/>
  <c r="AG34" i="10"/>
  <c r="AM34" i="10" s="1"/>
  <c r="AD34" i="10"/>
  <c r="AC34" i="10" s="1"/>
  <c r="Z34" i="10"/>
  <c r="Y34" i="10"/>
  <c r="W34" i="10"/>
  <c r="V34" i="10"/>
  <c r="S34" i="10"/>
  <c r="P34" i="10"/>
  <c r="L34" i="10"/>
  <c r="R34" i="10" s="1"/>
  <c r="J34" i="10"/>
  <c r="CO33" i="10"/>
  <c r="CN33" i="10" s="1"/>
  <c r="CK33" i="10"/>
  <c r="CQ33" i="10" s="1"/>
  <c r="CH33" i="10"/>
  <c r="CG33" i="10"/>
  <c r="CD33" i="10"/>
  <c r="CJ33" i="10" s="1"/>
  <c r="CC33" i="10"/>
  <c r="CA33" i="10"/>
  <c r="BZ33" i="10" s="1"/>
  <c r="BW33" i="10"/>
  <c r="BT33" i="10"/>
  <c r="BS33" i="10" s="1"/>
  <c r="BP33" i="10"/>
  <c r="BM33" i="10"/>
  <c r="BL33" i="10"/>
  <c r="BJ33" i="10"/>
  <c r="BI33" i="10"/>
  <c r="BF33" i="10"/>
  <c r="BE33" i="10" s="1"/>
  <c r="BB33" i="10"/>
  <c r="BH33" i="10" s="1"/>
  <c r="AY33" i="10"/>
  <c r="AX33" i="10" s="1"/>
  <c r="AU33" i="10"/>
  <c r="AT33" i="10"/>
  <c r="AR33" i="10"/>
  <c r="AQ33" i="10" s="1"/>
  <c r="AN33" i="10"/>
  <c r="AM33" i="10"/>
  <c r="AK33" i="10"/>
  <c r="AJ33" i="10" s="1"/>
  <c r="AG33" i="10"/>
  <c r="AD33" i="10"/>
  <c r="AC33" i="10"/>
  <c r="Z33" i="10"/>
  <c r="W33" i="10"/>
  <c r="V33" i="10" s="1"/>
  <c r="S33" i="10"/>
  <c r="Y33" i="10" s="1"/>
  <c r="Q33" i="10"/>
  <c r="R33" i="10" s="1"/>
  <c r="L33" i="10"/>
  <c r="J33" i="10"/>
  <c r="CO32" i="10"/>
  <c r="CN32" i="10"/>
  <c r="CK32" i="10"/>
  <c r="CJ32" i="10"/>
  <c r="CH32" i="10"/>
  <c r="CG32" i="10" s="1"/>
  <c r="CE32" i="10"/>
  <c r="CD32" i="10"/>
  <c r="CA32" i="10"/>
  <c r="BZ32" i="10" s="1"/>
  <c r="BW32" i="10"/>
  <c r="BT32" i="10"/>
  <c r="BS32" i="10"/>
  <c r="BP32" i="10"/>
  <c r="BV32" i="10" s="1"/>
  <c r="BM32" i="10"/>
  <c r="BL32" i="10" s="1"/>
  <c r="BI32" i="10"/>
  <c r="BF32" i="10"/>
  <c r="BE32" i="10"/>
  <c r="BB32" i="10"/>
  <c r="BA32" i="10"/>
  <c r="AY32" i="10"/>
  <c r="AX32" i="10" s="1"/>
  <c r="AU32" i="10"/>
  <c r="AR32" i="10"/>
  <c r="AQ32" i="10" s="1"/>
  <c r="AN32" i="10"/>
  <c r="AT32" i="10" s="1"/>
  <c r="AL32" i="10"/>
  <c r="AK32" i="10"/>
  <c r="AG32" i="10"/>
  <c r="AF32" i="10"/>
  <c r="AE32" i="10"/>
  <c r="AD32" i="10"/>
  <c r="AC32" i="10" s="1"/>
  <c r="AA32" i="10"/>
  <c r="Z32" i="10"/>
  <c r="X32" i="10"/>
  <c r="S32" i="10"/>
  <c r="Y32" i="10" s="1"/>
  <c r="Q32" i="10"/>
  <c r="P32" i="10"/>
  <c r="O32" i="10" s="1"/>
  <c r="L32" i="10"/>
  <c r="R32" i="10" s="1"/>
  <c r="CV31" i="10"/>
  <c r="AL31" i="10" s="1"/>
  <c r="AK31" i="10" s="1"/>
  <c r="CT31" i="10"/>
  <c r="CS31" i="10"/>
  <c r="Q31" i="10" s="1"/>
  <c r="CP31" i="10"/>
  <c r="CK31" i="10"/>
  <c r="CI31" i="10"/>
  <c r="CH31" i="10" s="1"/>
  <c r="CD31" i="10"/>
  <c r="CB31" i="10"/>
  <c r="BW31" i="10"/>
  <c r="BU31" i="10"/>
  <c r="BT31" i="10" s="1"/>
  <c r="BP31" i="10"/>
  <c r="BN31" i="10"/>
  <c r="BI31" i="10"/>
  <c r="BG31" i="10"/>
  <c r="BF31" i="10" s="1"/>
  <c r="BB31" i="10"/>
  <c r="AY31" i="10"/>
  <c r="AX31" i="10"/>
  <c r="AU31" i="10"/>
  <c r="AR31" i="10"/>
  <c r="AN31" i="10"/>
  <c r="AG31" i="10"/>
  <c r="AE31" i="10"/>
  <c r="AF31" i="10" s="1"/>
  <c r="AD31" i="10"/>
  <c r="Z31" i="10"/>
  <c r="AA31" i="10" s="1"/>
  <c r="X31" i="10"/>
  <c r="W31" i="10" s="1"/>
  <c r="S31" i="10"/>
  <c r="L31" i="10"/>
  <c r="CP30" i="10"/>
  <c r="CO30" i="10" s="1"/>
  <c r="CK30" i="10"/>
  <c r="CI30" i="10"/>
  <c r="CH30" i="10"/>
  <c r="CG30" i="10" s="1"/>
  <c r="CD30" i="10"/>
  <c r="CB30" i="10"/>
  <c r="BW30" i="10"/>
  <c r="BX30" i="10" s="1"/>
  <c r="BV30" i="10"/>
  <c r="BU30" i="10"/>
  <c r="BT30" i="10" s="1"/>
  <c r="BP30" i="10"/>
  <c r="BN30" i="10"/>
  <c r="BI30" i="10"/>
  <c r="BH30" i="10"/>
  <c r="BG30" i="10"/>
  <c r="BF30" i="10" s="1"/>
  <c r="BE30" i="10" s="1"/>
  <c r="BB30" i="10"/>
  <c r="AV30" i="10"/>
  <c r="AU30" i="10"/>
  <c r="AN30" i="10"/>
  <c r="AL30" i="10"/>
  <c r="AK30" i="10" s="1"/>
  <c r="AG30" i="10"/>
  <c r="AF30" i="10"/>
  <c r="AE30" i="10"/>
  <c r="AD30" i="10"/>
  <c r="Z30" i="10"/>
  <c r="X30" i="10"/>
  <c r="S30" i="10"/>
  <c r="R30" i="10"/>
  <c r="Q30" i="10"/>
  <c r="L30" i="10"/>
  <c r="CO29" i="10"/>
  <c r="CN29" i="10" s="1"/>
  <c r="CK29" i="10"/>
  <c r="CJ29" i="10"/>
  <c r="CH29" i="10"/>
  <c r="CG29" i="10" s="1"/>
  <c r="CD29" i="10"/>
  <c r="CA29" i="10"/>
  <c r="BZ29" i="10"/>
  <c r="BW29" i="10"/>
  <c r="BT29" i="10"/>
  <c r="BS29" i="10" s="1"/>
  <c r="BP29" i="10"/>
  <c r="BV29" i="10" s="1"/>
  <c r="BM29" i="10"/>
  <c r="BL29" i="10" s="1"/>
  <c r="BI29" i="10"/>
  <c r="BO29" i="10" s="1"/>
  <c r="BF29" i="10"/>
  <c r="BE29" i="10" s="1"/>
  <c r="BB29" i="10"/>
  <c r="AY29" i="10"/>
  <c r="AX29" i="10" s="1"/>
  <c r="AU29" i="10"/>
  <c r="AR29" i="10"/>
  <c r="AQ29" i="10" s="1"/>
  <c r="AN29" i="10"/>
  <c r="AM29" i="10"/>
  <c r="AK29" i="10"/>
  <c r="AJ29" i="10" s="1"/>
  <c r="AG29" i="10"/>
  <c r="AD29" i="10"/>
  <c r="AC29" i="10" s="1"/>
  <c r="Z29" i="10"/>
  <c r="AF29" i="10" s="1"/>
  <c r="W29" i="10"/>
  <c r="V29" i="10" s="1"/>
  <c r="S29" i="10"/>
  <c r="Y29" i="10" s="1"/>
  <c r="P29" i="10"/>
  <c r="O29" i="10"/>
  <c r="L29" i="10"/>
  <c r="J29" i="10"/>
  <c r="CO28" i="10"/>
  <c r="CN28" i="10" s="1"/>
  <c r="CK28" i="10"/>
  <c r="CQ28" i="10" s="1"/>
  <c r="CH28" i="10"/>
  <c r="CG28" i="10" s="1"/>
  <c r="CD28" i="10"/>
  <c r="CJ28" i="10" s="1"/>
  <c r="CC28" i="10"/>
  <c r="CA28" i="10"/>
  <c r="BZ28" i="10" s="1"/>
  <c r="BW28" i="10"/>
  <c r="BT28" i="10"/>
  <c r="BS28" i="10" s="1"/>
  <c r="BQ28" i="10"/>
  <c r="BP28" i="10"/>
  <c r="BV28" i="10" s="1"/>
  <c r="BM28" i="10"/>
  <c r="BL28" i="10"/>
  <c r="BI28" i="10"/>
  <c r="BF28" i="10"/>
  <c r="BE28" i="10" s="1"/>
  <c r="BB28" i="10"/>
  <c r="BH28" i="10" s="1"/>
  <c r="BA28" i="10"/>
  <c r="AY28" i="10"/>
  <c r="AX28" i="10" s="1"/>
  <c r="AU28" i="10"/>
  <c r="AR28" i="10"/>
  <c r="AQ28" i="10" s="1"/>
  <c r="AN28" i="10"/>
  <c r="AK28" i="10"/>
  <c r="AJ28" i="10" s="1"/>
  <c r="AH28" i="10"/>
  <c r="AG28" i="10"/>
  <c r="AM28" i="10" s="1"/>
  <c r="AD28" i="10"/>
  <c r="AC28" i="10" s="1"/>
  <c r="Z28" i="10"/>
  <c r="W28" i="10"/>
  <c r="V28" i="10" s="1"/>
  <c r="S28" i="10"/>
  <c r="Y28" i="10" s="1"/>
  <c r="P28" i="10"/>
  <c r="O28" i="10" s="1"/>
  <c r="L28" i="10"/>
  <c r="J28" i="10"/>
  <c r="CO27" i="10"/>
  <c r="CN27" i="10" s="1"/>
  <c r="CK27" i="10"/>
  <c r="CQ27" i="10" s="1"/>
  <c r="CH27" i="10"/>
  <c r="CG27" i="10" s="1"/>
  <c r="CE27" i="10"/>
  <c r="CD27" i="10"/>
  <c r="CJ27" i="10" s="1"/>
  <c r="CA27" i="10"/>
  <c r="BZ27" i="10" s="1"/>
  <c r="BW27" i="10"/>
  <c r="BT27" i="10"/>
  <c r="BS27" i="10" s="1"/>
  <c r="BP27" i="10"/>
  <c r="BM27" i="10"/>
  <c r="BL27" i="10" s="1"/>
  <c r="BI27" i="10"/>
  <c r="BO27" i="10" s="1"/>
  <c r="BF27" i="10"/>
  <c r="BE27" i="10" s="1"/>
  <c r="BB27" i="10"/>
  <c r="BA27" i="10"/>
  <c r="AY27" i="10"/>
  <c r="AX27" i="10" s="1"/>
  <c r="AV27" i="10"/>
  <c r="AU27" i="10"/>
  <c r="AR27" i="10"/>
  <c r="AQ27" i="10" s="1"/>
  <c r="AN27" i="10"/>
  <c r="AT27" i="10" s="1"/>
  <c r="AM27" i="10"/>
  <c r="AK27" i="10"/>
  <c r="AJ27" i="10" s="1"/>
  <c r="AG27" i="10"/>
  <c r="AD27" i="10"/>
  <c r="AC27" i="10"/>
  <c r="Z27" i="10"/>
  <c r="W27" i="10"/>
  <c r="V27" i="10" s="1"/>
  <c r="S27" i="10"/>
  <c r="P27" i="10"/>
  <c r="O27" i="10" s="1"/>
  <c r="L27" i="10"/>
  <c r="J27" i="10"/>
  <c r="CQ26" i="10"/>
  <c r="CO26" i="10"/>
  <c r="CN26" i="10" s="1"/>
  <c r="CK26" i="10"/>
  <c r="CH26" i="10"/>
  <c r="CG26" i="10" s="1"/>
  <c r="CD26" i="10"/>
  <c r="CA26" i="10"/>
  <c r="BZ26" i="10"/>
  <c r="BW26" i="10"/>
  <c r="CC26" i="10" s="1"/>
  <c r="BT26" i="10"/>
  <c r="BS26" i="10" s="1"/>
  <c r="BP26" i="10"/>
  <c r="BM26" i="10"/>
  <c r="BL26" i="10" s="1"/>
  <c r="BI26" i="10"/>
  <c r="BH26" i="10"/>
  <c r="BF26" i="10"/>
  <c r="BE26" i="10"/>
  <c r="BB26" i="10"/>
  <c r="BC26" i="10" s="1"/>
  <c r="AY26" i="10"/>
  <c r="AX26" i="10" s="1"/>
  <c r="AV26" i="10"/>
  <c r="AU26" i="10"/>
  <c r="BA26" i="10" s="1"/>
  <c r="AT26" i="10"/>
  <c r="AR26" i="10"/>
  <c r="AQ26" i="10" s="1"/>
  <c r="AN26" i="10"/>
  <c r="AK26" i="10"/>
  <c r="AJ26" i="10" s="1"/>
  <c r="AG26" i="10"/>
  <c r="AD26" i="10"/>
  <c r="AC26" i="10" s="1"/>
  <c r="Z26" i="10"/>
  <c r="W26" i="10"/>
  <c r="V26" i="10" s="1"/>
  <c r="S26" i="10"/>
  <c r="Y26" i="10" s="1"/>
  <c r="P26" i="10"/>
  <c r="L26" i="10"/>
  <c r="J26" i="10"/>
  <c r="CO25" i="10"/>
  <c r="CN25" i="10" s="1"/>
  <c r="CK25" i="10"/>
  <c r="CJ25" i="10"/>
  <c r="CH25" i="10"/>
  <c r="CG25" i="10" s="1"/>
  <c r="CD25" i="10"/>
  <c r="CA25" i="10"/>
  <c r="BZ25" i="10"/>
  <c r="BW25" i="10"/>
  <c r="BT25" i="10"/>
  <c r="BS25" i="10" s="1"/>
  <c r="BP25" i="10"/>
  <c r="BM25" i="10"/>
  <c r="BL25" i="10" s="1"/>
  <c r="BI25" i="10"/>
  <c r="BF25" i="10"/>
  <c r="BE25" i="10" s="1"/>
  <c r="BB25" i="10"/>
  <c r="BA25" i="10"/>
  <c r="AY25" i="10"/>
  <c r="AX25" i="10" s="1"/>
  <c r="AV25" i="10"/>
  <c r="AU25" i="10"/>
  <c r="AR25" i="10"/>
  <c r="AQ25" i="10"/>
  <c r="AN25" i="10"/>
  <c r="AT25" i="10" s="1"/>
  <c r="AK25" i="10"/>
  <c r="AJ25" i="10" s="1"/>
  <c r="AG25" i="10"/>
  <c r="AF25" i="10"/>
  <c r="AD25" i="10"/>
  <c r="AC25" i="10" s="1"/>
  <c r="Z25" i="10"/>
  <c r="AA25" i="10" s="1"/>
  <c r="W25" i="10"/>
  <c r="V25" i="10"/>
  <c r="S25" i="10"/>
  <c r="E25" i="10" s="1"/>
  <c r="P25" i="10"/>
  <c r="O25" i="10" s="1"/>
  <c r="L25" i="10"/>
  <c r="R25" i="10" s="1"/>
  <c r="J25" i="10"/>
  <c r="CO24" i="10"/>
  <c r="CN24" i="10"/>
  <c r="CK24" i="10"/>
  <c r="CQ24" i="10" s="1"/>
  <c r="CJ24" i="10"/>
  <c r="CH24" i="10"/>
  <c r="CG24" i="10" s="1"/>
  <c r="CD24" i="10"/>
  <c r="CA24" i="10"/>
  <c r="BZ24" i="10" s="1"/>
  <c r="BW24" i="10"/>
  <c r="BT24" i="10"/>
  <c r="BS24" i="10"/>
  <c r="BP24" i="10"/>
  <c r="BV24" i="10" s="1"/>
  <c r="BM24" i="10"/>
  <c r="BL24" i="10" s="1"/>
  <c r="BI24" i="10"/>
  <c r="BO24" i="10" s="1"/>
  <c r="BH24" i="10"/>
  <c r="BF24" i="10"/>
  <c r="BE24" i="10" s="1"/>
  <c r="BC24" i="10"/>
  <c r="BB24" i="10"/>
  <c r="AY24" i="10"/>
  <c r="AX24" i="10"/>
  <c r="AU24" i="10"/>
  <c r="AT24" i="10"/>
  <c r="AR24" i="10"/>
  <c r="AQ24" i="10" s="1"/>
  <c r="AN24" i="10"/>
  <c r="AK24" i="10"/>
  <c r="AJ24" i="10"/>
  <c r="AG24" i="10"/>
  <c r="AF24" i="10"/>
  <c r="AD24" i="10"/>
  <c r="AC24" i="10" s="1"/>
  <c r="Z24" i="10"/>
  <c r="W24" i="10"/>
  <c r="I24" i="10" s="1"/>
  <c r="S24" i="10"/>
  <c r="P24" i="10"/>
  <c r="O24" i="10"/>
  <c r="L24" i="10"/>
  <c r="R24" i="10" s="1"/>
  <c r="J24" i="10"/>
  <c r="CO23" i="10"/>
  <c r="CN23" i="10" s="1"/>
  <c r="CK23" i="10"/>
  <c r="CH23" i="10"/>
  <c r="CG23" i="10" s="1"/>
  <c r="CD23" i="10"/>
  <c r="CJ23" i="10" s="1"/>
  <c r="CA23" i="10"/>
  <c r="BZ23" i="10" s="1"/>
  <c r="BW23" i="10"/>
  <c r="CC23" i="10" s="1"/>
  <c r="BT23" i="10"/>
  <c r="BS23" i="10" s="1"/>
  <c r="BP23" i="10"/>
  <c r="BV23" i="10" s="1"/>
  <c r="BM23" i="10"/>
  <c r="BL23" i="10" s="1"/>
  <c r="BJ23" i="10"/>
  <c r="BI23" i="10"/>
  <c r="BO23" i="10" s="1"/>
  <c r="BF23" i="10"/>
  <c r="BE23" i="10"/>
  <c r="BC23" i="10"/>
  <c r="BB23" i="10"/>
  <c r="BH23" i="10" s="1"/>
  <c r="AY23" i="10"/>
  <c r="AX23" i="10" s="1"/>
  <c r="AU23" i="10"/>
  <c r="AR23" i="10"/>
  <c r="AQ23" i="10" s="1"/>
  <c r="AN23" i="10"/>
  <c r="AT23" i="10" s="1"/>
  <c r="AK23" i="10"/>
  <c r="AJ23" i="10"/>
  <c r="AH23" i="10"/>
  <c r="AG23" i="10"/>
  <c r="AM23" i="10" s="1"/>
  <c r="AD23" i="10"/>
  <c r="AC23" i="10" s="1"/>
  <c r="Z23" i="10"/>
  <c r="AF23" i="10" s="1"/>
  <c r="W23" i="10"/>
  <c r="T23" i="10"/>
  <c r="S23" i="10"/>
  <c r="Y23" i="10" s="1"/>
  <c r="P23" i="10"/>
  <c r="O23" i="10"/>
  <c r="L23" i="10"/>
  <c r="J23" i="10"/>
  <c r="CQ22" i="10"/>
  <c r="CO22" i="10"/>
  <c r="CN22" i="10" s="1"/>
  <c r="CK22" i="10"/>
  <c r="CH22" i="10"/>
  <c r="CG22" i="10"/>
  <c r="CD22" i="10"/>
  <c r="CA22" i="10"/>
  <c r="BZ22" i="10" s="1"/>
  <c r="BX22" i="10"/>
  <c r="BW22" i="10"/>
  <c r="CC22" i="10" s="1"/>
  <c r="BT22" i="10"/>
  <c r="BS22" i="10" s="1"/>
  <c r="BP22" i="10"/>
  <c r="BO22" i="10"/>
  <c r="BM22" i="10"/>
  <c r="BL22" i="10" s="1"/>
  <c r="BI22" i="10"/>
  <c r="BF22" i="10"/>
  <c r="BE22" i="10"/>
  <c r="BB22" i="10"/>
  <c r="AY22" i="10"/>
  <c r="AX22" i="10" s="1"/>
  <c r="AU22" i="10"/>
  <c r="BA22" i="10" s="1"/>
  <c r="AR22" i="10"/>
  <c r="AQ22" i="10" s="1"/>
  <c r="AO22" i="10"/>
  <c r="AN22" i="10"/>
  <c r="AT22" i="10" s="1"/>
  <c r="AK22" i="10"/>
  <c r="AJ22" i="10"/>
  <c r="AG22" i="10"/>
  <c r="AD22" i="10"/>
  <c r="AC22" i="10" s="1"/>
  <c r="Z22" i="10"/>
  <c r="W22" i="10"/>
  <c r="V22" i="10" s="1"/>
  <c r="T22" i="10"/>
  <c r="S22" i="10"/>
  <c r="Y22" i="10" s="1"/>
  <c r="P22" i="10"/>
  <c r="O22" i="10" s="1"/>
  <c r="L22" i="10"/>
  <c r="J22" i="10"/>
  <c r="CO21" i="10"/>
  <c r="CN21" i="10" s="1"/>
  <c r="CK21" i="10"/>
  <c r="CJ21" i="10"/>
  <c r="CH21" i="10"/>
  <c r="CG21" i="10" s="1"/>
  <c r="CD21" i="10"/>
  <c r="CA21" i="10"/>
  <c r="BZ21" i="10" s="1"/>
  <c r="BW21" i="10"/>
  <c r="BT21" i="10"/>
  <c r="BS21" i="10" s="1"/>
  <c r="BP21" i="10"/>
  <c r="BV21" i="10" s="1"/>
  <c r="BM21" i="10"/>
  <c r="BL21" i="10" s="1"/>
  <c r="BI21" i="10"/>
  <c r="BF21" i="10"/>
  <c r="BE21" i="10" s="1"/>
  <c r="BB21" i="10"/>
  <c r="BA21" i="10"/>
  <c r="AY21" i="10"/>
  <c r="AX21" i="10" s="1"/>
  <c r="AU21" i="10"/>
  <c r="AR21" i="10"/>
  <c r="AQ21" i="10" s="1"/>
  <c r="AN21" i="10"/>
  <c r="AK21" i="10"/>
  <c r="AJ21" i="10" s="1"/>
  <c r="AG21" i="10"/>
  <c r="B21" i="10" s="1"/>
  <c r="AF21" i="10"/>
  <c r="AD21" i="10"/>
  <c r="AC21" i="10" s="1"/>
  <c r="Z21" i="10"/>
  <c r="W21" i="10"/>
  <c r="V21" i="10" s="1"/>
  <c r="S21" i="10"/>
  <c r="P21" i="10"/>
  <c r="O21" i="10" s="1"/>
  <c r="L21" i="10"/>
  <c r="J21" i="10"/>
  <c r="CO20" i="10"/>
  <c r="CN20" i="10" s="1"/>
  <c r="CK20" i="10"/>
  <c r="CQ20" i="10" s="1"/>
  <c r="CJ20" i="10"/>
  <c r="CH20" i="10"/>
  <c r="CG20" i="10" s="1"/>
  <c r="CE20" i="10"/>
  <c r="CD20" i="10"/>
  <c r="CA20" i="10"/>
  <c r="BZ20" i="10"/>
  <c r="BW20" i="10"/>
  <c r="BV20" i="10"/>
  <c r="BT20" i="10"/>
  <c r="BS20" i="10" s="1"/>
  <c r="BP20" i="10"/>
  <c r="BM20" i="10"/>
  <c r="BL20" i="10" s="1"/>
  <c r="BJ20" i="10"/>
  <c r="BI20" i="10"/>
  <c r="BO20" i="10" s="1"/>
  <c r="BF20" i="10"/>
  <c r="BE20" i="10" s="1"/>
  <c r="BB20" i="10"/>
  <c r="BA20" i="10"/>
  <c r="AY20" i="10"/>
  <c r="AX20" i="10" s="1"/>
  <c r="AU20" i="10"/>
  <c r="AR20" i="10"/>
  <c r="AQ20" i="10" s="1"/>
  <c r="AN20" i="10"/>
  <c r="AK20" i="10"/>
  <c r="AJ20" i="10" s="1"/>
  <c r="AG20" i="10"/>
  <c r="AD20" i="10"/>
  <c r="AC20" i="10" s="1"/>
  <c r="Z20" i="10"/>
  <c r="W20" i="10"/>
  <c r="V20" i="10"/>
  <c r="S20" i="10"/>
  <c r="P20" i="10"/>
  <c r="O20" i="10" s="1"/>
  <c r="L20" i="10"/>
  <c r="J20" i="10"/>
  <c r="CO19" i="10"/>
  <c r="CN19" i="10" s="1"/>
  <c r="CK19" i="10"/>
  <c r="CJ19" i="10"/>
  <c r="CH19" i="10"/>
  <c r="CG19" i="10" s="1"/>
  <c r="CD19" i="10"/>
  <c r="CA19" i="10"/>
  <c r="BZ19" i="10" s="1"/>
  <c r="BW19" i="10"/>
  <c r="BT19" i="10"/>
  <c r="BS19" i="10"/>
  <c r="BP19" i="10"/>
  <c r="BV19" i="10" s="1"/>
  <c r="BM19" i="10"/>
  <c r="BL19" i="10" s="1"/>
  <c r="BI19" i="10"/>
  <c r="BO19" i="10" s="1"/>
  <c r="BF19" i="10"/>
  <c r="BE19" i="10" s="1"/>
  <c r="BB19" i="10"/>
  <c r="BH19" i="10" s="1"/>
  <c r="AY19" i="10"/>
  <c r="AX19" i="10" s="1"/>
  <c r="AU19" i="10"/>
  <c r="AR19" i="10"/>
  <c r="AQ19" i="10" s="1"/>
  <c r="AO19" i="10"/>
  <c r="AN19" i="10"/>
  <c r="AT19" i="10" s="1"/>
  <c r="AK19" i="10"/>
  <c r="AJ19" i="10" s="1"/>
  <c r="AG19" i="10"/>
  <c r="AM19" i="10" s="1"/>
  <c r="AD19" i="10"/>
  <c r="AC19" i="10"/>
  <c r="Z19" i="10"/>
  <c r="AF19" i="10" s="1"/>
  <c r="W19" i="10"/>
  <c r="V19" i="10" s="1"/>
  <c r="S19" i="10"/>
  <c r="P19" i="10"/>
  <c r="O19" i="10" s="1"/>
  <c r="M19" i="10"/>
  <c r="L19" i="10"/>
  <c r="J19" i="10"/>
  <c r="CO18" i="10"/>
  <c r="CN18" i="10"/>
  <c r="CL18" i="10"/>
  <c r="CK18" i="10"/>
  <c r="CQ18" i="10" s="1"/>
  <c r="CJ18" i="10"/>
  <c r="CH18" i="10"/>
  <c r="CG18" i="10" s="1"/>
  <c r="CD18" i="10"/>
  <c r="CA18" i="10"/>
  <c r="BZ18" i="10" s="1"/>
  <c r="BW18" i="10"/>
  <c r="BT18" i="10"/>
  <c r="BS18" i="10" s="1"/>
  <c r="BQ18" i="10"/>
  <c r="BP18" i="10"/>
  <c r="BV18" i="10" s="1"/>
  <c r="BM18" i="10"/>
  <c r="BL18" i="10"/>
  <c r="BI18" i="10"/>
  <c r="BO18" i="10" s="1"/>
  <c r="BH18" i="10"/>
  <c r="BF18" i="10"/>
  <c r="BE18" i="10" s="1"/>
  <c r="BB18" i="10"/>
  <c r="AY18" i="10"/>
  <c r="AX18" i="10" s="1"/>
  <c r="AU18" i="10"/>
  <c r="AR18" i="10"/>
  <c r="AQ18" i="10" s="1"/>
  <c r="AO18" i="10"/>
  <c r="AN18" i="10"/>
  <c r="AT18" i="10" s="1"/>
  <c r="AK18" i="10"/>
  <c r="AJ18" i="10" s="1"/>
  <c r="AG18" i="10"/>
  <c r="AM18" i="10" s="1"/>
  <c r="AD18" i="10"/>
  <c r="AC18" i="10" s="1"/>
  <c r="Z18" i="10"/>
  <c r="AF18" i="10" s="1"/>
  <c r="Y18" i="10"/>
  <c r="W18" i="10"/>
  <c r="V18" i="10" s="1"/>
  <c r="S18" i="10"/>
  <c r="P18" i="10"/>
  <c r="O18" i="10" s="1"/>
  <c r="L18" i="10"/>
  <c r="M18" i="10" s="1"/>
  <c r="J18" i="10"/>
  <c r="CO17" i="10"/>
  <c r="CN17" i="10" s="1"/>
  <c r="CK17" i="10"/>
  <c r="CQ17" i="10" s="1"/>
  <c r="CH17" i="10"/>
  <c r="CG17" i="10" s="1"/>
  <c r="CE17" i="10"/>
  <c r="CD17" i="10"/>
  <c r="CJ17" i="10" s="1"/>
  <c r="CA17" i="10"/>
  <c r="BZ17" i="10" s="1"/>
  <c r="BW17" i="10"/>
  <c r="CC17" i="10" s="1"/>
  <c r="BT17" i="10"/>
  <c r="BS17" i="10"/>
  <c r="BP17" i="10"/>
  <c r="BV17" i="10" s="1"/>
  <c r="BM17" i="10"/>
  <c r="BL17" i="10" s="1"/>
  <c r="BI17" i="10"/>
  <c r="BF17" i="10"/>
  <c r="BE17" i="10"/>
  <c r="BB17" i="10"/>
  <c r="BH17" i="10" s="1"/>
  <c r="AY17" i="10"/>
  <c r="AX17" i="10" s="1"/>
  <c r="AU17" i="10"/>
  <c r="BA17" i="10" s="1"/>
  <c r="AR17" i="10"/>
  <c r="AQ17" i="10" s="1"/>
  <c r="AN17" i="10"/>
  <c r="AK17" i="10"/>
  <c r="AJ17" i="10" s="1"/>
  <c r="AG17" i="10"/>
  <c r="AD17" i="10"/>
  <c r="AC17" i="10"/>
  <c r="Z17" i="10"/>
  <c r="AF17" i="10" s="1"/>
  <c r="W17" i="10"/>
  <c r="V17" i="10" s="1"/>
  <c r="S17" i="10"/>
  <c r="Y17" i="10" s="1"/>
  <c r="P17" i="10"/>
  <c r="L17" i="10"/>
  <c r="J17" i="10"/>
  <c r="CV16" i="10"/>
  <c r="AL16" i="10" s="1"/>
  <c r="CT16" i="10"/>
  <c r="X16" i="10" s="1"/>
  <c r="CS16" i="10"/>
  <c r="Q16" i="10" s="1"/>
  <c r="CP16" i="10"/>
  <c r="CO16" i="10" s="1"/>
  <c r="CK16" i="10"/>
  <c r="CI16" i="10"/>
  <c r="CH16" i="10" s="1"/>
  <c r="CD16" i="10"/>
  <c r="CE16" i="10" s="1"/>
  <c r="CB16" i="10"/>
  <c r="BW16" i="10"/>
  <c r="BU16" i="10"/>
  <c r="BT16" i="10" s="1"/>
  <c r="BP16" i="10"/>
  <c r="BN16" i="10"/>
  <c r="BO16" i="10" s="1"/>
  <c r="BI16" i="10"/>
  <c r="BG16" i="10"/>
  <c r="BH16" i="10" s="1"/>
  <c r="BC16" i="10"/>
  <c r="BB16" i="10"/>
  <c r="AY16" i="10"/>
  <c r="AX16" i="10" s="1"/>
  <c r="AV16" i="10"/>
  <c r="AU16" i="10"/>
  <c r="AR16" i="10"/>
  <c r="AQ16" i="10" s="1"/>
  <c r="AN16" i="10"/>
  <c r="AT16" i="10" s="1"/>
  <c r="AG16" i="10"/>
  <c r="AH16" i="10" s="1"/>
  <c r="AE16" i="10"/>
  <c r="AD16" i="10" s="1"/>
  <c r="AA16" i="10"/>
  <c r="Z16" i="10"/>
  <c r="S16" i="10"/>
  <c r="L16" i="10"/>
  <c r="CV15" i="10"/>
  <c r="AL15" i="10" s="1"/>
  <c r="CU15" i="10"/>
  <c r="AE15" i="10" s="1"/>
  <c r="AD15" i="10" s="1"/>
  <c r="CT15" i="10"/>
  <c r="X15" i="10" s="1"/>
  <c r="CS15" i="10"/>
  <c r="CP15" i="10"/>
  <c r="CO15" i="10" s="1"/>
  <c r="CN15" i="10" s="1"/>
  <c r="CL15" i="10"/>
  <c r="CK15" i="10"/>
  <c r="CQ15" i="10" s="1"/>
  <c r="CI15" i="10"/>
  <c r="CH15" i="10" s="1"/>
  <c r="CD15" i="10"/>
  <c r="CB15" i="10"/>
  <c r="CA15" i="10" s="1"/>
  <c r="BW15" i="10"/>
  <c r="BU15" i="10"/>
  <c r="BT15" i="10" s="1"/>
  <c r="BP15" i="10"/>
  <c r="BN15" i="10"/>
  <c r="BI15" i="10"/>
  <c r="BG15" i="10"/>
  <c r="BF15" i="10" s="1"/>
  <c r="BB15" i="10"/>
  <c r="BA15" i="10"/>
  <c r="AY15" i="10"/>
  <c r="AU15" i="10"/>
  <c r="AT15" i="10"/>
  <c r="AO15" i="10"/>
  <c r="AN15" i="10"/>
  <c r="AG15" i="10"/>
  <c r="Z15" i="10"/>
  <c r="AA15" i="10" s="1"/>
  <c r="T15" i="10"/>
  <c r="S15" i="10"/>
  <c r="R15" i="10"/>
  <c r="Q15" i="10"/>
  <c r="P15" i="10" s="1"/>
  <c r="L15" i="10"/>
  <c r="CV14" i="10"/>
  <c r="CU14" i="10"/>
  <c r="CT14" i="10"/>
  <c r="CS14" i="10"/>
  <c r="Q14" i="10" s="1"/>
  <c r="CP14" i="10"/>
  <c r="CO14" i="10" s="1"/>
  <c r="CN14" i="10" s="1"/>
  <c r="CK14" i="10"/>
  <c r="CI14" i="10"/>
  <c r="CH14" i="10" s="1"/>
  <c r="CG14" i="10" s="1"/>
  <c r="CE14" i="10"/>
  <c r="CD14" i="10"/>
  <c r="CB14" i="10"/>
  <c r="CA14" i="10" s="1"/>
  <c r="BZ14" i="10" s="1"/>
  <c r="BX14" i="10"/>
  <c r="BW14" i="10"/>
  <c r="BU14" i="10"/>
  <c r="BT14" i="10"/>
  <c r="BP14" i="10"/>
  <c r="BN14" i="10"/>
  <c r="BM14" i="10" s="1"/>
  <c r="BJ14" i="10"/>
  <c r="BI14" i="10"/>
  <c r="BG14" i="10"/>
  <c r="BF14" i="10" s="1"/>
  <c r="BB14" i="10"/>
  <c r="AU14" i="10"/>
  <c r="AR14" i="10"/>
  <c r="AN14" i="10"/>
  <c r="AL14" i="10"/>
  <c r="AK14" i="10"/>
  <c r="AJ14" i="10" s="1"/>
  <c r="AG14" i="10"/>
  <c r="AE14" i="10"/>
  <c r="AF14" i="10" s="1"/>
  <c r="AA14" i="10"/>
  <c r="Z14" i="10"/>
  <c r="X14" i="10"/>
  <c r="W14" i="10"/>
  <c r="V14" i="10" s="1"/>
  <c r="T14" i="10"/>
  <c r="S14" i="10"/>
  <c r="Y14" i="10" s="1"/>
  <c r="M14" i="10"/>
  <c r="L14" i="10"/>
  <c r="CP13" i="10"/>
  <c r="CO13" i="10"/>
  <c r="CN13" i="10" s="1"/>
  <c r="CK13" i="10"/>
  <c r="CQ13" i="10" s="1"/>
  <c r="CI13" i="10"/>
  <c r="CH13" i="10"/>
  <c r="CD13" i="10"/>
  <c r="CJ13" i="10" s="1"/>
  <c r="CB13" i="10"/>
  <c r="CA13" i="10" s="1"/>
  <c r="BW13" i="10"/>
  <c r="CC13" i="10" s="1"/>
  <c r="BU13" i="10"/>
  <c r="BP13" i="10"/>
  <c r="BN13" i="10"/>
  <c r="BM13" i="10" s="1"/>
  <c r="BI13" i="10"/>
  <c r="BH13" i="10"/>
  <c r="BG13" i="10"/>
  <c r="BF13" i="10" s="1"/>
  <c r="BB13" i="10"/>
  <c r="AY13" i="10"/>
  <c r="AU13" i="10"/>
  <c r="BA13" i="10" s="1"/>
  <c r="AT13" i="10"/>
  <c r="AR13" i="10"/>
  <c r="AN13" i="10"/>
  <c r="AO13" i="10" s="1"/>
  <c r="AL13" i="10"/>
  <c r="AK13" i="10" s="1"/>
  <c r="AG13" i="10"/>
  <c r="AM13" i="10" s="1"/>
  <c r="AE13" i="10"/>
  <c r="AD13" i="10" s="1"/>
  <c r="AC13" i="10" s="1"/>
  <c r="Z13" i="10"/>
  <c r="AF13" i="10" s="1"/>
  <c r="X13" i="10"/>
  <c r="W13" i="10" s="1"/>
  <c r="S13" i="10"/>
  <c r="Q13" i="10"/>
  <c r="L13" i="10"/>
  <c r="CV12" i="10"/>
  <c r="CU12" i="10"/>
  <c r="CS12" i="10"/>
  <c r="Q12" i="10" s="1"/>
  <c r="CP12" i="10"/>
  <c r="CO12" i="10" s="1"/>
  <c r="CK12" i="10"/>
  <c r="CL12" i="10" s="1"/>
  <c r="CI12" i="10"/>
  <c r="CH12" i="10"/>
  <c r="CG12" i="10" s="1"/>
  <c r="CE12" i="10"/>
  <c r="CD12" i="10"/>
  <c r="CB12" i="10"/>
  <c r="CA12" i="10"/>
  <c r="BZ12" i="10" s="1"/>
  <c r="BW12" i="10"/>
  <c r="CC12" i="10" s="1"/>
  <c r="BU12" i="10"/>
  <c r="BT12" i="10" s="1"/>
  <c r="BP12" i="10"/>
  <c r="BQ12" i="10" s="1"/>
  <c r="BN12" i="10"/>
  <c r="BI12" i="10"/>
  <c r="BG12" i="10"/>
  <c r="BF12" i="10" s="1"/>
  <c r="BB12" i="10"/>
  <c r="AU12" i="10"/>
  <c r="AT12" i="10"/>
  <c r="AR12" i="10"/>
  <c r="AQ12" i="10" s="1"/>
  <c r="AN12" i="10"/>
  <c r="AL12" i="10"/>
  <c r="AM12" i="10" s="1"/>
  <c r="AH12" i="10"/>
  <c r="AG12" i="10"/>
  <c r="AE12" i="10"/>
  <c r="AD12" i="10"/>
  <c r="AC12" i="10" s="1"/>
  <c r="Z12" i="10"/>
  <c r="AF12" i="10" s="1"/>
  <c r="X12" i="10"/>
  <c r="W12" i="10" s="1"/>
  <c r="S12" i="10"/>
  <c r="Y12" i="10" s="1"/>
  <c r="L12" i="10"/>
  <c r="R12" i="10" s="1"/>
  <c r="CP11" i="10"/>
  <c r="CO11" i="10"/>
  <c r="CL11" i="10"/>
  <c r="CK11" i="10"/>
  <c r="CQ11" i="10" s="1"/>
  <c r="CI11" i="10"/>
  <c r="CH11" i="10"/>
  <c r="CG11" i="10" s="1"/>
  <c r="CE11" i="10"/>
  <c r="CD11" i="10"/>
  <c r="CJ11" i="10" s="1"/>
  <c r="CB11" i="10"/>
  <c r="BW11" i="10"/>
  <c r="BU11" i="10"/>
  <c r="BT11" i="10" s="1"/>
  <c r="BP11" i="10"/>
  <c r="BV11" i="10" s="1"/>
  <c r="BO11" i="10"/>
  <c r="BN11" i="10"/>
  <c r="BM11" i="10" s="1"/>
  <c r="BL11" i="10" s="1"/>
  <c r="BI11" i="10"/>
  <c r="BG11" i="10"/>
  <c r="BB11" i="10"/>
  <c r="BH11" i="10" s="1"/>
  <c r="BA11" i="10"/>
  <c r="AY11" i="10"/>
  <c r="AV11" i="10"/>
  <c r="AU11" i="10"/>
  <c r="AR11" i="10"/>
  <c r="AQ11" i="10" s="1"/>
  <c r="AN11" i="10"/>
  <c r="AT11" i="10" s="1"/>
  <c r="AL11" i="10"/>
  <c r="AK11" i="10" s="1"/>
  <c r="AG11" i="10"/>
  <c r="AM11" i="10" s="1"/>
  <c r="AE11" i="10"/>
  <c r="AD11" i="10"/>
  <c r="Z11" i="10"/>
  <c r="X11" i="10"/>
  <c r="T11" i="10"/>
  <c r="S11" i="10"/>
  <c r="Y11" i="10" s="1"/>
  <c r="Q11" i="10"/>
  <c r="P11" i="10"/>
  <c r="L11" i="10"/>
  <c r="CV10" i="10"/>
  <c r="AL10" i="10" s="1"/>
  <c r="CT10" i="10"/>
  <c r="CP10" i="10"/>
  <c r="CO10" i="10"/>
  <c r="CN10" i="10" s="1"/>
  <c r="CK10" i="10"/>
  <c r="CQ10" i="10" s="1"/>
  <c r="CI10" i="10"/>
  <c r="CH10" i="10" s="1"/>
  <c r="CD10" i="10"/>
  <c r="CJ10" i="10" s="1"/>
  <c r="CB10" i="10"/>
  <c r="CC10" i="10" s="1"/>
  <c r="BX10" i="10"/>
  <c r="BW10" i="10"/>
  <c r="BU10" i="10"/>
  <c r="BT10" i="10" s="1"/>
  <c r="BP10" i="10"/>
  <c r="BN10" i="10"/>
  <c r="BM10" i="10" s="1"/>
  <c r="BL10" i="10" s="1"/>
  <c r="BI10" i="10"/>
  <c r="BG10" i="10"/>
  <c r="BB10" i="10"/>
  <c r="AU10" i="10"/>
  <c r="AV10" i="10" s="1"/>
  <c r="AR10" i="10"/>
  <c r="AO10" i="10"/>
  <c r="AN10" i="10"/>
  <c r="AK10" i="10"/>
  <c r="AJ10" i="10" s="1"/>
  <c r="AG10" i="10"/>
  <c r="AM10" i="10" s="1"/>
  <c r="AE10" i="10"/>
  <c r="AD10" i="10" s="1"/>
  <c r="Z10" i="10"/>
  <c r="X10" i="10"/>
  <c r="S10" i="10"/>
  <c r="Q10" i="10"/>
  <c r="P10" i="10" s="1"/>
  <c r="M10" i="10"/>
  <c r="L10" i="10"/>
  <c r="CU9" i="10"/>
  <c r="AE9" i="10" s="1"/>
  <c r="AD9" i="10" s="1"/>
  <c r="CT9" i="10"/>
  <c r="CP9" i="10"/>
  <c r="CO9" i="10"/>
  <c r="CN9" i="10" s="1"/>
  <c r="CK9" i="10"/>
  <c r="CQ9" i="10" s="1"/>
  <c r="CI9" i="10"/>
  <c r="CH9" i="10" s="1"/>
  <c r="CD9" i="10"/>
  <c r="CB9" i="10"/>
  <c r="BW9" i="10"/>
  <c r="BU9" i="10"/>
  <c r="BT9" i="10"/>
  <c r="BP9" i="10"/>
  <c r="BN9" i="10"/>
  <c r="BM9" i="10" s="1"/>
  <c r="BI9" i="10"/>
  <c r="BO9" i="10" s="1"/>
  <c r="BH9" i="10"/>
  <c r="BG9" i="10"/>
  <c r="BF9" i="10" s="1"/>
  <c r="BB9" i="10"/>
  <c r="AY9" i="10"/>
  <c r="AU9" i="10"/>
  <c r="AV9" i="10" s="1"/>
  <c r="AR9" i="10"/>
  <c r="AQ9" i="10" s="1"/>
  <c r="AN9" i="10"/>
  <c r="AL9" i="10"/>
  <c r="AK9" i="10" s="1"/>
  <c r="AG9" i="10"/>
  <c r="AC9" i="10"/>
  <c r="Z9" i="10"/>
  <c r="X9" i="10"/>
  <c r="S9" i="10"/>
  <c r="Q9" i="10"/>
  <c r="P9" i="10" s="1"/>
  <c r="L9" i="10"/>
  <c r="CP8" i="10"/>
  <c r="CK8" i="10"/>
  <c r="CI8" i="10"/>
  <c r="CH8" i="10" s="1"/>
  <c r="CD8" i="10"/>
  <c r="CJ8" i="10" s="1"/>
  <c r="CB8" i="10"/>
  <c r="CA8" i="10" s="1"/>
  <c r="BW8" i="10"/>
  <c r="BV8" i="10"/>
  <c r="BU8" i="10"/>
  <c r="BP8" i="10"/>
  <c r="BN8" i="10"/>
  <c r="BI8" i="10"/>
  <c r="BO8" i="10" s="1"/>
  <c r="BG8" i="10"/>
  <c r="BF8" i="10" s="1"/>
  <c r="BC8" i="10"/>
  <c r="BB8" i="10"/>
  <c r="AY8" i="10"/>
  <c r="AX8" i="10" s="1"/>
  <c r="AU8" i="10"/>
  <c r="BA8" i="10" s="1"/>
  <c r="AR8" i="10"/>
  <c r="AQ8" i="10" s="1"/>
  <c r="AO8" i="10"/>
  <c r="AN8" i="10"/>
  <c r="AT8" i="10" s="1"/>
  <c r="AL8" i="10"/>
  <c r="AK8" i="10" s="1"/>
  <c r="AG8" i="10"/>
  <c r="AF8" i="10"/>
  <c r="AE8" i="10"/>
  <c r="AD8" i="10" s="1"/>
  <c r="Z8" i="10"/>
  <c r="X8" i="10"/>
  <c r="W8" i="10" s="1"/>
  <c r="S8" i="10"/>
  <c r="Q8" i="10"/>
  <c r="P8" i="10" s="1"/>
  <c r="L8" i="10"/>
  <c r="CV7" i="10"/>
  <c r="CP7" i="10"/>
  <c r="CO7" i="10" s="1"/>
  <c r="CK7" i="10"/>
  <c r="CJ7" i="10"/>
  <c r="CI7" i="10"/>
  <c r="CH7" i="10" s="1"/>
  <c r="CD7" i="10"/>
  <c r="CC7" i="10"/>
  <c r="CB7" i="10"/>
  <c r="CA7" i="10" s="1"/>
  <c r="BW7" i="10"/>
  <c r="BU7" i="10"/>
  <c r="BT7" i="10"/>
  <c r="BQ7" i="10"/>
  <c r="BP7" i="10"/>
  <c r="BN7" i="10"/>
  <c r="BM7" i="10" s="1"/>
  <c r="BI7" i="10"/>
  <c r="BO7" i="10" s="1"/>
  <c r="BG7" i="10"/>
  <c r="BF7" i="10" s="1"/>
  <c r="BC7" i="10"/>
  <c r="BB7" i="10"/>
  <c r="AY7" i="10"/>
  <c r="AX7" i="10" s="1"/>
  <c r="AU7" i="10"/>
  <c r="BA7" i="10" s="1"/>
  <c r="AO7" i="10"/>
  <c r="AN7" i="10"/>
  <c r="AL7" i="10"/>
  <c r="AG7" i="10"/>
  <c r="AE7" i="10"/>
  <c r="AC7" i="10" s="1"/>
  <c r="AD7" i="10"/>
  <c r="Z7" i="10"/>
  <c r="X7" i="10"/>
  <c r="W7" i="10" s="1"/>
  <c r="S7" i="10"/>
  <c r="Q7" i="10"/>
  <c r="M7" i="10"/>
  <c r="L7" i="10"/>
  <c r="CV6" i="10"/>
  <c r="AL6" i="10" s="1"/>
  <c r="AK6" i="10" s="1"/>
  <c r="CQ6" i="10"/>
  <c r="CP6" i="10"/>
  <c r="CO6" i="10" s="1"/>
  <c r="CN6" i="10" s="1"/>
  <c r="CK6" i="10"/>
  <c r="CJ6" i="10"/>
  <c r="CI6" i="10"/>
  <c r="CH6" i="10" s="1"/>
  <c r="CD6" i="10"/>
  <c r="CB6" i="10"/>
  <c r="CC6" i="10" s="1"/>
  <c r="BW6" i="10"/>
  <c r="BX6" i="10" s="1"/>
  <c r="BU6" i="10"/>
  <c r="BT6" i="10" s="1"/>
  <c r="BQ6" i="10"/>
  <c r="BP6" i="10"/>
  <c r="BN6" i="10"/>
  <c r="BM6" i="10"/>
  <c r="BJ6" i="10"/>
  <c r="BI6" i="10"/>
  <c r="BO6" i="10" s="1"/>
  <c r="BG6" i="10"/>
  <c r="BF6" i="10" s="1"/>
  <c r="BB6" i="10"/>
  <c r="AU6" i="10"/>
  <c r="AV6" i="10" s="1"/>
  <c r="AT6" i="10"/>
  <c r="AN6" i="10"/>
  <c r="AG6" i="10"/>
  <c r="AE6" i="10"/>
  <c r="AD6" i="10" s="1"/>
  <c r="Z6" i="10"/>
  <c r="X6" i="10"/>
  <c r="T6" i="10"/>
  <c r="S6" i="10"/>
  <c r="Q6" i="10"/>
  <c r="P6" i="10" s="1"/>
  <c r="M6" i="10"/>
  <c r="L6" i="10"/>
  <c r="CV5" i="10"/>
  <c r="AL5" i="10" s="1"/>
  <c r="CU5" i="10"/>
  <c r="AE5" i="10" s="1"/>
  <c r="CT5" i="10"/>
  <c r="X5" i="10" s="1"/>
  <c r="CS5" i="10"/>
  <c r="CP5" i="10"/>
  <c r="CO5" i="10" s="1"/>
  <c r="CK5" i="10"/>
  <c r="CI5" i="10"/>
  <c r="CE5" i="10"/>
  <c r="CD5" i="10"/>
  <c r="CB5" i="10"/>
  <c r="CC5" i="10" s="1"/>
  <c r="BW5" i="10"/>
  <c r="BU5" i="10"/>
  <c r="BT5" i="10" s="1"/>
  <c r="BS5" i="10" s="1"/>
  <c r="BP5" i="10"/>
  <c r="BN5" i="10"/>
  <c r="BM5" i="10" s="1"/>
  <c r="BI5" i="10"/>
  <c r="BJ5" i="10" s="1"/>
  <c r="BH5" i="10"/>
  <c r="BG5" i="10"/>
  <c r="BF5" i="10" s="1"/>
  <c r="BB5" i="10"/>
  <c r="AY5" i="10"/>
  <c r="AU5" i="10"/>
  <c r="AV5" i="10" s="1"/>
  <c r="AR5" i="10"/>
  <c r="AQ5" i="10" s="1"/>
  <c r="AN5" i="10"/>
  <c r="AH5" i="10"/>
  <c r="AG5" i="10"/>
  <c r="Z5" i="10"/>
  <c r="AF5" i="10" s="1"/>
  <c r="S5" i="10"/>
  <c r="Q5" i="10"/>
  <c r="L5" i="10"/>
  <c r="R5" i="10" s="1"/>
  <c r="CV4" i="10"/>
  <c r="CT4" i="10"/>
  <c r="X4" i="10" s="1"/>
  <c r="CS4" i="10"/>
  <c r="Q4" i="10" s="1"/>
  <c r="CP4" i="10"/>
  <c r="CK4" i="10"/>
  <c r="CI4" i="10"/>
  <c r="CH4" i="10"/>
  <c r="CD4" i="10"/>
  <c r="CJ4" i="10" s="1"/>
  <c r="CC4" i="10"/>
  <c r="CB4" i="10"/>
  <c r="BW4" i="10"/>
  <c r="BU4" i="10"/>
  <c r="BT4" i="10" s="1"/>
  <c r="BP4" i="10"/>
  <c r="BQ4" i="10" s="1"/>
  <c r="BN4" i="10"/>
  <c r="BM4" i="10" s="1"/>
  <c r="BL4" i="10" s="1"/>
  <c r="BI4" i="10"/>
  <c r="BG4" i="10"/>
  <c r="BB4" i="10"/>
  <c r="BH4" i="10" s="1"/>
  <c r="AY4" i="10"/>
  <c r="AU4" i="10"/>
  <c r="AT4" i="10"/>
  <c r="AR4" i="10"/>
  <c r="AN4" i="10"/>
  <c r="AL4" i="10"/>
  <c r="AK4" i="10" s="1"/>
  <c r="AG4" i="10"/>
  <c r="Z4" i="10"/>
  <c r="T4" i="10"/>
  <c r="S4" i="10"/>
  <c r="L4" i="10"/>
  <c r="CQ80" i="9"/>
  <c r="CJ80" i="9"/>
  <c r="CC80" i="9"/>
  <c r="BV80" i="9"/>
  <c r="BO80" i="9"/>
  <c r="BH80" i="9"/>
  <c r="BA80" i="9"/>
  <c r="AT80" i="9"/>
  <c r="AM73" i="9"/>
  <c r="AM71" i="9"/>
  <c r="AF71" i="9"/>
  <c r="Y71" i="9"/>
  <c r="AM70" i="9"/>
  <c r="AF70" i="9"/>
  <c r="Y70" i="9"/>
  <c r="R70" i="9"/>
  <c r="R69" i="9"/>
  <c r="AM68" i="9"/>
  <c r="AF68" i="9"/>
  <c r="Y68" i="9"/>
  <c r="R68" i="9"/>
  <c r="AM67" i="9"/>
  <c r="AF67" i="9"/>
  <c r="R67" i="9"/>
  <c r="R66" i="9"/>
  <c r="AM65" i="9"/>
  <c r="Y65" i="9"/>
  <c r="R65" i="9"/>
  <c r="AM64" i="9"/>
  <c r="AF64" i="9"/>
  <c r="Y64" i="9"/>
  <c r="R64" i="9"/>
  <c r="AM63" i="9"/>
  <c r="AF63" i="9"/>
  <c r="Y63" i="9"/>
  <c r="R63" i="9"/>
  <c r="AM62" i="9"/>
  <c r="AF62" i="9"/>
  <c r="Y62" i="9"/>
  <c r="R62" i="9"/>
  <c r="R80" i="9" s="1"/>
  <c r="AM61" i="9"/>
  <c r="AM80" i="9" s="1"/>
  <c r="AL49" i="9" s="1"/>
  <c r="AF61" i="9"/>
  <c r="AF80" i="9" s="1"/>
  <c r="Y61" i="9"/>
  <c r="Y80" i="9" s="1"/>
  <c r="R61" i="9"/>
  <c r="CI58" i="9"/>
  <c r="CI59" i="9" s="1"/>
  <c r="CB58" i="9"/>
  <c r="CB59" i="9" s="1"/>
  <c r="BU58" i="9"/>
  <c r="CO57" i="9"/>
  <c r="CN57" i="9"/>
  <c r="CK57" i="9"/>
  <c r="CQ57" i="9" s="1"/>
  <c r="CH57" i="9"/>
  <c r="CG57" i="9"/>
  <c r="CD57" i="9"/>
  <c r="CA57" i="9"/>
  <c r="BZ57" i="9" s="1"/>
  <c r="BW57" i="9"/>
  <c r="BV57" i="9"/>
  <c r="BT57" i="9"/>
  <c r="BS57" i="9" s="1"/>
  <c r="BP57" i="9"/>
  <c r="BM57" i="9"/>
  <c r="BL57" i="9"/>
  <c r="BI57" i="9"/>
  <c r="BF57" i="9"/>
  <c r="BE57" i="9"/>
  <c r="BB57" i="9"/>
  <c r="AY57" i="9"/>
  <c r="AX57" i="9" s="1"/>
  <c r="AU57" i="9"/>
  <c r="AR57" i="9"/>
  <c r="AQ57" i="9" s="1"/>
  <c r="AN57" i="9"/>
  <c r="AM57" i="9"/>
  <c r="AK57" i="9"/>
  <c r="AJ57" i="9" s="1"/>
  <c r="AH57" i="9"/>
  <c r="AG57" i="9"/>
  <c r="AE57" i="9"/>
  <c r="AD57" i="9"/>
  <c r="AC57" i="9"/>
  <c r="Z57" i="9"/>
  <c r="AF57" i="9" s="1"/>
  <c r="W57" i="9"/>
  <c r="V57" i="9"/>
  <c r="S57" i="9"/>
  <c r="P57" i="9"/>
  <c r="O57" i="9" s="1"/>
  <c r="L57" i="9"/>
  <c r="R57" i="9" s="1"/>
  <c r="J57" i="9"/>
  <c r="CQ56" i="9"/>
  <c r="CO56" i="9"/>
  <c r="CN56" i="9" s="1"/>
  <c r="CK56" i="9"/>
  <c r="CH56" i="9"/>
  <c r="CG56" i="9"/>
  <c r="CD56" i="9"/>
  <c r="CJ56" i="9" s="1"/>
  <c r="CA56" i="9"/>
  <c r="BZ56" i="9" s="1"/>
  <c r="BX56" i="9"/>
  <c r="BW56" i="9"/>
  <c r="CC56" i="9" s="1"/>
  <c r="BT56" i="9"/>
  <c r="BS56" i="9"/>
  <c r="BP56" i="9"/>
  <c r="BV56" i="9" s="1"/>
  <c r="BM56" i="9"/>
  <c r="BL56" i="9" s="1"/>
  <c r="BI56" i="9"/>
  <c r="BF56" i="9"/>
  <c r="BE56" i="9"/>
  <c r="BB56" i="9"/>
  <c r="AY56" i="9"/>
  <c r="AX56" i="9"/>
  <c r="AV56" i="9"/>
  <c r="AU56" i="9"/>
  <c r="BA56" i="9" s="1"/>
  <c r="AR56" i="9"/>
  <c r="AQ56" i="9" s="1"/>
  <c r="AN56" i="9"/>
  <c r="AT56" i="9" s="1"/>
  <c r="AL56" i="9"/>
  <c r="AK56" i="9" s="1"/>
  <c r="AG56" i="9"/>
  <c r="AF56" i="9"/>
  <c r="AE56" i="9"/>
  <c r="Z56" i="9"/>
  <c r="W56" i="9"/>
  <c r="V56" i="9"/>
  <c r="T56" i="9"/>
  <c r="S56" i="9"/>
  <c r="Y56" i="9" s="1"/>
  <c r="P56" i="9"/>
  <c r="L56" i="9"/>
  <c r="M56" i="9" s="1"/>
  <c r="CP55" i="9"/>
  <c r="CI55" i="9"/>
  <c r="CB55" i="9"/>
  <c r="BU55" i="9"/>
  <c r="BN55" i="9"/>
  <c r="BN58" i="9" s="1"/>
  <c r="BG55" i="9"/>
  <c r="BG58" i="9" s="1"/>
  <c r="AZ55" i="9"/>
  <c r="AZ58" i="9" s="1"/>
  <c r="AS55" i="9"/>
  <c r="CO54" i="9"/>
  <c r="CN54" i="9" s="1"/>
  <c r="CK54" i="9"/>
  <c r="CQ54" i="9" s="1"/>
  <c r="CJ54" i="9"/>
  <c r="CH54" i="9"/>
  <c r="CG54" i="9" s="1"/>
  <c r="CD54" i="9"/>
  <c r="CA54" i="9"/>
  <c r="BZ54" i="9"/>
  <c r="BW54" i="9"/>
  <c r="BT54" i="9"/>
  <c r="BS54" i="9" s="1"/>
  <c r="BQ54" i="9"/>
  <c r="BP54" i="9"/>
  <c r="BV54" i="9" s="1"/>
  <c r="BM54" i="9"/>
  <c r="BL54" i="9" s="1"/>
  <c r="BI54" i="9"/>
  <c r="BF54" i="9"/>
  <c r="BE54" i="9" s="1"/>
  <c r="BB54" i="9"/>
  <c r="AY54" i="9"/>
  <c r="AX54" i="9" s="1"/>
  <c r="AU54" i="9"/>
  <c r="AR54" i="9"/>
  <c r="AQ54" i="9"/>
  <c r="AO54" i="9"/>
  <c r="AN54" i="9"/>
  <c r="AT54" i="9" s="1"/>
  <c r="AK54" i="9"/>
  <c r="AJ54" i="9" s="1"/>
  <c r="AG54" i="9"/>
  <c r="AD54" i="9"/>
  <c r="AC54" i="9" s="1"/>
  <c r="Z54" i="9"/>
  <c r="Y54" i="9"/>
  <c r="W54" i="9"/>
  <c r="V54" i="9" s="1"/>
  <c r="S54" i="9"/>
  <c r="P54" i="9"/>
  <c r="O54" i="9" s="1"/>
  <c r="M54" i="9"/>
  <c r="L54" i="9"/>
  <c r="J54" i="9"/>
  <c r="CT53" i="9"/>
  <c r="CO53" i="9"/>
  <c r="CN53" i="9"/>
  <c r="CK53" i="9"/>
  <c r="CQ53" i="9" s="1"/>
  <c r="CH53" i="9"/>
  <c r="CG53" i="9"/>
  <c r="CD53" i="9"/>
  <c r="CA53" i="9"/>
  <c r="BZ53" i="9"/>
  <c r="BW53" i="9"/>
  <c r="BT53" i="9"/>
  <c r="BS53" i="9" s="1"/>
  <c r="BP53" i="9"/>
  <c r="BQ53" i="9" s="1"/>
  <c r="BO53" i="9"/>
  <c r="BM53" i="9"/>
  <c r="BL53" i="9" s="1"/>
  <c r="BI53" i="9"/>
  <c r="BJ53" i="9" s="1"/>
  <c r="BF53" i="9"/>
  <c r="BE53" i="9"/>
  <c r="BB53" i="9"/>
  <c r="BH53" i="9" s="1"/>
  <c r="AY53" i="9"/>
  <c r="AX53" i="9"/>
  <c r="AU53" i="9"/>
  <c r="AR53" i="9"/>
  <c r="AQ53" i="9" s="1"/>
  <c r="AN53" i="9"/>
  <c r="AM53" i="9"/>
  <c r="AK53" i="9"/>
  <c r="AJ53" i="9" s="1"/>
  <c r="AH53" i="9"/>
  <c r="AG53" i="9"/>
  <c r="AE53" i="9"/>
  <c r="AD53" i="9"/>
  <c r="AC53" i="9"/>
  <c r="Z53" i="9"/>
  <c r="AF53" i="9" s="1"/>
  <c r="W53" i="9"/>
  <c r="V53" i="9" s="1"/>
  <c r="S53" i="9"/>
  <c r="P53" i="9"/>
  <c r="O53" i="9" s="1"/>
  <c r="L53" i="9"/>
  <c r="R53" i="9" s="1"/>
  <c r="J53" i="9"/>
  <c r="CT52" i="9"/>
  <c r="CS52" i="9"/>
  <c r="CO52" i="9"/>
  <c r="CN52" i="9" s="1"/>
  <c r="CK52" i="9"/>
  <c r="CH52" i="9"/>
  <c r="CG52" i="9" s="1"/>
  <c r="CD52" i="9"/>
  <c r="CJ52" i="9" s="1"/>
  <c r="CC52" i="9"/>
  <c r="CA52" i="9"/>
  <c r="BZ52" i="9" s="1"/>
  <c r="BW52" i="9"/>
  <c r="BT52" i="9"/>
  <c r="BS52" i="9" s="1"/>
  <c r="BP52" i="9"/>
  <c r="BV52" i="9" s="1"/>
  <c r="BM52" i="9"/>
  <c r="BL52" i="9"/>
  <c r="BI52" i="9"/>
  <c r="BO52" i="9" s="1"/>
  <c r="BH52" i="9"/>
  <c r="BF52" i="9"/>
  <c r="BE52" i="9" s="1"/>
  <c r="BB52" i="9"/>
  <c r="AY52" i="9"/>
  <c r="AX52" i="9" s="1"/>
  <c r="AU52" i="9"/>
  <c r="BA52" i="9" s="1"/>
  <c r="AR52" i="9"/>
  <c r="AQ52" i="9" s="1"/>
  <c r="AN52" i="9"/>
  <c r="AK52" i="9"/>
  <c r="AJ52" i="9"/>
  <c r="AH52" i="9"/>
  <c r="AG52" i="9"/>
  <c r="AM52" i="9" s="1"/>
  <c r="AD52" i="9"/>
  <c r="AC52" i="9" s="1"/>
  <c r="Z52" i="9"/>
  <c r="X52" i="9"/>
  <c r="W52" i="9"/>
  <c r="S52" i="9"/>
  <c r="Q52" i="9"/>
  <c r="P52" i="9"/>
  <c r="L52" i="9"/>
  <c r="CU51" i="9"/>
  <c r="CS51" i="9"/>
  <c r="CO51" i="9"/>
  <c r="CN51" i="9" s="1"/>
  <c r="CK51" i="9"/>
  <c r="CQ51" i="9" s="1"/>
  <c r="CJ51" i="9"/>
  <c r="CH51" i="9"/>
  <c r="CG51" i="9"/>
  <c r="CE51" i="9"/>
  <c r="CD51" i="9"/>
  <c r="CA51" i="9"/>
  <c r="BZ51" i="9" s="1"/>
  <c r="BW51" i="9"/>
  <c r="BT51" i="9"/>
  <c r="BS51" i="9"/>
  <c r="BQ51" i="9"/>
  <c r="BP51" i="9"/>
  <c r="BV51" i="9" s="1"/>
  <c r="BM51" i="9"/>
  <c r="BL51" i="9" s="1"/>
  <c r="BI51" i="9"/>
  <c r="BF51" i="9"/>
  <c r="BE51" i="9" s="1"/>
  <c r="BB51" i="9"/>
  <c r="BH51" i="9" s="1"/>
  <c r="AY51" i="9"/>
  <c r="AX51" i="9" s="1"/>
  <c r="AU51" i="9"/>
  <c r="BA51" i="9" s="1"/>
  <c r="AR51" i="9"/>
  <c r="AQ51" i="9"/>
  <c r="AN51" i="9"/>
  <c r="AT51" i="9" s="1"/>
  <c r="AL51" i="9"/>
  <c r="AG51" i="9"/>
  <c r="AF51" i="9"/>
  <c r="AE51" i="9"/>
  <c r="AD51" i="9"/>
  <c r="Z51" i="9"/>
  <c r="X51" i="9"/>
  <c r="W51" i="9"/>
  <c r="V51" i="9" s="1"/>
  <c r="S51" i="9"/>
  <c r="Q51" i="9"/>
  <c r="R51" i="9" s="1"/>
  <c r="L51" i="9"/>
  <c r="J51" i="9"/>
  <c r="CU50" i="9"/>
  <c r="CT50" i="9"/>
  <c r="CO50" i="9"/>
  <c r="CN50" i="9" s="1"/>
  <c r="CK50" i="9"/>
  <c r="CQ50" i="9" s="1"/>
  <c r="CJ50" i="9"/>
  <c r="CH50" i="9"/>
  <c r="CG50" i="9"/>
  <c r="CD50" i="9"/>
  <c r="CE50" i="9" s="1"/>
  <c r="CA50" i="9"/>
  <c r="BZ50" i="9" s="1"/>
  <c r="BW50" i="9"/>
  <c r="CC50" i="9" s="1"/>
  <c r="BT50" i="9"/>
  <c r="BS50" i="9"/>
  <c r="BQ50" i="9"/>
  <c r="BP50" i="9"/>
  <c r="BV50" i="9" s="1"/>
  <c r="BM50" i="9"/>
  <c r="BL50" i="9" s="1"/>
  <c r="BI50" i="9"/>
  <c r="BH50" i="9"/>
  <c r="BF50" i="9"/>
  <c r="BE50" i="9"/>
  <c r="BC50" i="9"/>
  <c r="BB50" i="9"/>
  <c r="AY50" i="9"/>
  <c r="AX50" i="9" s="1"/>
  <c r="AU50" i="9"/>
  <c r="AR50" i="9"/>
  <c r="AQ50" i="9"/>
  <c r="AN50" i="9"/>
  <c r="AT50" i="9" s="1"/>
  <c r="AM50" i="9"/>
  <c r="AL50" i="9"/>
  <c r="AG50" i="9"/>
  <c r="AH50" i="9" s="1"/>
  <c r="AE50" i="9"/>
  <c r="AD50" i="9" s="1"/>
  <c r="Z50" i="9"/>
  <c r="X50" i="9"/>
  <c r="S50" i="9"/>
  <c r="Q50" i="9"/>
  <c r="P50" i="9"/>
  <c r="O50" i="9" s="1"/>
  <c r="L50" i="9"/>
  <c r="J50" i="9"/>
  <c r="DD49" i="9"/>
  <c r="DC49" i="9"/>
  <c r="DB49" i="9"/>
  <c r="DA49" i="9"/>
  <c r="CZ49" i="9"/>
  <c r="CY49" i="9"/>
  <c r="CX49" i="9"/>
  <c r="CW49" i="9"/>
  <c r="CV49" i="9"/>
  <c r="CU49" i="9"/>
  <c r="CT49" i="9"/>
  <c r="CS49" i="9"/>
  <c r="CO49" i="9"/>
  <c r="CN49" i="9"/>
  <c r="CK49" i="9"/>
  <c r="CJ49" i="9"/>
  <c r="CH49" i="9"/>
  <c r="CG49" i="9" s="1"/>
  <c r="CD49" i="9"/>
  <c r="CA49" i="9"/>
  <c r="BZ49" i="9" s="1"/>
  <c r="BW49" i="9"/>
  <c r="BT49" i="9"/>
  <c r="BS49" i="9" s="1"/>
  <c r="BQ49" i="9"/>
  <c r="BP49" i="9"/>
  <c r="BV49" i="9" s="1"/>
  <c r="BO49" i="9"/>
  <c r="BM49" i="9"/>
  <c r="BL49" i="9"/>
  <c r="BI49" i="9"/>
  <c r="BF49" i="9"/>
  <c r="BE49" i="9" s="1"/>
  <c r="BC49" i="9"/>
  <c r="BB49" i="9"/>
  <c r="AY49" i="9"/>
  <c r="AX49" i="9" s="1"/>
  <c r="AU49" i="9"/>
  <c r="AR49" i="9"/>
  <c r="AQ49" i="9"/>
  <c r="AN49" i="9"/>
  <c r="AK49" i="9"/>
  <c r="AJ49" i="9" s="1"/>
  <c r="AG49" i="9"/>
  <c r="AH49" i="9" s="1"/>
  <c r="AE49" i="9"/>
  <c r="Z49" i="9"/>
  <c r="X49" i="9"/>
  <c r="W49" i="9"/>
  <c r="V49" i="9"/>
  <c r="S49" i="9"/>
  <c r="Q49" i="9"/>
  <c r="P49" i="9"/>
  <c r="O49" i="9" s="1"/>
  <c r="M49" i="9"/>
  <c r="L49" i="9"/>
  <c r="R49" i="9" s="1"/>
  <c r="CS48" i="9"/>
  <c r="CQ48" i="9"/>
  <c r="CO48" i="9"/>
  <c r="CN48" i="9"/>
  <c r="CL48" i="9"/>
  <c r="CK48" i="9"/>
  <c r="CH48" i="9"/>
  <c r="CG48" i="9"/>
  <c r="CD48" i="9"/>
  <c r="CA48" i="9"/>
  <c r="BZ48" i="9"/>
  <c r="BW48" i="9"/>
  <c r="BV48" i="9"/>
  <c r="BT48" i="9"/>
  <c r="BS48" i="9" s="1"/>
  <c r="BP48" i="9"/>
  <c r="BQ48" i="9" s="1"/>
  <c r="BM48" i="9"/>
  <c r="BL48" i="9" s="1"/>
  <c r="BJ48" i="9"/>
  <c r="BI48" i="9"/>
  <c r="BO48" i="9" s="1"/>
  <c r="BF48" i="9"/>
  <c r="BE48" i="9"/>
  <c r="BB48" i="9"/>
  <c r="AY48" i="9"/>
  <c r="AX48" i="9"/>
  <c r="AU48" i="9"/>
  <c r="AT48" i="9"/>
  <c r="AR48" i="9"/>
  <c r="AQ48" i="9" s="1"/>
  <c r="AN48" i="9"/>
  <c r="AL48" i="9"/>
  <c r="AG48" i="9"/>
  <c r="AE48" i="9"/>
  <c r="AD48" i="9"/>
  <c r="AC48" i="9" s="1"/>
  <c r="AA48" i="9"/>
  <c r="Z48" i="9"/>
  <c r="X48" i="9"/>
  <c r="W48" i="9"/>
  <c r="V48" i="9" s="1"/>
  <c r="S48" i="9"/>
  <c r="Q48" i="9"/>
  <c r="P48" i="9"/>
  <c r="O48" i="9"/>
  <c r="L48" i="9"/>
  <c r="CO47" i="9"/>
  <c r="CN47" i="9"/>
  <c r="CK47" i="9"/>
  <c r="CH47" i="9"/>
  <c r="CG47" i="9"/>
  <c r="CD47" i="9"/>
  <c r="CA47" i="9"/>
  <c r="BZ47" i="9" s="1"/>
  <c r="BW47" i="9"/>
  <c r="BV47" i="9"/>
  <c r="BT47" i="9"/>
  <c r="BS47" i="9"/>
  <c r="BQ47" i="9"/>
  <c r="BP47" i="9"/>
  <c r="BM47" i="9"/>
  <c r="BL47" i="9"/>
  <c r="BI47" i="9"/>
  <c r="BF47" i="9"/>
  <c r="BE47" i="9"/>
  <c r="BB47" i="9"/>
  <c r="BA47" i="9"/>
  <c r="AY47" i="9"/>
  <c r="AX47" i="9" s="1"/>
  <c r="AU47" i="9"/>
  <c r="AV47" i="9" s="1"/>
  <c r="AR47" i="9"/>
  <c r="AQ47" i="9" s="1"/>
  <c r="AN47" i="9"/>
  <c r="AT47" i="9" s="1"/>
  <c r="AK47" i="9"/>
  <c r="AJ47" i="9"/>
  <c r="AG47" i="9"/>
  <c r="AM47" i="9" s="1"/>
  <c r="AD47" i="9"/>
  <c r="AC47" i="9"/>
  <c r="Z47" i="9"/>
  <c r="W47" i="9"/>
  <c r="V47" i="9" s="1"/>
  <c r="S47" i="9"/>
  <c r="T47" i="9" s="1"/>
  <c r="R47" i="9"/>
  <c r="P47" i="9"/>
  <c r="O47" i="9" s="1"/>
  <c r="L47" i="9"/>
  <c r="J47" i="9"/>
  <c r="CQ46" i="9"/>
  <c r="CO46" i="9"/>
  <c r="CN46" i="9"/>
  <c r="CL46" i="9"/>
  <c r="CK46" i="9"/>
  <c r="CH46" i="9"/>
  <c r="CG46" i="9"/>
  <c r="CD46" i="9"/>
  <c r="CA46" i="9"/>
  <c r="BZ46" i="9"/>
  <c r="BW46" i="9"/>
  <c r="BV46" i="9"/>
  <c r="BT46" i="9"/>
  <c r="BS46" i="9" s="1"/>
  <c r="BP46" i="9"/>
  <c r="BM46" i="9"/>
  <c r="BL46" i="9"/>
  <c r="BI46" i="9"/>
  <c r="BO46" i="9" s="1"/>
  <c r="BF46" i="9"/>
  <c r="BE46" i="9"/>
  <c r="BB46" i="9"/>
  <c r="BH46" i="9" s="1"/>
  <c r="AY46" i="9"/>
  <c r="AX46" i="9"/>
  <c r="AU46" i="9"/>
  <c r="AT46" i="9"/>
  <c r="AR46" i="9"/>
  <c r="AQ46" i="9" s="1"/>
  <c r="AN46" i="9"/>
  <c r="AK46" i="9"/>
  <c r="AJ46" i="9"/>
  <c r="AH46" i="9"/>
  <c r="AG46" i="9"/>
  <c r="AM46" i="9" s="1"/>
  <c r="AD46" i="9"/>
  <c r="AC46" i="9" s="1"/>
  <c r="Z46" i="9"/>
  <c r="W46" i="9"/>
  <c r="V46" i="9"/>
  <c r="S46" i="9"/>
  <c r="R46" i="9"/>
  <c r="P46" i="9"/>
  <c r="O46" i="9" s="1"/>
  <c r="L46" i="9"/>
  <c r="J46" i="9"/>
  <c r="CO45" i="9"/>
  <c r="CN45" i="9" s="1"/>
  <c r="CK45" i="9"/>
  <c r="CJ45" i="9"/>
  <c r="CH45" i="9"/>
  <c r="CG45" i="9" s="1"/>
  <c r="CE45" i="9"/>
  <c r="CD45" i="9"/>
  <c r="CA45" i="9"/>
  <c r="BZ45" i="9"/>
  <c r="BW45" i="9"/>
  <c r="CC45" i="9" s="1"/>
  <c r="BT45" i="9"/>
  <c r="BS45" i="9"/>
  <c r="BP45" i="9"/>
  <c r="BO45" i="9"/>
  <c r="BM45" i="9"/>
  <c r="BL45" i="9" s="1"/>
  <c r="BI45" i="9"/>
  <c r="BF45" i="9"/>
  <c r="BE45" i="9" s="1"/>
  <c r="BB45" i="9"/>
  <c r="BH45" i="9" s="1"/>
  <c r="AY45" i="9"/>
  <c r="AX45" i="9"/>
  <c r="AV45" i="9"/>
  <c r="AU45" i="9"/>
  <c r="BA45" i="9" s="1"/>
  <c r="AR45" i="9"/>
  <c r="AQ45" i="9" s="1"/>
  <c r="AN45" i="9"/>
  <c r="AM45" i="9"/>
  <c r="AK45" i="9"/>
  <c r="AJ45" i="9" s="1"/>
  <c r="AG45" i="9"/>
  <c r="AD45" i="9"/>
  <c r="Z45" i="9"/>
  <c r="W45" i="9"/>
  <c r="V45" i="9" s="1"/>
  <c r="T45" i="9"/>
  <c r="S45" i="9"/>
  <c r="Y45" i="9" s="1"/>
  <c r="P45" i="9"/>
  <c r="O45" i="9"/>
  <c r="L45" i="9"/>
  <c r="E45" i="9" s="1"/>
  <c r="K45" i="9" s="1"/>
  <c r="J45" i="9"/>
  <c r="CO44" i="9"/>
  <c r="CN44" i="9"/>
  <c r="CK44" i="9"/>
  <c r="CH44" i="9"/>
  <c r="CG44" i="9" s="1"/>
  <c r="CD44" i="9"/>
  <c r="CC44" i="9"/>
  <c r="CA44" i="9"/>
  <c r="BZ44" i="9"/>
  <c r="BX44" i="9"/>
  <c r="BW44" i="9"/>
  <c r="BT44" i="9"/>
  <c r="BS44" i="9"/>
  <c r="BP44" i="9"/>
  <c r="BV44" i="9" s="1"/>
  <c r="BM44" i="9"/>
  <c r="BL44" i="9"/>
  <c r="BI44" i="9"/>
  <c r="BH44" i="9"/>
  <c r="BF44" i="9"/>
  <c r="BE44" i="9" s="1"/>
  <c r="BB44" i="9"/>
  <c r="AY44" i="9"/>
  <c r="AX44" i="9" s="1"/>
  <c r="AV44" i="9"/>
  <c r="AU44" i="9"/>
  <c r="BA44" i="9" s="1"/>
  <c r="AR44" i="9"/>
  <c r="AQ44" i="9"/>
  <c r="AN44" i="9"/>
  <c r="AK44" i="9"/>
  <c r="AJ44" i="9" s="1"/>
  <c r="AG44" i="9"/>
  <c r="AF44" i="9"/>
  <c r="AD44" i="9"/>
  <c r="AC44" i="9" s="1"/>
  <c r="Z44" i="9"/>
  <c r="W44" i="9"/>
  <c r="V44" i="9" s="1"/>
  <c r="T44" i="9"/>
  <c r="S44" i="9"/>
  <c r="Y44" i="9" s="1"/>
  <c r="P44" i="9"/>
  <c r="O44" i="9"/>
  <c r="L44" i="9"/>
  <c r="J44" i="9"/>
  <c r="CU43" i="9"/>
  <c r="CT43" i="9"/>
  <c r="CS43" i="9"/>
  <c r="CQ43" i="9"/>
  <c r="CO43" i="9"/>
  <c r="CN43" i="9" s="1"/>
  <c r="CK43" i="9"/>
  <c r="CH43" i="9"/>
  <c r="CG43" i="9"/>
  <c r="CD43" i="9"/>
  <c r="CA43" i="9"/>
  <c r="BZ43" i="9"/>
  <c r="BW43" i="9"/>
  <c r="BV43" i="9"/>
  <c r="BT43" i="9"/>
  <c r="BS43" i="9" s="1"/>
  <c r="BP43" i="9"/>
  <c r="BM43" i="9"/>
  <c r="BL43" i="9"/>
  <c r="BI43" i="9"/>
  <c r="BF43" i="9"/>
  <c r="BE43" i="9"/>
  <c r="BB43" i="9"/>
  <c r="BH43" i="9" s="1"/>
  <c r="AY43" i="9"/>
  <c r="AX43" i="9" s="1"/>
  <c r="AU43" i="9"/>
  <c r="BA43" i="9" s="1"/>
  <c r="AT43" i="9"/>
  <c r="AR43" i="9"/>
  <c r="AQ43" i="9" s="1"/>
  <c r="AN43" i="9"/>
  <c r="AL43" i="9"/>
  <c r="AK43" i="9"/>
  <c r="AJ43" i="9"/>
  <c r="AG43" i="9"/>
  <c r="AF43" i="9"/>
  <c r="AE43" i="9"/>
  <c r="AD43" i="9"/>
  <c r="AC43" i="9"/>
  <c r="Z43" i="9"/>
  <c r="X43" i="9"/>
  <c r="W43" i="9"/>
  <c r="T43" i="9"/>
  <c r="S43" i="9"/>
  <c r="Q43" i="9"/>
  <c r="J43" i="9" s="1"/>
  <c r="P43" i="9"/>
  <c r="O43" i="9"/>
  <c r="L43" i="9"/>
  <c r="E43" i="9"/>
  <c r="CO42" i="9"/>
  <c r="CN42" i="9" s="1"/>
  <c r="CK42" i="9"/>
  <c r="CQ42" i="9" s="1"/>
  <c r="CH42" i="9"/>
  <c r="CG42" i="9"/>
  <c r="CD42" i="9"/>
  <c r="CA42" i="9"/>
  <c r="BZ42" i="9" s="1"/>
  <c r="BW42" i="9"/>
  <c r="BT42" i="9"/>
  <c r="BS42" i="9"/>
  <c r="BP42" i="9"/>
  <c r="BM42" i="9"/>
  <c r="BL42" i="9"/>
  <c r="BI42" i="9"/>
  <c r="BF42" i="9"/>
  <c r="BE42" i="9"/>
  <c r="BB42" i="9"/>
  <c r="BH42" i="9" s="1"/>
  <c r="AY42" i="9"/>
  <c r="AX42" i="9" s="1"/>
  <c r="AU42" i="9"/>
  <c r="AT42" i="9"/>
  <c r="AR42" i="9"/>
  <c r="AQ42" i="9" s="1"/>
  <c r="AN42" i="9"/>
  <c r="AL42" i="9"/>
  <c r="AK42" i="9"/>
  <c r="AJ42" i="9"/>
  <c r="AG42" i="9"/>
  <c r="AH42" i="9" s="1"/>
  <c r="AE42" i="9"/>
  <c r="AD42" i="9"/>
  <c r="AC42" i="9" s="1"/>
  <c r="Z42" i="9"/>
  <c r="AF42" i="9" s="1"/>
  <c r="X42" i="9"/>
  <c r="W42" i="9"/>
  <c r="V42" i="9"/>
  <c r="S42" i="9"/>
  <c r="E42" i="9" s="1"/>
  <c r="P42" i="9"/>
  <c r="O42" i="9"/>
  <c r="L42" i="9"/>
  <c r="J42" i="9"/>
  <c r="CO41" i="9"/>
  <c r="CN41" i="9"/>
  <c r="CK41" i="9"/>
  <c r="CQ41" i="9" s="1"/>
  <c r="CH41" i="9"/>
  <c r="CG41" i="9"/>
  <c r="CD41" i="9"/>
  <c r="CC41" i="9"/>
  <c r="CA41" i="9"/>
  <c r="BZ41" i="9" s="1"/>
  <c r="BX41" i="9"/>
  <c r="BW41" i="9"/>
  <c r="BT41" i="9"/>
  <c r="BS41" i="9"/>
  <c r="BP41" i="9"/>
  <c r="BV41" i="9" s="1"/>
  <c r="BM41" i="9"/>
  <c r="BL41" i="9"/>
  <c r="BI41" i="9"/>
  <c r="BH41" i="9"/>
  <c r="BF41" i="9"/>
  <c r="BE41" i="9" s="1"/>
  <c r="BB41" i="9"/>
  <c r="AY41" i="9"/>
  <c r="AX41" i="9"/>
  <c r="AV41" i="9"/>
  <c r="AU41" i="9"/>
  <c r="BA41" i="9" s="1"/>
  <c r="AR41" i="9"/>
  <c r="AQ41" i="9" s="1"/>
  <c r="AN41" i="9"/>
  <c r="AL41" i="9"/>
  <c r="J41" i="9" s="1"/>
  <c r="AG41" i="9"/>
  <c r="AD41" i="9"/>
  <c r="AC41" i="9" s="1"/>
  <c r="Z41" i="9"/>
  <c r="X41" i="9"/>
  <c r="W41" i="9"/>
  <c r="V41" i="9" s="1"/>
  <c r="S41" i="9"/>
  <c r="B41" i="9" s="1"/>
  <c r="R41" i="9"/>
  <c r="P41" i="9"/>
  <c r="O41" i="9" s="1"/>
  <c r="L41" i="9"/>
  <c r="M41" i="9" s="1"/>
  <c r="CU40" i="9"/>
  <c r="CT40" i="9"/>
  <c r="CQ40" i="9"/>
  <c r="CO40" i="9"/>
  <c r="CN40" i="9" s="1"/>
  <c r="CK40" i="9"/>
  <c r="CH40" i="9"/>
  <c r="CG40" i="9"/>
  <c r="CE40" i="9"/>
  <c r="CD40" i="9"/>
  <c r="CJ40" i="9" s="1"/>
  <c r="CA40" i="9"/>
  <c r="BZ40" i="9"/>
  <c r="BW40" i="9"/>
  <c r="CC40" i="9" s="1"/>
  <c r="BT40" i="9"/>
  <c r="BS40" i="9"/>
  <c r="BP40" i="9"/>
  <c r="BM40" i="9"/>
  <c r="BL40" i="9" s="1"/>
  <c r="BI40" i="9"/>
  <c r="BH40" i="9"/>
  <c r="BF40" i="9"/>
  <c r="BE40" i="9" s="1"/>
  <c r="BB40" i="9"/>
  <c r="BC40" i="9" s="1"/>
  <c r="AY40" i="9"/>
  <c r="AX40" i="9" s="1"/>
  <c r="AV40" i="9"/>
  <c r="AU40" i="9"/>
  <c r="BA40" i="9" s="1"/>
  <c r="AR40" i="9"/>
  <c r="AQ40" i="9" s="1"/>
  <c r="AN40" i="9"/>
  <c r="AT40" i="9" s="1"/>
  <c r="AL40" i="9"/>
  <c r="J40" i="9" s="1"/>
  <c r="AK40" i="9"/>
  <c r="AG40" i="9"/>
  <c r="AE40" i="9"/>
  <c r="AD40" i="9" s="1"/>
  <c r="Z40" i="9"/>
  <c r="X40" i="9"/>
  <c r="W40" i="9"/>
  <c r="V40" i="9" s="1"/>
  <c r="S40" i="9"/>
  <c r="Q40" i="9"/>
  <c r="P40" i="9" s="1"/>
  <c r="L40" i="9"/>
  <c r="CT39" i="9"/>
  <c r="CS39" i="9"/>
  <c r="CO39" i="9"/>
  <c r="CN39" i="9"/>
  <c r="CK39" i="9"/>
  <c r="CJ39" i="9"/>
  <c r="CH39" i="9"/>
  <c r="CG39" i="9" s="1"/>
  <c r="CE39" i="9"/>
  <c r="CD39" i="9"/>
  <c r="CA39" i="9"/>
  <c r="BZ39" i="9" s="1"/>
  <c r="BW39" i="9"/>
  <c r="BT39" i="9"/>
  <c r="BS39" i="9"/>
  <c r="BQ39" i="9"/>
  <c r="BP39" i="9"/>
  <c r="BV39" i="9" s="1"/>
  <c r="BM39" i="9"/>
  <c r="BL39" i="9"/>
  <c r="BI39" i="9"/>
  <c r="BF39" i="9"/>
  <c r="BE39" i="9" s="1"/>
  <c r="BC39" i="9"/>
  <c r="BB39" i="9"/>
  <c r="BH39" i="9" s="1"/>
  <c r="AY39" i="9"/>
  <c r="AX39" i="9" s="1"/>
  <c r="AU39" i="9"/>
  <c r="AR39" i="9"/>
  <c r="AQ39" i="9"/>
  <c r="AN39" i="9"/>
  <c r="AT39" i="9" s="1"/>
  <c r="AL39" i="9"/>
  <c r="AG39" i="9"/>
  <c r="AD39" i="9"/>
  <c r="AC39" i="9" s="1"/>
  <c r="Z39" i="9"/>
  <c r="AF39" i="9" s="1"/>
  <c r="W39" i="9"/>
  <c r="V39" i="9"/>
  <c r="S39" i="9"/>
  <c r="Y39" i="9" s="1"/>
  <c r="P39" i="9"/>
  <c r="L39" i="9"/>
  <c r="J39" i="9"/>
  <c r="CT38" i="9"/>
  <c r="CS38" i="9"/>
  <c r="CO38" i="9"/>
  <c r="CN38" i="9"/>
  <c r="CK38" i="9"/>
  <c r="CH38" i="9"/>
  <c r="CG38" i="9" s="1"/>
  <c r="CD38" i="9"/>
  <c r="CJ38" i="9" s="1"/>
  <c r="CA38" i="9"/>
  <c r="BZ38" i="9" s="1"/>
  <c r="BW38" i="9"/>
  <c r="CC38" i="9" s="1"/>
  <c r="BT38" i="9"/>
  <c r="BS38" i="9"/>
  <c r="BP38" i="9"/>
  <c r="BM38" i="9"/>
  <c r="BL38" i="9"/>
  <c r="BI38" i="9"/>
  <c r="BF38" i="9"/>
  <c r="BE38" i="9"/>
  <c r="BB38" i="9"/>
  <c r="BH38" i="9" s="1"/>
  <c r="AY38" i="9"/>
  <c r="AX38" i="9" s="1"/>
  <c r="AU38" i="9"/>
  <c r="AT38" i="9"/>
  <c r="AR38" i="9"/>
  <c r="AQ38" i="9" s="1"/>
  <c r="AN38" i="9"/>
  <c r="AL38" i="9"/>
  <c r="AK38" i="9"/>
  <c r="AJ38" i="9"/>
  <c r="AG38" i="9"/>
  <c r="AH38" i="9" s="1"/>
  <c r="AE38" i="9"/>
  <c r="AD38" i="9"/>
  <c r="AC38" i="9" s="1"/>
  <c r="Z38" i="9"/>
  <c r="AF38" i="9" s="1"/>
  <c r="X38" i="9"/>
  <c r="W38" i="9" s="1"/>
  <c r="S38" i="9"/>
  <c r="Q38" i="9"/>
  <c r="P38" i="9"/>
  <c r="L38" i="9"/>
  <c r="R38" i="9" s="1"/>
  <c r="J38" i="9"/>
  <c r="CS37" i="9"/>
  <c r="CO37" i="9"/>
  <c r="CN37" i="9"/>
  <c r="CL37" i="9"/>
  <c r="CK37" i="9"/>
  <c r="CQ37" i="9" s="1"/>
  <c r="CH37" i="9"/>
  <c r="CG37" i="9" s="1"/>
  <c r="CD37" i="9"/>
  <c r="CC37" i="9"/>
  <c r="CA37" i="9"/>
  <c r="BZ37" i="9"/>
  <c r="BX37" i="9"/>
  <c r="BW37" i="9"/>
  <c r="BT37" i="9"/>
  <c r="BS37" i="9"/>
  <c r="BP37" i="9"/>
  <c r="BO37" i="9"/>
  <c r="BM37" i="9"/>
  <c r="BL37" i="9" s="1"/>
  <c r="BJ37" i="9"/>
  <c r="BI37" i="9"/>
  <c r="BF37" i="9"/>
  <c r="BE37" i="9"/>
  <c r="BB37" i="9"/>
  <c r="AY37" i="9"/>
  <c r="AX37" i="9"/>
  <c r="AU37" i="9"/>
  <c r="BA37" i="9" s="1"/>
  <c r="AR37" i="9"/>
  <c r="AQ37" i="9" s="1"/>
  <c r="AN37" i="9"/>
  <c r="AT37" i="9" s="1"/>
  <c r="AL37" i="9"/>
  <c r="AK37" i="9" s="1"/>
  <c r="AG37" i="9"/>
  <c r="AE37" i="9"/>
  <c r="Z37" i="9"/>
  <c r="AF37" i="9" s="1"/>
  <c r="S37" i="9"/>
  <c r="Q37" i="9"/>
  <c r="L37" i="9"/>
  <c r="CU36" i="9"/>
  <c r="CU37" i="9" s="1"/>
  <c r="CT36" i="9"/>
  <c r="CT37" i="9" s="1"/>
  <c r="CS36" i="9"/>
  <c r="CO36" i="9"/>
  <c r="CN36" i="9"/>
  <c r="CK36" i="9"/>
  <c r="CJ36" i="9"/>
  <c r="CH36" i="9"/>
  <c r="CG36" i="9" s="1"/>
  <c r="CD36" i="9"/>
  <c r="CA36" i="9"/>
  <c r="BZ36" i="9"/>
  <c r="BW36" i="9"/>
  <c r="CC36" i="9" s="1"/>
  <c r="BT36" i="9"/>
  <c r="BS36" i="9"/>
  <c r="BP36" i="9"/>
  <c r="BV36" i="9" s="1"/>
  <c r="BM36" i="9"/>
  <c r="BL36" i="9"/>
  <c r="BI36" i="9"/>
  <c r="BF36" i="9"/>
  <c r="BE36" i="9" s="1"/>
  <c r="BB36" i="9"/>
  <c r="AY36" i="9"/>
  <c r="AX36" i="9"/>
  <c r="AU36" i="9"/>
  <c r="AR36" i="9"/>
  <c r="AQ36" i="9"/>
  <c r="AN36" i="9"/>
  <c r="AT36" i="9" s="1"/>
  <c r="AL36" i="9"/>
  <c r="AK36" i="9"/>
  <c r="AJ36" i="9"/>
  <c r="AG36" i="9"/>
  <c r="AE36" i="9"/>
  <c r="AD36" i="9" s="1"/>
  <c r="Z36" i="9"/>
  <c r="Y36" i="9"/>
  <c r="X36" i="9"/>
  <c r="W36" i="9" s="1"/>
  <c r="S36" i="9"/>
  <c r="Q36" i="9"/>
  <c r="P36" i="9"/>
  <c r="O36" i="9" s="1"/>
  <c r="L36" i="9"/>
  <c r="B36" i="9"/>
  <c r="CQ35" i="9"/>
  <c r="CO35" i="9"/>
  <c r="CN35" i="9" s="1"/>
  <c r="CK35" i="9"/>
  <c r="CH35" i="9"/>
  <c r="CG35" i="9"/>
  <c r="CD35" i="9"/>
  <c r="CJ35" i="9" s="1"/>
  <c r="CA35" i="9"/>
  <c r="BZ35" i="9"/>
  <c r="BW35" i="9"/>
  <c r="BT35" i="9"/>
  <c r="BS35" i="9"/>
  <c r="BP35" i="9"/>
  <c r="BO35" i="9"/>
  <c r="BM35" i="9"/>
  <c r="BL35" i="9"/>
  <c r="BI35" i="9"/>
  <c r="BF35" i="9"/>
  <c r="BE35" i="9" s="1"/>
  <c r="BB35" i="9"/>
  <c r="BH35" i="9" s="1"/>
  <c r="AY35" i="9"/>
  <c r="AX35" i="9"/>
  <c r="AV35" i="9"/>
  <c r="AU35" i="9"/>
  <c r="BA35" i="9" s="1"/>
  <c r="AR35" i="9"/>
  <c r="AQ35" i="9" s="1"/>
  <c r="AN35" i="9"/>
  <c r="AM35" i="9"/>
  <c r="AK35" i="9"/>
  <c r="AJ35" i="9" s="1"/>
  <c r="AG35" i="9"/>
  <c r="AD35" i="9"/>
  <c r="AC35" i="9" s="1"/>
  <c r="Z35" i="9"/>
  <c r="AF35" i="9" s="1"/>
  <c r="W35" i="9"/>
  <c r="V35" i="9" s="1"/>
  <c r="S35" i="9"/>
  <c r="P35" i="9"/>
  <c r="O35" i="9" s="1"/>
  <c r="L35" i="9"/>
  <c r="J35" i="9"/>
  <c r="CO34" i="9"/>
  <c r="CN34" i="9"/>
  <c r="CK34" i="9"/>
  <c r="CH34" i="9"/>
  <c r="CG34" i="9"/>
  <c r="CD34" i="9"/>
  <c r="CC34" i="9"/>
  <c r="CA34" i="9"/>
  <c r="BZ34" i="9" s="1"/>
  <c r="BW34" i="9"/>
  <c r="BX34" i="9" s="1"/>
  <c r="BT34" i="9"/>
  <c r="BS34" i="9"/>
  <c r="BQ34" i="9"/>
  <c r="BP34" i="9"/>
  <c r="BV34" i="9" s="1"/>
  <c r="BM34" i="9"/>
  <c r="BL34" i="9"/>
  <c r="BI34" i="9"/>
  <c r="BF34" i="9"/>
  <c r="BE34" i="9" s="1"/>
  <c r="BB34" i="9"/>
  <c r="BH34" i="9" s="1"/>
  <c r="BA34" i="9"/>
  <c r="AY34" i="9"/>
  <c r="AX34" i="9"/>
  <c r="AU34" i="9"/>
  <c r="AV34" i="9" s="1"/>
  <c r="AR34" i="9"/>
  <c r="AQ34" i="9" s="1"/>
  <c r="AN34" i="9"/>
  <c r="AM34" i="9"/>
  <c r="AK34" i="9"/>
  <c r="AJ34" i="9" s="1"/>
  <c r="AG34" i="9"/>
  <c r="AD34" i="9"/>
  <c r="AC34" i="9"/>
  <c r="Z34" i="9"/>
  <c r="Y34" i="9"/>
  <c r="W34" i="9"/>
  <c r="V34" i="9" s="1"/>
  <c r="T34" i="9"/>
  <c r="S34" i="9"/>
  <c r="P34" i="9"/>
  <c r="L34" i="9"/>
  <c r="M34" i="9" s="1"/>
  <c r="J34" i="9"/>
  <c r="E34" i="9"/>
  <c r="K34" i="9" s="1"/>
  <c r="CO33" i="9"/>
  <c r="CN33" i="9"/>
  <c r="CK33" i="9"/>
  <c r="CQ33" i="9" s="1"/>
  <c r="CH33" i="9"/>
  <c r="CG33" i="9"/>
  <c r="CD33" i="9"/>
  <c r="CJ33" i="9" s="1"/>
  <c r="CC33" i="9"/>
  <c r="CA33" i="9"/>
  <c r="BZ33" i="9" s="1"/>
  <c r="BW33" i="9"/>
  <c r="BT33" i="9"/>
  <c r="BS33" i="9"/>
  <c r="BP33" i="9"/>
  <c r="BV33" i="9" s="1"/>
  <c r="BM33" i="9"/>
  <c r="BL33" i="9" s="1"/>
  <c r="BI33" i="9"/>
  <c r="BO33" i="9" s="1"/>
  <c r="BF33" i="9"/>
  <c r="BE33" i="9"/>
  <c r="BC33" i="9"/>
  <c r="BB33" i="9"/>
  <c r="BH33" i="9" s="1"/>
  <c r="AY33" i="9"/>
  <c r="AX33" i="9"/>
  <c r="AU33" i="9"/>
  <c r="AR33" i="9"/>
  <c r="AQ33" i="9" s="1"/>
  <c r="AN33" i="9"/>
  <c r="AT33" i="9" s="1"/>
  <c r="AK33" i="9"/>
  <c r="AJ33" i="9" s="1"/>
  <c r="AH33" i="9"/>
  <c r="AG33" i="9"/>
  <c r="AM33" i="9" s="1"/>
  <c r="AD33" i="9"/>
  <c r="AC33" i="9" s="1"/>
  <c r="Z33" i="9"/>
  <c r="AA33" i="9" s="1"/>
  <c r="Y33" i="9"/>
  <c r="W33" i="9"/>
  <c r="V33" i="9" s="1"/>
  <c r="S33" i="9"/>
  <c r="Q33" i="9"/>
  <c r="P33" i="9"/>
  <c r="O33" i="9" s="1"/>
  <c r="L33" i="9"/>
  <c r="CQ32" i="9"/>
  <c r="CO32" i="9"/>
  <c r="CN32" i="9"/>
  <c r="CK32" i="9"/>
  <c r="CJ32" i="9"/>
  <c r="CH32" i="9"/>
  <c r="CG32" i="9" s="1"/>
  <c r="CD32" i="9"/>
  <c r="CA32" i="9"/>
  <c r="BZ32" i="9"/>
  <c r="BW32" i="9"/>
  <c r="CC32" i="9" s="1"/>
  <c r="BT32" i="9"/>
  <c r="BS32" i="9" s="1"/>
  <c r="BP32" i="9"/>
  <c r="BO32" i="9"/>
  <c r="BM32" i="9"/>
  <c r="BL32" i="9"/>
  <c r="BI32" i="9"/>
  <c r="BF32" i="9"/>
  <c r="BE32" i="9"/>
  <c r="BB32" i="9"/>
  <c r="BH32" i="9" s="1"/>
  <c r="AY32" i="9"/>
  <c r="AX32" i="9"/>
  <c r="AU32" i="9"/>
  <c r="AR32" i="9"/>
  <c r="AQ32" i="9" s="1"/>
  <c r="AO32" i="9"/>
  <c r="AN32" i="9"/>
  <c r="AL32" i="9"/>
  <c r="AK32" i="9"/>
  <c r="AJ32" i="9"/>
  <c r="AG32" i="9"/>
  <c r="AE32" i="9"/>
  <c r="Z32" i="9"/>
  <c r="X32" i="9"/>
  <c r="W32" i="9"/>
  <c r="S32" i="9"/>
  <c r="T32" i="9" s="1"/>
  <c r="Q32" i="9"/>
  <c r="P32" i="9"/>
  <c r="O32" i="9" s="1"/>
  <c r="M32" i="9"/>
  <c r="L32" i="9"/>
  <c r="CU31" i="9"/>
  <c r="CQ31" i="9"/>
  <c r="CO31" i="9"/>
  <c r="CN31" i="9"/>
  <c r="CK31" i="9"/>
  <c r="CL31" i="9" s="1"/>
  <c r="CH31" i="9"/>
  <c r="CG31" i="9"/>
  <c r="CD31" i="9"/>
  <c r="CC31" i="9"/>
  <c r="CA31" i="9"/>
  <c r="BZ31" i="9"/>
  <c r="BW31" i="9"/>
  <c r="BT31" i="9"/>
  <c r="BS31" i="9"/>
  <c r="BP31" i="9"/>
  <c r="BM31" i="9"/>
  <c r="BL31" i="9"/>
  <c r="BI31" i="9"/>
  <c r="BH31" i="9"/>
  <c r="BF31" i="9"/>
  <c r="BE31" i="9" s="1"/>
  <c r="BB31" i="9"/>
  <c r="AY31" i="9"/>
  <c r="AX31" i="9"/>
  <c r="AU31" i="9"/>
  <c r="AR31" i="9"/>
  <c r="AQ31" i="9" s="1"/>
  <c r="AN31" i="9"/>
  <c r="AK31" i="9"/>
  <c r="AJ31" i="9"/>
  <c r="AG31" i="9"/>
  <c r="AF31" i="9"/>
  <c r="AD31" i="9"/>
  <c r="AC31" i="9" s="1"/>
  <c r="Z31" i="9"/>
  <c r="W31" i="9"/>
  <c r="V31" i="9"/>
  <c r="T31" i="9"/>
  <c r="S31" i="9"/>
  <c r="P31" i="9"/>
  <c r="O31" i="9" s="1"/>
  <c r="L31" i="9"/>
  <c r="J31" i="9"/>
  <c r="CU30" i="9"/>
  <c r="CT30" i="9"/>
  <c r="CS30" i="9"/>
  <c r="CQ30" i="9"/>
  <c r="CO30" i="9"/>
  <c r="CN30" i="9" s="1"/>
  <c r="CK30" i="9"/>
  <c r="CH30" i="9"/>
  <c r="CG30" i="9"/>
  <c r="CE30" i="9"/>
  <c r="CD30" i="9"/>
  <c r="CJ30" i="9" s="1"/>
  <c r="CA30" i="9"/>
  <c r="BZ30" i="9"/>
  <c r="BW30" i="9"/>
  <c r="CC30" i="9" s="1"/>
  <c r="BT30" i="9"/>
  <c r="BS30" i="9" s="1"/>
  <c r="BP30" i="9"/>
  <c r="BV30" i="9" s="1"/>
  <c r="BO30" i="9"/>
  <c r="BM30" i="9"/>
  <c r="BL30" i="9" s="1"/>
  <c r="BI30" i="9"/>
  <c r="BF30" i="9"/>
  <c r="BE30" i="9" s="1"/>
  <c r="BB30" i="9"/>
  <c r="BH30" i="9" s="1"/>
  <c r="AY30" i="9"/>
  <c r="AX30" i="9" s="1"/>
  <c r="AU30" i="9"/>
  <c r="BA30" i="9" s="1"/>
  <c r="AR30" i="9"/>
  <c r="AQ30" i="9" s="1"/>
  <c r="AN30" i="9"/>
  <c r="AT30" i="9" s="1"/>
  <c r="AM30" i="9"/>
  <c r="AK30" i="9"/>
  <c r="AJ30" i="9"/>
  <c r="AG30" i="9"/>
  <c r="AD30" i="9"/>
  <c r="AC30" i="9" s="1"/>
  <c r="Z30" i="9"/>
  <c r="AF30" i="9" s="1"/>
  <c r="W30" i="9"/>
  <c r="V30" i="9" s="1"/>
  <c r="T30" i="9"/>
  <c r="S30" i="9"/>
  <c r="Y30" i="9" s="1"/>
  <c r="P30" i="9"/>
  <c r="O30" i="9" s="1"/>
  <c r="L30" i="9"/>
  <c r="J30" i="9"/>
  <c r="CO29" i="9"/>
  <c r="CN29" i="9" s="1"/>
  <c r="CK29" i="9"/>
  <c r="CH29" i="9"/>
  <c r="CG29" i="9" s="1"/>
  <c r="CD29" i="9"/>
  <c r="CC29" i="9"/>
  <c r="CA29" i="9"/>
  <c r="BZ29" i="9"/>
  <c r="BW29" i="9"/>
  <c r="BT29" i="9"/>
  <c r="BS29" i="9"/>
  <c r="BP29" i="9"/>
  <c r="BV29" i="9" s="1"/>
  <c r="BO29" i="9"/>
  <c r="BM29" i="9"/>
  <c r="BL29" i="9" s="1"/>
  <c r="BI29" i="9"/>
  <c r="BF29" i="9"/>
  <c r="BE29" i="9"/>
  <c r="BB29" i="9"/>
  <c r="BA29" i="9"/>
  <c r="AY29" i="9"/>
  <c r="AX29" i="9" s="1"/>
  <c r="AV29" i="9"/>
  <c r="AU29" i="9"/>
  <c r="AR29" i="9"/>
  <c r="AQ29" i="9" s="1"/>
  <c r="AN29" i="9"/>
  <c r="AT29" i="9" s="1"/>
  <c r="AK29" i="9"/>
  <c r="AJ29" i="9" s="1"/>
  <c r="AG29" i="9"/>
  <c r="AD29" i="9"/>
  <c r="AC29" i="9" s="1"/>
  <c r="Z29" i="9"/>
  <c r="Y29" i="9"/>
  <c r="W29" i="9"/>
  <c r="V29" i="9"/>
  <c r="S29" i="9"/>
  <c r="P29" i="9"/>
  <c r="O29" i="9" s="1"/>
  <c r="L29" i="9"/>
  <c r="E29" i="9" s="1"/>
  <c r="J29" i="9"/>
  <c r="K29" i="9" s="1"/>
  <c r="CO28" i="9"/>
  <c r="CN28" i="9"/>
  <c r="CK28" i="9"/>
  <c r="CJ28" i="9"/>
  <c r="CH28" i="9"/>
  <c r="CG28" i="9" s="1"/>
  <c r="CD28" i="9"/>
  <c r="CA28" i="9"/>
  <c r="BZ28" i="9"/>
  <c r="BW28" i="9"/>
  <c r="BV28" i="9"/>
  <c r="BT28" i="9"/>
  <c r="BS28" i="9" s="1"/>
  <c r="BP28" i="9"/>
  <c r="BM28" i="9"/>
  <c r="BL28" i="9"/>
  <c r="BJ28" i="9"/>
  <c r="BI28" i="9"/>
  <c r="BO28" i="9" s="1"/>
  <c r="BF28" i="9"/>
  <c r="BE28" i="9" s="1"/>
  <c r="BB28" i="9"/>
  <c r="AY28" i="9"/>
  <c r="AX28" i="9" s="1"/>
  <c r="AU28" i="9"/>
  <c r="AT28" i="9"/>
  <c r="AR28" i="9"/>
  <c r="AQ28" i="9" s="1"/>
  <c r="AN28" i="9"/>
  <c r="AO28" i="9" s="1"/>
  <c r="AK28" i="9"/>
  <c r="AJ28" i="9"/>
  <c r="AG28" i="9"/>
  <c r="AM28" i="9" s="1"/>
  <c r="AF28" i="9"/>
  <c r="AD28" i="9"/>
  <c r="AC28" i="9" s="1"/>
  <c r="Z28" i="9"/>
  <c r="W28" i="9"/>
  <c r="V28" i="9" s="1"/>
  <c r="S28" i="9"/>
  <c r="R28" i="9"/>
  <c r="P28" i="9"/>
  <c r="O28" i="9"/>
  <c r="L28" i="9"/>
  <c r="J28" i="9"/>
  <c r="CO27" i="9"/>
  <c r="CN27" i="9" s="1"/>
  <c r="CK27" i="9"/>
  <c r="CQ27" i="9" s="1"/>
  <c r="CH27" i="9"/>
  <c r="CG27" i="9"/>
  <c r="CE27" i="9"/>
  <c r="CD27" i="9"/>
  <c r="CJ27" i="9" s="1"/>
  <c r="CA27" i="9"/>
  <c r="BZ27" i="9" s="1"/>
  <c r="BW27" i="9"/>
  <c r="BV27" i="9"/>
  <c r="BT27" i="9"/>
  <c r="BS27" i="9" s="1"/>
  <c r="BP27" i="9"/>
  <c r="BM27" i="9"/>
  <c r="BL27" i="9"/>
  <c r="BI27" i="9"/>
  <c r="BO27" i="9" s="1"/>
  <c r="BF27" i="9"/>
  <c r="BE27" i="9"/>
  <c r="BB27" i="9"/>
  <c r="BH27" i="9" s="1"/>
  <c r="AY27" i="9"/>
  <c r="AX27" i="9" s="1"/>
  <c r="AU27" i="9"/>
  <c r="BA27" i="9" s="1"/>
  <c r="AT27" i="9"/>
  <c r="AR27" i="9"/>
  <c r="AQ27" i="9"/>
  <c r="AN27" i="9"/>
  <c r="AK27" i="9"/>
  <c r="AJ27" i="9" s="1"/>
  <c r="AG27" i="9"/>
  <c r="AM27" i="9" s="1"/>
  <c r="AD27" i="9"/>
  <c r="AC27" i="9"/>
  <c r="Z27" i="9"/>
  <c r="AF27" i="9" s="1"/>
  <c r="W27" i="9"/>
  <c r="V27" i="9" s="1"/>
  <c r="S27" i="9"/>
  <c r="B27" i="9" s="1"/>
  <c r="Q27" i="9"/>
  <c r="P27" i="9" s="1"/>
  <c r="L27" i="9"/>
  <c r="CO26" i="9"/>
  <c r="CN26" i="9" s="1"/>
  <c r="CK26" i="9"/>
  <c r="CH26" i="9"/>
  <c r="CG26" i="9"/>
  <c r="CD26" i="9"/>
  <c r="CJ26" i="9" s="1"/>
  <c r="CA26" i="9"/>
  <c r="BZ26" i="9"/>
  <c r="BX26" i="9"/>
  <c r="BW26" i="9"/>
  <c r="CC26" i="9" s="1"/>
  <c r="BT26" i="9"/>
  <c r="BS26" i="9"/>
  <c r="BP26" i="9"/>
  <c r="BO26" i="9"/>
  <c r="BM26" i="9"/>
  <c r="BL26" i="9" s="1"/>
  <c r="BI26" i="9"/>
  <c r="BF26" i="9"/>
  <c r="BE26" i="9"/>
  <c r="BC26" i="9"/>
  <c r="BB26" i="9"/>
  <c r="BH26" i="9" s="1"/>
  <c r="AY26" i="9"/>
  <c r="AX26" i="9" s="1"/>
  <c r="AU26" i="9"/>
  <c r="BA26" i="9" s="1"/>
  <c r="AR26" i="9"/>
  <c r="AQ26" i="9"/>
  <c r="AN26" i="9"/>
  <c r="AM26" i="9"/>
  <c r="AK26" i="9"/>
  <c r="AJ26" i="9" s="1"/>
  <c r="AG26" i="9"/>
  <c r="AE26" i="9"/>
  <c r="AD26" i="9"/>
  <c r="Z26" i="9"/>
  <c r="X26" i="9"/>
  <c r="T26" i="9"/>
  <c r="S26" i="9"/>
  <c r="Q26" i="9"/>
  <c r="P26" i="9"/>
  <c r="O26" i="9" s="1"/>
  <c r="L26" i="9"/>
  <c r="R26" i="9" s="1"/>
  <c r="CQ25" i="9"/>
  <c r="CO25" i="9"/>
  <c r="CN25" i="9"/>
  <c r="CK25" i="9"/>
  <c r="CH25" i="9"/>
  <c r="CG25" i="9"/>
  <c r="CD25" i="9"/>
  <c r="CJ25" i="9" s="1"/>
  <c r="CA25" i="9"/>
  <c r="BZ25" i="9" s="1"/>
  <c r="BW25" i="9"/>
  <c r="BT25" i="9"/>
  <c r="BS25" i="9" s="1"/>
  <c r="BP25" i="9"/>
  <c r="BO25" i="9"/>
  <c r="BM25" i="9"/>
  <c r="BL25" i="9"/>
  <c r="BJ25" i="9"/>
  <c r="BI25" i="9"/>
  <c r="BF25" i="9"/>
  <c r="BE25" i="9"/>
  <c r="BB25" i="9"/>
  <c r="BA25" i="9"/>
  <c r="AY25" i="9"/>
  <c r="AX25" i="9" s="1"/>
  <c r="AU25" i="9"/>
  <c r="AR25" i="9"/>
  <c r="AQ25" i="9" s="1"/>
  <c r="AN25" i="9"/>
  <c r="AM25" i="9"/>
  <c r="AK25" i="9"/>
  <c r="AJ25" i="9" s="1"/>
  <c r="AH25" i="9"/>
  <c r="AG25" i="9"/>
  <c r="AD25" i="9"/>
  <c r="AC25" i="9"/>
  <c r="Z25" i="9"/>
  <c r="AF25" i="9" s="1"/>
  <c r="W25" i="9"/>
  <c r="V25" i="9" s="1"/>
  <c r="S25" i="9"/>
  <c r="Q25" i="9"/>
  <c r="P25" i="9" s="1"/>
  <c r="L25" i="9"/>
  <c r="R25" i="9" s="1"/>
  <c r="J25" i="9"/>
  <c r="CO24" i="9"/>
  <c r="CN24" i="9" s="1"/>
  <c r="CK24" i="9"/>
  <c r="CJ24" i="9"/>
  <c r="CH24" i="9"/>
  <c r="CG24" i="9" s="1"/>
  <c r="CE24" i="9"/>
  <c r="CD24" i="9"/>
  <c r="CA24" i="9"/>
  <c r="BZ24" i="9"/>
  <c r="BW24" i="9"/>
  <c r="CC24" i="9" s="1"/>
  <c r="BT24" i="9"/>
  <c r="BS24" i="9"/>
  <c r="BP24" i="9"/>
  <c r="BM24" i="9"/>
  <c r="BL24" i="9" s="1"/>
  <c r="BI24" i="9"/>
  <c r="BO24" i="9" s="1"/>
  <c r="BF24" i="9"/>
  <c r="BE24" i="9" s="1"/>
  <c r="BC24" i="9"/>
  <c r="BB24" i="9"/>
  <c r="BH24" i="9" s="1"/>
  <c r="AY24" i="9"/>
  <c r="AX24" i="9" s="1"/>
  <c r="AU24" i="9"/>
  <c r="BA24" i="9" s="1"/>
  <c r="AR24" i="9"/>
  <c r="AQ24" i="9"/>
  <c r="AN24" i="9"/>
  <c r="AT24" i="9" s="1"/>
  <c r="AK24" i="9"/>
  <c r="AJ24" i="9" s="1"/>
  <c r="AG24" i="9"/>
  <c r="AM24" i="9" s="1"/>
  <c r="AD24" i="9"/>
  <c r="AC24" i="9"/>
  <c r="AA24" i="9"/>
  <c r="Z24" i="9"/>
  <c r="AF24" i="9" s="1"/>
  <c r="W24" i="9"/>
  <c r="S24" i="9"/>
  <c r="Y24" i="9" s="1"/>
  <c r="P24" i="9"/>
  <c r="O24" i="9" s="1"/>
  <c r="L24" i="9"/>
  <c r="J24" i="9"/>
  <c r="CO23" i="9"/>
  <c r="CN23" i="9"/>
  <c r="CK23" i="9"/>
  <c r="CH23" i="9"/>
  <c r="CG23" i="9" s="1"/>
  <c r="CD23" i="9"/>
  <c r="CC23" i="9"/>
  <c r="CA23" i="9"/>
  <c r="BZ23" i="9" s="1"/>
  <c r="BX23" i="9"/>
  <c r="BW23" i="9"/>
  <c r="BT23" i="9"/>
  <c r="BS23" i="9"/>
  <c r="BP23" i="9"/>
  <c r="BV23" i="9" s="1"/>
  <c r="BM23" i="9"/>
  <c r="BL23" i="9"/>
  <c r="BI23" i="9"/>
  <c r="BO23" i="9" s="1"/>
  <c r="BF23" i="9"/>
  <c r="BE23" i="9" s="1"/>
  <c r="BB23" i="9"/>
  <c r="BH23" i="9" s="1"/>
  <c r="BA23" i="9"/>
  <c r="AY23" i="9"/>
  <c r="AX23" i="9" s="1"/>
  <c r="AV23" i="9"/>
  <c r="AU23" i="9"/>
  <c r="AR23" i="9"/>
  <c r="AQ23" i="9" s="1"/>
  <c r="AN23" i="9"/>
  <c r="AT23" i="9" s="1"/>
  <c r="AK23" i="9"/>
  <c r="AJ23" i="9"/>
  <c r="AG23" i="9"/>
  <c r="AM23" i="9" s="1"/>
  <c r="AD23" i="9"/>
  <c r="AC23" i="9" s="1"/>
  <c r="Z23" i="9"/>
  <c r="W23" i="9"/>
  <c r="V23" i="9" s="1"/>
  <c r="S23" i="9"/>
  <c r="P23" i="9"/>
  <c r="O23" i="9" s="1"/>
  <c r="L23" i="9"/>
  <c r="J23" i="9"/>
  <c r="CO22" i="9"/>
  <c r="CN22" i="9" s="1"/>
  <c r="CK22" i="9"/>
  <c r="CQ22" i="9" s="1"/>
  <c r="CH22" i="9"/>
  <c r="CG22" i="9"/>
  <c r="CD22" i="9"/>
  <c r="CC22" i="9"/>
  <c r="CA22" i="9"/>
  <c r="BZ22" i="9" s="1"/>
  <c r="BW22" i="9"/>
  <c r="BT22" i="9"/>
  <c r="BS22" i="9"/>
  <c r="BQ22" i="9"/>
  <c r="BP22" i="9"/>
  <c r="BV22" i="9" s="1"/>
  <c r="BM22" i="9"/>
  <c r="BL22" i="9" s="1"/>
  <c r="BJ22" i="9"/>
  <c r="BI22" i="9"/>
  <c r="BO22" i="9" s="1"/>
  <c r="BF22" i="9"/>
  <c r="BE22" i="9"/>
  <c r="BB22" i="9"/>
  <c r="BH22" i="9" s="1"/>
  <c r="BA22" i="9"/>
  <c r="AY22" i="9"/>
  <c r="AX22" i="9" s="1"/>
  <c r="AU22" i="9"/>
  <c r="AR22" i="9"/>
  <c r="AQ22" i="9" s="1"/>
  <c r="AO22" i="9"/>
  <c r="AN22" i="9"/>
  <c r="AT22" i="9" s="1"/>
  <c r="AK22" i="9"/>
  <c r="AJ22" i="9" s="1"/>
  <c r="AG22" i="9"/>
  <c r="AE22" i="9"/>
  <c r="AD22" i="9"/>
  <c r="AC22" i="9"/>
  <c r="Z22" i="9"/>
  <c r="Y22" i="9"/>
  <c r="W22" i="9"/>
  <c r="V22" i="9" s="1"/>
  <c r="S22" i="9"/>
  <c r="Q22" i="9"/>
  <c r="P22" i="9" s="1"/>
  <c r="O22" i="9" s="1"/>
  <c r="L22" i="9"/>
  <c r="J22" i="9"/>
  <c r="CO21" i="9"/>
  <c r="CN21" i="9"/>
  <c r="CK21" i="9"/>
  <c r="CQ21" i="9" s="1"/>
  <c r="CH21" i="9"/>
  <c r="CG21" i="9"/>
  <c r="CD21" i="9"/>
  <c r="CA21" i="9"/>
  <c r="BZ21" i="9" s="1"/>
  <c r="BW21" i="9"/>
  <c r="CC21" i="9" s="1"/>
  <c r="BV21" i="9"/>
  <c r="BT21" i="9"/>
  <c r="BS21" i="9"/>
  <c r="BQ21" i="9"/>
  <c r="BP21" i="9"/>
  <c r="BM21" i="9"/>
  <c r="BL21" i="9"/>
  <c r="BI21" i="9"/>
  <c r="BH21" i="9"/>
  <c r="BF21" i="9"/>
  <c r="BE21" i="9" s="1"/>
  <c r="BB21" i="9"/>
  <c r="BC21" i="9" s="1"/>
  <c r="AY21" i="9"/>
  <c r="AX21" i="9" s="1"/>
  <c r="AU21" i="9"/>
  <c r="BA21" i="9" s="1"/>
  <c r="AR21" i="9"/>
  <c r="AQ21" i="9"/>
  <c r="AN21" i="9"/>
  <c r="AT21" i="9" s="1"/>
  <c r="AK21" i="9"/>
  <c r="AJ21" i="9" s="1"/>
  <c r="AG21" i="9"/>
  <c r="AM21" i="9" s="1"/>
  <c r="AF21" i="9"/>
  <c r="AD21" i="9"/>
  <c r="AC21" i="9" s="1"/>
  <c r="AA21" i="9"/>
  <c r="Z21" i="9"/>
  <c r="W21" i="9"/>
  <c r="V21" i="9" s="1"/>
  <c r="S21" i="9"/>
  <c r="Q21" i="9"/>
  <c r="P21" i="9"/>
  <c r="O21" i="9" s="1"/>
  <c r="L21" i="9"/>
  <c r="R21" i="9" s="1"/>
  <c r="J21" i="9"/>
  <c r="CO20" i="9"/>
  <c r="CN20" i="9"/>
  <c r="CK20" i="9"/>
  <c r="CH20" i="9"/>
  <c r="CG20" i="9" s="1"/>
  <c r="CD20" i="9"/>
  <c r="CC20" i="9"/>
  <c r="CA20" i="9"/>
  <c r="BZ20" i="9" s="1"/>
  <c r="BW20" i="9"/>
  <c r="BT20" i="9"/>
  <c r="BS20" i="9"/>
  <c r="BQ20" i="9"/>
  <c r="BP20" i="9"/>
  <c r="BV20" i="9" s="1"/>
  <c r="BM20" i="9"/>
  <c r="BL20" i="9"/>
  <c r="BI20" i="9"/>
  <c r="BF20" i="9"/>
  <c r="BE20" i="9" s="1"/>
  <c r="BB20" i="9"/>
  <c r="BH20" i="9" s="1"/>
  <c r="AY20" i="9"/>
  <c r="AX20" i="9"/>
  <c r="AU20" i="9"/>
  <c r="AR20" i="9"/>
  <c r="AQ20" i="9" s="1"/>
  <c r="AN20" i="9"/>
  <c r="AK20" i="9"/>
  <c r="AJ20" i="9" s="1"/>
  <c r="AG20" i="9"/>
  <c r="AM20" i="9" s="1"/>
  <c r="AD20" i="9"/>
  <c r="AC20" i="9" s="1"/>
  <c r="AA20" i="9"/>
  <c r="Z20" i="9"/>
  <c r="AF20" i="9" s="1"/>
  <c r="W20" i="9"/>
  <c r="V20" i="9" s="1"/>
  <c r="S20" i="9"/>
  <c r="P20" i="9"/>
  <c r="O20" i="9" s="1"/>
  <c r="L20" i="9"/>
  <c r="R20" i="9" s="1"/>
  <c r="J20" i="9"/>
  <c r="CO19" i="9"/>
  <c r="CN19" i="9"/>
  <c r="CK19" i="9"/>
  <c r="CH19" i="9"/>
  <c r="CG19" i="9" s="1"/>
  <c r="CD19" i="9"/>
  <c r="CC19" i="9"/>
  <c r="CA19" i="9"/>
  <c r="BZ19" i="9" s="1"/>
  <c r="BW19" i="9"/>
  <c r="BX19" i="9" s="1"/>
  <c r="BT19" i="9"/>
  <c r="BS19" i="9" s="1"/>
  <c r="BP19" i="9"/>
  <c r="BM19" i="9"/>
  <c r="BL19" i="9" s="1"/>
  <c r="BI19" i="9"/>
  <c r="BF19" i="9"/>
  <c r="BE19" i="9" s="1"/>
  <c r="BC19" i="9"/>
  <c r="BB19" i="9"/>
  <c r="BH19" i="9" s="1"/>
  <c r="AY19" i="9"/>
  <c r="AX19" i="9" s="1"/>
  <c r="AU19" i="9"/>
  <c r="AR19" i="9"/>
  <c r="AQ19" i="9" s="1"/>
  <c r="AN19" i="9"/>
  <c r="AK19" i="9"/>
  <c r="AJ19" i="9" s="1"/>
  <c r="AG19" i="9"/>
  <c r="AD19" i="9"/>
  <c r="AC19" i="9" s="1"/>
  <c r="Z19" i="9"/>
  <c r="AF19" i="9" s="1"/>
  <c r="W19" i="9"/>
  <c r="V19" i="9" s="1"/>
  <c r="S19" i="9"/>
  <c r="P19" i="9"/>
  <c r="L19" i="9"/>
  <c r="R19" i="9" s="1"/>
  <c r="J19" i="9"/>
  <c r="CO18" i="9"/>
  <c r="CN18" i="9" s="1"/>
  <c r="CK18" i="9"/>
  <c r="CH18" i="9"/>
  <c r="CG18" i="9" s="1"/>
  <c r="CD18" i="9"/>
  <c r="CA18" i="9"/>
  <c r="BZ18" i="9" s="1"/>
  <c r="BX18" i="9"/>
  <c r="BW18" i="9"/>
  <c r="CC18" i="9" s="1"/>
  <c r="BT18" i="9"/>
  <c r="BS18" i="9" s="1"/>
  <c r="BP18" i="9"/>
  <c r="BV18" i="9" s="1"/>
  <c r="BM18" i="9"/>
  <c r="BL18" i="9" s="1"/>
  <c r="BI18" i="9"/>
  <c r="BF18" i="9"/>
  <c r="BE18" i="9"/>
  <c r="BC18" i="9"/>
  <c r="BB18" i="9"/>
  <c r="BH18" i="9" s="1"/>
  <c r="AY18" i="9"/>
  <c r="AX18" i="9"/>
  <c r="AV18" i="9"/>
  <c r="AU18" i="9"/>
  <c r="BA18" i="9" s="1"/>
  <c r="AR18" i="9"/>
  <c r="AQ18" i="9" s="1"/>
  <c r="AN18" i="9"/>
  <c r="AM18" i="9"/>
  <c r="AK18" i="9"/>
  <c r="AJ18" i="9" s="1"/>
  <c r="AG18" i="9"/>
  <c r="AD18" i="9"/>
  <c r="AC18" i="9" s="1"/>
  <c r="Z18" i="9"/>
  <c r="AF18" i="9" s="1"/>
  <c r="W18" i="9"/>
  <c r="V18" i="9" s="1"/>
  <c r="S18" i="9"/>
  <c r="E18" i="9" s="1"/>
  <c r="R18" i="9"/>
  <c r="P18" i="9"/>
  <c r="O18" i="9" s="1"/>
  <c r="L18" i="9"/>
  <c r="J18" i="9"/>
  <c r="CO17" i="9"/>
  <c r="CN17" i="9" s="1"/>
  <c r="CK17" i="9"/>
  <c r="CQ17" i="9" s="1"/>
  <c r="CH17" i="9"/>
  <c r="CG17" i="9" s="1"/>
  <c r="CD17" i="9"/>
  <c r="CA17" i="9"/>
  <c r="BZ17" i="9" s="1"/>
  <c r="BW17" i="9"/>
  <c r="BT17" i="9"/>
  <c r="BS17" i="9"/>
  <c r="BQ17" i="9"/>
  <c r="BP17" i="9"/>
  <c r="BV17" i="9" s="1"/>
  <c r="BM17" i="9"/>
  <c r="BL17" i="9" s="1"/>
  <c r="BI17" i="9"/>
  <c r="BF17" i="9"/>
  <c r="I17" i="9" s="1"/>
  <c r="BE17" i="9"/>
  <c r="BB17" i="9"/>
  <c r="BH17" i="9" s="1"/>
  <c r="AY17" i="9"/>
  <c r="AX17" i="9"/>
  <c r="AU17" i="9"/>
  <c r="BA17" i="9" s="1"/>
  <c r="AR17" i="9"/>
  <c r="AQ17" i="9" s="1"/>
  <c r="AN17" i="9"/>
  <c r="AM17" i="9"/>
  <c r="AK17" i="9"/>
  <c r="AJ17" i="9" s="1"/>
  <c r="AH17" i="9"/>
  <c r="AG17" i="9"/>
  <c r="AD17" i="9"/>
  <c r="AC17" i="9"/>
  <c r="Z17" i="9"/>
  <c r="W17" i="9"/>
  <c r="V17" i="9" s="1"/>
  <c r="S17" i="9"/>
  <c r="Y17" i="9" s="1"/>
  <c r="Q17" i="9"/>
  <c r="J17" i="9" s="1"/>
  <c r="P17" i="9"/>
  <c r="O17" i="9" s="1"/>
  <c r="H17" i="9" s="1"/>
  <c r="L17" i="9"/>
  <c r="M17" i="9" s="1"/>
  <c r="CU16" i="9"/>
  <c r="CT16" i="9"/>
  <c r="CS16" i="9"/>
  <c r="CO16" i="9"/>
  <c r="CN16" i="9" s="1"/>
  <c r="CK16" i="9"/>
  <c r="CQ16" i="9" s="1"/>
  <c r="CH16" i="9"/>
  <c r="CG16" i="9"/>
  <c r="CE16" i="9"/>
  <c r="CD16" i="9"/>
  <c r="CJ16" i="9" s="1"/>
  <c r="CA16" i="9"/>
  <c r="BZ16" i="9" s="1"/>
  <c r="BW16" i="9"/>
  <c r="BT16" i="9"/>
  <c r="BS16" i="9" s="1"/>
  <c r="BP16" i="9"/>
  <c r="BV16" i="9" s="1"/>
  <c r="BM16" i="9"/>
  <c r="BL16" i="9" s="1"/>
  <c r="BI16" i="9"/>
  <c r="BF16" i="9"/>
  <c r="BE16" i="9" s="1"/>
  <c r="BB16" i="9"/>
  <c r="AY16" i="9"/>
  <c r="AX16" i="9" s="1"/>
  <c r="AU16" i="9"/>
  <c r="AT16" i="9"/>
  <c r="AR16" i="9"/>
  <c r="AQ16" i="9"/>
  <c r="AO16" i="9"/>
  <c r="AN16" i="9"/>
  <c r="AL16" i="9"/>
  <c r="AK16" i="9"/>
  <c r="AJ16" i="9" s="1"/>
  <c r="AH16" i="9"/>
  <c r="AG16" i="9"/>
  <c r="AM16" i="9" s="1"/>
  <c r="AE16" i="9"/>
  <c r="AD16" i="9"/>
  <c r="AC16" i="9" s="1"/>
  <c r="Z16" i="9"/>
  <c r="X16" i="9"/>
  <c r="W16" i="9" s="1"/>
  <c r="V16" i="9" s="1"/>
  <c r="S16" i="9"/>
  <c r="Y16" i="9" s="1"/>
  <c r="R16" i="9"/>
  <c r="Q16" i="9"/>
  <c r="P16" i="9" s="1"/>
  <c r="L16" i="9"/>
  <c r="J16" i="9"/>
  <c r="CU15" i="9"/>
  <c r="CT15" i="9"/>
  <c r="CS15" i="9"/>
  <c r="CO15" i="9"/>
  <c r="CN15" i="9" s="1"/>
  <c r="CK15" i="9"/>
  <c r="CQ15" i="9" s="1"/>
  <c r="CH15" i="9"/>
  <c r="CG15" i="9"/>
  <c r="CD15" i="9"/>
  <c r="CJ15" i="9" s="1"/>
  <c r="CA15" i="9"/>
  <c r="BZ15" i="9" s="1"/>
  <c r="BW15" i="9"/>
  <c r="BT15" i="9"/>
  <c r="BS15" i="9" s="1"/>
  <c r="BP15" i="9"/>
  <c r="BM15" i="9"/>
  <c r="BL15" i="9"/>
  <c r="BJ15" i="9"/>
  <c r="BI15" i="9"/>
  <c r="BO15" i="9" s="1"/>
  <c r="BF15" i="9"/>
  <c r="BE15" i="9"/>
  <c r="BB15" i="9"/>
  <c r="BH15" i="9" s="1"/>
  <c r="BA15" i="9"/>
  <c r="AY15" i="9"/>
  <c r="AX15" i="9" s="1"/>
  <c r="AU15" i="9"/>
  <c r="AT15" i="9"/>
  <c r="AR15" i="9"/>
  <c r="AQ15" i="9" s="1"/>
  <c r="AN15" i="9"/>
  <c r="AO15" i="9" s="1"/>
  <c r="AL15" i="9"/>
  <c r="AK15" i="9" s="1"/>
  <c r="AH15" i="9"/>
  <c r="AG15" i="9"/>
  <c r="AE15" i="9"/>
  <c r="AD15" i="9"/>
  <c r="AC15" i="9"/>
  <c r="Z15" i="9"/>
  <c r="AF15" i="9" s="1"/>
  <c r="X15" i="9"/>
  <c r="W15" i="9"/>
  <c r="V15" i="9" s="1"/>
  <c r="S15" i="9"/>
  <c r="Q15" i="9"/>
  <c r="P15" i="9" s="1"/>
  <c r="L15" i="9"/>
  <c r="CU14" i="9"/>
  <c r="CT14" i="9"/>
  <c r="CS14" i="9"/>
  <c r="CQ14" i="9"/>
  <c r="CO14" i="9"/>
  <c r="CN14" i="9"/>
  <c r="CK14" i="9"/>
  <c r="CL14" i="9" s="1"/>
  <c r="CH14" i="9"/>
  <c r="CG14" i="9"/>
  <c r="CD14" i="9"/>
  <c r="CJ14" i="9" s="1"/>
  <c r="CA14" i="9"/>
  <c r="BZ14" i="9" s="1"/>
  <c r="BW14" i="9"/>
  <c r="BT14" i="9"/>
  <c r="BS14" i="9" s="1"/>
  <c r="BP14" i="9"/>
  <c r="BO14" i="9"/>
  <c r="BM14" i="9"/>
  <c r="BL14" i="9"/>
  <c r="BJ14" i="9"/>
  <c r="BI14" i="9"/>
  <c r="BF14" i="9"/>
  <c r="BE14" i="9"/>
  <c r="BB14" i="9"/>
  <c r="BH14" i="9" s="1"/>
  <c r="AY14" i="9"/>
  <c r="AX14" i="9" s="1"/>
  <c r="AU14" i="9"/>
  <c r="AT14" i="9"/>
  <c r="AR14" i="9"/>
  <c r="AQ14" i="9" s="1"/>
  <c r="AN14" i="9"/>
  <c r="AL14" i="9"/>
  <c r="AK14" i="9"/>
  <c r="AJ14" i="9" s="1"/>
  <c r="AG14" i="9"/>
  <c r="AH14" i="9" s="1"/>
  <c r="AE14" i="9"/>
  <c r="AF14" i="9" s="1"/>
  <c r="AD14" i="9"/>
  <c r="AC14" i="9"/>
  <c r="AA14" i="9"/>
  <c r="Z14" i="9"/>
  <c r="X14" i="9"/>
  <c r="J14" i="9" s="1"/>
  <c r="W14" i="9"/>
  <c r="V14" i="9" s="1"/>
  <c r="S14" i="9"/>
  <c r="Y14" i="9" s="1"/>
  <c r="Q14" i="9"/>
  <c r="P14" i="9"/>
  <c r="O14" i="9"/>
  <c r="L14" i="9"/>
  <c r="E14" i="9"/>
  <c r="CO13" i="9"/>
  <c r="CN13" i="9"/>
  <c r="CK13" i="9"/>
  <c r="CQ13" i="9" s="1"/>
  <c r="CH13" i="9"/>
  <c r="CG13" i="9" s="1"/>
  <c r="CD13" i="9"/>
  <c r="CA13" i="9"/>
  <c r="BZ13" i="9" s="1"/>
  <c r="BW13" i="9"/>
  <c r="BV13" i="9"/>
  <c r="BT13" i="9"/>
  <c r="BS13" i="9"/>
  <c r="BP13" i="9"/>
  <c r="BQ13" i="9" s="1"/>
  <c r="BM13" i="9"/>
  <c r="BL13" i="9"/>
  <c r="BI13" i="9"/>
  <c r="BO13" i="9" s="1"/>
  <c r="BF13" i="9"/>
  <c r="BE13" i="9" s="1"/>
  <c r="BB13" i="9"/>
  <c r="AY13" i="9"/>
  <c r="AX13" i="9" s="1"/>
  <c r="AU13" i="9"/>
  <c r="AT13" i="9"/>
  <c r="AR13" i="9"/>
  <c r="I13" i="9" s="1"/>
  <c r="AO13" i="9"/>
  <c r="AN13" i="9"/>
  <c r="AK13" i="9"/>
  <c r="AJ13" i="9"/>
  <c r="AG13" i="9"/>
  <c r="AD13" i="9"/>
  <c r="AC13" i="9" s="1"/>
  <c r="Z13" i="9"/>
  <c r="Y13" i="9"/>
  <c r="W13" i="9"/>
  <c r="V13" i="9" s="1"/>
  <c r="S13" i="9"/>
  <c r="P13" i="9"/>
  <c r="O13" i="9" s="1"/>
  <c r="L13" i="9"/>
  <c r="R13" i="9" s="1"/>
  <c r="J13" i="9"/>
  <c r="CU12" i="9"/>
  <c r="CT12" i="9"/>
  <c r="CS12" i="9"/>
  <c r="CO12" i="9"/>
  <c r="CN12" i="9" s="1"/>
  <c r="CK12" i="9"/>
  <c r="CJ12" i="9"/>
  <c r="CH12" i="9"/>
  <c r="CG12" i="9"/>
  <c r="CD12" i="9"/>
  <c r="CE12" i="9" s="1"/>
  <c r="CC12" i="9"/>
  <c r="CA12" i="9"/>
  <c r="BZ12" i="9"/>
  <c r="BX12" i="9"/>
  <c r="BW12" i="9"/>
  <c r="BT12" i="9"/>
  <c r="BS12" i="9"/>
  <c r="BP12" i="9"/>
  <c r="BM12" i="9"/>
  <c r="BL12" i="9" s="1"/>
  <c r="BJ12" i="9"/>
  <c r="BI12" i="9"/>
  <c r="BF12" i="9"/>
  <c r="BE12" i="9" s="1"/>
  <c r="BB12" i="9"/>
  <c r="BH12" i="9" s="1"/>
  <c r="BA12" i="9"/>
  <c r="AY12" i="9"/>
  <c r="AX12" i="9" s="1"/>
  <c r="AV12" i="9"/>
  <c r="AU12" i="9"/>
  <c r="AR12" i="9"/>
  <c r="AQ12" i="9" s="1"/>
  <c r="AN12" i="9"/>
  <c r="AT12" i="9" s="1"/>
  <c r="AL12" i="9"/>
  <c r="AK12" i="9" s="1"/>
  <c r="AG12" i="9"/>
  <c r="AE12" i="9"/>
  <c r="AA12" i="9"/>
  <c r="Z12" i="9"/>
  <c r="W12" i="9"/>
  <c r="V12" i="9" s="1"/>
  <c r="S12" i="9"/>
  <c r="Y12" i="9" s="1"/>
  <c r="R12" i="9"/>
  <c r="Q12" i="9"/>
  <c r="J12" i="9" s="1"/>
  <c r="L12" i="9"/>
  <c r="CS11" i="9"/>
  <c r="CO11" i="9"/>
  <c r="CN11" i="9"/>
  <c r="CL11" i="9"/>
  <c r="CK11" i="9"/>
  <c r="CQ11" i="9" s="1"/>
  <c r="CH11" i="9"/>
  <c r="CG11" i="9"/>
  <c r="CD11" i="9"/>
  <c r="CA11" i="9"/>
  <c r="BZ11" i="9"/>
  <c r="BW11" i="9"/>
  <c r="CC11" i="9" s="1"/>
  <c r="BT11" i="9"/>
  <c r="BS11" i="9" s="1"/>
  <c r="BQ11" i="9"/>
  <c r="BP11" i="9"/>
  <c r="BM11" i="9"/>
  <c r="BL11" i="9" s="1"/>
  <c r="BJ11" i="9"/>
  <c r="BI11" i="9"/>
  <c r="BO11" i="9" s="1"/>
  <c r="BH11" i="9"/>
  <c r="BF11" i="9"/>
  <c r="BE11" i="9" s="1"/>
  <c r="BC11" i="9"/>
  <c r="BB11" i="9"/>
  <c r="AY11" i="9"/>
  <c r="AX11" i="9"/>
  <c r="AU11" i="9"/>
  <c r="BA11" i="9" s="1"/>
  <c r="AR11" i="9"/>
  <c r="AQ11" i="9" s="1"/>
  <c r="AN11" i="9"/>
  <c r="AL11" i="9"/>
  <c r="J11" i="9" s="1"/>
  <c r="AK11" i="9"/>
  <c r="AJ11" i="9"/>
  <c r="AG11" i="9"/>
  <c r="AF11" i="9"/>
  <c r="AD11" i="9"/>
  <c r="AC11" i="9"/>
  <c r="AA11" i="9"/>
  <c r="Z11" i="9"/>
  <c r="W11" i="9"/>
  <c r="S11" i="9"/>
  <c r="P11" i="9"/>
  <c r="O11" i="9" s="1"/>
  <c r="M11" i="9"/>
  <c r="L11" i="9"/>
  <c r="R11" i="9" s="1"/>
  <c r="CU10" i="9"/>
  <c r="CT10" i="9"/>
  <c r="CS10" i="9"/>
  <c r="CO10" i="9"/>
  <c r="CN10" i="9"/>
  <c r="CL10" i="9"/>
  <c r="CK10" i="9"/>
  <c r="CQ10" i="9" s="1"/>
  <c r="CH10" i="9"/>
  <c r="CG10" i="9"/>
  <c r="CD10" i="9"/>
  <c r="CJ10" i="9" s="1"/>
  <c r="CC10" i="9"/>
  <c r="CA10" i="9"/>
  <c r="BZ10" i="9" s="1"/>
  <c r="BW10" i="9"/>
  <c r="BT10" i="9"/>
  <c r="BS10" i="9"/>
  <c r="BP10" i="9"/>
  <c r="BM10" i="9"/>
  <c r="BL10" i="9" s="1"/>
  <c r="BI10" i="9"/>
  <c r="BF10" i="9"/>
  <c r="BE10" i="9"/>
  <c r="BB10" i="9"/>
  <c r="BH10" i="9" s="1"/>
  <c r="AY10" i="9"/>
  <c r="AX10" i="9" s="1"/>
  <c r="AU10" i="9"/>
  <c r="AT10" i="9"/>
  <c r="AR10" i="9"/>
  <c r="AQ10" i="9" s="1"/>
  <c r="AO10" i="9"/>
  <c r="AN10" i="9"/>
  <c r="AL10" i="9"/>
  <c r="J10" i="9" s="1"/>
  <c r="AK10" i="9"/>
  <c r="AJ10" i="9" s="1"/>
  <c r="AG10" i="9"/>
  <c r="AH10" i="9" s="1"/>
  <c r="AD10" i="9"/>
  <c r="AC10" i="9"/>
  <c r="Z10" i="9"/>
  <c r="AF10" i="9" s="1"/>
  <c r="Y10" i="9"/>
  <c r="W10" i="9"/>
  <c r="V10" i="9" s="1"/>
  <c r="S10" i="9"/>
  <c r="P10" i="9"/>
  <c r="O10" i="9"/>
  <c r="L10" i="9"/>
  <c r="R10" i="9" s="1"/>
  <c r="CS9" i="9"/>
  <c r="CO9" i="9"/>
  <c r="CN9" i="9" s="1"/>
  <c r="CK9" i="9"/>
  <c r="CH9" i="9"/>
  <c r="CG9" i="9" s="1"/>
  <c r="CD9" i="9"/>
  <c r="CJ9" i="9" s="1"/>
  <c r="CA9" i="9"/>
  <c r="BZ9" i="9"/>
  <c r="BW9" i="9"/>
  <c r="CC9" i="9" s="1"/>
  <c r="BT9" i="9"/>
  <c r="BS9" i="9"/>
  <c r="BP9" i="9"/>
  <c r="BV9" i="9" s="1"/>
  <c r="BO9" i="9"/>
  <c r="BM9" i="9"/>
  <c r="BL9" i="9" s="1"/>
  <c r="BJ9" i="9"/>
  <c r="BI9" i="9"/>
  <c r="BF9" i="9"/>
  <c r="BE9" i="9"/>
  <c r="BB9" i="9"/>
  <c r="BH9" i="9" s="1"/>
  <c r="BA9" i="9"/>
  <c r="AY9" i="9"/>
  <c r="AX9" i="9" s="1"/>
  <c r="AU9" i="9"/>
  <c r="AR9" i="9"/>
  <c r="AQ9" i="9" s="1"/>
  <c r="AN9" i="9"/>
  <c r="AT9" i="9" s="1"/>
  <c r="AK9" i="9"/>
  <c r="AJ9" i="9" s="1"/>
  <c r="AG9" i="9"/>
  <c r="AE9" i="9"/>
  <c r="AF9" i="9" s="1"/>
  <c r="Z9" i="9"/>
  <c r="X9" i="9"/>
  <c r="W9" i="9"/>
  <c r="V9" i="9"/>
  <c r="S9" i="9"/>
  <c r="T9" i="9" s="1"/>
  <c r="P9" i="9"/>
  <c r="O9" i="9"/>
  <c r="L9" i="9"/>
  <c r="CU8" i="9"/>
  <c r="CT8" i="9"/>
  <c r="CT4" i="9" s="1"/>
  <c r="CS8" i="9"/>
  <c r="CQ8" i="9"/>
  <c r="CO8" i="9"/>
  <c r="CN8" i="9" s="1"/>
  <c r="CK8" i="9"/>
  <c r="CH8" i="9"/>
  <c r="CG8" i="9"/>
  <c r="CD8" i="9"/>
  <c r="CA8" i="9"/>
  <c r="BZ8" i="9"/>
  <c r="BW8" i="9"/>
  <c r="CC8" i="9" s="1"/>
  <c r="BV8" i="9"/>
  <c r="BT8" i="9"/>
  <c r="BS8" i="9" s="1"/>
  <c r="BP8" i="9"/>
  <c r="BM8" i="9"/>
  <c r="BL8" i="9"/>
  <c r="BI8" i="9"/>
  <c r="BH8" i="9"/>
  <c r="BF8" i="9"/>
  <c r="BE8" i="9" s="1"/>
  <c r="BB8" i="9"/>
  <c r="AY8" i="9"/>
  <c r="AX8" i="9" s="1"/>
  <c r="AV8" i="9"/>
  <c r="AU8" i="9"/>
  <c r="BA8" i="9" s="1"/>
  <c r="AR8" i="9"/>
  <c r="AQ8" i="9" s="1"/>
  <c r="AN8" i="9"/>
  <c r="AT8" i="9" s="1"/>
  <c r="AK8" i="9"/>
  <c r="AJ8" i="9" s="1"/>
  <c r="AG8" i="9"/>
  <c r="AM8" i="9" s="1"/>
  <c r="AF8" i="9"/>
  <c r="AD8" i="9"/>
  <c r="AC8" i="9"/>
  <c r="AA8" i="9"/>
  <c r="Z8" i="9"/>
  <c r="W8" i="9"/>
  <c r="V8" i="9"/>
  <c r="S8" i="9"/>
  <c r="Y8" i="9" s="1"/>
  <c r="R8" i="9"/>
  <c r="P8" i="9"/>
  <c r="O8" i="9" s="1"/>
  <c r="L8" i="9"/>
  <c r="J8" i="9"/>
  <c r="CO7" i="9"/>
  <c r="CN7" i="9" s="1"/>
  <c r="CK7" i="9"/>
  <c r="CJ7" i="9"/>
  <c r="CH7" i="9"/>
  <c r="CG7" i="9"/>
  <c r="CD7" i="9"/>
  <c r="CA7" i="9"/>
  <c r="BZ7" i="9" s="1"/>
  <c r="BW7" i="9"/>
  <c r="BT7" i="9"/>
  <c r="BS7" i="9"/>
  <c r="BP7" i="9"/>
  <c r="BV7" i="9" s="1"/>
  <c r="BO7" i="9"/>
  <c r="BM7" i="9"/>
  <c r="BL7" i="9" s="1"/>
  <c r="BI7" i="9"/>
  <c r="BF7" i="9"/>
  <c r="BE7" i="9" s="1"/>
  <c r="BB7" i="9"/>
  <c r="BH7" i="9" s="1"/>
  <c r="AY7" i="9"/>
  <c r="AX7" i="9"/>
  <c r="AU7" i="9"/>
  <c r="BA7" i="9" s="1"/>
  <c r="AR7" i="9"/>
  <c r="AQ7" i="9" s="1"/>
  <c r="AN7" i="9"/>
  <c r="AT7" i="9" s="1"/>
  <c r="AK7" i="9"/>
  <c r="AJ7" i="9" s="1"/>
  <c r="AG7" i="9"/>
  <c r="AM7" i="9" s="1"/>
  <c r="AD7" i="9"/>
  <c r="AC7" i="9" s="1"/>
  <c r="Z7" i="9"/>
  <c r="W7" i="9"/>
  <c r="V7" i="9" s="1"/>
  <c r="S7" i="9"/>
  <c r="P7" i="9"/>
  <c r="O7" i="9"/>
  <c r="L7" i="9"/>
  <c r="R7" i="9" s="1"/>
  <c r="J7" i="9"/>
  <c r="CO6" i="9"/>
  <c r="CN6" i="9"/>
  <c r="CK6" i="9"/>
  <c r="CQ6" i="9" s="1"/>
  <c r="CJ6" i="9"/>
  <c r="CH6" i="9"/>
  <c r="CG6" i="9" s="1"/>
  <c r="CD6" i="9"/>
  <c r="CA6" i="9"/>
  <c r="BZ6" i="9" s="1"/>
  <c r="BW6" i="9"/>
  <c r="BT6" i="9"/>
  <c r="BS6" i="9"/>
  <c r="BP6" i="9"/>
  <c r="BV6" i="9" s="1"/>
  <c r="BM6" i="9"/>
  <c r="BL6" i="9" s="1"/>
  <c r="BI6" i="9"/>
  <c r="BO6" i="9" s="1"/>
  <c r="BF6" i="9"/>
  <c r="BE6" i="9" s="1"/>
  <c r="BC6" i="9"/>
  <c r="BB6" i="9"/>
  <c r="BH6" i="9" s="1"/>
  <c r="AY6" i="9"/>
  <c r="AX6" i="9" s="1"/>
  <c r="AU6" i="9"/>
  <c r="AR6" i="9"/>
  <c r="AQ6" i="9" s="1"/>
  <c r="AN6" i="9"/>
  <c r="AK6" i="9"/>
  <c r="AJ6" i="9" s="1"/>
  <c r="AG6" i="9"/>
  <c r="AM6" i="9" s="1"/>
  <c r="AD6" i="9"/>
  <c r="AC6" i="9" s="1"/>
  <c r="Z6" i="9"/>
  <c r="AF6" i="9" s="1"/>
  <c r="W6" i="9"/>
  <c r="V6" i="9" s="1"/>
  <c r="S6" i="9"/>
  <c r="Y6" i="9" s="1"/>
  <c r="P6" i="9"/>
  <c r="O6" i="9"/>
  <c r="L6" i="9"/>
  <c r="R6" i="9" s="1"/>
  <c r="J6" i="9"/>
  <c r="CU5" i="9"/>
  <c r="CS5" i="9"/>
  <c r="CS4" i="9" s="1"/>
  <c r="CO5" i="9"/>
  <c r="CN5" i="9"/>
  <c r="CK5" i="9"/>
  <c r="CH5" i="9"/>
  <c r="CG5" i="9"/>
  <c r="CD5" i="9"/>
  <c r="CA5" i="9"/>
  <c r="BZ5" i="9" s="1"/>
  <c r="BW5" i="9"/>
  <c r="CC5" i="9" s="1"/>
  <c r="BT5" i="9"/>
  <c r="BS5" i="9" s="1"/>
  <c r="BQ5" i="9"/>
  <c r="BP5" i="9"/>
  <c r="BV5" i="9" s="1"/>
  <c r="BM5" i="9"/>
  <c r="BL5" i="9"/>
  <c r="BI5" i="9"/>
  <c r="BO5" i="9" s="1"/>
  <c r="BH5" i="9"/>
  <c r="BF5" i="9"/>
  <c r="BE5" i="9" s="1"/>
  <c r="BB5" i="9"/>
  <c r="AY5" i="9"/>
  <c r="AX5" i="9" s="1"/>
  <c r="AU5" i="9"/>
  <c r="BA5" i="9" s="1"/>
  <c r="AR5" i="9"/>
  <c r="AQ5" i="9" s="1"/>
  <c r="AN5" i="9"/>
  <c r="AM5" i="9"/>
  <c r="AL5" i="9"/>
  <c r="AL4" i="9" s="1"/>
  <c r="AG5" i="9"/>
  <c r="AE5" i="9"/>
  <c r="AE4" i="9" s="1"/>
  <c r="AD5" i="9"/>
  <c r="AC5" i="9" s="1"/>
  <c r="Z5" i="9"/>
  <c r="X5" i="9"/>
  <c r="Y5" i="9" s="1"/>
  <c r="W5" i="9"/>
  <c r="V5" i="9" s="1"/>
  <c r="T5" i="9"/>
  <c r="S5" i="9"/>
  <c r="Q5" i="9"/>
  <c r="P5" i="9"/>
  <c r="O5" i="9"/>
  <c r="L5" i="9"/>
  <c r="CU4" i="9"/>
  <c r="CO4" i="9"/>
  <c r="CN4" i="9"/>
  <c r="CK4" i="9"/>
  <c r="CH4" i="9"/>
  <c r="CD4" i="9"/>
  <c r="CC4" i="9"/>
  <c r="CA4" i="9"/>
  <c r="CA55" i="9" s="1"/>
  <c r="CA58" i="9" s="1"/>
  <c r="BW4" i="9"/>
  <c r="BT4" i="9"/>
  <c r="BT55" i="9" s="1"/>
  <c r="BT58" i="9" s="1"/>
  <c r="BS4" i="9"/>
  <c r="BP4" i="9"/>
  <c r="BQ4" i="9" s="1"/>
  <c r="BM4" i="9"/>
  <c r="BL4" i="9"/>
  <c r="BI4" i="9"/>
  <c r="BF4" i="9"/>
  <c r="BB4" i="9"/>
  <c r="AY4" i="9"/>
  <c r="AU4" i="9"/>
  <c r="BA4" i="9" s="1"/>
  <c r="AR4" i="9"/>
  <c r="AO4" i="9"/>
  <c r="AN4" i="9"/>
  <c r="AG4" i="9"/>
  <c r="Z4" i="9"/>
  <c r="Z55" i="9" s="1"/>
  <c r="X4" i="9"/>
  <c r="S4" i="9"/>
  <c r="Q4" i="9"/>
  <c r="L4" i="9"/>
  <c r="AM76" i="8"/>
  <c r="Y74" i="8"/>
  <c r="AF71" i="8"/>
  <c r="Y71" i="8"/>
  <c r="R71" i="8"/>
  <c r="AM70" i="8"/>
  <c r="Y70" i="8"/>
  <c r="R70" i="8"/>
  <c r="R69" i="8"/>
  <c r="AM68" i="8"/>
  <c r="AF68" i="8"/>
  <c r="Y68" i="8"/>
  <c r="R68" i="8"/>
  <c r="R67" i="8"/>
  <c r="R66" i="8"/>
  <c r="R65" i="8"/>
  <c r="AM64" i="8"/>
  <c r="AF64" i="8"/>
  <c r="Y64" i="8"/>
  <c r="R64" i="8"/>
  <c r="AM63" i="8"/>
  <c r="AF63" i="8"/>
  <c r="Y63" i="8"/>
  <c r="R63" i="8"/>
  <c r="AM62" i="8"/>
  <c r="AF62" i="8"/>
  <c r="Y62" i="8"/>
  <c r="R62" i="8"/>
  <c r="AM61" i="8"/>
  <c r="AF61" i="8"/>
  <c r="AF79" i="8" s="1"/>
  <c r="Y61" i="8"/>
  <c r="Y79" i="8" s="1"/>
  <c r="R61" i="8"/>
  <c r="BG59" i="8"/>
  <c r="CI58" i="8"/>
  <c r="BN58" i="8"/>
  <c r="BN59" i="8" s="1"/>
  <c r="BG58" i="8"/>
  <c r="CO57" i="8"/>
  <c r="CN57" i="8"/>
  <c r="CK57" i="8"/>
  <c r="CJ57" i="8"/>
  <c r="CH57" i="8"/>
  <c r="CG57" i="8" s="1"/>
  <c r="CD57" i="8"/>
  <c r="CE57" i="8" s="1"/>
  <c r="CC57" i="8"/>
  <c r="CA57" i="8"/>
  <c r="BZ57" i="8" s="1"/>
  <c r="BW57" i="8"/>
  <c r="BX57" i="8" s="1"/>
  <c r="BT57" i="8"/>
  <c r="BS57" i="8"/>
  <c r="BP57" i="8"/>
  <c r="BV57" i="8" s="1"/>
  <c r="BM57" i="8"/>
  <c r="BL57" i="8"/>
  <c r="BI57" i="8"/>
  <c r="BF57" i="8"/>
  <c r="BE57" i="8" s="1"/>
  <c r="BB57" i="8"/>
  <c r="BA57" i="8"/>
  <c r="AY57" i="8"/>
  <c r="AX57" i="8" s="1"/>
  <c r="AV57" i="8"/>
  <c r="AU57" i="8"/>
  <c r="AR57" i="8"/>
  <c r="AQ57" i="8"/>
  <c r="AN57" i="8"/>
  <c r="AK57" i="8"/>
  <c r="AJ57" i="8" s="1"/>
  <c r="AG57" i="8"/>
  <c r="AE57" i="8"/>
  <c r="Z57" i="8"/>
  <c r="W57" i="8"/>
  <c r="V57" i="8" s="1"/>
  <c r="S57" i="8"/>
  <c r="P57" i="8"/>
  <c r="O57" i="8"/>
  <c r="L57" i="8"/>
  <c r="R57" i="8" s="1"/>
  <c r="J57" i="8"/>
  <c r="CO56" i="8"/>
  <c r="CN56" i="8"/>
  <c r="CK56" i="8"/>
  <c r="CH56" i="8"/>
  <c r="CG56" i="8" s="1"/>
  <c r="CD56" i="8"/>
  <c r="CC56" i="8"/>
  <c r="CA56" i="8"/>
  <c r="BZ56" i="8" s="1"/>
  <c r="BW56" i="8"/>
  <c r="BT56" i="8"/>
  <c r="BS56" i="8" s="1"/>
  <c r="BP56" i="8"/>
  <c r="BV56" i="8" s="1"/>
  <c r="BO56" i="8"/>
  <c r="BM56" i="8"/>
  <c r="BL56" i="8"/>
  <c r="BI56" i="8"/>
  <c r="BF56" i="8"/>
  <c r="BE56" i="8" s="1"/>
  <c r="BB56" i="8"/>
  <c r="BA56" i="8"/>
  <c r="AY56" i="8"/>
  <c r="AX56" i="8" s="1"/>
  <c r="AU56" i="8"/>
  <c r="AR56" i="8"/>
  <c r="AQ56" i="8"/>
  <c r="AN56" i="8"/>
  <c r="AT56" i="8" s="1"/>
  <c r="AL56" i="8"/>
  <c r="AM56" i="8" s="1"/>
  <c r="AK56" i="8"/>
  <c r="AJ56" i="8" s="1"/>
  <c r="AG56" i="8"/>
  <c r="AH56" i="8" s="1"/>
  <c r="AE56" i="8"/>
  <c r="AD56" i="8" s="1"/>
  <c r="AC56" i="8"/>
  <c r="Z56" i="8"/>
  <c r="AF56" i="8" s="1"/>
  <c r="W56" i="8"/>
  <c r="S56" i="8"/>
  <c r="P56" i="8"/>
  <c r="O56" i="8" s="1"/>
  <c r="L56" i="8"/>
  <c r="R56" i="8" s="1"/>
  <c r="J56" i="8"/>
  <c r="B56" i="8"/>
  <c r="CP55" i="8"/>
  <c r="CP58" i="8" s="1"/>
  <c r="CI55" i="8"/>
  <c r="CB55" i="8"/>
  <c r="BU55" i="8"/>
  <c r="BN55" i="8"/>
  <c r="BG55" i="8"/>
  <c r="AZ55" i="8"/>
  <c r="AS55" i="8"/>
  <c r="AS58" i="8" s="1"/>
  <c r="CQ54" i="8"/>
  <c r="CO54" i="8"/>
  <c r="CN54" i="8" s="1"/>
  <c r="CK54" i="8"/>
  <c r="CH54" i="8"/>
  <c r="CG54" i="8"/>
  <c r="CD54" i="8"/>
  <c r="CJ54" i="8" s="1"/>
  <c r="CA54" i="8"/>
  <c r="BZ54" i="8" s="1"/>
  <c r="BW54" i="8"/>
  <c r="BT54" i="8"/>
  <c r="BS54" i="8" s="1"/>
  <c r="BP54" i="8"/>
  <c r="BO54" i="8"/>
  <c r="BM54" i="8"/>
  <c r="BL54" i="8" s="1"/>
  <c r="BI54" i="8"/>
  <c r="BF54" i="8"/>
  <c r="BE54" i="8"/>
  <c r="BB54" i="8"/>
  <c r="BH54" i="8" s="1"/>
  <c r="AY54" i="8"/>
  <c r="AX54" i="8" s="1"/>
  <c r="AU54" i="8"/>
  <c r="AT54" i="8"/>
  <c r="AR54" i="8"/>
  <c r="AQ54" i="8" s="1"/>
  <c r="AN54" i="8"/>
  <c r="AK54" i="8"/>
  <c r="AJ54" i="8" s="1"/>
  <c r="AG54" i="8"/>
  <c r="AM54" i="8" s="1"/>
  <c r="AD54" i="8"/>
  <c r="AC54" i="8"/>
  <c r="Z54" i="8"/>
  <c r="AF54" i="8" s="1"/>
  <c r="W54" i="8"/>
  <c r="V54" i="8" s="1"/>
  <c r="S54" i="8"/>
  <c r="Q54" i="8"/>
  <c r="P54" i="8" s="1"/>
  <c r="O54" i="8" s="1"/>
  <c r="L54" i="8"/>
  <c r="J54" i="8"/>
  <c r="CO53" i="8"/>
  <c r="CN53" i="8"/>
  <c r="CK53" i="8"/>
  <c r="CH53" i="8"/>
  <c r="CG53" i="8" s="1"/>
  <c r="CD53" i="8"/>
  <c r="CE53" i="8" s="1"/>
  <c r="CC53" i="8"/>
  <c r="CA53" i="8"/>
  <c r="BZ53" i="8"/>
  <c r="BW53" i="8"/>
  <c r="BX53" i="8" s="1"/>
  <c r="BT53" i="8"/>
  <c r="BS53" i="8"/>
  <c r="BP53" i="8"/>
  <c r="BM53" i="8"/>
  <c r="BL53" i="8"/>
  <c r="BI53" i="8"/>
  <c r="BF53" i="8"/>
  <c r="BE53" i="8" s="1"/>
  <c r="BB53" i="8"/>
  <c r="BC53" i="8" s="1"/>
  <c r="BA53" i="8"/>
  <c r="AY53" i="8"/>
  <c r="AX53" i="8" s="1"/>
  <c r="AU53" i="8"/>
  <c r="AV53" i="8" s="1"/>
  <c r="AR53" i="8"/>
  <c r="AQ53" i="8" s="1"/>
  <c r="AN53" i="8"/>
  <c r="AT53" i="8" s="1"/>
  <c r="AK53" i="8"/>
  <c r="AJ53" i="8" s="1"/>
  <c r="AG53" i="8"/>
  <c r="AD53" i="8"/>
  <c r="AC53" i="8" s="1"/>
  <c r="Z53" i="8"/>
  <c r="Y53" i="8"/>
  <c r="W53" i="8"/>
  <c r="V53" i="8" s="1"/>
  <c r="T53" i="8"/>
  <c r="S53" i="8"/>
  <c r="P53" i="8"/>
  <c r="O53" i="8"/>
  <c r="L53" i="8"/>
  <c r="R53" i="8" s="1"/>
  <c r="J53" i="8"/>
  <c r="CO52" i="8"/>
  <c r="CN52" i="8" s="1"/>
  <c r="CK52" i="8"/>
  <c r="CH52" i="8"/>
  <c r="CG52" i="8"/>
  <c r="CD52" i="8"/>
  <c r="CC52" i="8"/>
  <c r="CA52" i="8"/>
  <c r="BZ52" i="8" s="1"/>
  <c r="BW52" i="8"/>
  <c r="BX52" i="8" s="1"/>
  <c r="BT52" i="8"/>
  <c r="BS52" i="8" s="1"/>
  <c r="BP52" i="8"/>
  <c r="BV52" i="8" s="1"/>
  <c r="BM52" i="8"/>
  <c r="BL52" i="8"/>
  <c r="BI52" i="8"/>
  <c r="BF52" i="8"/>
  <c r="BE52" i="8"/>
  <c r="BB52" i="8"/>
  <c r="AY52" i="8"/>
  <c r="AX52" i="8" s="1"/>
  <c r="AU52" i="8"/>
  <c r="AV52" i="8" s="1"/>
  <c r="AT52" i="8"/>
  <c r="AR52" i="8"/>
  <c r="AQ52" i="8" s="1"/>
  <c r="AN52" i="8"/>
  <c r="AO52" i="8" s="1"/>
  <c r="AK52" i="8"/>
  <c r="AJ52" i="8" s="1"/>
  <c r="AG52" i="8"/>
  <c r="AE52" i="8"/>
  <c r="AD52" i="8"/>
  <c r="AC52" i="8" s="1"/>
  <c r="Z52" i="8"/>
  <c r="W52" i="8"/>
  <c r="V52" i="8" s="1"/>
  <c r="S52" i="8"/>
  <c r="R52" i="8"/>
  <c r="Q52" i="8"/>
  <c r="P52" i="8"/>
  <c r="L52" i="8"/>
  <c r="J52" i="8"/>
  <c r="CQ51" i="8"/>
  <c r="CO51" i="8"/>
  <c r="CN51" i="8" s="1"/>
  <c r="CL51" i="8"/>
  <c r="CK51" i="8"/>
  <c r="CH51" i="8"/>
  <c r="CG51" i="8" s="1"/>
  <c r="CD51" i="8"/>
  <c r="CJ51" i="8" s="1"/>
  <c r="CA51" i="8"/>
  <c r="BZ51" i="8"/>
  <c r="BX51" i="8"/>
  <c r="BW51" i="8"/>
  <c r="CC51" i="8" s="1"/>
  <c r="BT51" i="8"/>
  <c r="BS51" i="8"/>
  <c r="BP51" i="8"/>
  <c r="BM51" i="8"/>
  <c r="BL51" i="8" s="1"/>
  <c r="BI51" i="8"/>
  <c r="BH51" i="8"/>
  <c r="BF51" i="8"/>
  <c r="BE51" i="8"/>
  <c r="BB51" i="8"/>
  <c r="AY51" i="8"/>
  <c r="AX51" i="8"/>
  <c r="AU51" i="8"/>
  <c r="BA51" i="8" s="1"/>
  <c r="AT51" i="8"/>
  <c r="AR51" i="8"/>
  <c r="AQ51" i="8" s="1"/>
  <c r="AN51" i="8"/>
  <c r="AK51" i="8"/>
  <c r="AJ51" i="8" s="1"/>
  <c r="AH51" i="8"/>
  <c r="AG51" i="8"/>
  <c r="AE51" i="8"/>
  <c r="AD51" i="8"/>
  <c r="AC51" i="8" s="1"/>
  <c r="Z51" i="8"/>
  <c r="Y51" i="8"/>
  <c r="X51" i="8"/>
  <c r="W51" i="8"/>
  <c r="V51" i="8" s="1"/>
  <c r="T51" i="8"/>
  <c r="S51" i="8"/>
  <c r="Q51" i="8"/>
  <c r="P51" i="8" s="1"/>
  <c r="I51" i="8" s="1"/>
  <c r="L51" i="8"/>
  <c r="J51" i="8"/>
  <c r="CO50" i="8"/>
  <c r="CN50" i="8" s="1"/>
  <c r="CK50" i="8"/>
  <c r="CH50" i="8"/>
  <c r="CG50" i="8" s="1"/>
  <c r="CD50" i="8"/>
  <c r="CJ50" i="8" s="1"/>
  <c r="CA50" i="8"/>
  <c r="BZ50" i="8" s="1"/>
  <c r="BW50" i="8"/>
  <c r="BT50" i="8"/>
  <c r="BS50" i="8" s="1"/>
  <c r="BP50" i="8"/>
  <c r="BV50" i="8" s="1"/>
  <c r="BM50" i="8"/>
  <c r="BL50" i="8" s="1"/>
  <c r="BI50" i="8"/>
  <c r="BO50" i="8" s="1"/>
  <c r="BF50" i="8"/>
  <c r="BE50" i="8"/>
  <c r="BB50" i="8"/>
  <c r="BA50" i="8"/>
  <c r="AY50" i="8"/>
  <c r="AX50" i="8" s="1"/>
  <c r="AU50" i="8"/>
  <c r="AR50" i="8"/>
  <c r="AQ50" i="8" s="1"/>
  <c r="AN50" i="8"/>
  <c r="AK50" i="8"/>
  <c r="AJ50" i="8" s="1"/>
  <c r="AG50" i="8"/>
  <c r="AE50" i="8"/>
  <c r="AD50" i="8"/>
  <c r="Z50" i="8"/>
  <c r="Y50" i="8"/>
  <c r="X50" i="8"/>
  <c r="W50" i="8"/>
  <c r="V50" i="8" s="1"/>
  <c r="S50" i="8"/>
  <c r="Q50" i="8"/>
  <c r="L50" i="8"/>
  <c r="M50" i="8" s="1"/>
  <c r="E50" i="8"/>
  <c r="CO49" i="8"/>
  <c r="CN49" i="8"/>
  <c r="CK49" i="8"/>
  <c r="CQ49" i="8" s="1"/>
  <c r="CH49" i="8"/>
  <c r="CG49" i="8"/>
  <c r="CD49" i="8"/>
  <c r="CA49" i="8"/>
  <c r="BZ49" i="8" s="1"/>
  <c r="BW49" i="8"/>
  <c r="CC49" i="8" s="1"/>
  <c r="BT49" i="8"/>
  <c r="BS49" i="8" s="1"/>
  <c r="BP49" i="8"/>
  <c r="BV49" i="8" s="1"/>
  <c r="BM49" i="8"/>
  <c r="BL49" i="8"/>
  <c r="BI49" i="8"/>
  <c r="BO49" i="8" s="1"/>
  <c r="BH49" i="8"/>
  <c r="BF49" i="8"/>
  <c r="BE49" i="8" s="1"/>
  <c r="BB49" i="8"/>
  <c r="AY49" i="8"/>
  <c r="AX49" i="8"/>
  <c r="AU49" i="8"/>
  <c r="BA49" i="8" s="1"/>
  <c r="AR49" i="8"/>
  <c r="AQ49" i="8" s="1"/>
  <c r="AN49" i="8"/>
  <c r="AT49" i="8" s="1"/>
  <c r="AG49" i="8"/>
  <c r="AE49" i="8"/>
  <c r="Z49" i="8"/>
  <c r="Y49" i="8"/>
  <c r="X49" i="8"/>
  <c r="W49" i="8"/>
  <c r="T49" i="8"/>
  <c r="S49" i="8"/>
  <c r="L49" i="8"/>
  <c r="CO48" i="8"/>
  <c r="CN48" i="8"/>
  <c r="CK48" i="8"/>
  <c r="CJ48" i="8"/>
  <c r="CH48" i="8"/>
  <c r="CG48" i="8" s="1"/>
  <c r="CD48" i="8"/>
  <c r="CE48" i="8" s="1"/>
  <c r="CA48" i="8"/>
  <c r="BZ48" i="8" s="1"/>
  <c r="BX48" i="8"/>
  <c r="BW48" i="8"/>
  <c r="CC48" i="8" s="1"/>
  <c r="BT48" i="8"/>
  <c r="BS48" i="8"/>
  <c r="BP48" i="8"/>
  <c r="BV48" i="8" s="1"/>
  <c r="BM48" i="8"/>
  <c r="BL48" i="8"/>
  <c r="BI48" i="8"/>
  <c r="BH48" i="8"/>
  <c r="BF48" i="8"/>
  <c r="BE48" i="8" s="1"/>
  <c r="BC48" i="8"/>
  <c r="BB48" i="8"/>
  <c r="AY48" i="8"/>
  <c r="AX48" i="8" s="1"/>
  <c r="AU48" i="8"/>
  <c r="BA48" i="8" s="1"/>
  <c r="AR48" i="8"/>
  <c r="AQ48" i="8"/>
  <c r="AO48" i="8"/>
  <c r="AN48" i="8"/>
  <c r="AT48" i="8" s="1"/>
  <c r="AK48" i="8"/>
  <c r="AJ48" i="8" s="1"/>
  <c r="AG48" i="8"/>
  <c r="AE48" i="8"/>
  <c r="Z48" i="8"/>
  <c r="X48" i="8"/>
  <c r="W48" i="8"/>
  <c r="V48" i="8" s="1"/>
  <c r="T48" i="8"/>
  <c r="S48" i="8"/>
  <c r="Y48" i="8" s="1"/>
  <c r="Q48" i="8"/>
  <c r="P48" i="8"/>
  <c r="O48" i="8" s="1"/>
  <c r="M48" i="8"/>
  <c r="L48" i="8"/>
  <c r="CO47" i="8"/>
  <c r="CN47" i="8"/>
  <c r="CK47" i="8"/>
  <c r="CQ47" i="8" s="1"/>
  <c r="CH47" i="8"/>
  <c r="CG47" i="8"/>
  <c r="CD47" i="8"/>
  <c r="CC47" i="8"/>
  <c r="CA47" i="8"/>
  <c r="BZ47" i="8" s="1"/>
  <c r="BW47" i="8"/>
  <c r="BT47" i="8"/>
  <c r="BS47" i="8" s="1"/>
  <c r="BQ47" i="8"/>
  <c r="BP47" i="8"/>
  <c r="BV47" i="8" s="1"/>
  <c r="BM47" i="8"/>
  <c r="BL47" i="8"/>
  <c r="BI47" i="8"/>
  <c r="BO47" i="8" s="1"/>
  <c r="BF47" i="8"/>
  <c r="BE47" i="8"/>
  <c r="BB47" i="8"/>
  <c r="BA47" i="8"/>
  <c r="AY47" i="8"/>
  <c r="AU47" i="8"/>
  <c r="AR47" i="8"/>
  <c r="AQ47" i="8" s="1"/>
  <c r="AN47" i="8"/>
  <c r="AT47" i="8" s="1"/>
  <c r="AK47" i="8"/>
  <c r="AJ47" i="8"/>
  <c r="AH47" i="8"/>
  <c r="AG47" i="8"/>
  <c r="AM47" i="8" s="1"/>
  <c r="AD47" i="8"/>
  <c r="AC47" i="8" s="1"/>
  <c r="Z47" i="8"/>
  <c r="W47" i="8"/>
  <c r="V47" i="8" s="1"/>
  <c r="S47" i="8"/>
  <c r="R47" i="8"/>
  <c r="P47" i="8"/>
  <c r="O47" i="8"/>
  <c r="L47" i="8"/>
  <c r="J47" i="8"/>
  <c r="CQ46" i="8"/>
  <c r="CO46" i="8"/>
  <c r="CN46" i="8" s="1"/>
  <c r="CK46" i="8"/>
  <c r="CL46" i="8" s="1"/>
  <c r="CH46" i="8"/>
  <c r="CG46" i="8"/>
  <c r="CD46" i="8"/>
  <c r="CJ46" i="8" s="1"/>
  <c r="CA46" i="8"/>
  <c r="BZ46" i="8"/>
  <c r="BW46" i="8"/>
  <c r="BT46" i="8"/>
  <c r="BS46" i="8" s="1"/>
  <c r="BP46" i="8"/>
  <c r="BV46" i="8" s="1"/>
  <c r="BM46" i="8"/>
  <c r="BL46" i="8"/>
  <c r="BJ46" i="8"/>
  <c r="BI46" i="8"/>
  <c r="BO46" i="8" s="1"/>
  <c r="BF46" i="8"/>
  <c r="BE46" i="8" s="1"/>
  <c r="BB46" i="8"/>
  <c r="AY46" i="8"/>
  <c r="AX46" i="8"/>
  <c r="AU46" i="8"/>
  <c r="BA46" i="8" s="1"/>
  <c r="AR46" i="8"/>
  <c r="AQ46" i="8"/>
  <c r="AN46" i="8"/>
  <c r="AK46" i="8"/>
  <c r="AJ46" i="8" s="1"/>
  <c r="AG46" i="8"/>
  <c r="AM46" i="8" s="1"/>
  <c r="AD46" i="8"/>
  <c r="AC46" i="8"/>
  <c r="AA46" i="8"/>
  <c r="Z46" i="8"/>
  <c r="AF46" i="8" s="1"/>
  <c r="W46" i="8"/>
  <c r="V46" i="8" s="1"/>
  <c r="S46" i="8"/>
  <c r="T46" i="8" s="1"/>
  <c r="R46" i="8"/>
  <c r="P46" i="8"/>
  <c r="O46" i="8" s="1"/>
  <c r="L46" i="8"/>
  <c r="J46" i="8"/>
  <c r="CO45" i="8"/>
  <c r="CN45" i="8" s="1"/>
  <c r="CK45" i="8"/>
  <c r="CJ45" i="8"/>
  <c r="CH45" i="8"/>
  <c r="CG45" i="8" s="1"/>
  <c r="CD45" i="8"/>
  <c r="CE45" i="8" s="1"/>
  <c r="CA45" i="8"/>
  <c r="BZ45" i="8"/>
  <c r="BW45" i="8"/>
  <c r="CC45" i="8" s="1"/>
  <c r="BT45" i="8"/>
  <c r="BS45" i="8"/>
  <c r="BQ45" i="8"/>
  <c r="BP45" i="8"/>
  <c r="BV45" i="8" s="1"/>
  <c r="BM45" i="8"/>
  <c r="BL45" i="8"/>
  <c r="BI45" i="8"/>
  <c r="BH45" i="8"/>
  <c r="BF45" i="8"/>
  <c r="BE45" i="8" s="1"/>
  <c r="BB45" i="8"/>
  <c r="BC45" i="8" s="1"/>
  <c r="AY45" i="8"/>
  <c r="AX45" i="8"/>
  <c r="AU45" i="8"/>
  <c r="BA45" i="8" s="1"/>
  <c r="AR45" i="8"/>
  <c r="AQ45" i="8" s="1"/>
  <c r="AN45" i="8"/>
  <c r="AK45" i="8"/>
  <c r="AJ45" i="8" s="1"/>
  <c r="AG45" i="8"/>
  <c r="AM45" i="8" s="1"/>
  <c r="AF45" i="8"/>
  <c r="AD45" i="8"/>
  <c r="AC45" i="8"/>
  <c r="AA45" i="8"/>
  <c r="Z45" i="8"/>
  <c r="W45" i="8"/>
  <c r="V45" i="8" s="1"/>
  <c r="S45" i="8"/>
  <c r="P45" i="8"/>
  <c r="O45" i="8" s="1"/>
  <c r="L45" i="8"/>
  <c r="E45" i="8" s="1"/>
  <c r="K45" i="8" s="1"/>
  <c r="J45" i="8"/>
  <c r="CO44" i="8"/>
  <c r="CN44" i="8"/>
  <c r="CK44" i="8"/>
  <c r="CQ44" i="8" s="1"/>
  <c r="CH44" i="8"/>
  <c r="CG44" i="8"/>
  <c r="CD44" i="8"/>
  <c r="CA44" i="8"/>
  <c r="BZ44" i="8"/>
  <c r="BW44" i="8"/>
  <c r="CC44" i="8" s="1"/>
  <c r="BT44" i="8"/>
  <c r="BS44" i="8"/>
  <c r="BQ44" i="8"/>
  <c r="BP44" i="8"/>
  <c r="BV44" i="8" s="1"/>
  <c r="BM44" i="8"/>
  <c r="BL44" i="8"/>
  <c r="BI44" i="8"/>
  <c r="BH44" i="8"/>
  <c r="BF44" i="8"/>
  <c r="BE44" i="8" s="1"/>
  <c r="BB44" i="8"/>
  <c r="AY44" i="8"/>
  <c r="AX44" i="8"/>
  <c r="AV44" i="8"/>
  <c r="AU44" i="8"/>
  <c r="BA44" i="8" s="1"/>
  <c r="AR44" i="8"/>
  <c r="AQ44" i="8" s="1"/>
  <c r="AN44" i="8"/>
  <c r="AK44" i="8"/>
  <c r="AJ44" i="8"/>
  <c r="AG44" i="8"/>
  <c r="AM44" i="8" s="1"/>
  <c r="AD44" i="8"/>
  <c r="AC44" i="8"/>
  <c r="Z44" i="8"/>
  <c r="W44" i="8"/>
  <c r="V44" i="8" s="1"/>
  <c r="S44" i="8"/>
  <c r="Y44" i="8" s="1"/>
  <c r="P44" i="8"/>
  <c r="O44" i="8"/>
  <c r="L44" i="8"/>
  <c r="J44" i="8"/>
  <c r="CO43" i="8"/>
  <c r="CN43" i="8"/>
  <c r="CK43" i="8"/>
  <c r="CQ43" i="8" s="1"/>
  <c r="CJ43" i="8"/>
  <c r="CH43" i="8"/>
  <c r="CG43" i="8"/>
  <c r="CD43" i="8"/>
  <c r="CA43" i="8"/>
  <c r="BZ43" i="8"/>
  <c r="BW43" i="8"/>
  <c r="CC43" i="8" s="1"/>
  <c r="BV43" i="8"/>
  <c r="BT43" i="8"/>
  <c r="BS43" i="8"/>
  <c r="BQ43" i="8"/>
  <c r="BP43" i="8"/>
  <c r="BM43" i="8"/>
  <c r="BL43" i="8" s="1"/>
  <c r="BI43" i="8"/>
  <c r="BO43" i="8" s="1"/>
  <c r="BH43" i="8"/>
  <c r="BF43" i="8"/>
  <c r="BE43" i="8" s="1"/>
  <c r="BC43" i="8"/>
  <c r="BB43" i="8"/>
  <c r="AY43" i="8"/>
  <c r="AX43" i="8" s="1"/>
  <c r="AU43" i="8"/>
  <c r="AT43" i="8"/>
  <c r="AR43" i="8"/>
  <c r="AQ43" i="8" s="1"/>
  <c r="AO43" i="8"/>
  <c r="AN43" i="8"/>
  <c r="AL43" i="8"/>
  <c r="AK43" i="8"/>
  <c r="AJ43" i="8" s="1"/>
  <c r="AG43" i="8"/>
  <c r="AM43" i="8" s="1"/>
  <c r="AE43" i="8"/>
  <c r="AD43" i="8"/>
  <c r="AC43" i="8"/>
  <c r="Z43" i="8"/>
  <c r="AF43" i="8" s="1"/>
  <c r="X43" i="8"/>
  <c r="W43" i="8" s="1"/>
  <c r="V43" i="8" s="1"/>
  <c r="S43" i="8"/>
  <c r="Q43" i="8"/>
  <c r="L43" i="8"/>
  <c r="R43" i="8" s="1"/>
  <c r="CO42" i="8"/>
  <c r="CN42" i="8"/>
  <c r="CK42" i="8"/>
  <c r="CQ42" i="8" s="1"/>
  <c r="CH42" i="8"/>
  <c r="CG42" i="8" s="1"/>
  <c r="CD42" i="8"/>
  <c r="CJ42" i="8" s="1"/>
  <c r="CC42" i="8"/>
  <c r="CA42" i="8"/>
  <c r="BZ42" i="8"/>
  <c r="BW42" i="8"/>
  <c r="BX42" i="8" s="1"/>
  <c r="BT42" i="8"/>
  <c r="BS42" i="8"/>
  <c r="BQ42" i="8"/>
  <c r="BP42" i="8"/>
  <c r="BV42" i="8" s="1"/>
  <c r="BO42" i="8"/>
  <c r="BM42" i="8"/>
  <c r="BL42" i="8" s="1"/>
  <c r="BI42" i="8"/>
  <c r="BF42" i="8"/>
  <c r="BE42" i="8" s="1"/>
  <c r="BB42" i="8"/>
  <c r="BH42" i="8" s="1"/>
  <c r="BA42" i="8"/>
  <c r="AY42" i="8"/>
  <c r="AX42" i="8" s="1"/>
  <c r="AV42" i="8"/>
  <c r="AU42" i="8"/>
  <c r="AR42" i="8"/>
  <c r="AQ42" i="8" s="1"/>
  <c r="AN42" i="8"/>
  <c r="AT42" i="8" s="1"/>
  <c r="AM42" i="8"/>
  <c r="AL42" i="8"/>
  <c r="AK42" i="8"/>
  <c r="AJ42" i="8" s="1"/>
  <c r="AH42" i="8"/>
  <c r="AG42" i="8"/>
  <c r="AD42" i="8"/>
  <c r="AC42" i="8"/>
  <c r="Z42" i="8"/>
  <c r="AF42" i="8" s="1"/>
  <c r="X42" i="8"/>
  <c r="W42" i="8" s="1"/>
  <c r="V42" i="8" s="1"/>
  <c r="S42" i="8"/>
  <c r="Y42" i="8" s="1"/>
  <c r="Q42" i="8"/>
  <c r="P42" i="8" s="1"/>
  <c r="L42" i="8"/>
  <c r="J42" i="8"/>
  <c r="CO41" i="8"/>
  <c r="CN41" i="8" s="1"/>
  <c r="CK41" i="8"/>
  <c r="CH41" i="8"/>
  <c r="CG41" i="8" s="1"/>
  <c r="CD41" i="8"/>
  <c r="CC41" i="8"/>
  <c r="CA41" i="8"/>
  <c r="BZ41" i="8" s="1"/>
  <c r="BX41" i="8"/>
  <c r="BW41" i="8"/>
  <c r="BT41" i="8"/>
  <c r="BS41" i="8"/>
  <c r="BP41" i="8"/>
  <c r="BV41" i="8" s="1"/>
  <c r="BM41" i="8"/>
  <c r="BL41" i="8" s="1"/>
  <c r="BI41" i="8"/>
  <c r="BF41" i="8"/>
  <c r="BE41" i="8" s="1"/>
  <c r="BB41" i="8"/>
  <c r="AY41" i="8"/>
  <c r="AX41" i="8" s="1"/>
  <c r="AV41" i="8"/>
  <c r="AU41" i="8"/>
  <c r="BA41" i="8" s="1"/>
  <c r="AR41" i="8"/>
  <c r="AQ41" i="8" s="1"/>
  <c r="AN41" i="8"/>
  <c r="AT41" i="8" s="1"/>
  <c r="AK41" i="8"/>
  <c r="AJ41" i="8" s="1"/>
  <c r="AG41" i="8"/>
  <c r="AF41" i="8"/>
  <c r="AD41" i="8"/>
  <c r="AC41" i="8" s="1"/>
  <c r="Z41" i="8"/>
  <c r="W41" i="8"/>
  <c r="V41" i="8"/>
  <c r="T41" i="8"/>
  <c r="S41" i="8"/>
  <c r="Y41" i="8" s="1"/>
  <c r="P41" i="8"/>
  <c r="O41" i="8"/>
  <c r="L41" i="8"/>
  <c r="J41" i="8"/>
  <c r="CO40" i="8"/>
  <c r="CN40" i="8"/>
  <c r="CK40" i="8"/>
  <c r="CQ40" i="8" s="1"/>
  <c r="CH40" i="8"/>
  <c r="CG40" i="8" s="1"/>
  <c r="CD40" i="8"/>
  <c r="CA40" i="8"/>
  <c r="BZ40" i="8" s="1"/>
  <c r="BW40" i="8"/>
  <c r="BT40" i="8"/>
  <c r="BS40" i="8" s="1"/>
  <c r="BP40" i="8"/>
  <c r="BV40" i="8" s="1"/>
  <c r="BM40" i="8"/>
  <c r="BL40" i="8"/>
  <c r="BI40" i="8"/>
  <c r="BO40" i="8" s="1"/>
  <c r="BF40" i="8"/>
  <c r="BE40" i="8" s="1"/>
  <c r="BB40" i="8"/>
  <c r="AY40" i="8"/>
  <c r="AX40" i="8" s="1"/>
  <c r="AU40" i="8"/>
  <c r="AT40" i="8"/>
  <c r="AR40" i="8"/>
  <c r="AQ40" i="8" s="1"/>
  <c r="AO40" i="8"/>
  <c r="AN40" i="8"/>
  <c r="AL40" i="8"/>
  <c r="AK40" i="8"/>
  <c r="AJ40" i="8" s="1"/>
  <c r="AG40" i="8"/>
  <c r="AM40" i="8" s="1"/>
  <c r="AE40" i="8"/>
  <c r="AD40" i="8"/>
  <c r="AC40" i="8"/>
  <c r="Z40" i="8"/>
  <c r="AF40" i="8" s="1"/>
  <c r="X40" i="8"/>
  <c r="W40" i="8" s="1"/>
  <c r="V40" i="8" s="1"/>
  <c r="S40" i="8"/>
  <c r="Y40" i="8" s="1"/>
  <c r="Q40" i="8"/>
  <c r="P40" i="8" s="1"/>
  <c r="L40" i="8"/>
  <c r="J40" i="8"/>
  <c r="CO39" i="8"/>
  <c r="CN39" i="8" s="1"/>
  <c r="CK39" i="8"/>
  <c r="CH39" i="8"/>
  <c r="CG39" i="8" s="1"/>
  <c r="CD39" i="8"/>
  <c r="CC39" i="8"/>
  <c r="CA39" i="8"/>
  <c r="BZ39" i="8" s="1"/>
  <c r="BX39" i="8"/>
  <c r="BW39" i="8"/>
  <c r="BT39" i="8"/>
  <c r="BS39" i="8"/>
  <c r="BP39" i="8"/>
  <c r="BV39" i="8" s="1"/>
  <c r="BM39" i="8"/>
  <c r="BL39" i="8" s="1"/>
  <c r="BI39" i="8"/>
  <c r="BF39" i="8"/>
  <c r="BE39" i="8" s="1"/>
  <c r="BB39" i="8"/>
  <c r="AY39" i="8"/>
  <c r="AX39" i="8" s="1"/>
  <c r="AU39" i="8"/>
  <c r="BA39" i="8" s="1"/>
  <c r="AR39" i="8"/>
  <c r="I39" i="8" s="1"/>
  <c r="AN39" i="8"/>
  <c r="AT39" i="8" s="1"/>
  <c r="AL39" i="8"/>
  <c r="AK39" i="8" s="1"/>
  <c r="AJ39" i="8" s="1"/>
  <c r="AG39" i="8"/>
  <c r="AM39" i="8" s="1"/>
  <c r="AD39" i="8"/>
  <c r="AC39" i="8" s="1"/>
  <c r="Z39" i="8"/>
  <c r="AF39" i="8" s="1"/>
  <c r="W39" i="8"/>
  <c r="V39" i="8"/>
  <c r="S39" i="8"/>
  <c r="Y39" i="8" s="1"/>
  <c r="Q39" i="8"/>
  <c r="P39" i="8" s="1"/>
  <c r="L39" i="8"/>
  <c r="CO38" i="8"/>
  <c r="CN38" i="8"/>
  <c r="CL38" i="8"/>
  <c r="CK38" i="8"/>
  <c r="CQ38" i="8" s="1"/>
  <c r="CH38" i="8"/>
  <c r="CG38" i="8"/>
  <c r="CD38" i="8"/>
  <c r="CJ38" i="8" s="1"/>
  <c r="CA38" i="8"/>
  <c r="BZ38" i="8" s="1"/>
  <c r="BW38" i="8"/>
  <c r="BT38" i="8"/>
  <c r="BS38" i="8" s="1"/>
  <c r="BP38" i="8"/>
  <c r="BO38" i="8"/>
  <c r="BM38" i="8"/>
  <c r="BL38" i="8"/>
  <c r="BI38" i="8"/>
  <c r="BJ38" i="8" s="1"/>
  <c r="BF38" i="8"/>
  <c r="BE38" i="8"/>
  <c r="BC38" i="8"/>
  <c r="BB38" i="8"/>
  <c r="BH38" i="8" s="1"/>
  <c r="AY38" i="8"/>
  <c r="AX38" i="8" s="1"/>
  <c r="AU38" i="8"/>
  <c r="AR38" i="8"/>
  <c r="AQ38" i="8" s="1"/>
  <c r="AN38" i="8"/>
  <c r="AM38" i="8"/>
  <c r="AK38" i="8"/>
  <c r="AJ38" i="8"/>
  <c r="AG38" i="8"/>
  <c r="AH38" i="8" s="1"/>
  <c r="AE38" i="8"/>
  <c r="AD38" i="8"/>
  <c r="AC38" i="8" s="1"/>
  <c r="Z38" i="8"/>
  <c r="AF38" i="8" s="1"/>
  <c r="W38" i="8"/>
  <c r="V38" i="8" s="1"/>
  <c r="S38" i="8"/>
  <c r="Q38" i="8"/>
  <c r="P38" i="8" s="1"/>
  <c r="L38" i="8"/>
  <c r="J38" i="8"/>
  <c r="CO37" i="8"/>
  <c r="CN37" i="8" s="1"/>
  <c r="CK37" i="8"/>
  <c r="CH37" i="8"/>
  <c r="CG37" i="8" s="1"/>
  <c r="CD37" i="8"/>
  <c r="CA37" i="8"/>
  <c r="BZ37" i="8"/>
  <c r="BX37" i="8"/>
  <c r="BW37" i="8"/>
  <c r="CC37" i="8" s="1"/>
  <c r="BT37" i="8"/>
  <c r="BS37" i="8"/>
  <c r="BP37" i="8"/>
  <c r="BV37" i="8" s="1"/>
  <c r="BM37" i="8"/>
  <c r="BL37" i="8" s="1"/>
  <c r="BI37" i="8"/>
  <c r="BH37" i="8"/>
  <c r="BF37" i="8"/>
  <c r="BE37" i="8" s="1"/>
  <c r="BB37" i="8"/>
  <c r="AY37" i="8"/>
  <c r="AX37" i="8" s="1"/>
  <c r="AV37" i="8"/>
  <c r="AU37" i="8"/>
  <c r="BA37" i="8" s="1"/>
  <c r="AR37" i="8"/>
  <c r="AQ37" i="8" s="1"/>
  <c r="AN37" i="8"/>
  <c r="AT37" i="8" s="1"/>
  <c r="AG37" i="8"/>
  <c r="Z37" i="8"/>
  <c r="S37" i="8"/>
  <c r="Q37" i="8"/>
  <c r="L37" i="8"/>
  <c r="CO36" i="8"/>
  <c r="CN36" i="8" s="1"/>
  <c r="CK36" i="8"/>
  <c r="CH36" i="8"/>
  <c r="CG36" i="8"/>
  <c r="CD36" i="8"/>
  <c r="CJ36" i="8" s="1"/>
  <c r="CA36" i="8"/>
  <c r="BZ36" i="8"/>
  <c r="BW36" i="8"/>
  <c r="CC36" i="8" s="1"/>
  <c r="BT36" i="8"/>
  <c r="BS36" i="8" s="1"/>
  <c r="BP36" i="8"/>
  <c r="BV36" i="8" s="1"/>
  <c r="BM36" i="8"/>
  <c r="BL36" i="8"/>
  <c r="BI36" i="8"/>
  <c r="BO36" i="8" s="1"/>
  <c r="BF36" i="8"/>
  <c r="BE36" i="8" s="1"/>
  <c r="BB36" i="8"/>
  <c r="BH36" i="8" s="1"/>
  <c r="AY36" i="8"/>
  <c r="AX36" i="8" s="1"/>
  <c r="AV36" i="8"/>
  <c r="AU36" i="8"/>
  <c r="BA36" i="8" s="1"/>
  <c r="AR36" i="8"/>
  <c r="AQ36" i="8" s="1"/>
  <c r="AN36" i="8"/>
  <c r="AL36" i="8"/>
  <c r="AK36" i="8"/>
  <c r="AH36" i="8"/>
  <c r="AG36" i="8"/>
  <c r="AE36" i="8"/>
  <c r="AE37" i="8" s="1"/>
  <c r="AD36" i="8"/>
  <c r="AC36" i="8"/>
  <c r="Z36" i="8"/>
  <c r="X36" i="8"/>
  <c r="S36" i="8"/>
  <c r="T36" i="8" s="1"/>
  <c r="Q36" i="8"/>
  <c r="P36" i="8"/>
  <c r="O36" i="8" s="1"/>
  <c r="L36" i="8"/>
  <c r="CQ35" i="8"/>
  <c r="CO35" i="8"/>
  <c r="CN35" i="8"/>
  <c r="CL35" i="8"/>
  <c r="CK35" i="8"/>
  <c r="CH35" i="8"/>
  <c r="CG35" i="8" s="1"/>
  <c r="CD35" i="8"/>
  <c r="CA35" i="8"/>
  <c r="BZ35" i="8" s="1"/>
  <c r="BW35" i="8"/>
  <c r="CC35" i="8" s="1"/>
  <c r="BT35" i="8"/>
  <c r="BS35" i="8"/>
  <c r="BP35" i="8"/>
  <c r="BM35" i="8"/>
  <c r="BL35" i="8" s="1"/>
  <c r="BI35" i="8"/>
  <c r="BO35" i="8" s="1"/>
  <c r="BF35" i="8"/>
  <c r="BE35" i="8" s="1"/>
  <c r="BB35" i="8"/>
  <c r="BH35" i="8" s="1"/>
  <c r="AY35" i="8"/>
  <c r="AX35" i="8" s="1"/>
  <c r="AU35" i="8"/>
  <c r="AR35" i="8"/>
  <c r="AQ35" i="8" s="1"/>
  <c r="AN35" i="8"/>
  <c r="AT35" i="8" s="1"/>
  <c r="AK35" i="8"/>
  <c r="AJ35" i="8" s="1"/>
  <c r="AG35" i="8"/>
  <c r="AM35" i="8" s="1"/>
  <c r="AD35" i="8"/>
  <c r="AC35" i="8" s="1"/>
  <c r="Z35" i="8"/>
  <c r="W35" i="8"/>
  <c r="V35" i="8" s="1"/>
  <c r="S35" i="8"/>
  <c r="Y35" i="8" s="1"/>
  <c r="P35" i="8"/>
  <c r="O35" i="8" s="1"/>
  <c r="L35" i="8"/>
  <c r="J35" i="8"/>
  <c r="CO34" i="8"/>
  <c r="CN34" i="8" s="1"/>
  <c r="CK34" i="8"/>
  <c r="CQ34" i="8" s="1"/>
  <c r="CH34" i="8"/>
  <c r="CG34" i="8"/>
  <c r="CE34" i="8"/>
  <c r="CD34" i="8"/>
  <c r="CJ34" i="8" s="1"/>
  <c r="CA34" i="8"/>
  <c r="BZ34" i="8" s="1"/>
  <c r="BW34" i="8"/>
  <c r="BT34" i="8"/>
  <c r="BS34" i="8" s="1"/>
  <c r="BQ34" i="8"/>
  <c r="BP34" i="8"/>
  <c r="BV34" i="8" s="1"/>
  <c r="BM34" i="8"/>
  <c r="BL34" i="8"/>
  <c r="BI34" i="8"/>
  <c r="BF34" i="8"/>
  <c r="BE34" i="8" s="1"/>
  <c r="BB34" i="8"/>
  <c r="BH34" i="8" s="1"/>
  <c r="AY34" i="8"/>
  <c r="AX34" i="8" s="1"/>
  <c r="AU34" i="8"/>
  <c r="BA34" i="8" s="1"/>
  <c r="AR34" i="8"/>
  <c r="AQ34" i="8" s="1"/>
  <c r="AN34" i="8"/>
  <c r="AK34" i="8"/>
  <c r="AJ34" i="8" s="1"/>
  <c r="AG34" i="8"/>
  <c r="AM34" i="8" s="1"/>
  <c r="AD34" i="8"/>
  <c r="AC34" i="8" s="1"/>
  <c r="Z34" i="8"/>
  <c r="AF34" i="8" s="1"/>
  <c r="W34" i="8"/>
  <c r="V34" i="8" s="1"/>
  <c r="S34" i="8"/>
  <c r="E34" i="8" s="1"/>
  <c r="K34" i="8" s="1"/>
  <c r="P34" i="8"/>
  <c r="O34" i="8" s="1"/>
  <c r="L34" i="8"/>
  <c r="R34" i="8" s="1"/>
  <c r="J34" i="8"/>
  <c r="CO33" i="8"/>
  <c r="CN33" i="8" s="1"/>
  <c r="CK33" i="8"/>
  <c r="CQ33" i="8" s="1"/>
  <c r="CH33" i="8"/>
  <c r="CG33" i="8" s="1"/>
  <c r="CD33" i="8"/>
  <c r="CJ33" i="8" s="1"/>
  <c r="CA33" i="8"/>
  <c r="BZ33" i="8" s="1"/>
  <c r="BW33" i="8"/>
  <c r="CC33" i="8" s="1"/>
  <c r="BT33" i="8"/>
  <c r="BS33" i="8"/>
  <c r="BP33" i="8"/>
  <c r="BM33" i="8"/>
  <c r="BL33" i="8" s="1"/>
  <c r="BI33" i="8"/>
  <c r="BO33" i="8" s="1"/>
  <c r="BF33" i="8"/>
  <c r="BE33" i="8"/>
  <c r="BB33" i="8"/>
  <c r="AY33" i="8"/>
  <c r="AX33" i="8" s="1"/>
  <c r="AU33" i="8"/>
  <c r="BA33" i="8" s="1"/>
  <c r="AR33" i="8"/>
  <c r="AQ33" i="8" s="1"/>
  <c r="AN33" i="8"/>
  <c r="AT33" i="8" s="1"/>
  <c r="AK33" i="8"/>
  <c r="AJ33" i="8" s="1"/>
  <c r="AG33" i="8"/>
  <c r="AM33" i="8" s="1"/>
  <c r="AD33" i="8"/>
  <c r="AC33" i="8" s="1"/>
  <c r="Z33" i="8"/>
  <c r="AF33" i="8" s="1"/>
  <c r="Y33" i="8"/>
  <c r="W33" i="8"/>
  <c r="V33" i="8" s="1"/>
  <c r="S33" i="8"/>
  <c r="Q33" i="8"/>
  <c r="J33" i="8" s="1"/>
  <c r="P33" i="8"/>
  <c r="O33" i="8" s="1"/>
  <c r="L33" i="8"/>
  <c r="CO32" i="8"/>
  <c r="CN32" i="8"/>
  <c r="CK32" i="8"/>
  <c r="CQ32" i="8" s="1"/>
  <c r="CH32" i="8"/>
  <c r="CG32" i="8"/>
  <c r="CD32" i="8"/>
  <c r="CJ32" i="8" s="1"/>
  <c r="CA32" i="8"/>
  <c r="BZ32" i="8" s="1"/>
  <c r="BW32" i="8"/>
  <c r="BT32" i="8"/>
  <c r="BS32" i="8"/>
  <c r="BQ32" i="8"/>
  <c r="BP32" i="8"/>
  <c r="BV32" i="8" s="1"/>
  <c r="BM32" i="8"/>
  <c r="BL32" i="8"/>
  <c r="BI32" i="8"/>
  <c r="BO32" i="8" s="1"/>
  <c r="BF32" i="8"/>
  <c r="BE32" i="8"/>
  <c r="BB32" i="8"/>
  <c r="BH32" i="8" s="1"/>
  <c r="BA32" i="8"/>
  <c r="AY32" i="8"/>
  <c r="AX32" i="8" s="1"/>
  <c r="AV32" i="8"/>
  <c r="AU32" i="8"/>
  <c r="AR32" i="8"/>
  <c r="AQ32" i="8" s="1"/>
  <c r="AO32" i="8"/>
  <c r="AN32" i="8"/>
  <c r="AT32" i="8" s="1"/>
  <c r="AL32" i="8"/>
  <c r="AG32" i="8"/>
  <c r="AE32" i="8"/>
  <c r="AD32" i="8"/>
  <c r="AC32" i="8"/>
  <c r="AA32" i="8"/>
  <c r="Z32" i="8"/>
  <c r="X32" i="8"/>
  <c r="W32" i="8"/>
  <c r="V32" i="8"/>
  <c r="S32" i="8"/>
  <c r="Y32" i="8" s="1"/>
  <c r="Q32" i="8"/>
  <c r="P32" i="8" s="1"/>
  <c r="O32" i="8"/>
  <c r="L32" i="8"/>
  <c r="B32" i="8" s="1"/>
  <c r="CO31" i="8"/>
  <c r="CN31" i="8"/>
  <c r="CK31" i="8"/>
  <c r="CJ31" i="8"/>
  <c r="CH31" i="8"/>
  <c r="CG31" i="8"/>
  <c r="CE31" i="8"/>
  <c r="CD31" i="8"/>
  <c r="CA31" i="8"/>
  <c r="BZ31" i="8"/>
  <c r="BW31" i="8"/>
  <c r="CC31" i="8" s="1"/>
  <c r="BT31" i="8"/>
  <c r="BS31" i="8"/>
  <c r="BP31" i="8"/>
  <c r="BM31" i="8"/>
  <c r="BL31" i="8"/>
  <c r="BI31" i="8"/>
  <c r="BH31" i="8"/>
  <c r="BF31" i="8"/>
  <c r="BE31" i="8" s="1"/>
  <c r="BB31" i="8"/>
  <c r="AY31" i="8"/>
  <c r="AX31" i="8"/>
  <c r="AU31" i="8"/>
  <c r="BA31" i="8" s="1"/>
  <c r="AR31" i="8"/>
  <c r="AQ31" i="8" s="1"/>
  <c r="AN31" i="8"/>
  <c r="AK31" i="8"/>
  <c r="AJ31" i="8" s="1"/>
  <c r="AG31" i="8"/>
  <c r="AM31" i="8" s="1"/>
  <c r="AD31" i="8"/>
  <c r="AC31" i="8" s="1"/>
  <c r="Z31" i="8"/>
  <c r="W31" i="8"/>
  <c r="V31" i="8" s="1"/>
  <c r="S31" i="8"/>
  <c r="Y31" i="8" s="1"/>
  <c r="R31" i="8"/>
  <c r="P31" i="8"/>
  <c r="O31" i="8" s="1"/>
  <c r="L31" i="8"/>
  <c r="J31" i="8"/>
  <c r="CO30" i="8"/>
  <c r="CN30" i="8"/>
  <c r="CK30" i="8"/>
  <c r="CQ30" i="8" s="1"/>
  <c r="CJ30" i="8"/>
  <c r="CH30" i="8"/>
  <c r="CG30" i="8" s="1"/>
  <c r="CD30" i="8"/>
  <c r="CE30" i="8" s="1"/>
  <c r="CA30" i="8"/>
  <c r="BZ30" i="8"/>
  <c r="BW30" i="8"/>
  <c r="CC30" i="8" s="1"/>
  <c r="BT30" i="8"/>
  <c r="BS30" i="8" s="1"/>
  <c r="BP30" i="8"/>
  <c r="BM30" i="8"/>
  <c r="BL30" i="8"/>
  <c r="BI30" i="8"/>
  <c r="BO30" i="8" s="1"/>
  <c r="BH30" i="8"/>
  <c r="BF30" i="8"/>
  <c r="BE30" i="8"/>
  <c r="BB30" i="8"/>
  <c r="BC30" i="8" s="1"/>
  <c r="AY30" i="8"/>
  <c r="AX30" i="8" s="1"/>
  <c r="AU30" i="8"/>
  <c r="BA30" i="8" s="1"/>
  <c r="AR30" i="8"/>
  <c r="AQ30" i="8" s="1"/>
  <c r="AN30" i="8"/>
  <c r="AK30" i="8"/>
  <c r="AJ30" i="8" s="1"/>
  <c r="AG30" i="8"/>
  <c r="AM30" i="8" s="1"/>
  <c r="AF30" i="8"/>
  <c r="AD30" i="8"/>
  <c r="AC30" i="8"/>
  <c r="AA30" i="8"/>
  <c r="Z30" i="8"/>
  <c r="W30" i="8"/>
  <c r="V30" i="8" s="1"/>
  <c r="S30" i="8"/>
  <c r="Y30" i="8" s="1"/>
  <c r="P30" i="8"/>
  <c r="O30" i="8" s="1"/>
  <c r="L30" i="8"/>
  <c r="R30" i="8" s="1"/>
  <c r="J30" i="8"/>
  <c r="CO29" i="8"/>
  <c r="CN29" i="8" s="1"/>
  <c r="CK29" i="8"/>
  <c r="CQ29" i="8" s="1"/>
  <c r="CH29" i="8"/>
  <c r="CG29" i="8" s="1"/>
  <c r="CD29" i="8"/>
  <c r="CJ29" i="8" s="1"/>
  <c r="CA29" i="8"/>
  <c r="BZ29" i="8" s="1"/>
  <c r="BW29" i="8"/>
  <c r="CC29" i="8" s="1"/>
  <c r="BT29" i="8"/>
  <c r="BS29" i="8"/>
  <c r="BP29" i="8"/>
  <c r="BV29" i="8" s="1"/>
  <c r="BM29" i="8"/>
  <c r="BL29" i="8" s="1"/>
  <c r="BI29" i="8"/>
  <c r="BH29" i="8"/>
  <c r="BF29" i="8"/>
  <c r="BE29" i="8"/>
  <c r="BB29" i="8"/>
  <c r="AY29" i="8"/>
  <c r="AX29" i="8" s="1"/>
  <c r="AU29" i="8"/>
  <c r="BA29" i="8" s="1"/>
  <c r="AR29" i="8"/>
  <c r="AQ29" i="8"/>
  <c r="AN29" i="8"/>
  <c r="AT29" i="8" s="1"/>
  <c r="AK29" i="8"/>
  <c r="AJ29" i="8" s="1"/>
  <c r="AG29" i="8"/>
  <c r="AD29" i="8"/>
  <c r="AC29" i="8" s="1"/>
  <c r="Z29" i="8"/>
  <c r="AF29" i="8" s="1"/>
  <c r="Y29" i="8"/>
  <c r="W29" i="8"/>
  <c r="V29" i="8"/>
  <c r="S29" i="8"/>
  <c r="P29" i="8"/>
  <c r="O29" i="8"/>
  <c r="L29" i="8"/>
  <c r="J29" i="8"/>
  <c r="CO28" i="8"/>
  <c r="CN28" i="8"/>
  <c r="CK28" i="8"/>
  <c r="CQ28" i="8" s="1"/>
  <c r="CH28" i="8"/>
  <c r="CG28" i="8" s="1"/>
  <c r="CD28" i="8"/>
  <c r="CC28" i="8"/>
  <c r="CA28" i="8"/>
  <c r="BZ28" i="8" s="1"/>
  <c r="BW28" i="8"/>
  <c r="BT28" i="8"/>
  <c r="BP28" i="8"/>
  <c r="BV28" i="8" s="1"/>
  <c r="BM28" i="8"/>
  <c r="BL28" i="8"/>
  <c r="BI28" i="8"/>
  <c r="BO28" i="8" s="1"/>
  <c r="BF28" i="8"/>
  <c r="BE28" i="8" s="1"/>
  <c r="BC28" i="8"/>
  <c r="BB28" i="8"/>
  <c r="BA28" i="8"/>
  <c r="AY28" i="8"/>
  <c r="AX28" i="8"/>
  <c r="AU28" i="8"/>
  <c r="AR28" i="8"/>
  <c r="AQ28" i="8" s="1"/>
  <c r="AN28" i="8"/>
  <c r="AT28" i="8" s="1"/>
  <c r="AK28" i="8"/>
  <c r="AJ28" i="8"/>
  <c r="AG28" i="8"/>
  <c r="AD28" i="8"/>
  <c r="AC28" i="8" s="1"/>
  <c r="Z28" i="8"/>
  <c r="X28" i="8"/>
  <c r="W28" i="8"/>
  <c r="S28" i="8"/>
  <c r="R28" i="8"/>
  <c r="P28" i="8"/>
  <c r="O28" i="8" s="1"/>
  <c r="L28" i="8"/>
  <c r="J28" i="8"/>
  <c r="CQ27" i="8"/>
  <c r="CO27" i="8"/>
  <c r="CN27" i="8"/>
  <c r="CK27" i="8"/>
  <c r="CL27" i="8" s="1"/>
  <c r="CH27" i="8"/>
  <c r="CG27" i="8" s="1"/>
  <c r="CD27" i="8"/>
  <c r="CJ27" i="8" s="1"/>
  <c r="CA27" i="8"/>
  <c r="BZ27" i="8"/>
  <c r="BX27" i="8"/>
  <c r="BW27" i="8"/>
  <c r="CC27" i="8" s="1"/>
  <c r="BT27" i="8"/>
  <c r="BS27" i="8" s="1"/>
  <c r="BP27" i="8"/>
  <c r="BM27" i="8"/>
  <c r="BL27" i="8" s="1"/>
  <c r="BJ27" i="8"/>
  <c r="BI27" i="8"/>
  <c r="BO27" i="8" s="1"/>
  <c r="BF27" i="8"/>
  <c r="BE27" i="8"/>
  <c r="BB27" i="8"/>
  <c r="AY27" i="8"/>
  <c r="AX27" i="8" s="1"/>
  <c r="AU27" i="8"/>
  <c r="AR27" i="8"/>
  <c r="AQ27" i="8" s="1"/>
  <c r="AN27" i="8"/>
  <c r="AM27" i="8"/>
  <c r="AK27" i="8"/>
  <c r="AJ27" i="8" s="1"/>
  <c r="AG27" i="8"/>
  <c r="AH27" i="8" s="1"/>
  <c r="AD27" i="8"/>
  <c r="AC27" i="8"/>
  <c r="Z27" i="8"/>
  <c r="AF27" i="8" s="1"/>
  <c r="W27" i="8"/>
  <c r="V27" i="8"/>
  <c r="S27" i="8"/>
  <c r="Y27" i="8" s="1"/>
  <c r="Q27" i="8"/>
  <c r="L27" i="8"/>
  <c r="J27" i="8"/>
  <c r="CO26" i="8"/>
  <c r="CN26" i="8" s="1"/>
  <c r="CK26" i="8"/>
  <c r="CH26" i="8"/>
  <c r="CG26" i="8" s="1"/>
  <c r="CD26" i="8"/>
  <c r="CJ26" i="8" s="1"/>
  <c r="CC26" i="8"/>
  <c r="CA26" i="8"/>
  <c r="BZ26" i="8" s="1"/>
  <c r="BW26" i="8"/>
  <c r="BX26" i="8" s="1"/>
  <c r="BT26" i="8"/>
  <c r="BS26" i="8" s="1"/>
  <c r="BP26" i="8"/>
  <c r="BV26" i="8" s="1"/>
  <c r="BO26" i="8"/>
  <c r="BM26" i="8"/>
  <c r="BL26" i="8" s="1"/>
  <c r="BJ26" i="8"/>
  <c r="BI26" i="8"/>
  <c r="BF26" i="8"/>
  <c r="BE26" i="8" s="1"/>
  <c r="BB26" i="8"/>
  <c r="AY26" i="8"/>
  <c r="AX26" i="8" s="1"/>
  <c r="AU26" i="8"/>
  <c r="BA26" i="8" s="1"/>
  <c r="AR26" i="8"/>
  <c r="AQ26" i="8" s="1"/>
  <c r="AN26" i="8"/>
  <c r="AT26" i="8" s="1"/>
  <c r="AK26" i="8"/>
  <c r="AJ26" i="8" s="1"/>
  <c r="AG26" i="8"/>
  <c r="AE26" i="8"/>
  <c r="Z26" i="8"/>
  <c r="X26" i="8"/>
  <c r="W26" i="8"/>
  <c r="V26" i="8" s="1"/>
  <c r="S26" i="8"/>
  <c r="Y26" i="8" s="1"/>
  <c r="R26" i="8"/>
  <c r="P26" i="8"/>
  <c r="O26" i="8" s="1"/>
  <c r="L26" i="8"/>
  <c r="J26" i="8"/>
  <c r="CQ25" i="8"/>
  <c r="CO25" i="8"/>
  <c r="CN25" i="8"/>
  <c r="CL25" i="8"/>
  <c r="CK25" i="8"/>
  <c r="CH25" i="8"/>
  <c r="CG25" i="8" s="1"/>
  <c r="CD25" i="8"/>
  <c r="CJ25" i="8" s="1"/>
  <c r="CA25" i="8"/>
  <c r="BZ25" i="8" s="1"/>
  <c r="BW25" i="8"/>
  <c r="CC25" i="8" s="1"/>
  <c r="BV25" i="8"/>
  <c r="BT25" i="8"/>
  <c r="BS25" i="8" s="1"/>
  <c r="BP25" i="8"/>
  <c r="BM25" i="8"/>
  <c r="BL25" i="8"/>
  <c r="BI25" i="8"/>
  <c r="BO25" i="8" s="1"/>
  <c r="BF25" i="8"/>
  <c r="BE25" i="8" s="1"/>
  <c r="BB25" i="8"/>
  <c r="AY25" i="8"/>
  <c r="AX25" i="8" s="1"/>
  <c r="AU25" i="8"/>
  <c r="BA25" i="8" s="1"/>
  <c r="AR25" i="8"/>
  <c r="AQ25" i="8" s="1"/>
  <c r="AN25" i="8"/>
  <c r="AK25" i="8"/>
  <c r="AJ25" i="8" s="1"/>
  <c r="AH25" i="8"/>
  <c r="AG25" i="8"/>
  <c r="AM25" i="8" s="1"/>
  <c r="AD25" i="8"/>
  <c r="AC25" i="8" s="1"/>
  <c r="AA25" i="8"/>
  <c r="Z25" i="8"/>
  <c r="AF25" i="8" s="1"/>
  <c r="W25" i="8"/>
  <c r="V25" i="8" s="1"/>
  <c r="S25" i="8"/>
  <c r="Y25" i="8" s="1"/>
  <c r="P25" i="8"/>
  <c r="L25" i="8"/>
  <c r="R25" i="8" s="1"/>
  <c r="J25" i="8"/>
  <c r="CO24" i="8"/>
  <c r="CN24" i="8"/>
  <c r="CK24" i="8"/>
  <c r="CH24" i="8"/>
  <c r="CG24" i="8"/>
  <c r="CD24" i="8"/>
  <c r="CJ24" i="8" s="1"/>
  <c r="CA24" i="8"/>
  <c r="BZ24" i="8" s="1"/>
  <c r="BW24" i="8"/>
  <c r="CC24" i="8" s="1"/>
  <c r="BT24" i="8"/>
  <c r="BS24" i="8" s="1"/>
  <c r="BP24" i="8"/>
  <c r="BV24" i="8" s="1"/>
  <c r="BM24" i="8"/>
  <c r="BL24" i="8" s="1"/>
  <c r="BI24" i="8"/>
  <c r="BO24" i="8" s="1"/>
  <c r="BF24" i="8"/>
  <c r="BE24" i="8"/>
  <c r="BB24" i="8"/>
  <c r="AY24" i="8"/>
  <c r="AX24" i="8" s="1"/>
  <c r="AU24" i="8"/>
  <c r="AT24" i="8"/>
  <c r="AR24" i="8"/>
  <c r="AQ24" i="8" s="1"/>
  <c r="AN24" i="8"/>
  <c r="AK24" i="8"/>
  <c r="AJ24" i="8" s="1"/>
  <c r="AG24" i="8"/>
  <c r="AF24" i="8"/>
  <c r="AD24" i="8"/>
  <c r="AC24" i="8"/>
  <c r="Z24" i="8"/>
  <c r="AA24" i="8" s="1"/>
  <c r="W24" i="8"/>
  <c r="V24" i="8" s="1"/>
  <c r="S24" i="8"/>
  <c r="T24" i="8" s="1"/>
  <c r="P24" i="8"/>
  <c r="O24" i="8" s="1"/>
  <c r="L24" i="8"/>
  <c r="R24" i="8" s="1"/>
  <c r="J24" i="8"/>
  <c r="CO23" i="8"/>
  <c r="CN23" i="8" s="1"/>
  <c r="CL23" i="8"/>
  <c r="CK23" i="8"/>
  <c r="CQ23" i="8" s="1"/>
  <c r="CH23" i="8"/>
  <c r="CG23" i="8" s="1"/>
  <c r="CD23" i="8"/>
  <c r="CA23" i="8"/>
  <c r="BZ23" i="8" s="1"/>
  <c r="BW23" i="8"/>
  <c r="CC23" i="8" s="1"/>
  <c r="BT23" i="8"/>
  <c r="BS23" i="8"/>
  <c r="BQ23" i="8"/>
  <c r="BP23" i="8"/>
  <c r="BV23" i="8" s="1"/>
  <c r="BM23" i="8"/>
  <c r="BL23" i="8" s="1"/>
  <c r="BI23" i="8"/>
  <c r="BF23" i="8"/>
  <c r="BE23" i="8" s="1"/>
  <c r="BB23" i="8"/>
  <c r="BH23" i="8" s="1"/>
  <c r="BA23" i="8"/>
  <c r="AY23" i="8"/>
  <c r="AX23" i="8" s="1"/>
  <c r="AU23" i="8"/>
  <c r="AV23" i="8" s="1"/>
  <c r="AR23" i="8"/>
  <c r="AQ23" i="8" s="1"/>
  <c r="AN23" i="8"/>
  <c r="AT23" i="8" s="1"/>
  <c r="AM23" i="8"/>
  <c r="AK23" i="8"/>
  <c r="AJ23" i="8" s="1"/>
  <c r="AH23" i="8"/>
  <c r="AG23" i="8"/>
  <c r="AD23" i="8"/>
  <c r="AC23" i="8" s="1"/>
  <c r="Z23" i="8"/>
  <c r="W23" i="8"/>
  <c r="V23" i="8" s="1"/>
  <c r="S23" i="8"/>
  <c r="Y23" i="8" s="1"/>
  <c r="P23" i="8"/>
  <c r="O23" i="8" s="1"/>
  <c r="L23" i="8"/>
  <c r="M23" i="8" s="1"/>
  <c r="J23" i="8"/>
  <c r="CO22" i="8"/>
  <c r="CN22" i="8"/>
  <c r="CK22" i="8"/>
  <c r="CH22" i="8"/>
  <c r="CG22" i="8" s="1"/>
  <c r="CD22" i="8"/>
  <c r="CC22" i="8"/>
  <c r="CA22" i="8"/>
  <c r="BZ22" i="8"/>
  <c r="BW22" i="8"/>
  <c r="BT22" i="8"/>
  <c r="BS22" i="8" s="1"/>
  <c r="BP22" i="8"/>
  <c r="BV22" i="8" s="1"/>
  <c r="BM22" i="8"/>
  <c r="BL22" i="8" s="1"/>
  <c r="BJ22" i="8"/>
  <c r="BI22" i="8"/>
  <c r="BO22" i="8" s="1"/>
  <c r="BF22" i="8"/>
  <c r="BE22" i="8" s="1"/>
  <c r="BB22" i="8"/>
  <c r="AY22" i="8"/>
  <c r="AX22" i="8" s="1"/>
  <c r="AU22" i="8"/>
  <c r="BA22" i="8" s="1"/>
  <c r="AT22" i="8"/>
  <c r="AR22" i="8"/>
  <c r="AQ22" i="8" s="1"/>
  <c r="AN22" i="8"/>
  <c r="AO22" i="8" s="1"/>
  <c r="AK22" i="8"/>
  <c r="AJ22" i="8"/>
  <c r="AG22" i="8"/>
  <c r="AE22" i="8"/>
  <c r="AD22" i="8" s="1"/>
  <c r="AC22" i="8" s="1"/>
  <c r="Z22" i="8"/>
  <c r="W22" i="8"/>
  <c r="V22" i="8" s="1"/>
  <c r="S22" i="8"/>
  <c r="P22" i="8"/>
  <c r="O22" i="8"/>
  <c r="L22" i="8"/>
  <c r="R22" i="8" s="1"/>
  <c r="J22" i="8"/>
  <c r="CO21" i="8"/>
  <c r="CN21" i="8" s="1"/>
  <c r="CK21" i="8"/>
  <c r="CQ21" i="8" s="1"/>
  <c r="CH21" i="8"/>
  <c r="CG21" i="8" s="1"/>
  <c r="CE21" i="8"/>
  <c r="CD21" i="8"/>
  <c r="CJ21" i="8" s="1"/>
  <c r="CA21" i="8"/>
  <c r="BZ21" i="8"/>
  <c r="BW21" i="8"/>
  <c r="CC21" i="8" s="1"/>
  <c r="BV21" i="8"/>
  <c r="BT21" i="8"/>
  <c r="BS21" i="8" s="1"/>
  <c r="BQ21" i="8"/>
  <c r="BP21" i="8"/>
  <c r="BM21" i="8"/>
  <c r="BL21" i="8"/>
  <c r="BI21" i="8"/>
  <c r="BO21" i="8" s="1"/>
  <c r="BF21" i="8"/>
  <c r="BE21" i="8" s="1"/>
  <c r="BB21" i="8"/>
  <c r="BH21" i="8" s="1"/>
  <c r="AY21" i="8"/>
  <c r="AX21" i="8" s="1"/>
  <c r="AU21" i="8"/>
  <c r="BA21" i="8" s="1"/>
  <c r="AR21" i="8"/>
  <c r="AQ21" i="8"/>
  <c r="AN21" i="8"/>
  <c r="AK21" i="8"/>
  <c r="AJ21" i="8" s="1"/>
  <c r="AG21" i="8"/>
  <c r="AM21" i="8" s="1"/>
  <c r="AF21" i="8"/>
  <c r="AD21" i="8"/>
  <c r="AC21" i="8" s="1"/>
  <c r="AA21" i="8"/>
  <c r="Z21" i="8"/>
  <c r="X21" i="8"/>
  <c r="W21" i="8"/>
  <c r="V21" i="8" s="1"/>
  <c r="S21" i="8"/>
  <c r="Y21" i="8" s="1"/>
  <c r="P21" i="8"/>
  <c r="O21" i="8" s="1"/>
  <c r="L21" i="8"/>
  <c r="J21" i="8"/>
  <c r="CO20" i="8"/>
  <c r="CN20" i="8" s="1"/>
  <c r="CK20" i="8"/>
  <c r="CJ20" i="8"/>
  <c r="CH20" i="8"/>
  <c r="CG20" i="8"/>
  <c r="CD20" i="8"/>
  <c r="CA20" i="8"/>
  <c r="BZ20" i="8"/>
  <c r="BW20" i="8"/>
  <c r="BT20" i="8"/>
  <c r="BS20" i="8" s="1"/>
  <c r="BP20" i="8"/>
  <c r="BO20" i="8"/>
  <c r="BM20" i="8"/>
  <c r="BL20" i="8" s="1"/>
  <c r="BI20" i="8"/>
  <c r="BF20" i="8"/>
  <c r="BE20" i="8"/>
  <c r="BB20" i="8"/>
  <c r="BA20" i="8"/>
  <c r="AY20" i="8"/>
  <c r="AX20" i="8" s="1"/>
  <c r="AU20" i="8"/>
  <c r="AR20" i="8"/>
  <c r="AQ20" i="8" s="1"/>
  <c r="AN20" i="8"/>
  <c r="AT20" i="8" s="1"/>
  <c r="AK20" i="8"/>
  <c r="AJ20" i="8" s="1"/>
  <c r="AG20" i="8"/>
  <c r="AD20" i="8"/>
  <c r="AC20" i="8" s="1"/>
  <c r="Z20" i="8"/>
  <c r="AF20" i="8" s="1"/>
  <c r="W20" i="8"/>
  <c r="V20" i="8"/>
  <c r="T20" i="8"/>
  <c r="S20" i="8"/>
  <c r="Y20" i="8" s="1"/>
  <c r="P20" i="8"/>
  <c r="O20" i="8" s="1"/>
  <c r="L20" i="8"/>
  <c r="J20" i="8"/>
  <c r="CO19" i="8"/>
  <c r="CN19" i="8" s="1"/>
  <c r="CK19" i="8"/>
  <c r="CJ19" i="8"/>
  <c r="CH19" i="8"/>
  <c r="CG19" i="8" s="1"/>
  <c r="CD19" i="8"/>
  <c r="CE19" i="8" s="1"/>
  <c r="CA19" i="8"/>
  <c r="BZ19" i="8"/>
  <c r="BW19" i="8"/>
  <c r="BT19" i="8"/>
  <c r="BS19" i="8" s="1"/>
  <c r="BP19" i="8"/>
  <c r="BV19" i="8" s="1"/>
  <c r="BM19" i="8"/>
  <c r="BL19" i="8"/>
  <c r="BI19" i="8"/>
  <c r="BO19" i="8" s="1"/>
  <c r="BF19" i="8"/>
  <c r="BE19" i="8" s="1"/>
  <c r="BB19" i="8"/>
  <c r="AY19" i="8"/>
  <c r="AX19" i="8" s="1"/>
  <c r="AU19" i="8"/>
  <c r="BA19" i="8" s="1"/>
  <c r="AR19" i="8"/>
  <c r="AQ19" i="8" s="1"/>
  <c r="AO19" i="8"/>
  <c r="AN19" i="8"/>
  <c r="AT19" i="8" s="1"/>
  <c r="AK19" i="8"/>
  <c r="AJ19" i="8"/>
  <c r="AG19" i="8"/>
  <c r="AD19" i="8"/>
  <c r="AC19" i="8" s="1"/>
  <c r="Z19" i="8"/>
  <c r="W19" i="8"/>
  <c r="V19" i="8" s="1"/>
  <c r="S19" i="8"/>
  <c r="P19" i="8"/>
  <c r="O19" i="8"/>
  <c r="L19" i="8"/>
  <c r="E19" i="8" s="1"/>
  <c r="J19" i="8"/>
  <c r="CO18" i="8"/>
  <c r="CN18" i="8" s="1"/>
  <c r="CK18" i="8"/>
  <c r="CQ18" i="8" s="1"/>
  <c r="CH18" i="8"/>
  <c r="CG18" i="8"/>
  <c r="CD18" i="8"/>
  <c r="CJ18" i="8" s="1"/>
  <c r="CA18" i="8"/>
  <c r="BZ18" i="8" s="1"/>
  <c r="BW18" i="8"/>
  <c r="BT18" i="8"/>
  <c r="BS18" i="8" s="1"/>
  <c r="BP18" i="8"/>
  <c r="BV18" i="8" s="1"/>
  <c r="BM18" i="8"/>
  <c r="BL18" i="8"/>
  <c r="BI18" i="8"/>
  <c r="BO18" i="8" s="1"/>
  <c r="BF18" i="8"/>
  <c r="BE18" i="8"/>
  <c r="BB18" i="8"/>
  <c r="AY18" i="8"/>
  <c r="AX18" i="8" s="1"/>
  <c r="AU18" i="8"/>
  <c r="AT18" i="8"/>
  <c r="AR18" i="8"/>
  <c r="AQ18" i="8" s="1"/>
  <c r="AO18" i="8"/>
  <c r="AN18" i="8"/>
  <c r="AK18" i="8"/>
  <c r="AJ18" i="8" s="1"/>
  <c r="AG18" i="8"/>
  <c r="AD18" i="8"/>
  <c r="AC18" i="8" s="1"/>
  <c r="Z18" i="8"/>
  <c r="AA18" i="8" s="1"/>
  <c r="Y18" i="8"/>
  <c r="W18" i="8"/>
  <c r="V18" i="8" s="1"/>
  <c r="S18" i="8"/>
  <c r="P18" i="8"/>
  <c r="O18" i="8" s="1"/>
  <c r="L18" i="8"/>
  <c r="E18" i="8" s="1"/>
  <c r="J18" i="8"/>
  <c r="CO17" i="8"/>
  <c r="CN17" i="8"/>
  <c r="CK17" i="8"/>
  <c r="CQ17" i="8" s="1"/>
  <c r="CH17" i="8"/>
  <c r="CG17" i="8"/>
  <c r="CD17" i="8"/>
  <c r="CA17" i="8"/>
  <c r="BZ17" i="8" s="1"/>
  <c r="BW17" i="8"/>
  <c r="BX17" i="8" s="1"/>
  <c r="BV17" i="8"/>
  <c r="BT17" i="8"/>
  <c r="BS17" i="8"/>
  <c r="BP17" i="8"/>
  <c r="BM17" i="8"/>
  <c r="BL17" i="8"/>
  <c r="BI17" i="8"/>
  <c r="BO17" i="8" s="1"/>
  <c r="BF17" i="8"/>
  <c r="BE17" i="8"/>
  <c r="BB17" i="8"/>
  <c r="AY17" i="8"/>
  <c r="AX17" i="8" s="1"/>
  <c r="AV17" i="8"/>
  <c r="AU17" i="8"/>
  <c r="AT17" i="8"/>
  <c r="AR17" i="8"/>
  <c r="AQ17" i="8" s="1"/>
  <c r="AN17" i="8"/>
  <c r="AK17" i="8"/>
  <c r="AJ17" i="8"/>
  <c r="AG17" i="8"/>
  <c r="AM17" i="8" s="1"/>
  <c r="AD17" i="8"/>
  <c r="AC17" i="8"/>
  <c r="Z17" i="8"/>
  <c r="W17" i="8"/>
  <c r="V17" i="8" s="1"/>
  <c r="T17" i="8"/>
  <c r="S17" i="8"/>
  <c r="R17" i="8"/>
  <c r="P17" i="8"/>
  <c r="O17" i="8"/>
  <c r="L17" i="8"/>
  <c r="J17" i="8"/>
  <c r="I17" i="8"/>
  <c r="CO16" i="8"/>
  <c r="CN16" i="8" s="1"/>
  <c r="CK16" i="8"/>
  <c r="CJ16" i="8"/>
  <c r="CH16" i="8"/>
  <c r="CG16" i="8" s="1"/>
  <c r="CD16" i="8"/>
  <c r="CA16" i="8"/>
  <c r="BZ16" i="8"/>
  <c r="BX16" i="8"/>
  <c r="BW16" i="8"/>
  <c r="CC16" i="8" s="1"/>
  <c r="BT16" i="8"/>
  <c r="BS16" i="8" s="1"/>
  <c r="BP16" i="8"/>
  <c r="BV16" i="8" s="1"/>
  <c r="BM16" i="8"/>
  <c r="BL16" i="8" s="1"/>
  <c r="BI16" i="8"/>
  <c r="BO16" i="8" s="1"/>
  <c r="BH16" i="8"/>
  <c r="BF16" i="8"/>
  <c r="BE16" i="8" s="1"/>
  <c r="BB16" i="8"/>
  <c r="BC16" i="8" s="1"/>
  <c r="AY16" i="8"/>
  <c r="AX16" i="8" s="1"/>
  <c r="AU16" i="8"/>
  <c r="BA16" i="8" s="1"/>
  <c r="AT16" i="8"/>
  <c r="AR16" i="8"/>
  <c r="AQ16" i="8" s="1"/>
  <c r="AN16" i="8"/>
  <c r="AL16" i="8"/>
  <c r="AK16" i="8" s="1"/>
  <c r="AG16" i="8"/>
  <c r="AE16" i="8"/>
  <c r="AD16" i="8"/>
  <c r="AC16" i="8"/>
  <c r="Z16" i="8"/>
  <c r="X16" i="8"/>
  <c r="S16" i="8"/>
  <c r="T16" i="8" s="1"/>
  <c r="Q16" i="8"/>
  <c r="J16" i="8" s="1"/>
  <c r="L16" i="8"/>
  <c r="CQ15" i="8"/>
  <c r="CO15" i="8"/>
  <c r="CN15" i="8"/>
  <c r="CK15" i="8"/>
  <c r="CL15" i="8" s="1"/>
  <c r="CH15" i="8"/>
  <c r="CG15" i="8" s="1"/>
  <c r="CD15" i="8"/>
  <c r="CJ15" i="8" s="1"/>
  <c r="CC15" i="8"/>
  <c r="CA15" i="8"/>
  <c r="BZ15" i="8" s="1"/>
  <c r="BW15" i="8"/>
  <c r="BX15" i="8" s="1"/>
  <c r="BT15" i="8"/>
  <c r="BS15" i="8"/>
  <c r="BP15" i="8"/>
  <c r="BO15" i="8"/>
  <c r="BM15" i="8"/>
  <c r="BL15" i="8" s="1"/>
  <c r="BJ15" i="8"/>
  <c r="BI15" i="8"/>
  <c r="BF15" i="8"/>
  <c r="BE15" i="8"/>
  <c r="BB15" i="8"/>
  <c r="BH15" i="8" s="1"/>
  <c r="AY15" i="8"/>
  <c r="AX15" i="8" s="1"/>
  <c r="AU15" i="8"/>
  <c r="BA15" i="8" s="1"/>
  <c r="AR15" i="8"/>
  <c r="AQ15" i="8" s="1"/>
  <c r="AN15" i="8"/>
  <c r="AT15" i="8" s="1"/>
  <c r="AL15" i="8"/>
  <c r="AK15" i="8"/>
  <c r="AJ15" i="8" s="1"/>
  <c r="AH15" i="8"/>
  <c r="AG15" i="8"/>
  <c r="AE15" i="8"/>
  <c r="AD15" i="8" s="1"/>
  <c r="AC15" i="8" s="1"/>
  <c r="Z15" i="8"/>
  <c r="AF15" i="8" s="1"/>
  <c r="X15" i="8"/>
  <c r="J15" i="8" s="1"/>
  <c r="S15" i="8"/>
  <c r="Y15" i="8" s="1"/>
  <c r="Q15" i="8"/>
  <c r="P15" i="8"/>
  <c r="O15" i="8"/>
  <c r="L15" i="8"/>
  <c r="M15" i="8" s="1"/>
  <c r="CO14" i="8"/>
  <c r="CN14" i="8"/>
  <c r="CL14" i="8"/>
  <c r="CK14" i="8"/>
  <c r="CQ14" i="8" s="1"/>
  <c r="CH14" i="8"/>
  <c r="CG14" i="8" s="1"/>
  <c r="CD14" i="8"/>
  <c r="CA14" i="8"/>
  <c r="BZ14" i="8" s="1"/>
  <c r="BW14" i="8"/>
  <c r="CC14" i="8" s="1"/>
  <c r="BV14" i="8"/>
  <c r="BT14" i="8"/>
  <c r="BS14" i="8" s="1"/>
  <c r="BP14" i="8"/>
  <c r="BM14" i="8"/>
  <c r="BL14" i="8"/>
  <c r="BJ14" i="8"/>
  <c r="BI14" i="8"/>
  <c r="BO14" i="8" s="1"/>
  <c r="BF14" i="8"/>
  <c r="BE14" i="8" s="1"/>
  <c r="BB14" i="8"/>
  <c r="BH14" i="8" s="1"/>
  <c r="AY14" i="8"/>
  <c r="AX14" i="8" s="1"/>
  <c r="AU14" i="8"/>
  <c r="BA14" i="8" s="1"/>
  <c r="AT14" i="8"/>
  <c r="AR14" i="8"/>
  <c r="AQ14" i="8" s="1"/>
  <c r="AN14" i="8"/>
  <c r="AO14" i="8" s="1"/>
  <c r="AL14" i="8"/>
  <c r="AK14" i="8"/>
  <c r="AJ14" i="8"/>
  <c r="AG14" i="8"/>
  <c r="AM14" i="8" s="1"/>
  <c r="AE14" i="8"/>
  <c r="AD14" i="8"/>
  <c r="AC14" i="8" s="1"/>
  <c r="Z14" i="8"/>
  <c r="AF14" i="8" s="1"/>
  <c r="X14" i="8"/>
  <c r="W14" i="8" s="1"/>
  <c r="V14" i="8" s="1"/>
  <c r="S14" i="8"/>
  <c r="Q14" i="8"/>
  <c r="M14" i="8"/>
  <c r="L14" i="8"/>
  <c r="CO13" i="8"/>
  <c r="CN13" i="8" s="1"/>
  <c r="CK13" i="8"/>
  <c r="CQ13" i="8" s="1"/>
  <c r="CH13" i="8"/>
  <c r="CG13" i="8" s="1"/>
  <c r="CD13" i="8"/>
  <c r="CJ13" i="8" s="1"/>
  <c r="CC13" i="8"/>
  <c r="CA13" i="8"/>
  <c r="BZ13" i="8"/>
  <c r="BX13" i="8"/>
  <c r="BW13" i="8"/>
  <c r="BT13" i="8"/>
  <c r="BS13" i="8" s="1"/>
  <c r="BP13" i="8"/>
  <c r="BV13" i="8" s="1"/>
  <c r="BO13" i="8"/>
  <c r="BM13" i="8"/>
  <c r="BL13" i="8" s="1"/>
  <c r="BI13" i="8"/>
  <c r="BJ13" i="8" s="1"/>
  <c r="BF13" i="8"/>
  <c r="BE13" i="8"/>
  <c r="BB13" i="8"/>
  <c r="BA13" i="8"/>
  <c r="AY13" i="8"/>
  <c r="AX13" i="8" s="1"/>
  <c r="AV13" i="8"/>
  <c r="AU13" i="8"/>
  <c r="AR13" i="8"/>
  <c r="AQ13" i="8" s="1"/>
  <c r="AN13" i="8"/>
  <c r="AT13" i="8" s="1"/>
  <c r="AK13" i="8"/>
  <c r="AJ13" i="8" s="1"/>
  <c r="AG13" i="8"/>
  <c r="AM13" i="8" s="1"/>
  <c r="AD13" i="8"/>
  <c r="AC13" i="8" s="1"/>
  <c r="Z13" i="8"/>
  <c r="AF13" i="8" s="1"/>
  <c r="W13" i="8"/>
  <c r="V13" i="8" s="1"/>
  <c r="T13" i="8"/>
  <c r="S13" i="8"/>
  <c r="Y13" i="8" s="1"/>
  <c r="P13" i="8"/>
  <c r="L13" i="8"/>
  <c r="J13" i="8"/>
  <c r="CO12" i="8"/>
  <c r="CN12" i="8" s="1"/>
  <c r="CL12" i="8"/>
  <c r="CK12" i="8"/>
  <c r="CQ12" i="8" s="1"/>
  <c r="CH12" i="8"/>
  <c r="CG12" i="8" s="1"/>
  <c r="CD12" i="8"/>
  <c r="CJ12" i="8" s="1"/>
  <c r="CA12" i="8"/>
  <c r="BZ12" i="8" s="1"/>
  <c r="BW12" i="8"/>
  <c r="CC12" i="8" s="1"/>
  <c r="BV12" i="8"/>
  <c r="BT12" i="8"/>
  <c r="BS12" i="8"/>
  <c r="BP12" i="8"/>
  <c r="BM12" i="8"/>
  <c r="BL12" i="8" s="1"/>
  <c r="BI12" i="8"/>
  <c r="BO12" i="8" s="1"/>
  <c r="BH12" i="8"/>
  <c r="BF12" i="8"/>
  <c r="BE12" i="8" s="1"/>
  <c r="BC12" i="8"/>
  <c r="BB12" i="8"/>
  <c r="AY12" i="8"/>
  <c r="AX12" i="8" s="1"/>
  <c r="AU12" i="8"/>
  <c r="AT12" i="8"/>
  <c r="AR12" i="8"/>
  <c r="AQ12" i="8" s="1"/>
  <c r="AO12" i="8"/>
  <c r="AN12" i="8"/>
  <c r="AL12" i="8"/>
  <c r="AK12" i="8" s="1"/>
  <c r="AH12" i="8"/>
  <c r="AG12" i="8"/>
  <c r="AD12" i="8"/>
  <c r="AC12" i="8"/>
  <c r="Z12" i="8"/>
  <c r="AF12" i="8" s="1"/>
  <c r="X12" i="8"/>
  <c r="S12" i="8"/>
  <c r="Q12" i="8"/>
  <c r="P12" i="8"/>
  <c r="L12" i="8"/>
  <c r="CO11" i="8"/>
  <c r="CN11" i="8" s="1"/>
  <c r="CK11" i="8"/>
  <c r="CH11" i="8"/>
  <c r="CG11" i="8" s="1"/>
  <c r="CD11" i="8"/>
  <c r="CJ11" i="8" s="1"/>
  <c r="CA11" i="8"/>
  <c r="BZ11" i="8"/>
  <c r="BW11" i="8"/>
  <c r="CC11" i="8" s="1"/>
  <c r="BT11" i="8"/>
  <c r="BS11" i="8"/>
  <c r="BP11" i="8"/>
  <c r="BV11" i="8" s="1"/>
  <c r="BO11" i="8"/>
  <c r="BM11" i="8"/>
  <c r="BL11" i="8" s="1"/>
  <c r="BJ11" i="8"/>
  <c r="BI11" i="8"/>
  <c r="BF11" i="8"/>
  <c r="BE11" i="8"/>
  <c r="BC11" i="8"/>
  <c r="BB11" i="8"/>
  <c r="BH11" i="8" s="1"/>
  <c r="AY11" i="8"/>
  <c r="AX11" i="8" s="1"/>
  <c r="AU11" i="8"/>
  <c r="AR11" i="8"/>
  <c r="AQ11" i="8"/>
  <c r="AO11" i="8"/>
  <c r="AN11" i="8"/>
  <c r="AT11" i="8" s="1"/>
  <c r="AK11" i="8"/>
  <c r="AJ11" i="8" s="1"/>
  <c r="AG11" i="8"/>
  <c r="AF11" i="8"/>
  <c r="AD11" i="8"/>
  <c r="AC11" i="8" s="1"/>
  <c r="Z11" i="8"/>
  <c r="AA11" i="8" s="1"/>
  <c r="W11" i="8"/>
  <c r="V11" i="8"/>
  <c r="S11" i="8"/>
  <c r="Y11" i="8" s="1"/>
  <c r="P11" i="8"/>
  <c r="O11" i="8"/>
  <c r="L11" i="8"/>
  <c r="R11" i="8" s="1"/>
  <c r="J11" i="8"/>
  <c r="CO10" i="8"/>
  <c r="CN10" i="8"/>
  <c r="CL10" i="8"/>
  <c r="CK10" i="8"/>
  <c r="CQ10" i="8" s="1"/>
  <c r="CH10" i="8"/>
  <c r="CG10" i="8" s="1"/>
  <c r="CE10" i="8"/>
  <c r="CD10" i="8"/>
  <c r="CA10" i="8"/>
  <c r="BZ10" i="8" s="1"/>
  <c r="BW10" i="8"/>
  <c r="CC10" i="8" s="1"/>
  <c r="BV10" i="8"/>
  <c r="BT10" i="8"/>
  <c r="BS10" i="8" s="1"/>
  <c r="BQ10" i="8"/>
  <c r="BP10" i="8"/>
  <c r="BM10" i="8"/>
  <c r="BL10" i="8"/>
  <c r="BI10" i="8"/>
  <c r="BO10" i="8" s="1"/>
  <c r="BF10" i="8"/>
  <c r="BE10" i="8" s="1"/>
  <c r="BB10" i="8"/>
  <c r="AY10" i="8"/>
  <c r="AX10" i="8" s="1"/>
  <c r="AV10" i="8"/>
  <c r="AU10" i="8"/>
  <c r="BA10" i="8" s="1"/>
  <c r="AR10" i="8"/>
  <c r="AQ10" i="8" s="1"/>
  <c r="AN10" i="8"/>
  <c r="AT10" i="8" s="1"/>
  <c r="AL10" i="8"/>
  <c r="AK10" i="8"/>
  <c r="AJ10" i="8" s="1"/>
  <c r="AG10" i="8"/>
  <c r="AM10" i="8" s="1"/>
  <c r="AE10" i="8"/>
  <c r="AD10" i="8" s="1"/>
  <c r="Z10" i="8"/>
  <c r="X10" i="8"/>
  <c r="W10" i="8" s="1"/>
  <c r="S10" i="8"/>
  <c r="Q10" i="8"/>
  <c r="J10" i="8" s="1"/>
  <c r="L10" i="8"/>
  <c r="CO9" i="8"/>
  <c r="CN9" i="8"/>
  <c r="CK9" i="8"/>
  <c r="CH9" i="8"/>
  <c r="CG9" i="8" s="1"/>
  <c r="CD9" i="8"/>
  <c r="CJ9" i="8" s="1"/>
  <c r="CC9" i="8"/>
  <c r="CA9" i="8"/>
  <c r="BZ9" i="8" s="1"/>
  <c r="BW9" i="8"/>
  <c r="BT9" i="8"/>
  <c r="BS9" i="8"/>
  <c r="BP9" i="8"/>
  <c r="BM9" i="8"/>
  <c r="BL9" i="8"/>
  <c r="BJ9" i="8"/>
  <c r="BI9" i="8"/>
  <c r="BF9" i="8"/>
  <c r="BE9" i="8" s="1"/>
  <c r="BB9" i="8"/>
  <c r="BH9" i="8" s="1"/>
  <c r="AY9" i="8"/>
  <c r="AX9" i="8" s="1"/>
  <c r="AU9" i="8"/>
  <c r="BA9" i="8" s="1"/>
  <c r="AT9" i="8"/>
  <c r="AR9" i="8"/>
  <c r="AQ9" i="8"/>
  <c r="AN9" i="8"/>
  <c r="AO9" i="8" s="1"/>
  <c r="AK9" i="8"/>
  <c r="AJ9" i="8"/>
  <c r="AG9" i="8"/>
  <c r="AE9" i="8"/>
  <c r="Z9" i="8"/>
  <c r="W9" i="8"/>
  <c r="V9" i="8" s="1"/>
  <c r="T9" i="8"/>
  <c r="S9" i="8"/>
  <c r="Y9" i="8" s="1"/>
  <c r="P9" i="8"/>
  <c r="O9" i="8"/>
  <c r="M9" i="8"/>
  <c r="L9" i="8"/>
  <c r="R9" i="8" s="1"/>
  <c r="CO8" i="8"/>
  <c r="CN8" i="8" s="1"/>
  <c r="CK8" i="8"/>
  <c r="CQ8" i="8" s="1"/>
  <c r="CH8" i="8"/>
  <c r="CG8" i="8" s="1"/>
  <c r="CD8" i="8"/>
  <c r="CA8" i="8"/>
  <c r="BZ8" i="8"/>
  <c r="BW8" i="8"/>
  <c r="BT8" i="8"/>
  <c r="BS8" i="8" s="1"/>
  <c r="BP8" i="8"/>
  <c r="BM8" i="8"/>
  <c r="BL8" i="8" s="1"/>
  <c r="BJ8" i="8"/>
  <c r="BI8" i="8"/>
  <c r="BO8" i="8" s="1"/>
  <c r="BF8" i="8"/>
  <c r="BE8" i="8" s="1"/>
  <c r="BC8" i="8"/>
  <c r="BB8" i="8"/>
  <c r="BH8" i="8" s="1"/>
  <c r="AY8" i="8"/>
  <c r="AX8" i="8" s="1"/>
  <c r="AU8" i="8"/>
  <c r="BA8" i="8" s="1"/>
  <c r="AT8" i="8"/>
  <c r="AR8" i="8"/>
  <c r="AQ8" i="8" s="1"/>
  <c r="AN8" i="8"/>
  <c r="AO8" i="8" s="1"/>
  <c r="AK8" i="8"/>
  <c r="AJ8" i="8"/>
  <c r="AG8" i="8"/>
  <c r="AM8" i="8" s="1"/>
  <c r="AD8" i="8"/>
  <c r="AC8" i="8" s="1"/>
  <c r="Z8" i="8"/>
  <c r="W8" i="8"/>
  <c r="V8" i="8" s="1"/>
  <c r="S8" i="8"/>
  <c r="P8" i="8"/>
  <c r="O8" i="8" s="1"/>
  <c r="M8" i="8"/>
  <c r="L8" i="8"/>
  <c r="R8" i="8" s="1"/>
  <c r="J8" i="8"/>
  <c r="CO7" i="8"/>
  <c r="CN7" i="8" s="1"/>
  <c r="CK7" i="8"/>
  <c r="CH7" i="8"/>
  <c r="CG7" i="8" s="1"/>
  <c r="CD7" i="8"/>
  <c r="CA7" i="8"/>
  <c r="BZ7" i="8" s="1"/>
  <c r="BW7" i="8"/>
  <c r="BT7" i="8"/>
  <c r="BS7" i="8"/>
  <c r="BP7" i="8"/>
  <c r="BV7" i="8" s="1"/>
  <c r="BM7" i="8"/>
  <c r="BL7" i="8" s="1"/>
  <c r="BI7" i="8"/>
  <c r="BF7" i="8"/>
  <c r="BE7" i="8" s="1"/>
  <c r="BB7" i="8"/>
  <c r="AY7" i="8"/>
  <c r="AX7" i="8" s="1"/>
  <c r="AV7" i="8"/>
  <c r="AU7" i="8"/>
  <c r="BA7" i="8" s="1"/>
  <c r="AR7" i="8"/>
  <c r="AQ7" i="8" s="1"/>
  <c r="AN7" i="8"/>
  <c r="AT7" i="8" s="1"/>
  <c r="AK7" i="8"/>
  <c r="AJ7" i="8" s="1"/>
  <c r="AG7" i="8"/>
  <c r="AD7" i="8"/>
  <c r="AC7" i="8" s="1"/>
  <c r="Z7" i="8"/>
  <c r="Y7" i="8"/>
  <c r="W7" i="8"/>
  <c r="V7" i="8" s="1"/>
  <c r="T7" i="8"/>
  <c r="S7" i="8"/>
  <c r="Q7" i="8"/>
  <c r="J7" i="8" s="1"/>
  <c r="P7" i="8"/>
  <c r="O7" i="8"/>
  <c r="L7" i="8"/>
  <c r="CO6" i="8"/>
  <c r="CN6" i="8"/>
  <c r="CK6" i="8"/>
  <c r="CH6" i="8"/>
  <c r="CG6" i="8"/>
  <c r="CD6" i="8"/>
  <c r="CJ6" i="8" s="1"/>
  <c r="CA6" i="8"/>
  <c r="BZ6" i="8" s="1"/>
  <c r="BW6" i="8"/>
  <c r="BV6" i="8"/>
  <c r="BT6" i="8"/>
  <c r="BS6" i="8"/>
  <c r="BQ6" i="8"/>
  <c r="BP6" i="8"/>
  <c r="BM6" i="8"/>
  <c r="BL6" i="8"/>
  <c r="BI6" i="8"/>
  <c r="BF6" i="8"/>
  <c r="BE6" i="8"/>
  <c r="BC6" i="8"/>
  <c r="BB6" i="8"/>
  <c r="BH6" i="8" s="1"/>
  <c r="AY6" i="8"/>
  <c r="AX6" i="8" s="1"/>
  <c r="AU6" i="8"/>
  <c r="AT6" i="8"/>
  <c r="AR6" i="8"/>
  <c r="AQ6" i="8" s="1"/>
  <c r="AN6" i="8"/>
  <c r="AO6" i="8" s="1"/>
  <c r="AM6" i="8"/>
  <c r="AK6" i="8"/>
  <c r="AJ6" i="8"/>
  <c r="AH6" i="8"/>
  <c r="AG6" i="8"/>
  <c r="AD6" i="8"/>
  <c r="AC6" i="8" s="1"/>
  <c r="Z6" i="8"/>
  <c r="AF6" i="8" s="1"/>
  <c r="W6" i="8"/>
  <c r="V6" i="8" s="1"/>
  <c r="S6" i="8"/>
  <c r="Q6" i="8"/>
  <c r="O6" i="8" s="1"/>
  <c r="P6" i="8"/>
  <c r="L6" i="8"/>
  <c r="J6" i="8"/>
  <c r="CQ5" i="8"/>
  <c r="CO5" i="8"/>
  <c r="CN5" i="8" s="1"/>
  <c r="CK5" i="8"/>
  <c r="CH5" i="8"/>
  <c r="CG5" i="8" s="1"/>
  <c r="CD5" i="8"/>
  <c r="CJ5" i="8" s="1"/>
  <c r="CA5" i="8"/>
  <c r="BZ5" i="8"/>
  <c r="BW5" i="8"/>
  <c r="CC5" i="8" s="1"/>
  <c r="BT5" i="8"/>
  <c r="BS5" i="8" s="1"/>
  <c r="BP5" i="8"/>
  <c r="BM5" i="8"/>
  <c r="BL5" i="8" s="1"/>
  <c r="BI5" i="8"/>
  <c r="BH5" i="8"/>
  <c r="BF5" i="8"/>
  <c r="BE5" i="8" s="1"/>
  <c r="BB5" i="8"/>
  <c r="BC5" i="8" s="1"/>
  <c r="AY5" i="8"/>
  <c r="AX5" i="8" s="1"/>
  <c r="AU5" i="8"/>
  <c r="BA5" i="8" s="1"/>
  <c r="AR5" i="8"/>
  <c r="AQ5" i="8" s="1"/>
  <c r="AN5" i="8"/>
  <c r="AL5" i="8"/>
  <c r="AG5" i="8"/>
  <c r="AE5" i="8"/>
  <c r="AE4" i="8" s="1"/>
  <c r="AD5" i="8"/>
  <c r="Z5" i="8"/>
  <c r="Y5" i="8"/>
  <c r="W5" i="8"/>
  <c r="V5" i="8" s="1"/>
  <c r="S5" i="8"/>
  <c r="T5" i="8" s="1"/>
  <c r="Q5" i="8"/>
  <c r="Q4" i="8" s="1"/>
  <c r="P4" i="8" s="1"/>
  <c r="P5" i="8"/>
  <c r="O5" i="8"/>
  <c r="L5" i="8"/>
  <c r="R5" i="8" s="1"/>
  <c r="CO4" i="8"/>
  <c r="CO55" i="8" s="1"/>
  <c r="CO58" i="8" s="1"/>
  <c r="CN4" i="8"/>
  <c r="CK4" i="8"/>
  <c r="CQ4" i="8" s="1"/>
  <c r="CH4" i="8"/>
  <c r="CG4" i="8"/>
  <c r="CD4" i="8"/>
  <c r="CA4" i="8"/>
  <c r="BW4" i="8"/>
  <c r="BV4" i="8"/>
  <c r="BT4" i="8"/>
  <c r="BT55" i="8" s="1"/>
  <c r="BT58" i="8" s="1"/>
  <c r="BS4" i="8"/>
  <c r="BP4" i="8"/>
  <c r="BM4" i="8"/>
  <c r="BM55" i="8" s="1"/>
  <c r="BM58" i="8" s="1"/>
  <c r="BL4" i="8"/>
  <c r="BI4" i="8"/>
  <c r="BO4" i="8" s="1"/>
  <c r="BF4" i="8"/>
  <c r="BE4" i="8"/>
  <c r="BB4" i="8"/>
  <c r="BB55" i="8" s="1"/>
  <c r="AY4" i="8"/>
  <c r="AU4" i="8"/>
  <c r="AU55" i="8" s="1"/>
  <c r="AU58" i="8" s="1"/>
  <c r="AT4" i="8"/>
  <c r="AR4" i="8"/>
  <c r="AN4" i="8"/>
  <c r="AL4" i="8"/>
  <c r="AK4" i="8" s="1"/>
  <c r="AH4" i="8"/>
  <c r="AG4" i="8"/>
  <c r="AA4" i="8"/>
  <c r="Z4" i="8"/>
  <c r="X4" i="8"/>
  <c r="W4" i="8"/>
  <c r="V4" i="8"/>
  <c r="S4" i="8"/>
  <c r="L4" i="8"/>
  <c r="AM77" i="7"/>
  <c r="Y77" i="7"/>
  <c r="AM76" i="7"/>
  <c r="Y76" i="7"/>
  <c r="AM75" i="7"/>
  <c r="AF75" i="7"/>
  <c r="Y75" i="7"/>
  <c r="Y73" i="7"/>
  <c r="AM72" i="7"/>
  <c r="AF72" i="7"/>
  <c r="Y72" i="7"/>
  <c r="R71" i="7"/>
  <c r="AF69" i="7"/>
  <c r="Y69" i="7"/>
  <c r="AM68" i="7"/>
  <c r="AF68" i="7"/>
  <c r="R68" i="7"/>
  <c r="R67" i="7"/>
  <c r="AM66" i="7"/>
  <c r="AM65" i="7"/>
  <c r="Y65" i="7"/>
  <c r="R65" i="7"/>
  <c r="AM64" i="7"/>
  <c r="Y64" i="7"/>
  <c r="R64" i="7"/>
  <c r="AM63" i="7"/>
  <c r="AF63" i="7"/>
  <c r="Y63" i="7"/>
  <c r="R63" i="7"/>
  <c r="AM62" i="7"/>
  <c r="AF62" i="7"/>
  <c r="Y62" i="7"/>
  <c r="R62" i="7"/>
  <c r="AM61" i="7"/>
  <c r="AM79" i="7" s="1"/>
  <c r="AF61" i="7"/>
  <c r="Y61" i="7"/>
  <c r="Y79" i="7" s="1"/>
  <c r="R61" i="7"/>
  <c r="BN59" i="7"/>
  <c r="CP58" i="7"/>
  <c r="BU58" i="7"/>
  <c r="BU59" i="7" s="1"/>
  <c r="BN58" i="7"/>
  <c r="CQ57" i="7"/>
  <c r="CO57" i="7"/>
  <c r="CN57" i="7" s="1"/>
  <c r="CK57" i="7"/>
  <c r="CH57" i="7"/>
  <c r="CG57" i="7"/>
  <c r="CD57" i="7"/>
  <c r="CJ57" i="7" s="1"/>
  <c r="CA57" i="7"/>
  <c r="BZ57" i="7"/>
  <c r="BW57" i="7"/>
  <c r="CC57" i="7" s="1"/>
  <c r="BT57" i="7"/>
  <c r="BS57" i="7" s="1"/>
  <c r="BP57" i="7"/>
  <c r="BM57" i="7"/>
  <c r="BL57" i="7" s="1"/>
  <c r="BI57" i="7"/>
  <c r="BO57" i="7" s="1"/>
  <c r="BF57" i="7"/>
  <c r="BE57" i="7" s="1"/>
  <c r="BB57" i="7"/>
  <c r="AY57" i="7"/>
  <c r="AX57" i="7" s="1"/>
  <c r="AU57" i="7"/>
  <c r="BA57" i="7" s="1"/>
  <c r="AR57" i="7"/>
  <c r="AQ57" i="7" s="1"/>
  <c r="AN57" i="7"/>
  <c r="AM57" i="7"/>
  <c r="AK57" i="7"/>
  <c r="AJ57" i="7" s="1"/>
  <c r="AG57" i="7"/>
  <c r="AE57" i="7"/>
  <c r="AD57" i="7"/>
  <c r="AC57" i="7" s="1"/>
  <c r="Z57" i="7"/>
  <c r="AF57" i="7" s="1"/>
  <c r="W57" i="7"/>
  <c r="T57" i="7"/>
  <c r="S57" i="7"/>
  <c r="Y57" i="7" s="1"/>
  <c r="R57" i="7"/>
  <c r="P57" i="7"/>
  <c r="O57" i="7" s="1"/>
  <c r="L57" i="7"/>
  <c r="J57" i="7"/>
  <c r="CO56" i="7"/>
  <c r="CN56" i="7"/>
  <c r="CK56" i="7"/>
  <c r="CQ56" i="7" s="1"/>
  <c r="CH56" i="7"/>
  <c r="CG56" i="7"/>
  <c r="CD56" i="7"/>
  <c r="CA56" i="7"/>
  <c r="BZ56" i="7" s="1"/>
  <c r="BW56" i="7"/>
  <c r="CC56" i="7" s="1"/>
  <c r="BT56" i="7"/>
  <c r="BS56" i="7"/>
  <c r="BQ56" i="7"/>
  <c r="BP56" i="7"/>
  <c r="BV56" i="7" s="1"/>
  <c r="BM56" i="7"/>
  <c r="BL56" i="7"/>
  <c r="BI56" i="7"/>
  <c r="BJ56" i="7" s="1"/>
  <c r="BF56" i="7"/>
  <c r="BE56" i="7"/>
  <c r="BB56" i="7"/>
  <c r="AY56" i="7"/>
  <c r="AX56" i="7"/>
  <c r="AU56" i="7"/>
  <c r="BA56" i="7" s="1"/>
  <c r="AR56" i="7"/>
  <c r="AQ56" i="7" s="1"/>
  <c r="AN56" i="7"/>
  <c r="AL56" i="7"/>
  <c r="AK56" i="7"/>
  <c r="AJ56" i="7"/>
  <c r="AG56" i="7"/>
  <c r="AM56" i="7" s="1"/>
  <c r="AE56" i="7"/>
  <c r="Z56" i="7"/>
  <c r="W56" i="7"/>
  <c r="V56" i="7" s="1"/>
  <c r="S56" i="7"/>
  <c r="P56" i="7"/>
  <c r="O56" i="7" s="1"/>
  <c r="L56" i="7"/>
  <c r="CP55" i="7"/>
  <c r="CI55" i="7"/>
  <c r="CI58" i="7" s="1"/>
  <c r="CB55" i="7"/>
  <c r="BU55" i="7"/>
  <c r="BN55" i="7"/>
  <c r="BG55" i="7"/>
  <c r="BG58" i="7" s="1"/>
  <c r="AZ55" i="7"/>
  <c r="AZ58" i="7" s="1"/>
  <c r="AZ59" i="7" s="1"/>
  <c r="AS55" i="7"/>
  <c r="AS58" i="7" s="1"/>
  <c r="AS59" i="7" s="1"/>
  <c r="CO54" i="7"/>
  <c r="CN54" i="7"/>
  <c r="CK54" i="7"/>
  <c r="CQ54" i="7" s="1"/>
  <c r="CH54" i="7"/>
  <c r="CG54" i="7"/>
  <c r="CE54" i="7"/>
  <c r="CD54" i="7"/>
  <c r="CA54" i="7"/>
  <c r="BZ54" i="7"/>
  <c r="BW54" i="7"/>
  <c r="BT54" i="7"/>
  <c r="BS54" i="7"/>
  <c r="BQ54" i="7"/>
  <c r="BP54" i="7"/>
  <c r="BV54" i="7" s="1"/>
  <c r="BM54" i="7"/>
  <c r="BL54" i="7" s="1"/>
  <c r="BI54" i="7"/>
  <c r="BF54" i="7"/>
  <c r="BE54" i="7"/>
  <c r="BB54" i="7"/>
  <c r="AY54" i="7"/>
  <c r="AX54" i="7" s="1"/>
  <c r="AU54" i="7"/>
  <c r="AR54" i="7"/>
  <c r="AQ54" i="7" s="1"/>
  <c r="AN54" i="7"/>
  <c r="AT54" i="7" s="1"/>
  <c r="AK54" i="7"/>
  <c r="AJ54" i="7" s="1"/>
  <c r="AG54" i="7"/>
  <c r="AM54" i="7" s="1"/>
  <c r="AD54" i="7"/>
  <c r="AC54" i="7" s="1"/>
  <c r="AA54" i="7"/>
  <c r="Z54" i="7"/>
  <c r="AF54" i="7" s="1"/>
  <c r="X54" i="7"/>
  <c r="S54" i="7"/>
  <c r="R54" i="7"/>
  <c r="P54" i="7"/>
  <c r="O54" i="7" s="1"/>
  <c r="L54" i="7"/>
  <c r="CO53" i="7"/>
  <c r="CN53" i="7"/>
  <c r="CK53" i="7"/>
  <c r="CH53" i="7"/>
  <c r="CG53" i="7" s="1"/>
  <c r="CD53" i="7"/>
  <c r="CA53" i="7"/>
  <c r="BZ53" i="7"/>
  <c r="BW53" i="7"/>
  <c r="CC53" i="7" s="1"/>
  <c r="BT53" i="7"/>
  <c r="BS53" i="7" s="1"/>
  <c r="BP53" i="7"/>
  <c r="BO53" i="7"/>
  <c r="BM53" i="7"/>
  <c r="BL53" i="7"/>
  <c r="BI53" i="7"/>
  <c r="BF53" i="7"/>
  <c r="BE53" i="7" s="1"/>
  <c r="BB53" i="7"/>
  <c r="AY53" i="7"/>
  <c r="AX53" i="7" s="1"/>
  <c r="AU53" i="7"/>
  <c r="BA53" i="7" s="1"/>
  <c r="AR53" i="7"/>
  <c r="AQ53" i="7" s="1"/>
  <c r="AO53" i="7"/>
  <c r="AN53" i="7"/>
  <c r="AM53" i="7"/>
  <c r="AK53" i="7"/>
  <c r="AJ53" i="7"/>
  <c r="AG53" i="7"/>
  <c r="AE53" i="7"/>
  <c r="Z53" i="7"/>
  <c r="W53" i="7"/>
  <c r="T53" i="7"/>
  <c r="S53" i="7"/>
  <c r="Y53" i="7" s="1"/>
  <c r="P53" i="7"/>
  <c r="O53" i="7"/>
  <c r="L53" i="7"/>
  <c r="B53" i="7" s="1"/>
  <c r="CQ52" i="7"/>
  <c r="CO52" i="7"/>
  <c r="CN52" i="7"/>
  <c r="CL52" i="7"/>
  <c r="CK52" i="7"/>
  <c r="CH52" i="7"/>
  <c r="CG52" i="7" s="1"/>
  <c r="CD52" i="7"/>
  <c r="CJ52" i="7" s="1"/>
  <c r="CA52" i="7"/>
  <c r="BZ52" i="7" s="1"/>
  <c r="BX52" i="7"/>
  <c r="BW52" i="7"/>
  <c r="CC52" i="7" s="1"/>
  <c r="BT52" i="7"/>
  <c r="BS52" i="7" s="1"/>
  <c r="BP52" i="7"/>
  <c r="BV52" i="7" s="1"/>
  <c r="BM52" i="7"/>
  <c r="BL52" i="7"/>
  <c r="BI52" i="7"/>
  <c r="BH52" i="7"/>
  <c r="BF52" i="7"/>
  <c r="BE52" i="7" s="1"/>
  <c r="BB52" i="7"/>
  <c r="AY52" i="7"/>
  <c r="AX52" i="7" s="1"/>
  <c r="AU52" i="7"/>
  <c r="AR52" i="7"/>
  <c r="AQ52" i="7" s="1"/>
  <c r="AN52" i="7"/>
  <c r="AT52" i="7" s="1"/>
  <c r="AL52" i="7"/>
  <c r="AK52" i="7"/>
  <c r="AJ52" i="7" s="1"/>
  <c r="AG52" i="7"/>
  <c r="AM52" i="7" s="1"/>
  <c r="AE52" i="7"/>
  <c r="Z52" i="7"/>
  <c r="AF52" i="7" s="1"/>
  <c r="X52" i="7"/>
  <c r="S52" i="7"/>
  <c r="P52" i="7"/>
  <c r="L52" i="7"/>
  <c r="CO51" i="7"/>
  <c r="CN51" i="7"/>
  <c r="CK51" i="7"/>
  <c r="CQ51" i="7" s="1"/>
  <c r="CJ51" i="7"/>
  <c r="CH51" i="7"/>
  <c r="CG51" i="7"/>
  <c r="CD51" i="7"/>
  <c r="CA51" i="7"/>
  <c r="BZ51" i="7"/>
  <c r="BW51" i="7"/>
  <c r="BT51" i="7"/>
  <c r="BS51" i="7" s="1"/>
  <c r="BP51" i="7"/>
  <c r="BO51" i="7"/>
  <c r="BM51" i="7"/>
  <c r="BL51" i="7" s="1"/>
  <c r="BI51" i="7"/>
  <c r="BF51" i="7"/>
  <c r="BE51" i="7"/>
  <c r="BB51" i="7"/>
  <c r="AY51" i="7"/>
  <c r="AX51" i="7" s="1"/>
  <c r="AU51" i="7"/>
  <c r="AR51" i="7"/>
  <c r="AQ51" i="7" s="1"/>
  <c r="AN51" i="7"/>
  <c r="AM51" i="7"/>
  <c r="AL51" i="7"/>
  <c r="AK51" i="7"/>
  <c r="AJ51" i="7"/>
  <c r="AG51" i="7"/>
  <c r="AE51" i="7"/>
  <c r="AD51" i="7"/>
  <c r="AC51" i="7" s="1"/>
  <c r="Z51" i="7"/>
  <c r="Y51" i="7"/>
  <c r="X51" i="7"/>
  <c r="W51" i="7" s="1"/>
  <c r="T51" i="7"/>
  <c r="S51" i="7"/>
  <c r="Q51" i="7"/>
  <c r="P51" i="7"/>
  <c r="O51" i="7" s="1"/>
  <c r="L51" i="7"/>
  <c r="CO50" i="7"/>
  <c r="CN50" i="7"/>
  <c r="CK50" i="7"/>
  <c r="CH50" i="7"/>
  <c r="CG50" i="7"/>
  <c r="CD50" i="7"/>
  <c r="CA50" i="7"/>
  <c r="BZ50" i="7" s="1"/>
  <c r="BW50" i="7"/>
  <c r="BV50" i="7"/>
  <c r="BT50" i="7"/>
  <c r="BS50" i="7"/>
  <c r="BP50" i="7"/>
  <c r="BM50" i="7"/>
  <c r="BL50" i="7" s="1"/>
  <c r="BI50" i="7"/>
  <c r="BF50" i="7"/>
  <c r="BE50" i="7"/>
  <c r="BB50" i="7"/>
  <c r="AY50" i="7"/>
  <c r="AX50" i="7" s="1"/>
  <c r="AU50" i="7"/>
  <c r="AR50" i="7"/>
  <c r="AQ50" i="7" s="1"/>
  <c r="AN50" i="7"/>
  <c r="AT50" i="7" s="1"/>
  <c r="AL50" i="7"/>
  <c r="AK50" i="7"/>
  <c r="AG50" i="7"/>
  <c r="AE50" i="7"/>
  <c r="Z50" i="7"/>
  <c r="X50" i="7"/>
  <c r="W50" i="7"/>
  <c r="V50" i="7" s="1"/>
  <c r="S50" i="7"/>
  <c r="Q50" i="7"/>
  <c r="P50" i="7"/>
  <c r="O50" i="7" s="1"/>
  <c r="L50" i="7"/>
  <c r="CO49" i="7"/>
  <c r="CN49" i="7"/>
  <c r="CK49" i="7"/>
  <c r="CQ49" i="7" s="1"/>
  <c r="CH49" i="7"/>
  <c r="CG49" i="7" s="1"/>
  <c r="CD49" i="7"/>
  <c r="CJ49" i="7" s="1"/>
  <c r="CC49" i="7"/>
  <c r="CA49" i="7"/>
  <c r="BZ49" i="7"/>
  <c r="BW49" i="7"/>
  <c r="BT49" i="7"/>
  <c r="BS49" i="7"/>
  <c r="BP49" i="7"/>
  <c r="BM49" i="7"/>
  <c r="BL49" i="7"/>
  <c r="BI49" i="7"/>
  <c r="BO49" i="7" s="1"/>
  <c r="BF49" i="7"/>
  <c r="BE49" i="7" s="1"/>
  <c r="BB49" i="7"/>
  <c r="BH49" i="7" s="1"/>
  <c r="AY49" i="7"/>
  <c r="AX49" i="7" s="1"/>
  <c r="AU49" i="7"/>
  <c r="AR49" i="7"/>
  <c r="AQ49" i="7"/>
  <c r="AN49" i="7"/>
  <c r="AL49" i="7"/>
  <c r="AK49" i="7"/>
  <c r="AJ49" i="7" s="1"/>
  <c r="AG49" i="7"/>
  <c r="Z49" i="7"/>
  <c r="X49" i="7"/>
  <c r="S49" i="7"/>
  <c r="L49" i="7"/>
  <c r="CO48" i="7"/>
  <c r="CN48" i="7"/>
  <c r="CK48" i="7"/>
  <c r="CH48" i="7"/>
  <c r="CG48" i="7"/>
  <c r="CD48" i="7"/>
  <c r="CA48" i="7"/>
  <c r="BZ48" i="7"/>
  <c r="BW48" i="7"/>
  <c r="BT48" i="7"/>
  <c r="BS48" i="7" s="1"/>
  <c r="BP48" i="7"/>
  <c r="BM48" i="7"/>
  <c r="BL48" i="7"/>
  <c r="BI48" i="7"/>
  <c r="BF48" i="7"/>
  <c r="BE48" i="7"/>
  <c r="BB48" i="7"/>
  <c r="AY48" i="7"/>
  <c r="AX48" i="7" s="1"/>
  <c r="AU48" i="7"/>
  <c r="BA48" i="7" s="1"/>
  <c r="AT48" i="7"/>
  <c r="AR48" i="7"/>
  <c r="AQ48" i="7" s="1"/>
  <c r="AN48" i="7"/>
  <c r="AL48" i="7"/>
  <c r="AK48" i="7"/>
  <c r="AJ48" i="7"/>
  <c r="AG48" i="7"/>
  <c r="AE48" i="7"/>
  <c r="Z48" i="7"/>
  <c r="X48" i="7"/>
  <c r="W48" i="7"/>
  <c r="S48" i="7"/>
  <c r="T48" i="7" s="1"/>
  <c r="Q48" i="7"/>
  <c r="P48" i="7"/>
  <c r="O48" i="7" s="1"/>
  <c r="L48" i="7"/>
  <c r="CO47" i="7"/>
  <c r="CN47" i="7"/>
  <c r="CK47" i="7"/>
  <c r="CH47" i="7"/>
  <c r="CG47" i="7"/>
  <c r="CD47" i="7"/>
  <c r="CJ47" i="7" s="1"/>
  <c r="CA47" i="7"/>
  <c r="BZ47" i="7" s="1"/>
  <c r="BX47" i="7"/>
  <c r="BW47" i="7"/>
  <c r="BV47" i="7"/>
  <c r="BT47" i="7"/>
  <c r="BS47" i="7"/>
  <c r="BP47" i="7"/>
  <c r="BM47" i="7"/>
  <c r="BL47" i="7" s="1"/>
  <c r="BI47" i="7"/>
  <c r="BF47" i="7"/>
  <c r="BE47" i="7"/>
  <c r="BB47" i="7"/>
  <c r="BH47" i="7" s="1"/>
  <c r="AY47" i="7"/>
  <c r="AX47" i="7" s="1"/>
  <c r="AU47" i="7"/>
  <c r="AT47" i="7"/>
  <c r="AR47" i="7"/>
  <c r="AQ47" i="7" s="1"/>
  <c r="AN47" i="7"/>
  <c r="AK47" i="7"/>
  <c r="AJ47" i="7" s="1"/>
  <c r="AG47" i="7"/>
  <c r="AD47" i="7"/>
  <c r="AC47" i="7" s="1"/>
  <c r="AA47" i="7"/>
  <c r="Z47" i="7"/>
  <c r="AF47" i="7" s="1"/>
  <c r="W47" i="7"/>
  <c r="V47" i="7" s="1"/>
  <c r="T47" i="7"/>
  <c r="S47" i="7"/>
  <c r="R47" i="7"/>
  <c r="P47" i="7"/>
  <c r="O47" i="7" s="1"/>
  <c r="L47" i="7"/>
  <c r="J47" i="7"/>
  <c r="CO46" i="7"/>
  <c r="CN46" i="7"/>
  <c r="CK46" i="7"/>
  <c r="CH46" i="7"/>
  <c r="CG46" i="7"/>
  <c r="CD46" i="7"/>
  <c r="CA46" i="7"/>
  <c r="BZ46" i="7"/>
  <c r="BW46" i="7"/>
  <c r="BT46" i="7"/>
  <c r="BS46" i="7" s="1"/>
  <c r="BP46" i="7"/>
  <c r="BM46" i="7"/>
  <c r="BL46" i="7"/>
  <c r="BI46" i="7"/>
  <c r="BF46" i="7"/>
  <c r="BE46" i="7"/>
  <c r="BB46" i="7"/>
  <c r="AY46" i="7"/>
  <c r="AX46" i="7" s="1"/>
  <c r="AU46" i="7"/>
  <c r="BA46" i="7" s="1"/>
  <c r="AT46" i="7"/>
  <c r="AR46" i="7"/>
  <c r="AQ46" i="7" s="1"/>
  <c r="AN46" i="7"/>
  <c r="AK46" i="7"/>
  <c r="AJ46" i="7"/>
  <c r="AG46" i="7"/>
  <c r="AF46" i="7"/>
  <c r="AD46" i="7"/>
  <c r="Z46" i="7"/>
  <c r="W46" i="7"/>
  <c r="V46" i="7" s="1"/>
  <c r="T46" i="7"/>
  <c r="S46" i="7"/>
  <c r="Y46" i="7" s="1"/>
  <c r="P46" i="7"/>
  <c r="O46" i="7" s="1"/>
  <c r="L46" i="7"/>
  <c r="J46" i="7"/>
  <c r="CO45" i="7"/>
  <c r="CN45" i="7" s="1"/>
  <c r="CK45" i="7"/>
  <c r="CH45" i="7"/>
  <c r="CG45" i="7"/>
  <c r="CD45" i="7"/>
  <c r="CA45" i="7"/>
  <c r="BZ45" i="7"/>
  <c r="BW45" i="7"/>
  <c r="BT45" i="7"/>
  <c r="BS45" i="7"/>
  <c r="BP45" i="7"/>
  <c r="BM45" i="7"/>
  <c r="BL45" i="7" s="1"/>
  <c r="BI45" i="7"/>
  <c r="BF45" i="7"/>
  <c r="BE45" i="7" s="1"/>
  <c r="BB45" i="7"/>
  <c r="AY45" i="7"/>
  <c r="AX45" i="7" s="1"/>
  <c r="AU45" i="7"/>
  <c r="BA45" i="7" s="1"/>
  <c r="AR45" i="7"/>
  <c r="AQ45" i="7" s="1"/>
  <c r="AN45" i="7"/>
  <c r="AT45" i="7" s="1"/>
  <c r="AK45" i="7"/>
  <c r="AJ45" i="7" s="1"/>
  <c r="AG45" i="7"/>
  <c r="AF45" i="7"/>
  <c r="AD45" i="7"/>
  <c r="AC45" i="7" s="1"/>
  <c r="Z45" i="7"/>
  <c r="W45" i="7"/>
  <c r="V45" i="7"/>
  <c r="S45" i="7"/>
  <c r="P45" i="7"/>
  <c r="O45" i="7"/>
  <c r="L45" i="7"/>
  <c r="J45" i="7"/>
  <c r="CO44" i="7"/>
  <c r="CN44" i="7"/>
  <c r="CK44" i="7"/>
  <c r="CQ44" i="7" s="1"/>
  <c r="CJ44" i="7"/>
  <c r="CH44" i="7"/>
  <c r="CG44" i="7" s="1"/>
  <c r="CD44" i="7"/>
  <c r="CA44" i="7"/>
  <c r="BZ44" i="7"/>
  <c r="BW44" i="7"/>
  <c r="BT44" i="7"/>
  <c r="BS44" i="7" s="1"/>
  <c r="BP44" i="7"/>
  <c r="BM44" i="7"/>
  <c r="BL44" i="7"/>
  <c r="BI44" i="7"/>
  <c r="BF44" i="7"/>
  <c r="BE44" i="7" s="1"/>
  <c r="BB44" i="7"/>
  <c r="AY44" i="7"/>
  <c r="AX44" i="7" s="1"/>
  <c r="AU44" i="7"/>
  <c r="AR44" i="7"/>
  <c r="AQ44" i="7" s="1"/>
  <c r="AN44" i="7"/>
  <c r="AK44" i="7"/>
  <c r="AJ44" i="7" s="1"/>
  <c r="AG44" i="7"/>
  <c r="AM44" i="7" s="1"/>
  <c r="AD44" i="7"/>
  <c r="AC44" i="7" s="1"/>
  <c r="Z44" i="7"/>
  <c r="Y44" i="7"/>
  <c r="W44" i="7"/>
  <c r="V44" i="7" s="1"/>
  <c r="S44" i="7"/>
  <c r="P44" i="7"/>
  <c r="O44" i="7" s="1"/>
  <c r="L44" i="7"/>
  <c r="R44" i="7" s="1"/>
  <c r="J44" i="7"/>
  <c r="CO43" i="7"/>
  <c r="CN43" i="7"/>
  <c r="CK43" i="7"/>
  <c r="CQ43" i="7" s="1"/>
  <c r="CH43" i="7"/>
  <c r="CG43" i="7"/>
  <c r="CD43" i="7"/>
  <c r="CA43" i="7"/>
  <c r="BZ43" i="7" s="1"/>
  <c r="BW43" i="7"/>
  <c r="BT43" i="7"/>
  <c r="BS43" i="7" s="1"/>
  <c r="BP43" i="7"/>
  <c r="BV43" i="7" s="1"/>
  <c r="BM43" i="7"/>
  <c r="BL43" i="7"/>
  <c r="BI43" i="7"/>
  <c r="BF43" i="7"/>
  <c r="BE43" i="7"/>
  <c r="BB43" i="7"/>
  <c r="BH43" i="7" s="1"/>
  <c r="AY43" i="7"/>
  <c r="AX43" i="7" s="1"/>
  <c r="AU43" i="7"/>
  <c r="AR43" i="7"/>
  <c r="AQ43" i="7" s="1"/>
  <c r="AN43" i="7"/>
  <c r="AM43" i="7"/>
  <c r="AK43" i="7"/>
  <c r="AJ43" i="7" s="1"/>
  <c r="AG43" i="7"/>
  <c r="AH43" i="7" s="1"/>
  <c r="AE43" i="7"/>
  <c r="AD43" i="7"/>
  <c r="AC43" i="7" s="1"/>
  <c r="Z43" i="7"/>
  <c r="AF43" i="7" s="1"/>
  <c r="X43" i="7"/>
  <c r="W43" i="7"/>
  <c r="V43" i="7" s="1"/>
  <c r="S43" i="7"/>
  <c r="Q43" i="7"/>
  <c r="L43" i="7"/>
  <c r="J43" i="7"/>
  <c r="CO42" i="7"/>
  <c r="CN42" i="7"/>
  <c r="CK42" i="7"/>
  <c r="CQ42" i="7" s="1"/>
  <c r="CH42" i="7"/>
  <c r="CG42" i="7"/>
  <c r="CD42" i="7"/>
  <c r="CA42" i="7"/>
  <c r="BZ42" i="7"/>
  <c r="BW42" i="7"/>
  <c r="BT42" i="7"/>
  <c r="BS42" i="7"/>
  <c r="BP42" i="7"/>
  <c r="BV42" i="7" s="1"/>
  <c r="BM42" i="7"/>
  <c r="BL42" i="7"/>
  <c r="BI42" i="7"/>
  <c r="BO42" i="7" s="1"/>
  <c r="BF42" i="7"/>
  <c r="BE42" i="7" s="1"/>
  <c r="BB42" i="7"/>
  <c r="BH42" i="7" s="1"/>
  <c r="AY42" i="7"/>
  <c r="AX42" i="7" s="1"/>
  <c r="AU42" i="7"/>
  <c r="BA42" i="7" s="1"/>
  <c r="AR42" i="7"/>
  <c r="AQ42" i="7"/>
  <c r="AN42" i="7"/>
  <c r="AT42" i="7" s="1"/>
  <c r="AL42" i="7"/>
  <c r="AK42" i="7"/>
  <c r="AJ42" i="7" s="1"/>
  <c r="AG42" i="7"/>
  <c r="AE42" i="7"/>
  <c r="Z42" i="7"/>
  <c r="AA42" i="7" s="1"/>
  <c r="X42" i="7"/>
  <c r="W42" i="7"/>
  <c r="S42" i="7"/>
  <c r="Q42" i="7"/>
  <c r="J42" i="7" s="1"/>
  <c r="L42" i="7"/>
  <c r="CQ41" i="7"/>
  <c r="CO41" i="7"/>
  <c r="CN41" i="7"/>
  <c r="CK41" i="7"/>
  <c r="CJ41" i="7"/>
  <c r="CH41" i="7"/>
  <c r="CG41" i="7"/>
  <c r="CE41" i="7"/>
  <c r="CD41" i="7"/>
  <c r="CA41" i="7"/>
  <c r="BZ41" i="7"/>
  <c r="BW41" i="7"/>
  <c r="BV41" i="7"/>
  <c r="BT41" i="7"/>
  <c r="BS41" i="7"/>
  <c r="BP41" i="7"/>
  <c r="BM41" i="7"/>
  <c r="BL41" i="7"/>
  <c r="BI41" i="7"/>
  <c r="BH41" i="7"/>
  <c r="BF41" i="7"/>
  <c r="BE41" i="7" s="1"/>
  <c r="BB41" i="7"/>
  <c r="BC41" i="7" s="1"/>
  <c r="AY41" i="7"/>
  <c r="AX41" i="7" s="1"/>
  <c r="AU41" i="7"/>
  <c r="AT41" i="7"/>
  <c r="AR41" i="7"/>
  <c r="AQ41" i="7"/>
  <c r="AN41" i="7"/>
  <c r="AK41" i="7"/>
  <c r="AJ41" i="7"/>
  <c r="AG41" i="7"/>
  <c r="AF41" i="7"/>
  <c r="AD41" i="7"/>
  <c r="AC41" i="7" s="1"/>
  <c r="AA41" i="7"/>
  <c r="Z41" i="7"/>
  <c r="Y41" i="7"/>
  <c r="W41" i="7"/>
  <c r="V41" i="7"/>
  <c r="T41" i="7"/>
  <c r="S41" i="7"/>
  <c r="P41" i="7"/>
  <c r="O41" i="7"/>
  <c r="L41" i="7"/>
  <c r="R41" i="7" s="1"/>
  <c r="J41" i="7"/>
  <c r="CO40" i="7"/>
  <c r="CN40" i="7"/>
  <c r="CK40" i="7"/>
  <c r="CQ40" i="7" s="1"/>
  <c r="CH40" i="7"/>
  <c r="CG40" i="7" s="1"/>
  <c r="CD40" i="7"/>
  <c r="CC40" i="7"/>
  <c r="CA40" i="7"/>
  <c r="BZ40" i="7"/>
  <c r="BX40" i="7"/>
  <c r="BW40" i="7"/>
  <c r="BT40" i="7"/>
  <c r="BS40" i="7"/>
  <c r="BP40" i="7"/>
  <c r="BM40" i="7"/>
  <c r="BL40" i="7"/>
  <c r="BI40" i="7"/>
  <c r="BO40" i="7" s="1"/>
  <c r="BF40" i="7"/>
  <c r="BE40" i="7"/>
  <c r="BB40" i="7"/>
  <c r="BA40" i="7"/>
  <c r="AY40" i="7"/>
  <c r="AX40" i="7" s="1"/>
  <c r="AV40" i="7"/>
  <c r="AU40" i="7"/>
  <c r="AR40" i="7"/>
  <c r="AQ40" i="7" s="1"/>
  <c r="AN40" i="7"/>
  <c r="AT40" i="7" s="1"/>
  <c r="AM40" i="7"/>
  <c r="AL40" i="7"/>
  <c r="AK40" i="7"/>
  <c r="AJ40" i="7" s="1"/>
  <c r="AG40" i="7"/>
  <c r="AH40" i="7" s="1"/>
  <c r="AE40" i="7"/>
  <c r="AD40" i="7" s="1"/>
  <c r="Z40" i="7"/>
  <c r="AF40" i="7" s="1"/>
  <c r="X40" i="7"/>
  <c r="W40" i="7" s="1"/>
  <c r="T40" i="7"/>
  <c r="S40" i="7"/>
  <c r="Q40" i="7"/>
  <c r="P40" i="7"/>
  <c r="O40" i="7"/>
  <c r="L40" i="7"/>
  <c r="CO39" i="7"/>
  <c r="CN39" i="7"/>
  <c r="CK39" i="7"/>
  <c r="CH39" i="7"/>
  <c r="CG39" i="7"/>
  <c r="CD39" i="7"/>
  <c r="CJ39" i="7" s="1"/>
  <c r="CC39" i="7"/>
  <c r="CA39" i="7"/>
  <c r="BZ39" i="7" s="1"/>
  <c r="BW39" i="7"/>
  <c r="BT39" i="7"/>
  <c r="BS39" i="7"/>
  <c r="BP39" i="7"/>
  <c r="BM39" i="7"/>
  <c r="BL39" i="7"/>
  <c r="BI39" i="7"/>
  <c r="BF39" i="7"/>
  <c r="BE39" i="7" s="1"/>
  <c r="BB39" i="7"/>
  <c r="BA39" i="7"/>
  <c r="AY39" i="7"/>
  <c r="AX39" i="7" s="1"/>
  <c r="AU39" i="7"/>
  <c r="AV39" i="7" s="1"/>
  <c r="AR39" i="7"/>
  <c r="AQ39" i="7" s="1"/>
  <c r="AN39" i="7"/>
  <c r="AM39" i="7"/>
  <c r="AL39" i="7"/>
  <c r="AG39" i="7"/>
  <c r="AD39" i="7"/>
  <c r="AC39" i="7" s="1"/>
  <c r="Z39" i="7"/>
  <c r="Y39" i="7"/>
  <c r="X39" i="7"/>
  <c r="W39" i="7"/>
  <c r="V39" i="7" s="1"/>
  <c r="S39" i="7"/>
  <c r="Q39" i="7"/>
  <c r="M39" i="7"/>
  <c r="L39" i="7"/>
  <c r="CQ38" i="7"/>
  <c r="CO38" i="7"/>
  <c r="CN38" i="7" s="1"/>
  <c r="CK38" i="7"/>
  <c r="CL38" i="7" s="1"/>
  <c r="CH38" i="7"/>
  <c r="CG38" i="7"/>
  <c r="CE38" i="7"/>
  <c r="CD38" i="7"/>
  <c r="CJ38" i="7" s="1"/>
  <c r="CC38" i="7"/>
  <c r="CA38" i="7"/>
  <c r="BZ38" i="7"/>
  <c r="BW38" i="7"/>
  <c r="BT38" i="7"/>
  <c r="BS38" i="7"/>
  <c r="BP38" i="7"/>
  <c r="BO38" i="7"/>
  <c r="BM38" i="7"/>
  <c r="BL38" i="7"/>
  <c r="BI38" i="7"/>
  <c r="BJ38" i="7" s="1"/>
  <c r="BF38" i="7"/>
  <c r="BE38" i="7" s="1"/>
  <c r="BB38" i="7"/>
  <c r="BH38" i="7" s="1"/>
  <c r="BA38" i="7"/>
  <c r="AY38" i="7"/>
  <c r="AX38" i="7"/>
  <c r="AV38" i="7"/>
  <c r="AU38" i="7"/>
  <c r="AR38" i="7"/>
  <c r="AQ38" i="7" s="1"/>
  <c r="AN38" i="7"/>
  <c r="AM38" i="7"/>
  <c r="AK38" i="7"/>
  <c r="AJ38" i="7" s="1"/>
  <c r="AH38" i="7"/>
  <c r="AG38" i="7"/>
  <c r="AE38" i="7"/>
  <c r="AD38" i="7" s="1"/>
  <c r="AA38" i="7"/>
  <c r="Z38" i="7"/>
  <c r="X38" i="7"/>
  <c r="W38" i="7"/>
  <c r="V38" i="7"/>
  <c r="S38" i="7"/>
  <c r="Y38" i="7" s="1"/>
  <c r="Q38" i="7"/>
  <c r="P38" i="7"/>
  <c r="O38" i="7"/>
  <c r="L38" i="7"/>
  <c r="R38" i="7" s="1"/>
  <c r="J38" i="7"/>
  <c r="CO37" i="7"/>
  <c r="CN37" i="7"/>
  <c r="CK37" i="7"/>
  <c r="CQ37" i="7" s="1"/>
  <c r="CH37" i="7"/>
  <c r="CG37" i="7" s="1"/>
  <c r="CD37" i="7"/>
  <c r="CC37" i="7"/>
  <c r="CA37" i="7"/>
  <c r="BZ37" i="7"/>
  <c r="BW37" i="7"/>
  <c r="BT37" i="7"/>
  <c r="BS37" i="7"/>
  <c r="BP37" i="7"/>
  <c r="BM37" i="7"/>
  <c r="BL37" i="7"/>
  <c r="BI37" i="7"/>
  <c r="BO37" i="7" s="1"/>
  <c r="BF37" i="7"/>
  <c r="BE37" i="7" s="1"/>
  <c r="BB37" i="7"/>
  <c r="AY37" i="7"/>
  <c r="AX37" i="7" s="1"/>
  <c r="AU37" i="7"/>
  <c r="BA37" i="7" s="1"/>
  <c r="AR37" i="7"/>
  <c r="AQ37" i="7"/>
  <c r="AO37" i="7"/>
  <c r="AN37" i="7"/>
  <c r="AT37" i="7" s="1"/>
  <c r="AG37" i="7"/>
  <c r="Z37" i="7"/>
  <c r="S37" i="7"/>
  <c r="Q37" i="7"/>
  <c r="P37" i="7" s="1"/>
  <c r="L37" i="7"/>
  <c r="CO36" i="7"/>
  <c r="CN36" i="7" s="1"/>
  <c r="CL36" i="7"/>
  <c r="CK36" i="7"/>
  <c r="CJ36" i="7"/>
  <c r="CH36" i="7"/>
  <c r="CG36" i="7" s="1"/>
  <c r="CD36" i="7"/>
  <c r="CA36" i="7"/>
  <c r="BZ36" i="7" s="1"/>
  <c r="BX36" i="7"/>
  <c r="BW36" i="7"/>
  <c r="CC36" i="7" s="1"/>
  <c r="BT36" i="7"/>
  <c r="BS36" i="7"/>
  <c r="BP36" i="7"/>
  <c r="BV36" i="7" s="1"/>
  <c r="BM36" i="7"/>
  <c r="BL36" i="7" s="1"/>
  <c r="BI36" i="7"/>
  <c r="BH36" i="7"/>
  <c r="BF36" i="7"/>
  <c r="BE36" i="7"/>
  <c r="BB36" i="7"/>
  <c r="AY36" i="7"/>
  <c r="AX36" i="7" s="1"/>
  <c r="AU36" i="7"/>
  <c r="AR36" i="7"/>
  <c r="AQ36" i="7" s="1"/>
  <c r="AN36" i="7"/>
  <c r="AT36" i="7" s="1"/>
  <c r="AL36" i="7"/>
  <c r="AG36" i="7"/>
  <c r="AM36" i="7" s="1"/>
  <c r="AF36" i="7"/>
  <c r="AE36" i="7"/>
  <c r="AD36" i="7"/>
  <c r="Z36" i="7"/>
  <c r="X36" i="7"/>
  <c r="X37" i="7" s="1"/>
  <c r="W36" i="7"/>
  <c r="V36" i="7" s="1"/>
  <c r="S36" i="7"/>
  <c r="Q36" i="7"/>
  <c r="J36" i="7" s="1"/>
  <c r="P36" i="7"/>
  <c r="L36" i="7"/>
  <c r="CO35" i="7"/>
  <c r="CN35" i="7"/>
  <c r="CK35" i="7"/>
  <c r="CJ35" i="7"/>
  <c r="CH35" i="7"/>
  <c r="CG35" i="7"/>
  <c r="CD35" i="7"/>
  <c r="CA35" i="7"/>
  <c r="BZ35" i="7"/>
  <c r="BW35" i="7"/>
  <c r="CC35" i="7" s="1"/>
  <c r="BV35" i="7"/>
  <c r="BT35" i="7"/>
  <c r="BS35" i="7" s="1"/>
  <c r="BP35" i="7"/>
  <c r="BM35" i="7"/>
  <c r="BL35" i="7" s="1"/>
  <c r="BI35" i="7"/>
  <c r="BO35" i="7" s="1"/>
  <c r="BF35" i="7"/>
  <c r="BE35" i="7"/>
  <c r="BB35" i="7"/>
  <c r="BH35" i="7" s="1"/>
  <c r="AY35" i="7"/>
  <c r="AX35" i="7"/>
  <c r="AU35" i="7"/>
  <c r="BA35" i="7" s="1"/>
  <c r="AR35" i="7"/>
  <c r="AQ35" i="7" s="1"/>
  <c r="AN35" i="7"/>
  <c r="AM35" i="7"/>
  <c r="AK35" i="7"/>
  <c r="AJ35" i="7" s="1"/>
  <c r="AG35" i="7"/>
  <c r="AF35" i="7"/>
  <c r="AD35" i="7"/>
  <c r="AC35" i="7" s="1"/>
  <c r="Z35" i="7"/>
  <c r="W35" i="7"/>
  <c r="V35" i="7" s="1"/>
  <c r="S35" i="7"/>
  <c r="Y35" i="7" s="1"/>
  <c r="Q35" i="7"/>
  <c r="L35" i="7"/>
  <c r="E35" i="7" s="1"/>
  <c r="J35" i="7"/>
  <c r="CO34" i="7"/>
  <c r="CN34" i="7"/>
  <c r="CK34" i="7"/>
  <c r="CJ34" i="7"/>
  <c r="CH34" i="7"/>
  <c r="CG34" i="7"/>
  <c r="CD34" i="7"/>
  <c r="CA34" i="7"/>
  <c r="BZ34" i="7" s="1"/>
  <c r="BW34" i="7"/>
  <c r="CC34" i="7" s="1"/>
  <c r="BT34" i="7"/>
  <c r="BS34" i="7" s="1"/>
  <c r="BQ34" i="7"/>
  <c r="BP34" i="7"/>
  <c r="BV34" i="7" s="1"/>
  <c r="BM34" i="7"/>
  <c r="BL34" i="7"/>
  <c r="BI34" i="7"/>
  <c r="BH34" i="7"/>
  <c r="BF34" i="7"/>
  <c r="BE34" i="7"/>
  <c r="BB34" i="7"/>
  <c r="AY34" i="7"/>
  <c r="AX34" i="7" s="1"/>
  <c r="AV34" i="7"/>
  <c r="AU34" i="7"/>
  <c r="BA34" i="7" s="1"/>
  <c r="AR34" i="7"/>
  <c r="AQ34" i="7" s="1"/>
  <c r="AO34" i="7"/>
  <c r="AN34" i="7"/>
  <c r="AT34" i="7" s="1"/>
  <c r="AK34" i="7"/>
  <c r="AJ34" i="7" s="1"/>
  <c r="AG34" i="7"/>
  <c r="AD34" i="7"/>
  <c r="AC34" i="7"/>
  <c r="Z34" i="7"/>
  <c r="W34" i="7"/>
  <c r="V34" i="7" s="1"/>
  <c r="S34" i="7"/>
  <c r="Y34" i="7" s="1"/>
  <c r="Q34" i="7"/>
  <c r="L34" i="7"/>
  <c r="CO33" i="7"/>
  <c r="CN33" i="7"/>
  <c r="CK33" i="7"/>
  <c r="CQ33" i="7" s="1"/>
  <c r="CH33" i="7"/>
  <c r="CG33" i="7"/>
  <c r="CD33" i="7"/>
  <c r="CJ33" i="7" s="1"/>
  <c r="CC33" i="7"/>
  <c r="CA33" i="7"/>
  <c r="BZ33" i="7" s="1"/>
  <c r="BW33" i="7"/>
  <c r="BT33" i="7"/>
  <c r="BS33" i="7" s="1"/>
  <c r="BP33" i="7"/>
  <c r="BV33" i="7" s="1"/>
  <c r="BO33" i="7"/>
  <c r="BM33" i="7"/>
  <c r="BL33" i="7" s="1"/>
  <c r="BI33" i="7"/>
  <c r="BF33" i="7"/>
  <c r="BE33" i="7"/>
  <c r="BB33" i="7"/>
  <c r="AY33" i="7"/>
  <c r="AX33" i="7" s="1"/>
  <c r="AU33" i="7"/>
  <c r="AT33" i="7"/>
  <c r="AR33" i="7"/>
  <c r="AQ33" i="7" s="1"/>
  <c r="AN33" i="7"/>
  <c r="AK33" i="7"/>
  <c r="AJ33" i="7" s="1"/>
  <c r="AG33" i="7"/>
  <c r="AM33" i="7" s="1"/>
  <c r="AD33" i="7"/>
  <c r="AC33" i="7" s="1"/>
  <c r="Z33" i="7"/>
  <c r="AF33" i="7" s="1"/>
  <c r="W33" i="7"/>
  <c r="V33" i="7" s="1"/>
  <c r="S33" i="7"/>
  <c r="Q33" i="7"/>
  <c r="P33" i="7" s="1"/>
  <c r="L33" i="7"/>
  <c r="J33" i="7"/>
  <c r="CO32" i="7"/>
  <c r="CN32" i="7" s="1"/>
  <c r="CK32" i="7"/>
  <c r="CQ32" i="7" s="1"/>
  <c r="CJ32" i="7"/>
  <c r="CH32" i="7"/>
  <c r="CG32" i="7"/>
  <c r="CE32" i="7"/>
  <c r="CD32" i="7"/>
  <c r="CA32" i="7"/>
  <c r="BZ32" i="7"/>
  <c r="BW32" i="7"/>
  <c r="CC32" i="7" s="1"/>
  <c r="BT32" i="7"/>
  <c r="BS32" i="7"/>
  <c r="BP32" i="7"/>
  <c r="BM32" i="7"/>
  <c r="BL32" i="7" s="1"/>
  <c r="BI32" i="7"/>
  <c r="BF32" i="7"/>
  <c r="BE32" i="7"/>
  <c r="BC32" i="7"/>
  <c r="BB32" i="7"/>
  <c r="BH32" i="7" s="1"/>
  <c r="AY32" i="7"/>
  <c r="AX32" i="7" s="1"/>
  <c r="AU32" i="7"/>
  <c r="BA32" i="7" s="1"/>
  <c r="AR32" i="7"/>
  <c r="AQ32" i="7"/>
  <c r="AN32" i="7"/>
  <c r="AT32" i="7" s="1"/>
  <c r="AL32" i="7"/>
  <c r="AK32" i="7"/>
  <c r="AG32" i="7"/>
  <c r="AE32" i="7"/>
  <c r="Z32" i="7"/>
  <c r="X32" i="7"/>
  <c r="W32" i="7"/>
  <c r="S32" i="7"/>
  <c r="Q32" i="7"/>
  <c r="R32" i="7" s="1"/>
  <c r="P32" i="7"/>
  <c r="L32" i="7"/>
  <c r="M32" i="7" s="1"/>
  <c r="CQ31" i="7"/>
  <c r="CO31" i="7"/>
  <c r="CN31" i="7" s="1"/>
  <c r="CL31" i="7"/>
  <c r="CK31" i="7"/>
  <c r="CH31" i="7"/>
  <c r="CG31" i="7" s="1"/>
  <c r="CE31" i="7"/>
  <c r="CD31" i="7"/>
  <c r="CJ31" i="7" s="1"/>
  <c r="CA31" i="7"/>
  <c r="BZ31" i="7"/>
  <c r="BW31" i="7"/>
  <c r="BT31" i="7"/>
  <c r="BS31" i="7"/>
  <c r="BP31" i="7"/>
  <c r="BV31" i="7" s="1"/>
  <c r="BM31" i="7"/>
  <c r="BL31" i="7" s="1"/>
  <c r="BJ31" i="7"/>
  <c r="BI31" i="7"/>
  <c r="BO31" i="7" s="1"/>
  <c r="BF31" i="7"/>
  <c r="BE31" i="7"/>
  <c r="BB31" i="7"/>
  <c r="BH31" i="7" s="1"/>
  <c r="AY31" i="7"/>
  <c r="AX31" i="7" s="1"/>
  <c r="AU31" i="7"/>
  <c r="AT31" i="7"/>
  <c r="AR31" i="7"/>
  <c r="AQ31" i="7"/>
  <c r="AN31" i="7"/>
  <c r="AM31" i="7"/>
  <c r="AK31" i="7"/>
  <c r="AJ31" i="7" s="1"/>
  <c r="AH31" i="7"/>
  <c r="AG31" i="7"/>
  <c r="AD31" i="7"/>
  <c r="AC31" i="7" s="1"/>
  <c r="Z31" i="7"/>
  <c r="AF31" i="7" s="1"/>
  <c r="W31" i="7"/>
  <c r="V31" i="7"/>
  <c r="S31" i="7"/>
  <c r="Y31" i="7" s="1"/>
  <c r="P31" i="7"/>
  <c r="O31" i="7" s="1"/>
  <c r="L31" i="7"/>
  <c r="J31" i="7"/>
  <c r="CO30" i="7"/>
  <c r="CN30" i="7" s="1"/>
  <c r="CK30" i="7"/>
  <c r="CQ30" i="7" s="1"/>
  <c r="CJ30" i="7"/>
  <c r="CH30" i="7"/>
  <c r="CG30" i="7" s="1"/>
  <c r="CD30" i="7"/>
  <c r="CE30" i="7" s="1"/>
  <c r="CA30" i="7"/>
  <c r="BZ30" i="7" s="1"/>
  <c r="BW30" i="7"/>
  <c r="CC30" i="7" s="1"/>
  <c r="BV30" i="7"/>
  <c r="BT30" i="7"/>
  <c r="BS30" i="7"/>
  <c r="BP30" i="7"/>
  <c r="BM30" i="7"/>
  <c r="BL30" i="7"/>
  <c r="BI30" i="7"/>
  <c r="BO30" i="7" s="1"/>
  <c r="BH30" i="7"/>
  <c r="BF30" i="7"/>
  <c r="BE30" i="7" s="1"/>
  <c r="BB30" i="7"/>
  <c r="BC30" i="7" s="1"/>
  <c r="AY30" i="7"/>
  <c r="AX30" i="7" s="1"/>
  <c r="AU30" i="7"/>
  <c r="AR30" i="7"/>
  <c r="AQ30" i="7" s="1"/>
  <c r="AN30" i="7"/>
  <c r="AL30" i="7"/>
  <c r="AK30" i="7"/>
  <c r="AH30" i="7"/>
  <c r="AG30" i="7"/>
  <c r="AE30" i="7"/>
  <c r="AD30" i="7"/>
  <c r="AC30" i="7" s="1"/>
  <c r="Z30" i="7"/>
  <c r="AF30" i="7" s="1"/>
  <c r="X30" i="7"/>
  <c r="S30" i="7"/>
  <c r="R30" i="7"/>
  <c r="Q30" i="7"/>
  <c r="P30" i="7"/>
  <c r="O30" i="7" s="1"/>
  <c r="L30" i="7"/>
  <c r="J30" i="7"/>
  <c r="CQ29" i="7"/>
  <c r="CO29" i="7"/>
  <c r="CN29" i="7" s="1"/>
  <c r="CL29" i="7"/>
  <c r="CK29" i="7"/>
  <c r="CH29" i="7"/>
  <c r="CG29" i="7" s="1"/>
  <c r="CD29" i="7"/>
  <c r="CJ29" i="7" s="1"/>
  <c r="CA29" i="7"/>
  <c r="BZ29" i="7"/>
  <c r="BW29" i="7"/>
  <c r="BV29" i="7"/>
  <c r="BT29" i="7"/>
  <c r="BS29" i="7" s="1"/>
  <c r="BP29" i="7"/>
  <c r="BM29" i="7"/>
  <c r="BL29" i="7"/>
  <c r="BI29" i="7"/>
  <c r="BF29" i="7"/>
  <c r="BE29" i="7"/>
  <c r="BB29" i="7"/>
  <c r="AY29" i="7"/>
  <c r="AX29" i="7" s="1"/>
  <c r="AU29" i="7"/>
  <c r="AT29" i="7"/>
  <c r="AR29" i="7"/>
  <c r="AQ29" i="7" s="1"/>
  <c r="AN29" i="7"/>
  <c r="AK29" i="7"/>
  <c r="AJ29" i="7" s="1"/>
  <c r="AG29" i="7"/>
  <c r="AD29" i="7"/>
  <c r="AC29" i="7" s="1"/>
  <c r="Z29" i="7"/>
  <c r="AF29" i="7" s="1"/>
  <c r="W29" i="7"/>
  <c r="V29" i="7" s="1"/>
  <c r="S29" i="7"/>
  <c r="P29" i="7"/>
  <c r="O29" i="7"/>
  <c r="L29" i="7"/>
  <c r="J29" i="7"/>
  <c r="CQ28" i="7"/>
  <c r="CO28" i="7"/>
  <c r="CN28" i="7"/>
  <c r="CK28" i="7"/>
  <c r="CH28" i="7"/>
  <c r="CG28" i="7"/>
  <c r="CD28" i="7"/>
  <c r="CA28" i="7"/>
  <c r="BZ28" i="7" s="1"/>
  <c r="BW28" i="7"/>
  <c r="BT28" i="7"/>
  <c r="BS28" i="7"/>
  <c r="BQ28" i="7"/>
  <c r="BP28" i="7"/>
  <c r="BV28" i="7" s="1"/>
  <c r="BM28" i="7"/>
  <c r="BL28" i="7"/>
  <c r="BI28" i="7"/>
  <c r="BF28" i="7"/>
  <c r="BE28" i="7" s="1"/>
  <c r="BB28" i="7"/>
  <c r="BH28" i="7" s="1"/>
  <c r="AY28" i="7"/>
  <c r="AX28" i="7" s="1"/>
  <c r="AU28" i="7"/>
  <c r="AR28" i="7"/>
  <c r="AQ28" i="7" s="1"/>
  <c r="AN28" i="7"/>
  <c r="AT28" i="7" s="1"/>
  <c r="AM28" i="7"/>
  <c r="AK28" i="7"/>
  <c r="AJ28" i="7" s="1"/>
  <c r="AG28" i="7"/>
  <c r="AD28" i="7"/>
  <c r="AC28" i="7" s="1"/>
  <c r="Z28" i="7"/>
  <c r="AF28" i="7" s="1"/>
  <c r="W28" i="7"/>
  <c r="V28" i="7" s="1"/>
  <c r="S28" i="7"/>
  <c r="Y28" i="7" s="1"/>
  <c r="Q28" i="7"/>
  <c r="P28" i="7"/>
  <c r="O28" i="7" s="1"/>
  <c r="L28" i="7"/>
  <c r="J28" i="7"/>
  <c r="B28" i="7"/>
  <c r="CO27" i="7"/>
  <c r="CN27" i="7"/>
  <c r="CL27" i="7"/>
  <c r="CK27" i="7"/>
  <c r="CQ27" i="7" s="1"/>
  <c r="CH27" i="7"/>
  <c r="CG27" i="7" s="1"/>
  <c r="CD27" i="7"/>
  <c r="CC27" i="7"/>
  <c r="CA27" i="7"/>
  <c r="BZ27" i="7"/>
  <c r="BW27" i="7"/>
  <c r="BT27" i="7"/>
  <c r="BS27" i="7"/>
  <c r="BP27" i="7"/>
  <c r="BM27" i="7"/>
  <c r="BL27" i="7"/>
  <c r="BI27" i="7"/>
  <c r="BO27" i="7" s="1"/>
  <c r="BF27" i="7"/>
  <c r="BE27" i="7" s="1"/>
  <c r="BB27" i="7"/>
  <c r="BA27" i="7"/>
  <c r="AY27" i="7"/>
  <c r="AX27" i="7" s="1"/>
  <c r="AU27" i="7"/>
  <c r="AR27" i="7"/>
  <c r="AQ27" i="7"/>
  <c r="AN27" i="7"/>
  <c r="AK27" i="7"/>
  <c r="AJ27" i="7" s="1"/>
  <c r="AG27" i="7"/>
  <c r="AM27" i="7" s="1"/>
  <c r="AD27" i="7"/>
  <c r="AC27" i="7" s="1"/>
  <c r="Z27" i="7"/>
  <c r="W27" i="7"/>
  <c r="V27" i="7" s="1"/>
  <c r="S27" i="7"/>
  <c r="Q27" i="7"/>
  <c r="P27" i="7"/>
  <c r="O27" i="7" s="1"/>
  <c r="L27" i="7"/>
  <c r="J27" i="7"/>
  <c r="CO26" i="7"/>
  <c r="CN26" i="7"/>
  <c r="CK26" i="7"/>
  <c r="CQ26" i="7" s="1"/>
  <c r="CH26" i="7"/>
  <c r="CG26" i="7"/>
  <c r="CE26" i="7"/>
  <c r="CD26" i="7"/>
  <c r="CA26" i="7"/>
  <c r="BZ26" i="7"/>
  <c r="BW26" i="7"/>
  <c r="CC26" i="7" s="1"/>
  <c r="BT26" i="7"/>
  <c r="BS26" i="7" s="1"/>
  <c r="BP26" i="7"/>
  <c r="BM26" i="7"/>
  <c r="BL26" i="7" s="1"/>
  <c r="BJ26" i="7"/>
  <c r="BI26" i="7"/>
  <c r="BO26" i="7" s="1"/>
  <c r="BF26" i="7"/>
  <c r="BE26" i="7"/>
  <c r="BB26" i="7"/>
  <c r="AY26" i="7"/>
  <c r="AX26" i="7"/>
  <c r="AU26" i="7"/>
  <c r="AT26" i="7"/>
  <c r="AR26" i="7"/>
  <c r="AQ26" i="7" s="1"/>
  <c r="AN26" i="7"/>
  <c r="AK26" i="7"/>
  <c r="AJ26" i="7" s="1"/>
  <c r="AG26" i="7"/>
  <c r="AE26" i="7"/>
  <c r="AD26" i="7"/>
  <c r="AC26" i="7" s="1"/>
  <c r="Z26" i="7"/>
  <c r="X26" i="7"/>
  <c r="S26" i="7"/>
  <c r="Q26" i="7"/>
  <c r="P26" i="7"/>
  <c r="L26" i="7"/>
  <c r="CO25" i="7"/>
  <c r="CN25" i="7"/>
  <c r="CK25" i="7"/>
  <c r="CQ25" i="7" s="1"/>
  <c r="CJ25" i="7"/>
  <c r="CH25" i="7"/>
  <c r="CG25" i="7" s="1"/>
  <c r="CD25" i="7"/>
  <c r="CA25" i="7"/>
  <c r="BZ25" i="7"/>
  <c r="BW25" i="7"/>
  <c r="BV25" i="7"/>
  <c r="BT25" i="7"/>
  <c r="BS25" i="7"/>
  <c r="BP25" i="7"/>
  <c r="BM25" i="7"/>
  <c r="BL25" i="7" s="1"/>
  <c r="BI25" i="7"/>
  <c r="BF25" i="7"/>
  <c r="BE25" i="7" s="1"/>
  <c r="BB25" i="7"/>
  <c r="BA25" i="7"/>
  <c r="AY25" i="7"/>
  <c r="AX25" i="7" s="1"/>
  <c r="AU25" i="7"/>
  <c r="AR25" i="7"/>
  <c r="AQ25" i="7" s="1"/>
  <c r="AN25" i="7"/>
  <c r="AK25" i="7"/>
  <c r="AJ25" i="7" s="1"/>
  <c r="AG25" i="7"/>
  <c r="AD25" i="7"/>
  <c r="AC25" i="7" s="1"/>
  <c r="Z25" i="7"/>
  <c r="W25" i="7"/>
  <c r="V25" i="7" s="1"/>
  <c r="S25" i="7"/>
  <c r="P25" i="7"/>
  <c r="L25" i="7"/>
  <c r="J25" i="7"/>
  <c r="CO24" i="7"/>
  <c r="CN24" i="7"/>
  <c r="CK24" i="7"/>
  <c r="CQ24" i="7" s="1"/>
  <c r="CH24" i="7"/>
  <c r="CG24" i="7" s="1"/>
  <c r="CD24" i="7"/>
  <c r="CA24" i="7"/>
  <c r="BZ24" i="7" s="1"/>
  <c r="BW24" i="7"/>
  <c r="BV24" i="7"/>
  <c r="BT24" i="7"/>
  <c r="BS24" i="7"/>
  <c r="BP24" i="7"/>
  <c r="BM24" i="7"/>
  <c r="BL24" i="7"/>
  <c r="BI24" i="7"/>
  <c r="BF24" i="7"/>
  <c r="BE24" i="7" s="1"/>
  <c r="BB24" i="7"/>
  <c r="BA24" i="7"/>
  <c r="AY24" i="7"/>
  <c r="AX24" i="7" s="1"/>
  <c r="AU24" i="7"/>
  <c r="AV24" i="7" s="1"/>
  <c r="AR24" i="7"/>
  <c r="AQ24" i="7" s="1"/>
  <c r="AN24" i="7"/>
  <c r="AM24" i="7"/>
  <c r="AK24" i="7"/>
  <c r="AJ24" i="7" s="1"/>
  <c r="AG24" i="7"/>
  <c r="AD24" i="7"/>
  <c r="AC24" i="7" s="1"/>
  <c r="Z24" i="7"/>
  <c r="W24" i="7"/>
  <c r="V24" i="7" s="1"/>
  <c r="S24" i="7"/>
  <c r="Y24" i="7" s="1"/>
  <c r="P24" i="7"/>
  <c r="L24" i="7"/>
  <c r="R24" i="7" s="1"/>
  <c r="J24" i="7"/>
  <c r="CQ23" i="7"/>
  <c r="CO23" i="7"/>
  <c r="CN23" i="7"/>
  <c r="CK23" i="7"/>
  <c r="CH23" i="7"/>
  <c r="CG23" i="7" s="1"/>
  <c r="CD23" i="7"/>
  <c r="CA23" i="7"/>
  <c r="BZ23" i="7"/>
  <c r="BX23" i="7"/>
  <c r="BW23" i="7"/>
  <c r="CC23" i="7" s="1"/>
  <c r="BT23" i="7"/>
  <c r="BS23" i="7" s="1"/>
  <c r="BP23" i="7"/>
  <c r="BM23" i="7"/>
  <c r="BL23" i="7"/>
  <c r="BI23" i="7"/>
  <c r="BO23" i="7" s="1"/>
  <c r="BF23" i="7"/>
  <c r="BE23" i="7"/>
  <c r="BB23" i="7"/>
  <c r="AY23" i="7"/>
  <c r="AX23" i="7"/>
  <c r="AU23" i="7"/>
  <c r="AR23" i="7"/>
  <c r="AQ23" i="7" s="1"/>
  <c r="AN23" i="7"/>
  <c r="AK23" i="7"/>
  <c r="AJ23" i="7" s="1"/>
  <c r="AG23" i="7"/>
  <c r="AF23" i="7"/>
  <c r="AD23" i="7"/>
  <c r="AC23" i="7" s="1"/>
  <c r="Z23" i="7"/>
  <c r="W23" i="7"/>
  <c r="S23" i="7"/>
  <c r="Y23" i="7" s="1"/>
  <c r="R23" i="7"/>
  <c r="P23" i="7"/>
  <c r="O23" i="7" s="1"/>
  <c r="L23" i="7"/>
  <c r="J23" i="7"/>
  <c r="CO22" i="7"/>
  <c r="CN22" i="7" s="1"/>
  <c r="CK22" i="7"/>
  <c r="CJ22" i="7"/>
  <c r="CH22" i="7"/>
  <c r="CG22" i="7" s="1"/>
  <c r="CD22" i="7"/>
  <c r="CA22" i="7"/>
  <c r="BZ22" i="7"/>
  <c r="BW22" i="7"/>
  <c r="BT22" i="7"/>
  <c r="BS22" i="7"/>
  <c r="BP22" i="7"/>
  <c r="BV22" i="7" s="1"/>
  <c r="BM22" i="7"/>
  <c r="BL22" i="7" s="1"/>
  <c r="BI22" i="7"/>
  <c r="BH22" i="7"/>
  <c r="BF22" i="7"/>
  <c r="BE22" i="7"/>
  <c r="BB22" i="7"/>
  <c r="AY22" i="7"/>
  <c r="AX22" i="7" s="1"/>
  <c r="AU22" i="7"/>
  <c r="AR22" i="7"/>
  <c r="AQ22" i="7" s="1"/>
  <c r="AO22" i="7"/>
  <c r="AN22" i="7"/>
  <c r="AT22" i="7" s="1"/>
  <c r="AL22" i="7"/>
  <c r="AG22" i="7"/>
  <c r="AD22" i="7"/>
  <c r="AC22" i="7" s="1"/>
  <c r="Z22" i="7"/>
  <c r="AF22" i="7" s="1"/>
  <c r="W22" i="7"/>
  <c r="V22" i="7" s="1"/>
  <c r="S22" i="7"/>
  <c r="Q22" i="7"/>
  <c r="P22" i="7"/>
  <c r="O22" i="7"/>
  <c r="M22" i="7"/>
  <c r="L22" i="7"/>
  <c r="CQ21" i="7"/>
  <c r="CO21" i="7"/>
  <c r="CN21" i="7"/>
  <c r="CK21" i="7"/>
  <c r="CH21" i="7"/>
  <c r="CG21" i="7"/>
  <c r="CD21" i="7"/>
  <c r="CA21" i="7"/>
  <c r="BZ21" i="7" s="1"/>
  <c r="BW21" i="7"/>
  <c r="BT21" i="7"/>
  <c r="BS21" i="7" s="1"/>
  <c r="BP21" i="7"/>
  <c r="BV21" i="7" s="1"/>
  <c r="BM21" i="7"/>
  <c r="BL21" i="7"/>
  <c r="BJ21" i="7"/>
  <c r="BI21" i="7"/>
  <c r="BO21" i="7" s="1"/>
  <c r="BF21" i="7"/>
  <c r="BE21" i="7"/>
  <c r="BB21" i="7"/>
  <c r="BH21" i="7" s="1"/>
  <c r="BA21" i="7"/>
  <c r="AY21" i="7"/>
  <c r="AX21" i="7" s="1"/>
  <c r="AU21" i="7"/>
  <c r="AT21" i="7"/>
  <c r="AR21" i="7"/>
  <c r="AQ21" i="7" s="1"/>
  <c r="AN21" i="7"/>
  <c r="AM21" i="7"/>
  <c r="AK21" i="7"/>
  <c r="AJ21" i="7" s="1"/>
  <c r="AG21" i="7"/>
  <c r="AD21" i="7"/>
  <c r="AC21" i="7" s="1"/>
  <c r="Z21" i="7"/>
  <c r="Y21" i="7"/>
  <c r="W21" i="7"/>
  <c r="V21" i="7" s="1"/>
  <c r="S21" i="7"/>
  <c r="Q21" i="7"/>
  <c r="L21" i="7"/>
  <c r="CO20" i="7"/>
  <c r="CN20" i="7"/>
  <c r="CK20" i="7"/>
  <c r="CJ20" i="7"/>
  <c r="CH20" i="7"/>
  <c r="CG20" i="7"/>
  <c r="CD20" i="7"/>
  <c r="CE20" i="7" s="1"/>
  <c r="CA20" i="7"/>
  <c r="BZ20" i="7"/>
  <c r="BW20" i="7"/>
  <c r="CC20" i="7" s="1"/>
  <c r="BT20" i="7"/>
  <c r="BS20" i="7"/>
  <c r="BP20" i="7"/>
  <c r="BM20" i="7"/>
  <c r="BL20" i="7" s="1"/>
  <c r="BI20" i="7"/>
  <c r="BO20" i="7" s="1"/>
  <c r="BH20" i="7"/>
  <c r="BF20" i="7"/>
  <c r="BE20" i="7"/>
  <c r="BC20" i="7"/>
  <c r="BB20" i="7"/>
  <c r="AY20" i="7"/>
  <c r="AX20" i="7" s="1"/>
  <c r="AU20" i="7"/>
  <c r="BA20" i="7" s="1"/>
  <c r="AR20" i="7"/>
  <c r="AQ20" i="7" s="1"/>
  <c r="AN20" i="7"/>
  <c r="AT20" i="7" s="1"/>
  <c r="AK20" i="7"/>
  <c r="AJ20" i="7" s="1"/>
  <c r="AG20" i="7"/>
  <c r="AD20" i="7"/>
  <c r="AC20" i="7" s="1"/>
  <c r="Z20" i="7"/>
  <c r="AF20" i="7" s="1"/>
  <c r="W20" i="7"/>
  <c r="S20" i="7"/>
  <c r="Y20" i="7" s="1"/>
  <c r="P20" i="7"/>
  <c r="O20" i="7" s="1"/>
  <c r="L20" i="7"/>
  <c r="J20" i="7"/>
  <c r="CO19" i="7"/>
  <c r="CN19" i="7"/>
  <c r="CK19" i="7"/>
  <c r="CH19" i="7"/>
  <c r="CG19" i="7" s="1"/>
  <c r="CD19" i="7"/>
  <c r="CJ19" i="7" s="1"/>
  <c r="CC19" i="7"/>
  <c r="CA19" i="7"/>
  <c r="BZ19" i="7"/>
  <c r="BX19" i="7"/>
  <c r="BW19" i="7"/>
  <c r="BT19" i="7"/>
  <c r="BS19" i="7" s="1"/>
  <c r="BP19" i="7"/>
  <c r="BO19" i="7"/>
  <c r="BM19" i="7"/>
  <c r="BL19" i="7"/>
  <c r="BI19" i="7"/>
  <c r="BJ19" i="7" s="1"/>
  <c r="BF19" i="7"/>
  <c r="BE19" i="7"/>
  <c r="BB19" i="7"/>
  <c r="BA19" i="7"/>
  <c r="AY19" i="7"/>
  <c r="AX19" i="7" s="1"/>
  <c r="AU19" i="7"/>
  <c r="AR19" i="7"/>
  <c r="AQ19" i="7" s="1"/>
  <c r="AN19" i="7"/>
  <c r="AT19" i="7" s="1"/>
  <c r="AK19" i="7"/>
  <c r="AJ19" i="7" s="1"/>
  <c r="AG19" i="7"/>
  <c r="AM19" i="7" s="1"/>
  <c r="AD19" i="7"/>
  <c r="AC19" i="7" s="1"/>
  <c r="Z19" i="7"/>
  <c r="AF19" i="7" s="1"/>
  <c r="Y19" i="7"/>
  <c r="X19" i="7"/>
  <c r="S19" i="7"/>
  <c r="P19" i="7"/>
  <c r="O19" i="7" s="1"/>
  <c r="L19" i="7"/>
  <c r="E19" i="7"/>
  <c r="CQ18" i="7"/>
  <c r="CO18" i="7"/>
  <c r="CN18" i="7" s="1"/>
  <c r="CK18" i="7"/>
  <c r="CH18" i="7"/>
  <c r="CG18" i="7"/>
  <c r="CD18" i="7"/>
  <c r="CA18" i="7"/>
  <c r="BZ18" i="7" s="1"/>
  <c r="BW18" i="7"/>
  <c r="BT18" i="7"/>
  <c r="BS18" i="7"/>
  <c r="BP18" i="7"/>
  <c r="BM18" i="7"/>
  <c r="BL18" i="7"/>
  <c r="BI18" i="7"/>
  <c r="BF18" i="7"/>
  <c r="BE18" i="7"/>
  <c r="BB18" i="7"/>
  <c r="AY18" i="7"/>
  <c r="AX18" i="7" s="1"/>
  <c r="AU18" i="7"/>
  <c r="AT18" i="7"/>
  <c r="AR18" i="7"/>
  <c r="AQ18" i="7" s="1"/>
  <c r="AN18" i="7"/>
  <c r="AM18" i="7"/>
  <c r="AK18" i="7"/>
  <c r="AJ18" i="7" s="1"/>
  <c r="AG18" i="7"/>
  <c r="AD18" i="7"/>
  <c r="AC18" i="7"/>
  <c r="Z18" i="7"/>
  <c r="AF18" i="7" s="1"/>
  <c r="W18" i="7"/>
  <c r="V18" i="7" s="1"/>
  <c r="S18" i="7"/>
  <c r="R18" i="7"/>
  <c r="P18" i="7"/>
  <c r="L18" i="7"/>
  <c r="J18" i="7"/>
  <c r="CQ17" i="7"/>
  <c r="CO17" i="7"/>
  <c r="CN17" i="7"/>
  <c r="CK17" i="7"/>
  <c r="CH17" i="7"/>
  <c r="CG17" i="7" s="1"/>
  <c r="CD17" i="7"/>
  <c r="CJ17" i="7" s="1"/>
  <c r="CA17" i="7"/>
  <c r="BZ17" i="7"/>
  <c r="BX17" i="7"/>
  <c r="BW17" i="7"/>
  <c r="CC17" i="7" s="1"/>
  <c r="BT17" i="7"/>
  <c r="BS17" i="7" s="1"/>
  <c r="BP17" i="7"/>
  <c r="BM17" i="7"/>
  <c r="BL17" i="7" s="1"/>
  <c r="BI17" i="7"/>
  <c r="BO17" i="7" s="1"/>
  <c r="BF17" i="7"/>
  <c r="BE17" i="7" s="1"/>
  <c r="BB17" i="7"/>
  <c r="BH17" i="7" s="1"/>
  <c r="AY17" i="7"/>
  <c r="AX17" i="7"/>
  <c r="AU17" i="7"/>
  <c r="AT17" i="7"/>
  <c r="AR17" i="7"/>
  <c r="AQ17" i="7" s="1"/>
  <c r="AO17" i="7"/>
  <c r="AN17" i="7"/>
  <c r="AL17" i="7"/>
  <c r="J17" i="7" s="1"/>
  <c r="AK17" i="7"/>
  <c r="AJ17" i="7" s="1"/>
  <c r="AG17" i="7"/>
  <c r="AF17" i="7"/>
  <c r="AD17" i="7"/>
  <c r="AC17" i="7" s="1"/>
  <c r="Z17" i="7"/>
  <c r="AA17" i="7" s="1"/>
  <c r="W17" i="7"/>
  <c r="V17" i="7" s="1"/>
  <c r="T17" i="7"/>
  <c r="S17" i="7"/>
  <c r="Y17" i="7" s="1"/>
  <c r="P17" i="7"/>
  <c r="O17" i="7" s="1"/>
  <c r="L17" i="7"/>
  <c r="R17" i="7" s="1"/>
  <c r="CO16" i="7"/>
  <c r="CN16" i="7"/>
  <c r="CK16" i="7"/>
  <c r="CJ16" i="7"/>
  <c r="CH16" i="7"/>
  <c r="CG16" i="7" s="1"/>
  <c r="CD16" i="7"/>
  <c r="CC16" i="7"/>
  <c r="CA16" i="7"/>
  <c r="BZ16" i="7"/>
  <c r="BX16" i="7"/>
  <c r="BW16" i="7"/>
  <c r="BT16" i="7"/>
  <c r="BS16" i="7" s="1"/>
  <c r="BP16" i="7"/>
  <c r="BO16" i="7"/>
  <c r="BM16" i="7"/>
  <c r="BL16" i="7"/>
  <c r="BI16" i="7"/>
  <c r="BJ16" i="7" s="1"/>
  <c r="BF16" i="7"/>
  <c r="BE16" i="7"/>
  <c r="BB16" i="7"/>
  <c r="BA16" i="7"/>
  <c r="AY16" i="7"/>
  <c r="AX16" i="7" s="1"/>
  <c r="AU16" i="7"/>
  <c r="AR16" i="7"/>
  <c r="AQ16" i="7" s="1"/>
  <c r="AN16" i="7"/>
  <c r="AT16" i="7" s="1"/>
  <c r="AL16" i="7"/>
  <c r="AK16" i="7"/>
  <c r="AJ16" i="7" s="1"/>
  <c r="AG16" i="7"/>
  <c r="AE16" i="7"/>
  <c r="Z16" i="7"/>
  <c r="B16" i="7" s="1"/>
  <c r="X16" i="7"/>
  <c r="S16" i="7"/>
  <c r="Q16" i="7"/>
  <c r="J16" i="7" s="1"/>
  <c r="L16" i="7"/>
  <c r="CO15" i="7"/>
  <c r="CN15" i="7" s="1"/>
  <c r="CK15" i="7"/>
  <c r="CQ15" i="7" s="1"/>
  <c r="CH15" i="7"/>
  <c r="CG15" i="7"/>
  <c r="CD15" i="7"/>
  <c r="CA15" i="7"/>
  <c r="BZ15" i="7"/>
  <c r="BX15" i="7"/>
  <c r="BW15" i="7"/>
  <c r="CC15" i="7" s="1"/>
  <c r="BT15" i="7"/>
  <c r="BS15" i="7"/>
  <c r="BP15" i="7"/>
  <c r="BO15" i="7"/>
  <c r="BM15" i="7"/>
  <c r="BL15" i="7" s="1"/>
  <c r="BI15" i="7"/>
  <c r="BH15" i="7"/>
  <c r="BF15" i="7"/>
  <c r="BE15" i="7"/>
  <c r="BC15" i="7"/>
  <c r="BB15" i="7"/>
  <c r="AY15" i="7"/>
  <c r="AX15" i="7" s="1"/>
  <c r="AU15" i="7"/>
  <c r="BA15" i="7" s="1"/>
  <c r="AR15" i="7"/>
  <c r="AQ15" i="7"/>
  <c r="AN15" i="7"/>
  <c r="AO15" i="7" s="1"/>
  <c r="AL15" i="7"/>
  <c r="AK15" i="7"/>
  <c r="AG15" i="7"/>
  <c r="AF15" i="7"/>
  <c r="AE15" i="7"/>
  <c r="AD15" i="7" s="1"/>
  <c r="Z15" i="7"/>
  <c r="X15" i="7"/>
  <c r="S15" i="7"/>
  <c r="Q15" i="7"/>
  <c r="R15" i="7" s="1"/>
  <c r="P15" i="7"/>
  <c r="O15" i="7" s="1"/>
  <c r="M15" i="7"/>
  <c r="L15" i="7"/>
  <c r="CO14" i="7"/>
  <c r="CN14" i="7"/>
  <c r="CL14" i="7"/>
  <c r="CK14" i="7"/>
  <c r="CQ14" i="7" s="1"/>
  <c r="CH14" i="7"/>
  <c r="CG14" i="7" s="1"/>
  <c r="CD14" i="7"/>
  <c r="CA14" i="7"/>
  <c r="BZ14" i="7"/>
  <c r="BW14" i="7"/>
  <c r="BV14" i="7"/>
  <c r="BT14" i="7"/>
  <c r="BS14" i="7"/>
  <c r="BP14" i="7"/>
  <c r="BM14" i="7"/>
  <c r="BL14" i="7"/>
  <c r="BI14" i="7"/>
  <c r="BO14" i="7" s="1"/>
  <c r="BF14" i="7"/>
  <c r="BE14" i="7" s="1"/>
  <c r="BB14" i="7"/>
  <c r="BH14" i="7" s="1"/>
  <c r="AY14" i="7"/>
  <c r="AX14" i="7" s="1"/>
  <c r="AU14" i="7"/>
  <c r="BA14" i="7" s="1"/>
  <c r="AR14" i="7"/>
  <c r="AQ14" i="7" s="1"/>
  <c r="AN14" i="7"/>
  <c r="AK14" i="7"/>
  <c r="AJ14" i="7" s="1"/>
  <c r="AH14" i="7"/>
  <c r="AG14" i="7"/>
  <c r="AM14" i="7" s="1"/>
  <c r="AE14" i="7"/>
  <c r="Z14" i="7"/>
  <c r="AF14" i="7" s="1"/>
  <c r="X14" i="7"/>
  <c r="W14" i="7" s="1"/>
  <c r="V14" i="7" s="1"/>
  <c r="S14" i="7"/>
  <c r="T14" i="7" s="1"/>
  <c r="R14" i="7"/>
  <c r="Q14" i="7"/>
  <c r="P14" i="7"/>
  <c r="O14" i="7" s="1"/>
  <c r="L14" i="7"/>
  <c r="CO13" i="7"/>
  <c r="CN13" i="7"/>
  <c r="CK13" i="7"/>
  <c r="CQ13" i="7" s="1"/>
  <c r="CH13" i="7"/>
  <c r="CG13" i="7" s="1"/>
  <c r="CD13" i="7"/>
  <c r="CC13" i="7"/>
  <c r="CA13" i="7"/>
  <c r="BZ13" i="7"/>
  <c r="BW13" i="7"/>
  <c r="BT13" i="7"/>
  <c r="BS13" i="7"/>
  <c r="BP13" i="7"/>
  <c r="BM13" i="7"/>
  <c r="BL13" i="7" s="1"/>
  <c r="BI13" i="7"/>
  <c r="BH13" i="7"/>
  <c r="BF13" i="7"/>
  <c r="BE13" i="7" s="1"/>
  <c r="BC13" i="7"/>
  <c r="BB13" i="7"/>
  <c r="AY13" i="7"/>
  <c r="AX13" i="7" s="1"/>
  <c r="AU13" i="7"/>
  <c r="AR13" i="7"/>
  <c r="AQ13" i="7" s="1"/>
  <c r="AN13" i="7"/>
  <c r="AT13" i="7" s="1"/>
  <c r="AK13" i="7"/>
  <c r="AJ13" i="7" s="1"/>
  <c r="AG13" i="7"/>
  <c r="AD13" i="7"/>
  <c r="AC13" i="7" s="1"/>
  <c r="Z13" i="7"/>
  <c r="AF13" i="7" s="1"/>
  <c r="Y13" i="7"/>
  <c r="W13" i="7"/>
  <c r="V13" i="7" s="1"/>
  <c r="S13" i="7"/>
  <c r="P13" i="7"/>
  <c r="O13" i="7" s="1"/>
  <c r="L13" i="7"/>
  <c r="R13" i="7" s="1"/>
  <c r="J13" i="7"/>
  <c r="CO12" i="7"/>
  <c r="CN12" i="7"/>
  <c r="CL12" i="7"/>
  <c r="CK12" i="7"/>
  <c r="CQ12" i="7" s="1"/>
  <c r="CH12" i="7"/>
  <c r="CG12" i="7" s="1"/>
  <c r="CD12" i="7"/>
  <c r="CC12" i="7"/>
  <c r="CA12" i="7"/>
  <c r="BZ12" i="7" s="1"/>
  <c r="BW12" i="7"/>
  <c r="BX12" i="7" s="1"/>
  <c r="BT12" i="7"/>
  <c r="BS12" i="7"/>
  <c r="BP12" i="7"/>
  <c r="BM12" i="7"/>
  <c r="BL12" i="7" s="1"/>
  <c r="BI12" i="7"/>
  <c r="BF12" i="7"/>
  <c r="BE12" i="7" s="1"/>
  <c r="BB12" i="7"/>
  <c r="BH12" i="7" s="1"/>
  <c r="AY12" i="7"/>
  <c r="AX12" i="7" s="1"/>
  <c r="AU12" i="7"/>
  <c r="BA12" i="7" s="1"/>
  <c r="AT12" i="7"/>
  <c r="AR12" i="7"/>
  <c r="AQ12" i="7" s="1"/>
  <c r="AN12" i="7"/>
  <c r="AL12" i="7"/>
  <c r="AM12" i="7" s="1"/>
  <c r="AK12" i="7"/>
  <c r="AJ12" i="7"/>
  <c r="AH12" i="7"/>
  <c r="AG12" i="7"/>
  <c r="AE12" i="7"/>
  <c r="AD12" i="7" s="1"/>
  <c r="Z12" i="7"/>
  <c r="AA12" i="7" s="1"/>
  <c r="X12" i="7"/>
  <c r="W12" i="7"/>
  <c r="V12" i="7"/>
  <c r="T12" i="7"/>
  <c r="S12" i="7"/>
  <c r="Y12" i="7" s="1"/>
  <c r="Q12" i="7"/>
  <c r="P12" i="7"/>
  <c r="O12" i="7" s="1"/>
  <c r="L12" i="7"/>
  <c r="R12" i="7" s="1"/>
  <c r="CO11" i="7"/>
  <c r="CN11" i="7" s="1"/>
  <c r="CK11" i="7"/>
  <c r="CH11" i="7"/>
  <c r="CG11" i="7" s="1"/>
  <c r="CE11" i="7"/>
  <c r="CD11" i="7"/>
  <c r="CJ11" i="7" s="1"/>
  <c r="CA11" i="7"/>
  <c r="BZ11" i="7"/>
  <c r="BW11" i="7"/>
  <c r="BT11" i="7"/>
  <c r="BS11" i="7" s="1"/>
  <c r="BP11" i="7"/>
  <c r="BV11" i="7" s="1"/>
  <c r="BM11" i="7"/>
  <c r="BL11" i="7" s="1"/>
  <c r="BJ11" i="7"/>
  <c r="BI11" i="7"/>
  <c r="BO11" i="7" s="1"/>
  <c r="BF11" i="7"/>
  <c r="BE11" i="7" s="1"/>
  <c r="BC11" i="7"/>
  <c r="BB11" i="7"/>
  <c r="BH11" i="7" s="1"/>
  <c r="BA11" i="7"/>
  <c r="AY11" i="7"/>
  <c r="AX11" i="7" s="1"/>
  <c r="AU11" i="7"/>
  <c r="AT11" i="7"/>
  <c r="AR11" i="7"/>
  <c r="AQ11" i="7" s="1"/>
  <c r="AO11" i="7"/>
  <c r="AN11" i="7"/>
  <c r="AK11" i="7"/>
  <c r="AJ11" i="7" s="1"/>
  <c r="AH11" i="7"/>
  <c r="AG11" i="7"/>
  <c r="AM11" i="7" s="1"/>
  <c r="AD11" i="7"/>
  <c r="AC11" i="7" s="1"/>
  <c r="Z11" i="7"/>
  <c r="Y11" i="7"/>
  <c r="W11" i="7"/>
  <c r="V11" i="7" s="1"/>
  <c r="S11" i="7"/>
  <c r="P11" i="7"/>
  <c r="O11" i="7"/>
  <c r="L11" i="7"/>
  <c r="R11" i="7" s="1"/>
  <c r="J11" i="7"/>
  <c r="E11" i="7"/>
  <c r="K11" i="7" s="1"/>
  <c r="CO10" i="7"/>
  <c r="CN10" i="7" s="1"/>
  <c r="CK10" i="7"/>
  <c r="CH10" i="7"/>
  <c r="CG10" i="7"/>
  <c r="CD10" i="7"/>
  <c r="CA10" i="7"/>
  <c r="BZ10" i="7" s="1"/>
  <c r="BW10" i="7"/>
  <c r="CC10" i="7" s="1"/>
  <c r="BV10" i="7"/>
  <c r="BT10" i="7"/>
  <c r="BS10" i="7" s="1"/>
  <c r="BP10" i="7"/>
  <c r="BM10" i="7"/>
  <c r="BL10" i="7"/>
  <c r="BI10" i="7"/>
  <c r="BO10" i="7" s="1"/>
  <c r="BF10" i="7"/>
  <c r="BE10" i="7"/>
  <c r="BB10" i="7"/>
  <c r="BH10" i="7" s="1"/>
  <c r="BA10" i="7"/>
  <c r="AY10" i="7"/>
  <c r="AX10" i="7" s="1"/>
  <c r="AU10" i="7"/>
  <c r="AT10" i="7"/>
  <c r="AR10" i="7"/>
  <c r="AQ10" i="7" s="1"/>
  <c r="AN10" i="7"/>
  <c r="AL10" i="7"/>
  <c r="AK10" i="7"/>
  <c r="AJ10" i="7" s="1"/>
  <c r="AG10" i="7"/>
  <c r="AM10" i="7" s="1"/>
  <c r="AE10" i="7"/>
  <c r="AD10" i="7" s="1"/>
  <c r="AC10" i="7" s="1"/>
  <c r="Z10" i="7"/>
  <c r="AF10" i="7" s="1"/>
  <c r="X10" i="7"/>
  <c r="W10" i="7" s="1"/>
  <c r="S10" i="7"/>
  <c r="R10" i="7"/>
  <c r="Q10" i="7"/>
  <c r="P10" i="7"/>
  <c r="O10" i="7" s="1"/>
  <c r="L10" i="7"/>
  <c r="CO9" i="7"/>
  <c r="CN9" i="7" s="1"/>
  <c r="CK9" i="7"/>
  <c r="CQ9" i="7" s="1"/>
  <c r="CH9" i="7"/>
  <c r="CG9" i="7" s="1"/>
  <c r="CD9" i="7"/>
  <c r="CJ9" i="7" s="1"/>
  <c r="CA9" i="7"/>
  <c r="BZ9" i="7" s="1"/>
  <c r="BW9" i="7"/>
  <c r="CC9" i="7" s="1"/>
  <c r="BV9" i="7"/>
  <c r="BT9" i="7"/>
  <c r="BS9" i="7" s="1"/>
  <c r="BQ9" i="7"/>
  <c r="BP9" i="7"/>
  <c r="BM9" i="7"/>
  <c r="BL9" i="7"/>
  <c r="BI9" i="7"/>
  <c r="BO9" i="7" s="1"/>
  <c r="BH9" i="7"/>
  <c r="BF9" i="7"/>
  <c r="BE9" i="7" s="1"/>
  <c r="BB9" i="7"/>
  <c r="BA9" i="7"/>
  <c r="AY9" i="7"/>
  <c r="AX9" i="7" s="1"/>
  <c r="AU9" i="7"/>
  <c r="AR9" i="7"/>
  <c r="AQ9" i="7"/>
  <c r="AO9" i="7"/>
  <c r="AN9" i="7"/>
  <c r="AT9" i="7" s="1"/>
  <c r="AK9" i="7"/>
  <c r="AJ9" i="7" s="1"/>
  <c r="AG9" i="7"/>
  <c r="AM9" i="7" s="1"/>
  <c r="AE9" i="7"/>
  <c r="AD9" i="7" s="1"/>
  <c r="AA9" i="7"/>
  <c r="Z9" i="7"/>
  <c r="X9" i="7"/>
  <c r="W9" i="7"/>
  <c r="T9" i="7"/>
  <c r="S9" i="7"/>
  <c r="Y9" i="7" s="1"/>
  <c r="P9" i="7"/>
  <c r="O9" i="7" s="1"/>
  <c r="L9" i="7"/>
  <c r="R9" i="7" s="1"/>
  <c r="CQ8" i="7"/>
  <c r="CO8" i="7"/>
  <c r="CN8" i="7"/>
  <c r="CK8" i="7"/>
  <c r="CH8" i="7"/>
  <c r="CG8" i="7" s="1"/>
  <c r="CE8" i="7"/>
  <c r="CD8" i="7"/>
  <c r="CJ8" i="7" s="1"/>
  <c r="CA8" i="7"/>
  <c r="BZ8" i="7"/>
  <c r="BX8" i="7"/>
  <c r="BW8" i="7"/>
  <c r="CC8" i="7" s="1"/>
  <c r="BT8" i="7"/>
  <c r="BS8" i="7" s="1"/>
  <c r="BP8" i="7"/>
  <c r="BV8" i="7" s="1"/>
  <c r="BO8" i="7"/>
  <c r="BM8" i="7"/>
  <c r="BL8" i="7"/>
  <c r="BJ8" i="7"/>
  <c r="BI8" i="7"/>
  <c r="BF8" i="7"/>
  <c r="BE8" i="7" s="1"/>
  <c r="BB8" i="7"/>
  <c r="BH8" i="7" s="1"/>
  <c r="AY8" i="7"/>
  <c r="AX8" i="7" s="1"/>
  <c r="AU8" i="7"/>
  <c r="BA8" i="7" s="1"/>
  <c r="AR8" i="7"/>
  <c r="AQ8" i="7" s="1"/>
  <c r="AN8" i="7"/>
  <c r="AK8" i="7"/>
  <c r="AJ8" i="7" s="1"/>
  <c r="AG8" i="7"/>
  <c r="AD8" i="7"/>
  <c r="AC8" i="7" s="1"/>
  <c r="Z8" i="7"/>
  <c r="AF8" i="7" s="1"/>
  <c r="W8" i="7"/>
  <c r="V8" i="7" s="1"/>
  <c r="S8" i="7"/>
  <c r="Y8" i="7" s="1"/>
  <c r="P8" i="7"/>
  <c r="O8" i="7" s="1"/>
  <c r="L8" i="7"/>
  <c r="J8" i="7"/>
  <c r="CQ7" i="7"/>
  <c r="CO7" i="7"/>
  <c r="CN7" i="7" s="1"/>
  <c r="CK7" i="7"/>
  <c r="CH7" i="7"/>
  <c r="CG7" i="7" s="1"/>
  <c r="CE7" i="7"/>
  <c r="CD7" i="7"/>
  <c r="CJ7" i="7" s="1"/>
  <c r="CC7" i="7"/>
  <c r="CA7" i="7"/>
  <c r="BZ7" i="7" s="1"/>
  <c r="BW7" i="7"/>
  <c r="BT7" i="7"/>
  <c r="BS7" i="7"/>
  <c r="BP7" i="7"/>
  <c r="BV7" i="7" s="1"/>
  <c r="BM7" i="7"/>
  <c r="BL7" i="7" s="1"/>
  <c r="BI7" i="7"/>
  <c r="BF7" i="7"/>
  <c r="BE7" i="7" s="1"/>
  <c r="BC7" i="7"/>
  <c r="BB7" i="7"/>
  <c r="BH7" i="7" s="1"/>
  <c r="AY7" i="7"/>
  <c r="AX7" i="7" s="1"/>
  <c r="AU7" i="7"/>
  <c r="BA7" i="7" s="1"/>
  <c r="AR7" i="7"/>
  <c r="AQ7" i="7"/>
  <c r="AN7" i="7"/>
  <c r="AT7" i="7" s="1"/>
  <c r="AK7" i="7"/>
  <c r="AJ7" i="7" s="1"/>
  <c r="AG7" i="7"/>
  <c r="AF7" i="7"/>
  <c r="AD7" i="7"/>
  <c r="AC7" i="7" s="1"/>
  <c r="Z7" i="7"/>
  <c r="AA7" i="7" s="1"/>
  <c r="W7" i="7"/>
  <c r="V7" i="7" s="1"/>
  <c r="S7" i="7"/>
  <c r="Q7" i="7"/>
  <c r="P7" i="7"/>
  <c r="L7" i="7"/>
  <c r="M7" i="7" s="1"/>
  <c r="J7" i="7"/>
  <c r="CO6" i="7"/>
  <c r="CN6" i="7" s="1"/>
  <c r="CL6" i="7"/>
  <c r="CK6" i="7"/>
  <c r="CQ6" i="7" s="1"/>
  <c r="CH6" i="7"/>
  <c r="CG6" i="7" s="1"/>
  <c r="CD6" i="7"/>
  <c r="CA6" i="7"/>
  <c r="BZ6" i="7" s="1"/>
  <c r="BW6" i="7"/>
  <c r="CC6" i="7" s="1"/>
  <c r="BV6" i="7"/>
  <c r="BT6" i="7"/>
  <c r="BS6" i="7"/>
  <c r="BQ6" i="7"/>
  <c r="BP6" i="7"/>
  <c r="BM6" i="7"/>
  <c r="BL6" i="7" s="1"/>
  <c r="BI6" i="7"/>
  <c r="BO6" i="7" s="1"/>
  <c r="BF6" i="7"/>
  <c r="BE6" i="7" s="1"/>
  <c r="BB6" i="7"/>
  <c r="BH6" i="7" s="1"/>
  <c r="BA6" i="7"/>
  <c r="AY6" i="7"/>
  <c r="AX6" i="7" s="1"/>
  <c r="AU6" i="7"/>
  <c r="AT6" i="7"/>
  <c r="AR6" i="7"/>
  <c r="AQ6" i="7" s="1"/>
  <c r="AN6" i="7"/>
  <c r="AO6" i="7" s="1"/>
  <c r="AK6" i="7"/>
  <c r="AJ6" i="7" s="1"/>
  <c r="AG6" i="7"/>
  <c r="AF6" i="7"/>
  <c r="AD6" i="7"/>
  <c r="AC6" i="7" s="1"/>
  <c r="Z6" i="7"/>
  <c r="W6" i="7"/>
  <c r="V6" i="7" s="1"/>
  <c r="S6" i="7"/>
  <c r="Y6" i="7" s="1"/>
  <c r="R6" i="7"/>
  <c r="P6" i="7"/>
  <c r="O6" i="7" s="1"/>
  <c r="L6" i="7"/>
  <c r="J6" i="7"/>
  <c r="CQ5" i="7"/>
  <c r="CO5" i="7"/>
  <c r="CN5" i="7" s="1"/>
  <c r="CK5" i="7"/>
  <c r="CL5" i="7" s="1"/>
  <c r="CH5" i="7"/>
  <c r="CG5" i="7"/>
  <c r="CE5" i="7"/>
  <c r="CD5" i="7"/>
  <c r="CJ5" i="7" s="1"/>
  <c r="CA5" i="7"/>
  <c r="BZ5" i="7" s="1"/>
  <c r="BW5" i="7"/>
  <c r="BV5" i="7"/>
  <c r="BT5" i="7"/>
  <c r="BS5" i="7" s="1"/>
  <c r="BP5" i="7"/>
  <c r="BM5" i="7"/>
  <c r="BL5" i="7" s="1"/>
  <c r="BI5" i="7"/>
  <c r="BF5" i="7"/>
  <c r="BE5" i="7" s="1"/>
  <c r="BB5" i="7"/>
  <c r="BH5" i="7" s="1"/>
  <c r="AY5" i="7"/>
  <c r="AX5" i="7" s="1"/>
  <c r="AV5" i="7"/>
  <c r="AU5" i="7"/>
  <c r="BA5" i="7" s="1"/>
  <c r="AR5" i="7"/>
  <c r="AQ5" i="7"/>
  <c r="AN5" i="7"/>
  <c r="AM5" i="7"/>
  <c r="AL5" i="7"/>
  <c r="AK5" i="7" s="1"/>
  <c r="AG5" i="7"/>
  <c r="AH5" i="7" s="1"/>
  <c r="AE5" i="7"/>
  <c r="AE4" i="7" s="1"/>
  <c r="AD5" i="7"/>
  <c r="AA5" i="7"/>
  <c r="Z5" i="7"/>
  <c r="X5" i="7"/>
  <c r="W5" i="7"/>
  <c r="V5" i="7" s="1"/>
  <c r="T5" i="7"/>
  <c r="S5" i="7"/>
  <c r="Y5" i="7" s="1"/>
  <c r="Q5" i="7"/>
  <c r="P5" i="7"/>
  <c r="O5" i="7"/>
  <c r="L5" i="7"/>
  <c r="CO4" i="7"/>
  <c r="CO55" i="7" s="1"/>
  <c r="CO58" i="7" s="1"/>
  <c r="CK4" i="7"/>
  <c r="CL4" i="7" s="1"/>
  <c r="CH4" i="7"/>
  <c r="CG4" i="7" s="1"/>
  <c r="CE4" i="7"/>
  <c r="CD4" i="7"/>
  <c r="CC4" i="7"/>
  <c r="CA4" i="7"/>
  <c r="BW4" i="7"/>
  <c r="BV4" i="7"/>
  <c r="BT4" i="7"/>
  <c r="BT55" i="7" s="1"/>
  <c r="BT58" i="7" s="1"/>
  <c r="BQ4" i="7"/>
  <c r="BP4" i="7"/>
  <c r="BM4" i="7"/>
  <c r="BL4" i="7"/>
  <c r="BI4" i="7"/>
  <c r="BF4" i="7"/>
  <c r="BB4" i="7"/>
  <c r="BH4" i="7" s="1"/>
  <c r="BA4" i="7"/>
  <c r="AY4" i="7"/>
  <c r="AY55" i="7" s="1"/>
  <c r="AY58" i="7" s="1"/>
  <c r="AU4" i="7"/>
  <c r="AR4" i="7"/>
  <c r="AQ4" i="7" s="1"/>
  <c r="AN4" i="7"/>
  <c r="AN55" i="7" s="1"/>
  <c r="AP55" i="7" s="1"/>
  <c r="AL4" i="7"/>
  <c r="AK4" i="7" s="1"/>
  <c r="AG4" i="7"/>
  <c r="AD4" i="7"/>
  <c r="AC4" i="7" s="1"/>
  <c r="Z4" i="7"/>
  <c r="X4" i="7"/>
  <c r="S4" i="7"/>
  <c r="E4" i="7" s="1"/>
  <c r="Q4" i="7"/>
  <c r="P4" i="7" s="1"/>
  <c r="L4" i="7"/>
  <c r="CQ87" i="6"/>
  <c r="CJ87" i="6"/>
  <c r="CC87" i="6"/>
  <c r="BV87" i="6"/>
  <c r="BO87" i="6"/>
  <c r="BH87" i="6"/>
  <c r="BA87" i="6"/>
  <c r="AT87" i="6"/>
  <c r="AM84" i="6"/>
  <c r="AM83" i="6"/>
  <c r="AM82" i="6"/>
  <c r="AM81" i="6"/>
  <c r="AF81" i="6"/>
  <c r="AM80" i="6"/>
  <c r="AF80" i="6"/>
  <c r="AM79" i="6"/>
  <c r="Y79" i="6"/>
  <c r="AM78" i="6"/>
  <c r="AF78" i="6"/>
  <c r="AF77" i="6"/>
  <c r="Y77" i="6"/>
  <c r="AM76" i="6"/>
  <c r="R76" i="6"/>
  <c r="R75" i="6"/>
  <c r="AM74" i="6"/>
  <c r="AF74" i="6"/>
  <c r="R74" i="6"/>
  <c r="R73" i="6"/>
  <c r="AF72" i="6"/>
  <c r="Y72" i="6"/>
  <c r="R72" i="6"/>
  <c r="AM71" i="6"/>
  <c r="AF71" i="6"/>
  <c r="Y71" i="6"/>
  <c r="R71" i="6"/>
  <c r="Y70" i="6"/>
  <c r="R70" i="6"/>
  <c r="Y69" i="6"/>
  <c r="R69" i="6"/>
  <c r="AM68" i="6"/>
  <c r="Y68" i="6"/>
  <c r="R68" i="6"/>
  <c r="AM67" i="6"/>
  <c r="Y67" i="6"/>
  <c r="R67" i="6"/>
  <c r="AM66" i="6"/>
  <c r="AF66" i="6"/>
  <c r="Y66" i="6"/>
  <c r="R66" i="6"/>
  <c r="AF65" i="6"/>
  <c r="R65" i="6"/>
  <c r="Y64" i="6"/>
  <c r="R64" i="6"/>
  <c r="AM63" i="6"/>
  <c r="AF63" i="6"/>
  <c r="Y63" i="6"/>
  <c r="R63" i="6"/>
  <c r="AM62" i="6"/>
  <c r="AF62" i="6"/>
  <c r="Y62" i="6"/>
  <c r="R62" i="6"/>
  <c r="AM61" i="6"/>
  <c r="AM87" i="6" s="1"/>
  <c r="AL49" i="6" s="1"/>
  <c r="AF61" i="6"/>
  <c r="Y61" i="6"/>
  <c r="Y87" i="6" s="1"/>
  <c r="R61" i="6"/>
  <c r="R87" i="6" s="1"/>
  <c r="Q49" i="6" s="1"/>
  <c r="CO57" i="6"/>
  <c r="CN57" i="6"/>
  <c r="CK57" i="6"/>
  <c r="CQ57" i="6" s="1"/>
  <c r="CH57" i="6"/>
  <c r="CG57" i="6" s="1"/>
  <c r="CD57" i="6"/>
  <c r="CE57" i="6" s="1"/>
  <c r="CC57" i="6"/>
  <c r="CA57" i="6"/>
  <c r="BZ57" i="6"/>
  <c r="BW57" i="6"/>
  <c r="BT57" i="6"/>
  <c r="BS57" i="6" s="1"/>
  <c r="BP57" i="6"/>
  <c r="BM57" i="6"/>
  <c r="BL57" i="6"/>
  <c r="BI57" i="6"/>
  <c r="BO57" i="6" s="1"/>
  <c r="BF57" i="6"/>
  <c r="BE57" i="6" s="1"/>
  <c r="BC57" i="6"/>
  <c r="BB57" i="6"/>
  <c r="BA57" i="6"/>
  <c r="AY57" i="6"/>
  <c r="AX57" i="6" s="1"/>
  <c r="AU57" i="6"/>
  <c r="AR57" i="6"/>
  <c r="AQ57" i="6" s="1"/>
  <c r="AN57" i="6"/>
  <c r="AK57" i="6"/>
  <c r="AJ57" i="6"/>
  <c r="AG57" i="6"/>
  <c r="AM57" i="6" s="1"/>
  <c r="AD57" i="6"/>
  <c r="AC57" i="6" s="1"/>
  <c r="Z57" i="6"/>
  <c r="AA57" i="6" s="1"/>
  <c r="W57" i="6"/>
  <c r="V57" i="6" s="1"/>
  <c r="S57" i="6"/>
  <c r="P57" i="6"/>
  <c r="L57" i="6"/>
  <c r="J57" i="6"/>
  <c r="CQ56" i="6"/>
  <c r="CO56" i="6"/>
  <c r="CN56" i="6" s="1"/>
  <c r="CK56" i="6"/>
  <c r="CL56" i="6" s="1"/>
  <c r="CH56" i="6"/>
  <c r="CG56" i="6"/>
  <c r="CD56" i="6"/>
  <c r="CJ56" i="6" s="1"/>
  <c r="CA56" i="6"/>
  <c r="BZ56" i="6" s="1"/>
  <c r="BX56" i="6"/>
  <c r="BW56" i="6"/>
  <c r="BT56" i="6"/>
  <c r="BS56" i="6" s="1"/>
  <c r="BP56" i="6"/>
  <c r="BM56" i="6"/>
  <c r="BL56" i="6" s="1"/>
  <c r="BI56" i="6"/>
  <c r="BF56" i="6"/>
  <c r="BE56" i="6"/>
  <c r="BC56" i="6"/>
  <c r="BB56" i="6"/>
  <c r="BH56" i="6" s="1"/>
  <c r="AY56" i="6"/>
  <c r="AX56" i="6" s="1"/>
  <c r="AU56" i="6"/>
  <c r="AR56" i="6"/>
  <c r="AQ56" i="6" s="1"/>
  <c r="AN56" i="6"/>
  <c r="AT56" i="6" s="1"/>
  <c r="AL56" i="6"/>
  <c r="AK56" i="6"/>
  <c r="AJ56" i="6"/>
  <c r="AH56" i="6"/>
  <c r="AG56" i="6"/>
  <c r="AM56" i="6" s="1"/>
  <c r="AE56" i="6"/>
  <c r="AD56" i="6"/>
  <c r="Z56" i="6"/>
  <c r="AF56" i="6" s="1"/>
  <c r="W56" i="6"/>
  <c r="V56" i="6"/>
  <c r="S56" i="6"/>
  <c r="P56" i="6"/>
  <c r="O56" i="6" s="1"/>
  <c r="M56" i="6"/>
  <c r="L56" i="6"/>
  <c r="J56" i="6"/>
  <c r="CP55" i="6"/>
  <c r="CP58" i="6" s="1"/>
  <c r="CI55" i="6"/>
  <c r="CI58" i="6" s="1"/>
  <c r="CB55" i="6"/>
  <c r="CB58" i="6" s="1"/>
  <c r="CB59" i="6" s="1"/>
  <c r="BU55" i="6"/>
  <c r="BU58" i="6" s="1"/>
  <c r="BU59" i="6" s="1"/>
  <c r="BN55" i="6"/>
  <c r="BG55" i="6"/>
  <c r="AZ55" i="6"/>
  <c r="AZ58" i="6" s="1"/>
  <c r="AZ59" i="6" s="1"/>
  <c r="AS55" i="6"/>
  <c r="AS58" i="6" s="1"/>
  <c r="AS59" i="6" s="1"/>
  <c r="CQ54" i="6"/>
  <c r="CO54" i="6"/>
  <c r="CN54" i="6"/>
  <c r="CK54" i="6"/>
  <c r="CH54" i="6"/>
  <c r="CG54" i="6" s="1"/>
  <c r="CD54" i="6"/>
  <c r="CA54" i="6"/>
  <c r="BZ54" i="6"/>
  <c r="BW54" i="6"/>
  <c r="CC54" i="6" s="1"/>
  <c r="BV54" i="6"/>
  <c r="BT54" i="6"/>
  <c r="BS54" i="6" s="1"/>
  <c r="BP54" i="6"/>
  <c r="BM54" i="6"/>
  <c r="BL54" i="6"/>
  <c r="BI54" i="6"/>
  <c r="BF54" i="6"/>
  <c r="BB54" i="6"/>
  <c r="AY54" i="6"/>
  <c r="AX54" i="6" s="1"/>
  <c r="AU54" i="6"/>
  <c r="BA54" i="6" s="1"/>
  <c r="AR54" i="6"/>
  <c r="AQ54" i="6" s="1"/>
  <c r="AO54" i="6"/>
  <c r="AN54" i="6"/>
  <c r="AM54" i="6"/>
  <c r="AK54" i="6"/>
  <c r="AJ54" i="6"/>
  <c r="AG54" i="6"/>
  <c r="AD54" i="6"/>
  <c r="AC54" i="6" s="1"/>
  <c r="Z54" i="6"/>
  <c r="W54" i="6"/>
  <c r="V54" i="6"/>
  <c r="S54" i="6"/>
  <c r="Y54" i="6" s="1"/>
  <c r="P54" i="6"/>
  <c r="O54" i="6" s="1"/>
  <c r="L54" i="6"/>
  <c r="J54" i="6"/>
  <c r="CO53" i="6"/>
  <c r="CN53" i="6" s="1"/>
  <c r="CK53" i="6"/>
  <c r="CL53" i="6" s="1"/>
  <c r="CH53" i="6"/>
  <c r="CG53" i="6"/>
  <c r="CD53" i="6"/>
  <c r="CA53" i="6"/>
  <c r="BZ53" i="6" s="1"/>
  <c r="BW53" i="6"/>
  <c r="BT53" i="6"/>
  <c r="BS53" i="6"/>
  <c r="BP53" i="6"/>
  <c r="BV53" i="6" s="1"/>
  <c r="BO53" i="6"/>
  <c r="BM53" i="6"/>
  <c r="BL53" i="6" s="1"/>
  <c r="BJ53" i="6"/>
  <c r="BI53" i="6"/>
  <c r="BF53" i="6"/>
  <c r="BE53" i="6"/>
  <c r="BB53" i="6"/>
  <c r="AY53" i="6"/>
  <c r="AX53" i="6" s="1"/>
  <c r="AU53" i="6"/>
  <c r="AR53" i="6"/>
  <c r="AQ53" i="6" s="1"/>
  <c r="AN53" i="6"/>
  <c r="AT53" i="6" s="1"/>
  <c r="AK53" i="6"/>
  <c r="AJ53" i="6" s="1"/>
  <c r="AG53" i="6"/>
  <c r="AF53" i="6"/>
  <c r="AD53" i="6"/>
  <c r="AC53" i="6"/>
  <c r="Z53" i="6"/>
  <c r="W53" i="6"/>
  <c r="V53" i="6" s="1"/>
  <c r="S53" i="6"/>
  <c r="Q53" i="6"/>
  <c r="J53" i="6" s="1"/>
  <c r="P53" i="6"/>
  <c r="O53" i="6"/>
  <c r="L53" i="6"/>
  <c r="CO52" i="6"/>
  <c r="CN52" i="6" s="1"/>
  <c r="CK52" i="6"/>
  <c r="CQ52" i="6" s="1"/>
  <c r="CH52" i="6"/>
  <c r="CG52" i="6"/>
  <c r="CD52" i="6"/>
  <c r="CA52" i="6"/>
  <c r="BZ52" i="6"/>
  <c r="BW52" i="6"/>
  <c r="BT52" i="6"/>
  <c r="BS52" i="6" s="1"/>
  <c r="BQ52" i="6"/>
  <c r="BP52" i="6"/>
  <c r="BV52" i="6" s="1"/>
  <c r="BM52" i="6"/>
  <c r="BL52" i="6"/>
  <c r="BI52" i="6"/>
  <c r="BO52" i="6" s="1"/>
  <c r="BF52" i="6"/>
  <c r="BE52" i="6"/>
  <c r="BB52" i="6"/>
  <c r="AY52" i="6"/>
  <c r="AX52" i="6"/>
  <c r="AU52" i="6"/>
  <c r="BA52" i="6" s="1"/>
  <c r="AR52" i="6"/>
  <c r="AQ52" i="6" s="1"/>
  <c r="AN52" i="6"/>
  <c r="AL52" i="6"/>
  <c r="AG52" i="6"/>
  <c r="AE52" i="6"/>
  <c r="AD52" i="6"/>
  <c r="AC52" i="6" s="1"/>
  <c r="Z52" i="6"/>
  <c r="AF52" i="6" s="1"/>
  <c r="Y52" i="6"/>
  <c r="X52" i="6"/>
  <c r="W52" i="6"/>
  <c r="V52" i="6"/>
  <c r="T52" i="6"/>
  <c r="S52" i="6"/>
  <c r="Q52" i="6"/>
  <c r="L52" i="6"/>
  <c r="CO51" i="6"/>
  <c r="CN51" i="6"/>
  <c r="CK51" i="6"/>
  <c r="CH51" i="6"/>
  <c r="CG51" i="6"/>
  <c r="CD51" i="6"/>
  <c r="CA51" i="6"/>
  <c r="BZ51" i="6" s="1"/>
  <c r="BW51" i="6"/>
  <c r="BT51" i="6"/>
  <c r="BS51" i="6"/>
  <c r="BP51" i="6"/>
  <c r="BV51" i="6" s="1"/>
  <c r="BM51" i="6"/>
  <c r="BL51" i="6"/>
  <c r="BI51" i="6"/>
  <c r="BF51" i="6"/>
  <c r="BE51" i="6"/>
  <c r="BB51" i="6"/>
  <c r="AY51" i="6"/>
  <c r="AX51" i="6"/>
  <c r="AU51" i="6"/>
  <c r="AR51" i="6"/>
  <c r="AQ51" i="6" s="1"/>
  <c r="AN51" i="6"/>
  <c r="AL51" i="6"/>
  <c r="AK51" i="6"/>
  <c r="AJ51" i="6" s="1"/>
  <c r="AG51" i="6"/>
  <c r="AD51" i="6"/>
  <c r="AC51" i="6" s="1"/>
  <c r="Z51" i="6"/>
  <c r="AF51" i="6" s="1"/>
  <c r="X51" i="6"/>
  <c r="W51" i="6"/>
  <c r="V51" i="6" s="1"/>
  <c r="S51" i="6"/>
  <c r="R51" i="6"/>
  <c r="Q51" i="6"/>
  <c r="P51" i="6" s="1"/>
  <c r="O51" i="6" s="1"/>
  <c r="L51" i="6"/>
  <c r="J51" i="6"/>
  <c r="CO50" i="6"/>
  <c r="CN50" i="6" s="1"/>
  <c r="CK50" i="6"/>
  <c r="CQ50" i="6" s="1"/>
  <c r="CJ50" i="6"/>
  <c r="CH50" i="6"/>
  <c r="CG50" i="6" s="1"/>
  <c r="CE50" i="6"/>
  <c r="CD50" i="6"/>
  <c r="CA50" i="6"/>
  <c r="BZ50" i="6"/>
  <c r="BW50" i="6"/>
  <c r="BV50" i="6"/>
  <c r="BT50" i="6"/>
  <c r="BS50" i="6" s="1"/>
  <c r="BP50" i="6"/>
  <c r="BM50" i="6"/>
  <c r="BL50" i="6"/>
  <c r="BI50" i="6"/>
  <c r="BF50" i="6"/>
  <c r="BE50" i="6"/>
  <c r="BB50" i="6"/>
  <c r="BH50" i="6" s="1"/>
  <c r="AY50" i="6"/>
  <c r="AX50" i="6" s="1"/>
  <c r="AU50" i="6"/>
  <c r="BA50" i="6" s="1"/>
  <c r="AT50" i="6"/>
  <c r="AR50" i="6"/>
  <c r="AQ50" i="6" s="1"/>
  <c r="AN50" i="6"/>
  <c r="AL50" i="6"/>
  <c r="AK50" i="6"/>
  <c r="AJ50" i="6"/>
  <c r="AG50" i="6"/>
  <c r="AE50" i="6"/>
  <c r="Z50" i="6"/>
  <c r="AF50" i="6" s="1"/>
  <c r="Y50" i="6"/>
  <c r="X50" i="6"/>
  <c r="W50" i="6" s="1"/>
  <c r="S50" i="6"/>
  <c r="Q50" i="6"/>
  <c r="P50" i="6"/>
  <c r="O50" i="6" s="1"/>
  <c r="L50" i="6"/>
  <c r="R50" i="6" s="1"/>
  <c r="J50" i="6"/>
  <c r="CO49" i="6"/>
  <c r="CN49" i="6"/>
  <c r="CK49" i="6"/>
  <c r="CH49" i="6"/>
  <c r="CG49" i="6"/>
  <c r="CD49" i="6"/>
  <c r="CJ49" i="6" s="1"/>
  <c r="CA49" i="6"/>
  <c r="BZ49" i="6"/>
  <c r="BW49" i="6"/>
  <c r="BT49" i="6"/>
  <c r="BS49" i="6" s="1"/>
  <c r="BP49" i="6"/>
  <c r="BV49" i="6" s="1"/>
  <c r="BM49" i="6"/>
  <c r="BL49" i="6" s="1"/>
  <c r="BJ49" i="6"/>
  <c r="BI49" i="6"/>
  <c r="BO49" i="6" s="1"/>
  <c r="BF49" i="6"/>
  <c r="BE49" i="6" s="1"/>
  <c r="BB49" i="6"/>
  <c r="BH49" i="6" s="1"/>
  <c r="AY49" i="6"/>
  <c r="AX49" i="6"/>
  <c r="AU49" i="6"/>
  <c r="BA49" i="6" s="1"/>
  <c r="AR49" i="6"/>
  <c r="AQ49" i="6" s="1"/>
  <c r="AN49" i="6"/>
  <c r="AG49" i="6"/>
  <c r="Z49" i="6"/>
  <c r="X49" i="6"/>
  <c r="S49" i="6"/>
  <c r="P49" i="6"/>
  <c r="O49" i="6" s="1"/>
  <c r="L49" i="6"/>
  <c r="CO48" i="6"/>
  <c r="CN48" i="6" s="1"/>
  <c r="CK48" i="6"/>
  <c r="CQ48" i="6" s="1"/>
  <c r="CH48" i="6"/>
  <c r="CG48" i="6"/>
  <c r="CD48" i="6"/>
  <c r="CJ48" i="6" s="1"/>
  <c r="CA48" i="6"/>
  <c r="BZ48" i="6" s="1"/>
  <c r="BW48" i="6"/>
  <c r="BV48" i="6"/>
  <c r="BT48" i="6"/>
  <c r="BS48" i="6"/>
  <c r="BP48" i="6"/>
  <c r="BQ48" i="6" s="1"/>
  <c r="BM48" i="6"/>
  <c r="BL48" i="6"/>
  <c r="BJ48" i="6"/>
  <c r="BI48" i="6"/>
  <c r="BO48" i="6" s="1"/>
  <c r="BF48" i="6"/>
  <c r="BE48" i="6"/>
  <c r="BB48" i="6"/>
  <c r="BH48" i="6" s="1"/>
  <c r="AY48" i="6"/>
  <c r="AX48" i="6" s="1"/>
  <c r="AU48" i="6"/>
  <c r="BA48" i="6" s="1"/>
  <c r="AT48" i="6"/>
  <c r="AR48" i="6"/>
  <c r="AQ48" i="6" s="1"/>
  <c r="AN48" i="6"/>
  <c r="AL48" i="6"/>
  <c r="AG48" i="6"/>
  <c r="AH48" i="6" s="1"/>
  <c r="AE48" i="6"/>
  <c r="AD48" i="6"/>
  <c r="AC48" i="6"/>
  <c r="Z48" i="6"/>
  <c r="AF48" i="6" s="1"/>
  <c r="X48" i="6"/>
  <c r="W48" i="6"/>
  <c r="V48" i="6"/>
  <c r="T48" i="6"/>
  <c r="S48" i="6"/>
  <c r="Y48" i="6" s="1"/>
  <c r="Q48" i="6"/>
  <c r="P48" i="6" s="1"/>
  <c r="L48" i="6"/>
  <c r="R48" i="6" s="1"/>
  <c r="J48" i="6"/>
  <c r="CO47" i="6"/>
  <c r="CN47" i="6"/>
  <c r="CK47" i="6"/>
  <c r="CQ47" i="6" s="1"/>
  <c r="CH47" i="6"/>
  <c r="CG47" i="6" s="1"/>
  <c r="CD47" i="6"/>
  <c r="CA47" i="6"/>
  <c r="BZ47" i="6"/>
  <c r="BW47" i="6"/>
  <c r="CC47" i="6" s="1"/>
  <c r="BT47" i="6"/>
  <c r="BS47" i="6"/>
  <c r="BP47" i="6"/>
  <c r="BV47" i="6" s="1"/>
  <c r="BM47" i="6"/>
  <c r="BL47" i="6"/>
  <c r="BI47" i="6"/>
  <c r="BF47" i="6"/>
  <c r="BE47" i="6" s="1"/>
  <c r="BB47" i="6"/>
  <c r="BA47" i="6"/>
  <c r="AY47" i="6"/>
  <c r="AX47" i="6" s="1"/>
  <c r="AU47" i="6"/>
  <c r="AR47" i="6"/>
  <c r="AQ47" i="6" s="1"/>
  <c r="AN47" i="6"/>
  <c r="AT47" i="6" s="1"/>
  <c r="AK47" i="6"/>
  <c r="AJ47" i="6"/>
  <c r="AG47" i="6"/>
  <c r="AD47" i="6"/>
  <c r="AC47" i="6" s="1"/>
  <c r="Z47" i="6"/>
  <c r="AF47" i="6" s="1"/>
  <c r="W47" i="6"/>
  <c r="V47" i="6" s="1"/>
  <c r="S47" i="6"/>
  <c r="T47" i="6" s="1"/>
  <c r="P47" i="6"/>
  <c r="O47" i="6"/>
  <c r="L47" i="6"/>
  <c r="J47" i="6"/>
  <c r="CO46" i="6"/>
  <c r="CN46" i="6"/>
  <c r="CK46" i="6"/>
  <c r="CQ46" i="6" s="1"/>
  <c r="CH46" i="6"/>
  <c r="CG46" i="6"/>
  <c r="CD46" i="6"/>
  <c r="CA46" i="6"/>
  <c r="BZ46" i="6" s="1"/>
  <c r="BW46" i="6"/>
  <c r="BT46" i="6"/>
  <c r="BS46" i="6"/>
  <c r="BP46" i="6"/>
  <c r="BV46" i="6" s="1"/>
  <c r="BO46" i="6"/>
  <c r="BM46" i="6"/>
  <c r="BL46" i="6"/>
  <c r="BI46" i="6"/>
  <c r="BF46" i="6"/>
  <c r="BE46" i="6"/>
  <c r="BB46" i="6"/>
  <c r="BH46" i="6" s="1"/>
  <c r="AY46" i="6"/>
  <c r="AX46" i="6" s="1"/>
  <c r="AU46" i="6"/>
  <c r="AR46" i="6"/>
  <c r="AQ46" i="6"/>
  <c r="AN46" i="6"/>
  <c r="AK46" i="6"/>
  <c r="AJ46" i="6"/>
  <c r="AG46" i="6"/>
  <c r="AM46" i="6" s="1"/>
  <c r="AD46" i="6"/>
  <c r="AC46" i="6" s="1"/>
  <c r="Z46" i="6"/>
  <c r="W46" i="6"/>
  <c r="V46" i="6" s="1"/>
  <c r="S46" i="6"/>
  <c r="R46" i="6"/>
  <c r="P46" i="6"/>
  <c r="O46" i="6"/>
  <c r="L46" i="6"/>
  <c r="J46" i="6"/>
  <c r="CQ45" i="6"/>
  <c r="CO45" i="6"/>
  <c r="CN45" i="6"/>
  <c r="CL45" i="6"/>
  <c r="CK45" i="6"/>
  <c r="CH45" i="6"/>
  <c r="CG45" i="6" s="1"/>
  <c r="CD45" i="6"/>
  <c r="CJ45" i="6" s="1"/>
  <c r="CA45" i="6"/>
  <c r="BZ45" i="6"/>
  <c r="BW45" i="6"/>
  <c r="CC45" i="6" s="1"/>
  <c r="BV45" i="6"/>
  <c r="BT45" i="6"/>
  <c r="BS45" i="6" s="1"/>
  <c r="BP45" i="6"/>
  <c r="BO45" i="6"/>
  <c r="BM45" i="6"/>
  <c r="BL45" i="6"/>
  <c r="BJ45" i="6"/>
  <c r="BI45" i="6"/>
  <c r="BF45" i="6"/>
  <c r="BE45" i="6" s="1"/>
  <c r="BB45" i="6"/>
  <c r="AY45" i="6"/>
  <c r="AX45" i="6"/>
  <c r="AU45" i="6"/>
  <c r="AR45" i="6"/>
  <c r="AQ45" i="6" s="1"/>
  <c r="AO45" i="6"/>
  <c r="AN45" i="6"/>
  <c r="AK45" i="6"/>
  <c r="AJ45" i="6"/>
  <c r="AH45" i="6"/>
  <c r="AG45" i="6"/>
  <c r="AM45" i="6" s="1"/>
  <c r="AD45" i="6"/>
  <c r="Z45" i="6"/>
  <c r="AF45" i="6" s="1"/>
  <c r="W45" i="6"/>
  <c r="V45" i="6"/>
  <c r="S45" i="6"/>
  <c r="Y45" i="6" s="1"/>
  <c r="P45" i="6"/>
  <c r="O45" i="6" s="1"/>
  <c r="L45" i="6"/>
  <c r="J45" i="6"/>
  <c r="CO44" i="6"/>
  <c r="CN44" i="6" s="1"/>
  <c r="CK44" i="6"/>
  <c r="CH44" i="6"/>
  <c r="CG44" i="6"/>
  <c r="CD44" i="6"/>
  <c r="CJ44" i="6" s="1"/>
  <c r="CA44" i="6"/>
  <c r="BZ44" i="6" s="1"/>
  <c r="BW44" i="6"/>
  <c r="CC44" i="6" s="1"/>
  <c r="BT44" i="6"/>
  <c r="BS44" i="6"/>
  <c r="BP44" i="6"/>
  <c r="BV44" i="6" s="1"/>
  <c r="BO44" i="6"/>
  <c r="BM44" i="6"/>
  <c r="BL44" i="6" s="1"/>
  <c r="BJ44" i="6"/>
  <c r="BI44" i="6"/>
  <c r="BF44" i="6"/>
  <c r="BE44" i="6"/>
  <c r="BB44" i="6"/>
  <c r="BH44" i="6" s="1"/>
  <c r="AY44" i="6"/>
  <c r="AX44" i="6" s="1"/>
  <c r="AU44" i="6"/>
  <c r="AR44" i="6"/>
  <c r="AQ44" i="6"/>
  <c r="AN44" i="6"/>
  <c r="AK44" i="6"/>
  <c r="AJ44" i="6" s="1"/>
  <c r="AG44" i="6"/>
  <c r="AD44" i="6"/>
  <c r="AC44" i="6"/>
  <c r="Z44" i="6"/>
  <c r="W44" i="6"/>
  <c r="S44" i="6"/>
  <c r="Y44" i="6" s="1"/>
  <c r="P44" i="6"/>
  <c r="O44" i="6"/>
  <c r="L44" i="6"/>
  <c r="R44" i="6" s="1"/>
  <c r="J44" i="6"/>
  <c r="CO43" i="6"/>
  <c r="CN43" i="6"/>
  <c r="CK43" i="6"/>
  <c r="CQ43" i="6" s="1"/>
  <c r="CH43" i="6"/>
  <c r="CG43" i="6" s="1"/>
  <c r="CD43" i="6"/>
  <c r="CA43" i="6"/>
  <c r="BZ43" i="6" s="1"/>
  <c r="BW43" i="6"/>
  <c r="BV43" i="6"/>
  <c r="BT43" i="6"/>
  <c r="BS43" i="6"/>
  <c r="BP43" i="6"/>
  <c r="BM43" i="6"/>
  <c r="BL43" i="6"/>
  <c r="BI43" i="6"/>
  <c r="BO43" i="6" s="1"/>
  <c r="BH43" i="6"/>
  <c r="BF43" i="6"/>
  <c r="BE43" i="6" s="1"/>
  <c r="BB43" i="6"/>
  <c r="AY43" i="6"/>
  <c r="AX43" i="6"/>
  <c r="AU43" i="6"/>
  <c r="BA43" i="6" s="1"/>
  <c r="AR43" i="6"/>
  <c r="AQ43" i="6" s="1"/>
  <c r="AN43" i="6"/>
  <c r="AT43" i="6" s="1"/>
  <c r="AM43" i="6"/>
  <c r="AL43" i="6"/>
  <c r="AK43" i="6"/>
  <c r="AJ43" i="6"/>
  <c r="AG43" i="6"/>
  <c r="AE43" i="6"/>
  <c r="AD43" i="6" s="1"/>
  <c r="Z43" i="6"/>
  <c r="X43" i="6"/>
  <c r="W43" i="6" s="1"/>
  <c r="S43" i="6"/>
  <c r="T43" i="6" s="1"/>
  <c r="Q43" i="6"/>
  <c r="L43" i="6"/>
  <c r="CO42" i="6"/>
  <c r="CN42" i="6" s="1"/>
  <c r="CK42" i="6"/>
  <c r="CQ42" i="6" s="1"/>
  <c r="CH42" i="6"/>
  <c r="CG42" i="6"/>
  <c r="CD42" i="6"/>
  <c r="CA42" i="6"/>
  <c r="BZ42" i="6" s="1"/>
  <c r="BW42" i="6"/>
  <c r="BT42" i="6"/>
  <c r="BS42" i="6" s="1"/>
  <c r="BQ42" i="6"/>
  <c r="BP42" i="6"/>
  <c r="BV42" i="6" s="1"/>
  <c r="BM42" i="6"/>
  <c r="BL42" i="6" s="1"/>
  <c r="BI42" i="6"/>
  <c r="BO42" i="6" s="1"/>
  <c r="BF42" i="6"/>
  <c r="BE42" i="6"/>
  <c r="BB42" i="6"/>
  <c r="AY42" i="6"/>
  <c r="AX42" i="6" s="1"/>
  <c r="AU42" i="6"/>
  <c r="AR42" i="6"/>
  <c r="AQ42" i="6" s="1"/>
  <c r="AN42" i="6"/>
  <c r="AT42" i="6" s="1"/>
  <c r="AL42" i="6"/>
  <c r="AH42" i="6"/>
  <c r="AG42" i="6"/>
  <c r="AE42" i="6"/>
  <c r="AD42" i="6"/>
  <c r="AC42" i="6" s="1"/>
  <c r="Z42" i="6"/>
  <c r="AF42" i="6" s="1"/>
  <c r="X42" i="6"/>
  <c r="W42" i="6"/>
  <c r="V42" i="6"/>
  <c r="S42" i="6"/>
  <c r="Q42" i="6"/>
  <c r="P42" i="6" s="1"/>
  <c r="L42" i="6"/>
  <c r="CO41" i="6"/>
  <c r="CN41" i="6"/>
  <c r="CK41" i="6"/>
  <c r="CH41" i="6"/>
  <c r="CG41" i="6" s="1"/>
  <c r="CD41" i="6"/>
  <c r="CC41" i="6"/>
  <c r="CA41" i="6"/>
  <c r="BZ41" i="6" s="1"/>
  <c r="BX41" i="6"/>
  <c r="BW41" i="6"/>
  <c r="BT41" i="6"/>
  <c r="BS41" i="6" s="1"/>
  <c r="BP41" i="6"/>
  <c r="BV41" i="6" s="1"/>
  <c r="BM41" i="6"/>
  <c r="BL41" i="6"/>
  <c r="BI41" i="6"/>
  <c r="BF41" i="6"/>
  <c r="BE41" i="6" s="1"/>
  <c r="BB41" i="6"/>
  <c r="AY41" i="6"/>
  <c r="AX41" i="6" s="1"/>
  <c r="AU41" i="6"/>
  <c r="AR41" i="6"/>
  <c r="AQ41" i="6" s="1"/>
  <c r="AN41" i="6"/>
  <c r="AK41" i="6"/>
  <c r="AJ41" i="6" s="1"/>
  <c r="AG41" i="6"/>
  <c r="AD41" i="6"/>
  <c r="AC41" i="6" s="1"/>
  <c r="Z41" i="6"/>
  <c r="Y41" i="6"/>
  <c r="W41" i="6"/>
  <c r="V41" i="6"/>
  <c r="S41" i="6"/>
  <c r="T41" i="6" s="1"/>
  <c r="P41" i="6"/>
  <c r="L41" i="6"/>
  <c r="J41" i="6"/>
  <c r="CO40" i="6"/>
  <c r="CN40" i="6" s="1"/>
  <c r="CK40" i="6"/>
  <c r="CQ40" i="6" s="1"/>
  <c r="CH40" i="6"/>
  <c r="CG40" i="6"/>
  <c r="CD40" i="6"/>
  <c r="CA40" i="6"/>
  <c r="BZ40" i="6" s="1"/>
  <c r="BW40" i="6"/>
  <c r="BT40" i="6"/>
  <c r="BS40" i="6" s="1"/>
  <c r="BQ40" i="6"/>
  <c r="BP40" i="6"/>
  <c r="BV40" i="6" s="1"/>
  <c r="BM40" i="6"/>
  <c r="BL40" i="6" s="1"/>
  <c r="BI40" i="6"/>
  <c r="BO40" i="6" s="1"/>
  <c r="BF40" i="6"/>
  <c r="BE40" i="6"/>
  <c r="BB40" i="6"/>
  <c r="AY40" i="6"/>
  <c r="AX40" i="6" s="1"/>
  <c r="AU40" i="6"/>
  <c r="AR40" i="6"/>
  <c r="AQ40" i="6" s="1"/>
  <c r="AN40" i="6"/>
  <c r="AO40" i="6" s="1"/>
  <c r="AL40" i="6"/>
  <c r="AK40" i="6" s="1"/>
  <c r="AJ40" i="6" s="1"/>
  <c r="AH40" i="6"/>
  <c r="AG40" i="6"/>
  <c r="AM40" i="6" s="1"/>
  <c r="AE40" i="6"/>
  <c r="AD40" i="6"/>
  <c r="AC40" i="6" s="1"/>
  <c r="Z40" i="6"/>
  <c r="AF40" i="6" s="1"/>
  <c r="X40" i="6"/>
  <c r="W40" i="6"/>
  <c r="V40" i="6"/>
  <c r="S40" i="6"/>
  <c r="Q40" i="6"/>
  <c r="P40" i="6" s="1"/>
  <c r="L40" i="6"/>
  <c r="J40" i="6"/>
  <c r="CO39" i="6"/>
  <c r="CN39" i="6"/>
  <c r="CK39" i="6"/>
  <c r="CH39" i="6"/>
  <c r="CG39" i="6" s="1"/>
  <c r="CD39" i="6"/>
  <c r="CA39" i="6"/>
  <c r="BZ39" i="6" s="1"/>
  <c r="BW39" i="6"/>
  <c r="BX39" i="6" s="1"/>
  <c r="BT39" i="6"/>
  <c r="BS39" i="6"/>
  <c r="BP39" i="6"/>
  <c r="BM39" i="6"/>
  <c r="BL39" i="6"/>
  <c r="BI39" i="6"/>
  <c r="BO39" i="6" s="1"/>
  <c r="BF39" i="6"/>
  <c r="BE39" i="6" s="1"/>
  <c r="BB39" i="6"/>
  <c r="AY39" i="6"/>
  <c r="AX39" i="6"/>
  <c r="AV39" i="6"/>
  <c r="AU39" i="6"/>
  <c r="BA39" i="6" s="1"/>
  <c r="AR39" i="6"/>
  <c r="AQ39" i="6" s="1"/>
  <c r="AN39" i="6"/>
  <c r="AL39" i="6"/>
  <c r="AK39" i="6"/>
  <c r="AJ39" i="6"/>
  <c r="AG39" i="6"/>
  <c r="AF39" i="6"/>
  <c r="AE39" i="6"/>
  <c r="AD39" i="6" s="1"/>
  <c r="Z39" i="6"/>
  <c r="X39" i="6"/>
  <c r="T39" i="6"/>
  <c r="S39" i="6"/>
  <c r="Q39" i="6"/>
  <c r="P39" i="6"/>
  <c r="L39" i="6"/>
  <c r="J39" i="6"/>
  <c r="CO38" i="6"/>
  <c r="CN38" i="6" s="1"/>
  <c r="CK38" i="6"/>
  <c r="CJ38" i="6"/>
  <c r="CH38" i="6"/>
  <c r="CG38" i="6" s="1"/>
  <c r="CE38" i="6"/>
  <c r="CD38" i="6"/>
  <c r="CA38" i="6"/>
  <c r="BZ38" i="6"/>
  <c r="BW38" i="6"/>
  <c r="CC38" i="6" s="1"/>
  <c r="BT38" i="6"/>
  <c r="BS38" i="6"/>
  <c r="BP38" i="6"/>
  <c r="BV38" i="6" s="1"/>
  <c r="BM38" i="6"/>
  <c r="BL38" i="6" s="1"/>
  <c r="BI38" i="6"/>
  <c r="BF38" i="6"/>
  <c r="BE38" i="6"/>
  <c r="BB38" i="6"/>
  <c r="AY38" i="6"/>
  <c r="AX38" i="6"/>
  <c r="AU38" i="6"/>
  <c r="BA38" i="6" s="1"/>
  <c r="AR38" i="6"/>
  <c r="AQ38" i="6" s="1"/>
  <c r="AN38" i="6"/>
  <c r="AL38" i="6"/>
  <c r="AG38" i="6"/>
  <c r="AE38" i="6"/>
  <c r="AD38" i="6" s="1"/>
  <c r="Z38" i="6"/>
  <c r="X38" i="6"/>
  <c r="W38" i="6"/>
  <c r="V38" i="6"/>
  <c r="S38" i="6"/>
  <c r="Q38" i="6"/>
  <c r="L38" i="6"/>
  <c r="CQ37" i="6"/>
  <c r="CO37" i="6"/>
  <c r="CN37" i="6"/>
  <c r="CL37" i="6"/>
  <c r="CK37" i="6"/>
  <c r="CH37" i="6"/>
  <c r="CG37" i="6" s="1"/>
  <c r="CD37" i="6"/>
  <c r="CJ37" i="6" s="1"/>
  <c r="CA37" i="6"/>
  <c r="BZ37" i="6"/>
  <c r="BW37" i="6"/>
  <c r="CC37" i="6" s="1"/>
  <c r="BT37" i="6"/>
  <c r="BS37" i="6" s="1"/>
  <c r="BP37" i="6"/>
  <c r="BO37" i="6"/>
  <c r="BM37" i="6"/>
  <c r="BL37" i="6" s="1"/>
  <c r="BI37" i="6"/>
  <c r="BJ37" i="6" s="1"/>
  <c r="BF37" i="6"/>
  <c r="BE37" i="6"/>
  <c r="BB37" i="6"/>
  <c r="AY37" i="6"/>
  <c r="AX37" i="6"/>
  <c r="AU37" i="6"/>
  <c r="BA37" i="6" s="1"/>
  <c r="AR37" i="6"/>
  <c r="AQ37" i="6"/>
  <c r="AN37" i="6"/>
  <c r="AG37" i="6"/>
  <c r="AF37" i="6"/>
  <c r="AE37" i="6"/>
  <c r="AD37" i="6"/>
  <c r="AC37" i="6" s="1"/>
  <c r="AA37" i="6"/>
  <c r="Z37" i="6"/>
  <c r="X37" i="6"/>
  <c r="W37" i="6"/>
  <c r="S37" i="6"/>
  <c r="T37" i="6" s="1"/>
  <c r="L37" i="6"/>
  <c r="CO36" i="6"/>
  <c r="CN36" i="6"/>
  <c r="CK36" i="6"/>
  <c r="CQ36" i="6" s="1"/>
  <c r="CH36" i="6"/>
  <c r="CG36" i="6"/>
  <c r="CD36" i="6"/>
  <c r="CA36" i="6"/>
  <c r="BZ36" i="6"/>
  <c r="BW36" i="6"/>
  <c r="BV36" i="6"/>
  <c r="BT36" i="6"/>
  <c r="BS36" i="6"/>
  <c r="BP36" i="6"/>
  <c r="BQ36" i="6" s="1"/>
  <c r="BM36" i="6"/>
  <c r="BL36" i="6"/>
  <c r="BI36" i="6"/>
  <c r="BO36" i="6" s="1"/>
  <c r="BF36" i="6"/>
  <c r="BE36" i="6"/>
  <c r="BB36" i="6"/>
  <c r="AY36" i="6"/>
  <c r="AX36" i="6" s="1"/>
  <c r="AU36" i="6"/>
  <c r="BA36" i="6" s="1"/>
  <c r="AT36" i="6"/>
  <c r="AR36" i="6"/>
  <c r="AQ36" i="6"/>
  <c r="AN36" i="6"/>
  <c r="AO36" i="6" s="1"/>
  <c r="AL36" i="6"/>
  <c r="AG36" i="6"/>
  <c r="AE36" i="6"/>
  <c r="AD36" i="6"/>
  <c r="AC36" i="6"/>
  <c r="Z36" i="6"/>
  <c r="AF36" i="6" s="1"/>
  <c r="X36" i="6"/>
  <c r="W36" i="6"/>
  <c r="V36" i="6"/>
  <c r="S36" i="6"/>
  <c r="Q36" i="6"/>
  <c r="L36" i="6"/>
  <c r="CO35" i="6"/>
  <c r="CN35" i="6"/>
  <c r="CL35" i="6"/>
  <c r="CK35" i="6"/>
  <c r="CJ35" i="6"/>
  <c r="CH35" i="6"/>
  <c r="CG35" i="6"/>
  <c r="CD35" i="6"/>
  <c r="CA35" i="6"/>
  <c r="BZ35" i="6"/>
  <c r="BX35" i="6"/>
  <c r="BW35" i="6"/>
  <c r="CC35" i="6" s="1"/>
  <c r="BT35" i="6"/>
  <c r="BS35" i="6" s="1"/>
  <c r="BP35" i="6"/>
  <c r="BM35" i="6"/>
  <c r="BL35" i="6"/>
  <c r="BI35" i="6"/>
  <c r="BH35" i="6"/>
  <c r="BF35" i="6"/>
  <c r="BE35" i="6"/>
  <c r="BB35" i="6"/>
  <c r="AY35" i="6"/>
  <c r="AX35" i="6" s="1"/>
  <c r="AV35" i="6"/>
  <c r="AU35" i="6"/>
  <c r="BA35" i="6" s="1"/>
  <c r="AR35" i="6"/>
  <c r="AQ35" i="6" s="1"/>
  <c r="AN35" i="6"/>
  <c r="AT35" i="6" s="1"/>
  <c r="AK35" i="6"/>
  <c r="AJ35" i="6"/>
  <c r="AG35" i="6"/>
  <c r="AM35" i="6" s="1"/>
  <c r="AD35" i="6"/>
  <c r="AC35" i="6"/>
  <c r="Z35" i="6"/>
  <c r="AF35" i="6" s="1"/>
  <c r="Y35" i="6"/>
  <c r="W35" i="6"/>
  <c r="V35" i="6" s="1"/>
  <c r="T35" i="6"/>
  <c r="S35" i="6"/>
  <c r="P35" i="6"/>
  <c r="O35" i="6" s="1"/>
  <c r="L35" i="6"/>
  <c r="J35" i="6"/>
  <c r="CO34" i="6"/>
  <c r="CN34" i="6" s="1"/>
  <c r="CK34" i="6"/>
  <c r="CH34" i="6"/>
  <c r="CG34" i="6"/>
  <c r="CD34" i="6"/>
  <c r="CA34" i="6"/>
  <c r="BZ34" i="6"/>
  <c r="BW34" i="6"/>
  <c r="BT34" i="6"/>
  <c r="BS34" i="6" s="1"/>
  <c r="BP34" i="6"/>
  <c r="BM34" i="6"/>
  <c r="BL34" i="6"/>
  <c r="BI34" i="6"/>
  <c r="BO34" i="6" s="1"/>
  <c r="BF34" i="6"/>
  <c r="BE34" i="6"/>
  <c r="BB34" i="6"/>
  <c r="BH34" i="6" s="1"/>
  <c r="BA34" i="6"/>
  <c r="AY34" i="6"/>
  <c r="AX34" i="6" s="1"/>
  <c r="AU34" i="6"/>
  <c r="AR34" i="6"/>
  <c r="AN34" i="6"/>
  <c r="AK34" i="6"/>
  <c r="AJ34" i="6"/>
  <c r="AG34" i="6"/>
  <c r="AM34" i="6" s="1"/>
  <c r="AD34" i="6"/>
  <c r="AC34" i="6" s="1"/>
  <c r="Z34" i="6"/>
  <c r="W34" i="6"/>
  <c r="V34" i="6" s="1"/>
  <c r="S34" i="6"/>
  <c r="R34" i="6"/>
  <c r="P34" i="6"/>
  <c r="O34" i="6" s="1"/>
  <c r="L34" i="6"/>
  <c r="J34" i="6"/>
  <c r="CQ33" i="6"/>
  <c r="CO33" i="6"/>
  <c r="CN33" i="6"/>
  <c r="CK33" i="6"/>
  <c r="CL33" i="6" s="1"/>
  <c r="CH33" i="6"/>
  <c r="CG33" i="6"/>
  <c r="CE33" i="6"/>
  <c r="CD33" i="6"/>
  <c r="CJ33" i="6" s="1"/>
  <c r="CA33" i="6"/>
  <c r="BZ33" i="6"/>
  <c r="BW33" i="6"/>
  <c r="CC33" i="6" s="1"/>
  <c r="BT33" i="6"/>
  <c r="BS33" i="6"/>
  <c r="BP33" i="6"/>
  <c r="BV33" i="6" s="1"/>
  <c r="BO33" i="6"/>
  <c r="BM33" i="6"/>
  <c r="BL33" i="6"/>
  <c r="BI33" i="6"/>
  <c r="BJ33" i="6" s="1"/>
  <c r="BF33" i="6"/>
  <c r="BE33" i="6" s="1"/>
  <c r="BB33" i="6"/>
  <c r="BA33" i="6"/>
  <c r="AY33" i="6"/>
  <c r="AX33" i="6"/>
  <c r="AU33" i="6"/>
  <c r="AR33" i="6"/>
  <c r="AQ33" i="6" s="1"/>
  <c r="AN33" i="6"/>
  <c r="AK33" i="6"/>
  <c r="AJ33" i="6" s="1"/>
  <c r="AG33" i="6"/>
  <c r="AM33" i="6" s="1"/>
  <c r="AD33" i="6"/>
  <c r="Z33" i="6"/>
  <c r="AF33" i="6" s="1"/>
  <c r="W33" i="6"/>
  <c r="V33" i="6"/>
  <c r="S33" i="6"/>
  <c r="Y33" i="6" s="1"/>
  <c r="Q33" i="6"/>
  <c r="P33" i="6"/>
  <c r="L33" i="6"/>
  <c r="R33" i="6" s="1"/>
  <c r="J33" i="6"/>
  <c r="B33" i="6"/>
  <c r="CO32" i="6"/>
  <c r="CN32" i="6" s="1"/>
  <c r="CK32" i="6"/>
  <c r="CJ32" i="6"/>
  <c r="CH32" i="6"/>
  <c r="CG32" i="6"/>
  <c r="CD32" i="6"/>
  <c r="CA32" i="6"/>
  <c r="BZ32" i="6"/>
  <c r="BW32" i="6"/>
  <c r="BT32" i="6"/>
  <c r="BS32" i="6"/>
  <c r="BP32" i="6"/>
  <c r="BM32" i="6"/>
  <c r="BL32" i="6" s="1"/>
  <c r="BI32" i="6"/>
  <c r="BH32" i="6"/>
  <c r="BF32" i="6"/>
  <c r="BE32" i="6"/>
  <c r="BB32" i="6"/>
  <c r="AY32" i="6"/>
  <c r="AX32" i="6"/>
  <c r="AU32" i="6"/>
  <c r="BA32" i="6" s="1"/>
  <c r="AR32" i="6"/>
  <c r="AQ32" i="6" s="1"/>
  <c r="AN32" i="6"/>
  <c r="AL32" i="6"/>
  <c r="AG32" i="6"/>
  <c r="AE32" i="6"/>
  <c r="Z32" i="6"/>
  <c r="X32" i="6"/>
  <c r="S32" i="6"/>
  <c r="Q32" i="6"/>
  <c r="P32" i="6" s="1"/>
  <c r="L32" i="6"/>
  <c r="CQ31" i="6"/>
  <c r="CO31" i="6"/>
  <c r="CN31" i="6"/>
  <c r="CK31" i="6"/>
  <c r="CH31" i="6"/>
  <c r="CG31" i="6" s="1"/>
  <c r="CD31" i="6"/>
  <c r="CA31" i="6"/>
  <c r="BZ31" i="6"/>
  <c r="BX31" i="6"/>
  <c r="BW31" i="6"/>
  <c r="CC31" i="6" s="1"/>
  <c r="BT31" i="6"/>
  <c r="BS31" i="6" s="1"/>
  <c r="BP31" i="6"/>
  <c r="BM31" i="6"/>
  <c r="BL31" i="6"/>
  <c r="BI31" i="6"/>
  <c r="BF31" i="6"/>
  <c r="BE31" i="6"/>
  <c r="BB31" i="6"/>
  <c r="BH31" i="6" s="1"/>
  <c r="AY31" i="6"/>
  <c r="AX31" i="6" s="1"/>
  <c r="AU31" i="6"/>
  <c r="AT31" i="6"/>
  <c r="AR31" i="6"/>
  <c r="AQ31" i="6" s="1"/>
  <c r="AN31" i="6"/>
  <c r="AL31" i="6"/>
  <c r="AK31" i="6" s="1"/>
  <c r="AG31" i="6"/>
  <c r="AF31" i="6"/>
  <c r="AD31" i="6"/>
  <c r="AC31" i="6" s="1"/>
  <c r="AA31" i="6"/>
  <c r="Z31" i="6"/>
  <c r="X31" i="6"/>
  <c r="W31" i="6"/>
  <c r="V31" i="6" s="1"/>
  <c r="S31" i="6"/>
  <c r="Q31" i="6"/>
  <c r="P31" i="6"/>
  <c r="O31" i="6" s="1"/>
  <c r="L31" i="6"/>
  <c r="CO30" i="6"/>
  <c r="CN30" i="6" s="1"/>
  <c r="CK30" i="6"/>
  <c r="CH30" i="6"/>
  <c r="CG30" i="6"/>
  <c r="CD30" i="6"/>
  <c r="CJ30" i="6" s="1"/>
  <c r="CA30" i="6"/>
  <c r="BZ30" i="6"/>
  <c r="BW30" i="6"/>
  <c r="BT30" i="6"/>
  <c r="BS30" i="6" s="1"/>
  <c r="BP30" i="6"/>
  <c r="BV30" i="6" s="1"/>
  <c r="BM30" i="6"/>
  <c r="BL30" i="6"/>
  <c r="BI30" i="6"/>
  <c r="BF30" i="6"/>
  <c r="BE30" i="6"/>
  <c r="BB30" i="6"/>
  <c r="AY30" i="6"/>
  <c r="AX30" i="6" s="1"/>
  <c r="AU30" i="6"/>
  <c r="AR30" i="6"/>
  <c r="AQ30" i="6"/>
  <c r="AN30" i="6"/>
  <c r="AT30" i="6" s="1"/>
  <c r="AK30" i="6"/>
  <c r="AJ30" i="6" s="1"/>
  <c r="AG30" i="6"/>
  <c r="AM30" i="6" s="1"/>
  <c r="AD30" i="6"/>
  <c r="AC30" i="6" s="1"/>
  <c r="Z30" i="6"/>
  <c r="X30" i="6"/>
  <c r="W30" i="6"/>
  <c r="S30" i="6"/>
  <c r="Q30" i="6"/>
  <c r="J30" i="6" s="1"/>
  <c r="P30" i="6"/>
  <c r="I30" i="6" s="1"/>
  <c r="O30" i="6"/>
  <c r="L30" i="6"/>
  <c r="CO29" i="6"/>
  <c r="CN29" i="6" s="1"/>
  <c r="CK29" i="6"/>
  <c r="CQ29" i="6" s="1"/>
  <c r="CJ29" i="6"/>
  <c r="CH29" i="6"/>
  <c r="CG29" i="6" s="1"/>
  <c r="CE29" i="6"/>
  <c r="CD29" i="6"/>
  <c r="CA29" i="6"/>
  <c r="BZ29" i="6"/>
  <c r="BW29" i="6"/>
  <c r="CC29" i="6" s="1"/>
  <c r="BT29" i="6"/>
  <c r="BS29" i="6"/>
  <c r="BP29" i="6"/>
  <c r="BM29" i="6"/>
  <c r="BL29" i="6"/>
  <c r="BI29" i="6"/>
  <c r="BF29" i="6"/>
  <c r="BE29" i="6"/>
  <c r="BC29" i="6"/>
  <c r="BB29" i="6"/>
  <c r="BH29" i="6" s="1"/>
  <c r="AY29" i="6"/>
  <c r="AX29" i="6" s="1"/>
  <c r="AU29" i="6"/>
  <c r="BA29" i="6" s="1"/>
  <c r="AR29" i="6"/>
  <c r="AQ29" i="6" s="1"/>
  <c r="AN29" i="6"/>
  <c r="AO29" i="6" s="1"/>
  <c r="AK29" i="6"/>
  <c r="AJ29" i="6"/>
  <c r="AG29" i="6"/>
  <c r="AD29" i="6"/>
  <c r="AC29" i="6" s="1"/>
  <c r="Z29" i="6"/>
  <c r="AF29" i="6" s="1"/>
  <c r="W29" i="6"/>
  <c r="I29" i="6" s="1"/>
  <c r="T29" i="6"/>
  <c r="S29" i="6"/>
  <c r="Y29" i="6" s="1"/>
  <c r="P29" i="6"/>
  <c r="O29" i="6"/>
  <c r="L29" i="6"/>
  <c r="J29" i="6"/>
  <c r="CQ28" i="6"/>
  <c r="CO28" i="6"/>
  <c r="CN28" i="6"/>
  <c r="CK28" i="6"/>
  <c r="CH28" i="6"/>
  <c r="CG28" i="6" s="1"/>
  <c r="CD28" i="6"/>
  <c r="CC28" i="6"/>
  <c r="CA28" i="6"/>
  <c r="BZ28" i="6"/>
  <c r="BX28" i="6"/>
  <c r="BW28" i="6"/>
  <c r="BT28" i="6"/>
  <c r="BS28" i="6"/>
  <c r="BP28" i="6"/>
  <c r="BO28" i="6"/>
  <c r="BM28" i="6"/>
  <c r="BL28" i="6"/>
  <c r="BI28" i="6"/>
  <c r="BF28" i="6"/>
  <c r="BE28" i="6"/>
  <c r="BB28" i="6"/>
  <c r="BA28" i="6"/>
  <c r="AY28" i="6"/>
  <c r="AX28" i="6"/>
  <c r="AU28" i="6"/>
  <c r="AV28" i="6" s="1"/>
  <c r="AR28" i="6"/>
  <c r="AQ28" i="6" s="1"/>
  <c r="AN28" i="6"/>
  <c r="AT28" i="6" s="1"/>
  <c r="AM28" i="6"/>
  <c r="AK28" i="6"/>
  <c r="AJ28" i="6" s="1"/>
  <c r="AG28" i="6"/>
  <c r="AF28" i="6"/>
  <c r="AD28" i="6"/>
  <c r="AC28" i="6" s="1"/>
  <c r="Z28" i="6"/>
  <c r="X28" i="6"/>
  <c r="Y28" i="6" s="1"/>
  <c r="S28" i="6"/>
  <c r="Q28" i="6"/>
  <c r="P28" i="6"/>
  <c r="O28" i="6"/>
  <c r="M28" i="6"/>
  <c r="L28" i="6"/>
  <c r="R28" i="6" s="1"/>
  <c r="CO27" i="6"/>
  <c r="CN27" i="6" s="1"/>
  <c r="CK27" i="6"/>
  <c r="CH27" i="6"/>
  <c r="CG27" i="6"/>
  <c r="CD27" i="6"/>
  <c r="CJ27" i="6" s="1"/>
  <c r="CA27" i="6"/>
  <c r="BZ27" i="6"/>
  <c r="BW27" i="6"/>
  <c r="CC27" i="6" s="1"/>
  <c r="BV27" i="6"/>
  <c r="BT27" i="6"/>
  <c r="BS27" i="6" s="1"/>
  <c r="BP27" i="6"/>
  <c r="BM27" i="6"/>
  <c r="BL27" i="6"/>
  <c r="BI27" i="6"/>
  <c r="BF27" i="6"/>
  <c r="BE27" i="6"/>
  <c r="BB27" i="6"/>
  <c r="AY27" i="6"/>
  <c r="AX27" i="6" s="1"/>
  <c r="AU27" i="6"/>
  <c r="AR27" i="6"/>
  <c r="AQ27" i="6" s="1"/>
  <c r="AN27" i="6"/>
  <c r="AM27" i="6"/>
  <c r="AK27" i="6"/>
  <c r="AJ27" i="6"/>
  <c r="AG27" i="6"/>
  <c r="AH27" i="6" s="1"/>
  <c r="AD27" i="6"/>
  <c r="AC27" i="6" s="1"/>
  <c r="Z27" i="6"/>
  <c r="AF27" i="6" s="1"/>
  <c r="W27" i="6"/>
  <c r="V27" i="6" s="1"/>
  <c r="S27" i="6"/>
  <c r="P27" i="6"/>
  <c r="O27" i="6"/>
  <c r="L27" i="6"/>
  <c r="J27" i="6"/>
  <c r="CO26" i="6"/>
  <c r="CN26" i="6"/>
  <c r="CK26" i="6"/>
  <c r="CH26" i="6"/>
  <c r="CG26" i="6"/>
  <c r="CD26" i="6"/>
  <c r="CJ26" i="6" s="1"/>
  <c r="CA26" i="6"/>
  <c r="BZ26" i="6" s="1"/>
  <c r="BW26" i="6"/>
  <c r="BT26" i="6"/>
  <c r="BS26" i="6"/>
  <c r="BQ26" i="6"/>
  <c r="BP26" i="6"/>
  <c r="BV26" i="6" s="1"/>
  <c r="BM26" i="6"/>
  <c r="BL26" i="6" s="1"/>
  <c r="BI26" i="6"/>
  <c r="BF26" i="6"/>
  <c r="BE26" i="6"/>
  <c r="BB26" i="6"/>
  <c r="AY26" i="6"/>
  <c r="AX26" i="6"/>
  <c r="AU26" i="6"/>
  <c r="BA26" i="6" s="1"/>
  <c r="AR26" i="6"/>
  <c r="AQ26" i="6"/>
  <c r="AN26" i="6"/>
  <c r="AT26" i="6" s="1"/>
  <c r="AM26" i="6"/>
  <c r="AK26" i="6"/>
  <c r="AJ26" i="6" s="1"/>
  <c r="AG26" i="6"/>
  <c r="AE26" i="6"/>
  <c r="Z26" i="6"/>
  <c r="X26" i="6"/>
  <c r="Y26" i="6" s="1"/>
  <c r="W26" i="6"/>
  <c r="V26" i="6" s="1"/>
  <c r="S26" i="6"/>
  <c r="T26" i="6" s="1"/>
  <c r="Q26" i="6"/>
  <c r="L26" i="6"/>
  <c r="CO25" i="6"/>
  <c r="CN25" i="6" s="1"/>
  <c r="CK25" i="6"/>
  <c r="CH25" i="6"/>
  <c r="CG25" i="6" s="1"/>
  <c r="CD25" i="6"/>
  <c r="CJ25" i="6" s="1"/>
  <c r="CA25" i="6"/>
  <c r="BZ25" i="6" s="1"/>
  <c r="BW25" i="6"/>
  <c r="CC25" i="6" s="1"/>
  <c r="BT25" i="6"/>
  <c r="BS25" i="6"/>
  <c r="BP25" i="6"/>
  <c r="BV25" i="6" s="1"/>
  <c r="BO25" i="6"/>
  <c r="BM25" i="6"/>
  <c r="BL25" i="6"/>
  <c r="BI25" i="6"/>
  <c r="BF25" i="6"/>
  <c r="BE25" i="6"/>
  <c r="BB25" i="6"/>
  <c r="BH25" i="6" s="1"/>
  <c r="BA25" i="6"/>
  <c r="AY25" i="6"/>
  <c r="AX25" i="6" s="1"/>
  <c r="AU25" i="6"/>
  <c r="AR25" i="6"/>
  <c r="AQ25" i="6" s="1"/>
  <c r="AN25" i="6"/>
  <c r="AK25" i="6"/>
  <c r="AJ25" i="6" s="1"/>
  <c r="AG25" i="6"/>
  <c r="AM25" i="6" s="1"/>
  <c r="AD25" i="6"/>
  <c r="AC25" i="6" s="1"/>
  <c r="Z25" i="6"/>
  <c r="Y25" i="6"/>
  <c r="W25" i="6"/>
  <c r="V25" i="6" s="1"/>
  <c r="S25" i="6"/>
  <c r="Q25" i="6"/>
  <c r="P25" i="6"/>
  <c r="O25" i="6"/>
  <c r="L25" i="6"/>
  <c r="J25" i="6"/>
  <c r="CO24" i="6"/>
  <c r="CN24" i="6" s="1"/>
  <c r="CK24" i="6"/>
  <c r="CH24" i="6"/>
  <c r="CG24" i="6"/>
  <c r="CD24" i="6"/>
  <c r="CA24" i="6"/>
  <c r="BZ24" i="6"/>
  <c r="BW24" i="6"/>
  <c r="CC24" i="6" s="1"/>
  <c r="BT24" i="6"/>
  <c r="BS24" i="6"/>
  <c r="BP24" i="6"/>
  <c r="BO24" i="6"/>
  <c r="BM24" i="6"/>
  <c r="BL24" i="6"/>
  <c r="BI24" i="6"/>
  <c r="BF24" i="6"/>
  <c r="BE24" i="6"/>
  <c r="BB24" i="6"/>
  <c r="BH24" i="6" s="1"/>
  <c r="AY24" i="6"/>
  <c r="AX24" i="6"/>
  <c r="AU24" i="6"/>
  <c r="BA24" i="6" s="1"/>
  <c r="AR24" i="6"/>
  <c r="AQ24" i="6"/>
  <c r="AN24" i="6"/>
  <c r="AK24" i="6"/>
  <c r="AJ24" i="6"/>
  <c r="AG24" i="6"/>
  <c r="AD24" i="6"/>
  <c r="AC24" i="6" s="1"/>
  <c r="Z24" i="6"/>
  <c r="AF24" i="6" s="1"/>
  <c r="X24" i="6"/>
  <c r="W24" i="6"/>
  <c r="V24" i="6" s="1"/>
  <c r="S24" i="6"/>
  <c r="Q24" i="6"/>
  <c r="L24" i="6"/>
  <c r="CQ23" i="6"/>
  <c r="CO23" i="6"/>
  <c r="CN23" i="6"/>
  <c r="CK23" i="6"/>
  <c r="CL23" i="6" s="1"/>
  <c r="CH23" i="6"/>
  <c r="CG23" i="6"/>
  <c r="CD23" i="6"/>
  <c r="CA23" i="6"/>
  <c r="BZ23" i="6"/>
  <c r="BX23" i="6"/>
  <c r="BW23" i="6"/>
  <c r="CC23" i="6" s="1"/>
  <c r="BT23" i="6"/>
  <c r="BS23" i="6" s="1"/>
  <c r="BP23" i="6"/>
  <c r="BV23" i="6" s="1"/>
  <c r="BM23" i="6"/>
  <c r="BL23" i="6"/>
  <c r="BI23" i="6"/>
  <c r="BH23" i="6"/>
  <c r="BF23" i="6"/>
  <c r="BE23" i="6" s="1"/>
  <c r="BB23" i="6"/>
  <c r="AY23" i="6"/>
  <c r="AX23" i="6" s="1"/>
  <c r="AV23" i="6"/>
  <c r="AU23" i="6"/>
  <c r="BA23" i="6" s="1"/>
  <c r="AR23" i="6"/>
  <c r="AQ23" i="6" s="1"/>
  <c r="AN23" i="6"/>
  <c r="AT23" i="6" s="1"/>
  <c r="AM23" i="6"/>
  <c r="AK23" i="6"/>
  <c r="AJ23" i="6" s="1"/>
  <c r="AG23" i="6"/>
  <c r="AD23" i="6"/>
  <c r="AC23" i="6"/>
  <c r="Z23" i="6"/>
  <c r="AF23" i="6" s="1"/>
  <c r="Y23" i="6"/>
  <c r="W23" i="6"/>
  <c r="V23" i="6" s="1"/>
  <c r="T23" i="6"/>
  <c r="S23" i="6"/>
  <c r="P23" i="6"/>
  <c r="O23" i="6" s="1"/>
  <c r="L23" i="6"/>
  <c r="J23" i="6"/>
  <c r="CO22" i="6"/>
  <c r="CN22" i="6"/>
  <c r="CK22" i="6"/>
  <c r="CJ22" i="6"/>
  <c r="CH22" i="6"/>
  <c r="CG22" i="6"/>
  <c r="CD22" i="6"/>
  <c r="CA22" i="6"/>
  <c r="BZ22" i="6"/>
  <c r="BW22" i="6"/>
  <c r="BV22" i="6"/>
  <c r="BT22" i="6"/>
  <c r="BS22" i="6"/>
  <c r="BQ22" i="6"/>
  <c r="BP22" i="6"/>
  <c r="BM22" i="6"/>
  <c r="BL22" i="6" s="1"/>
  <c r="BI22" i="6"/>
  <c r="BH22" i="6"/>
  <c r="BF22" i="6"/>
  <c r="BE22" i="6"/>
  <c r="BB22" i="6"/>
  <c r="BC22" i="6" s="1"/>
  <c r="AY22" i="6"/>
  <c r="AX22" i="6" s="1"/>
  <c r="AU22" i="6"/>
  <c r="AT22" i="6"/>
  <c r="AR22" i="6"/>
  <c r="AQ22" i="6" s="1"/>
  <c r="AN22" i="6"/>
  <c r="AK22" i="6"/>
  <c r="AJ22" i="6"/>
  <c r="AG22" i="6"/>
  <c r="AM22" i="6" s="1"/>
  <c r="AE22" i="6"/>
  <c r="AD22" i="6"/>
  <c r="AC22" i="6"/>
  <c r="Z22" i="6"/>
  <c r="AF22" i="6" s="1"/>
  <c r="X22" i="6"/>
  <c r="S22" i="6"/>
  <c r="Y22" i="6" s="1"/>
  <c r="R22" i="6"/>
  <c r="Q22" i="6"/>
  <c r="P22" i="6"/>
  <c r="M22" i="6"/>
  <c r="L22" i="6"/>
  <c r="J22" i="6"/>
  <c r="CO21" i="6"/>
  <c r="CN21" i="6" s="1"/>
  <c r="CK21" i="6"/>
  <c r="CJ21" i="6"/>
  <c r="CH21" i="6"/>
  <c r="CG21" i="6" s="1"/>
  <c r="CD21" i="6"/>
  <c r="CA21" i="6"/>
  <c r="BZ21" i="6"/>
  <c r="BW21" i="6"/>
  <c r="BX21" i="6" s="1"/>
  <c r="BT21" i="6"/>
  <c r="BS21" i="6"/>
  <c r="BP21" i="6"/>
  <c r="BV21" i="6" s="1"/>
  <c r="BM21" i="6"/>
  <c r="BL21" i="6" s="1"/>
  <c r="BJ21" i="6"/>
  <c r="BI21" i="6"/>
  <c r="BH21" i="6"/>
  <c r="BF21" i="6"/>
  <c r="BE21" i="6" s="1"/>
  <c r="BB21" i="6"/>
  <c r="AY21" i="6"/>
  <c r="AX21" i="6" s="1"/>
  <c r="AU21" i="6"/>
  <c r="AR21" i="6"/>
  <c r="AQ21" i="6" s="1"/>
  <c r="AO21" i="6"/>
  <c r="AN21" i="6"/>
  <c r="AT21" i="6" s="1"/>
  <c r="AK21" i="6"/>
  <c r="AJ21" i="6" s="1"/>
  <c r="AG21" i="6"/>
  <c r="AD21" i="6"/>
  <c r="AC21" i="6" s="1"/>
  <c r="Z21" i="6"/>
  <c r="Y21" i="6"/>
  <c r="W21" i="6"/>
  <c r="V21" i="6" s="1"/>
  <c r="S21" i="6"/>
  <c r="Q21" i="6"/>
  <c r="J21" i="6" s="1"/>
  <c r="P21" i="6"/>
  <c r="O21" i="6" s="1"/>
  <c r="L21" i="6"/>
  <c r="E21" i="6" s="1"/>
  <c r="CO20" i="6"/>
  <c r="CN20" i="6"/>
  <c r="CK20" i="6"/>
  <c r="CQ20" i="6" s="1"/>
  <c r="CJ20" i="6"/>
  <c r="CH20" i="6"/>
  <c r="CG20" i="6"/>
  <c r="CD20" i="6"/>
  <c r="CE20" i="6" s="1"/>
  <c r="CA20" i="6"/>
  <c r="BZ20" i="6"/>
  <c r="BW20" i="6"/>
  <c r="BV20" i="6"/>
  <c r="BT20" i="6"/>
  <c r="BS20" i="6"/>
  <c r="BP20" i="6"/>
  <c r="BQ20" i="6" s="1"/>
  <c r="BM20" i="6"/>
  <c r="BL20" i="6" s="1"/>
  <c r="BI20" i="6"/>
  <c r="BH20" i="6"/>
  <c r="BF20" i="6"/>
  <c r="BE20" i="6"/>
  <c r="BB20" i="6"/>
  <c r="AY20" i="6"/>
  <c r="AX20" i="6" s="1"/>
  <c r="AU20" i="6"/>
  <c r="BA20" i="6" s="1"/>
  <c r="AT20" i="6"/>
  <c r="AR20" i="6"/>
  <c r="AQ20" i="6" s="1"/>
  <c r="AN20" i="6"/>
  <c r="AO20" i="6" s="1"/>
  <c r="AL20" i="6"/>
  <c r="AK20" i="6" s="1"/>
  <c r="AG20" i="6"/>
  <c r="AD20" i="6"/>
  <c r="AC20" i="6"/>
  <c r="Z20" i="6"/>
  <c r="AF20" i="6" s="1"/>
  <c r="Y20" i="6"/>
  <c r="X20" i="6"/>
  <c r="J20" i="6" s="1"/>
  <c r="S20" i="6"/>
  <c r="Q20" i="6"/>
  <c r="P20" i="6"/>
  <c r="M20" i="6"/>
  <c r="L20" i="6"/>
  <c r="CO19" i="6"/>
  <c r="CN19" i="6" s="1"/>
  <c r="CK19" i="6"/>
  <c r="CH19" i="6"/>
  <c r="CG19" i="6"/>
  <c r="CD19" i="6"/>
  <c r="CA19" i="6"/>
  <c r="BZ19" i="6" s="1"/>
  <c r="BW19" i="6"/>
  <c r="BT19" i="6"/>
  <c r="BS19" i="6"/>
  <c r="BP19" i="6"/>
  <c r="BV19" i="6" s="1"/>
  <c r="BM19" i="6"/>
  <c r="BL19" i="6" s="1"/>
  <c r="BJ19" i="6"/>
  <c r="BI19" i="6"/>
  <c r="BH19" i="6"/>
  <c r="BF19" i="6"/>
  <c r="BE19" i="6"/>
  <c r="BB19" i="6"/>
  <c r="AY19" i="6"/>
  <c r="AX19" i="6" s="1"/>
  <c r="AU19" i="6"/>
  <c r="AR19" i="6"/>
  <c r="AQ19" i="6"/>
  <c r="AN19" i="6"/>
  <c r="AT19" i="6" s="1"/>
  <c r="AK19" i="6"/>
  <c r="AJ19" i="6" s="1"/>
  <c r="AH19" i="6"/>
  <c r="AG19" i="6"/>
  <c r="AF19" i="6"/>
  <c r="AD19" i="6"/>
  <c r="AC19" i="6" s="1"/>
  <c r="Z19" i="6"/>
  <c r="W19" i="6"/>
  <c r="V19" i="6" s="1"/>
  <c r="S19" i="6"/>
  <c r="Q19" i="6"/>
  <c r="J19" i="6" s="1"/>
  <c r="L19" i="6"/>
  <c r="CO18" i="6"/>
  <c r="CN18" i="6" s="1"/>
  <c r="CK18" i="6"/>
  <c r="CH18" i="6"/>
  <c r="CG18" i="6"/>
  <c r="CD18" i="6"/>
  <c r="CJ18" i="6" s="1"/>
  <c r="CC18" i="6"/>
  <c r="CA18" i="6"/>
  <c r="BZ18" i="6" s="1"/>
  <c r="BW18" i="6"/>
  <c r="BT18" i="6"/>
  <c r="BS18" i="6" s="1"/>
  <c r="BP18" i="6"/>
  <c r="BM18" i="6"/>
  <c r="BL18" i="6"/>
  <c r="BI18" i="6"/>
  <c r="BO18" i="6" s="1"/>
  <c r="BH18" i="6"/>
  <c r="BF18" i="6"/>
  <c r="BE18" i="6"/>
  <c r="BB18" i="6"/>
  <c r="BC18" i="6" s="1"/>
  <c r="AY18" i="6"/>
  <c r="AX18" i="6" s="1"/>
  <c r="AU18" i="6"/>
  <c r="AR18" i="6"/>
  <c r="AQ18" i="6" s="1"/>
  <c r="AO18" i="6"/>
  <c r="AN18" i="6"/>
  <c r="AT18" i="6" s="1"/>
  <c r="AM18" i="6"/>
  <c r="AK18" i="6"/>
  <c r="AJ18" i="6"/>
  <c r="AH18" i="6"/>
  <c r="AG18" i="6"/>
  <c r="AD18" i="6"/>
  <c r="AC18" i="6"/>
  <c r="Z18" i="6"/>
  <c r="W18" i="6"/>
  <c r="V18" i="6" s="1"/>
  <c r="S18" i="6"/>
  <c r="P18" i="6"/>
  <c r="O18" i="6" s="1"/>
  <c r="M18" i="6"/>
  <c r="L18" i="6"/>
  <c r="R18" i="6" s="1"/>
  <c r="J18" i="6"/>
  <c r="CO17" i="6"/>
  <c r="CN17" i="6"/>
  <c r="CK17" i="6"/>
  <c r="CH17" i="6"/>
  <c r="CG17" i="6" s="1"/>
  <c r="CD17" i="6"/>
  <c r="CC17" i="6"/>
  <c r="CA17" i="6"/>
  <c r="BZ17" i="6"/>
  <c r="BX17" i="6"/>
  <c r="BW17" i="6"/>
  <c r="BT17" i="6"/>
  <c r="BS17" i="6" s="1"/>
  <c r="BP17" i="6"/>
  <c r="BO17" i="6"/>
  <c r="BM17" i="6"/>
  <c r="BL17" i="6" s="1"/>
  <c r="BI17" i="6"/>
  <c r="BJ17" i="6" s="1"/>
  <c r="BH17" i="6"/>
  <c r="BF17" i="6"/>
  <c r="BE17" i="6"/>
  <c r="BB17" i="6"/>
  <c r="AY17" i="6"/>
  <c r="AX17" i="6"/>
  <c r="AU17" i="6"/>
  <c r="AR17" i="6"/>
  <c r="AQ17" i="6"/>
  <c r="AN17" i="6"/>
  <c r="AL17" i="6"/>
  <c r="AG17" i="6"/>
  <c r="AF17" i="6"/>
  <c r="AD17" i="6"/>
  <c r="AC17" i="6" s="1"/>
  <c r="Z17" i="6"/>
  <c r="AA17" i="6" s="1"/>
  <c r="W17" i="6"/>
  <c r="V17" i="6"/>
  <c r="T17" i="6"/>
  <c r="S17" i="6"/>
  <c r="Y17" i="6" s="1"/>
  <c r="R17" i="6"/>
  <c r="Q17" i="6"/>
  <c r="P17" i="6" s="1"/>
  <c r="L17" i="6"/>
  <c r="CO16" i="6"/>
  <c r="CN16" i="6"/>
  <c r="CK16" i="6"/>
  <c r="CH16" i="6"/>
  <c r="CG16" i="6" s="1"/>
  <c r="CD16" i="6"/>
  <c r="CC16" i="6"/>
  <c r="CA16" i="6"/>
  <c r="BZ16" i="6"/>
  <c r="BW16" i="6"/>
  <c r="BX16" i="6" s="1"/>
  <c r="BV16" i="6"/>
  <c r="BT16" i="6"/>
  <c r="BS16" i="6" s="1"/>
  <c r="BP16" i="6"/>
  <c r="BQ16" i="6" s="1"/>
  <c r="BO16" i="6"/>
  <c r="BM16" i="6"/>
  <c r="BL16" i="6"/>
  <c r="BI16" i="6"/>
  <c r="BF16" i="6"/>
  <c r="BE16" i="6" s="1"/>
  <c r="BB16" i="6"/>
  <c r="BA16" i="6"/>
  <c r="AY16" i="6"/>
  <c r="AX16" i="6"/>
  <c r="AV16" i="6"/>
  <c r="AU16" i="6"/>
  <c r="AR16" i="6"/>
  <c r="AQ16" i="6" s="1"/>
  <c r="AN16" i="6"/>
  <c r="AM16" i="6"/>
  <c r="AL16" i="6"/>
  <c r="AK16" i="6"/>
  <c r="AJ16" i="6" s="1"/>
  <c r="AG16" i="6"/>
  <c r="AE16" i="6"/>
  <c r="AD16" i="6" s="1"/>
  <c r="Z16" i="6"/>
  <c r="X16" i="6"/>
  <c r="W16" i="6"/>
  <c r="T16" i="6"/>
  <c r="S16" i="6"/>
  <c r="Y16" i="6" s="1"/>
  <c r="Q16" i="6"/>
  <c r="M16" i="6"/>
  <c r="L16" i="6"/>
  <c r="CQ15" i="6"/>
  <c r="CO15" i="6"/>
  <c r="CN15" i="6"/>
  <c r="CK15" i="6"/>
  <c r="CH15" i="6"/>
  <c r="CG15" i="6" s="1"/>
  <c r="CD15" i="6"/>
  <c r="CA15" i="6"/>
  <c r="BZ15" i="6"/>
  <c r="BX15" i="6"/>
  <c r="BW15" i="6"/>
  <c r="CC15" i="6" s="1"/>
  <c r="BT15" i="6"/>
  <c r="BS15" i="6"/>
  <c r="BP15" i="6"/>
  <c r="BO15" i="6"/>
  <c r="BM15" i="6"/>
  <c r="BL15" i="6"/>
  <c r="BJ15" i="6"/>
  <c r="BI15" i="6"/>
  <c r="BF15" i="6"/>
  <c r="BE15" i="6"/>
  <c r="BC15" i="6"/>
  <c r="BB15" i="6"/>
  <c r="BH15" i="6" s="1"/>
  <c r="AY15" i="6"/>
  <c r="AX15" i="6"/>
  <c r="AU15" i="6"/>
  <c r="AR15" i="6"/>
  <c r="AQ15" i="6" s="1"/>
  <c r="AN15" i="6"/>
  <c r="AM15" i="6"/>
  <c r="AL15" i="6"/>
  <c r="AH15" i="6"/>
  <c r="AG15" i="6"/>
  <c r="AE15" i="6"/>
  <c r="AD15" i="6" s="1"/>
  <c r="Z15" i="6"/>
  <c r="X15" i="6"/>
  <c r="W15" i="6"/>
  <c r="V15" i="6"/>
  <c r="S15" i="6"/>
  <c r="E15" i="6" s="1"/>
  <c r="Q15" i="6"/>
  <c r="P15" i="6" s="1"/>
  <c r="M15" i="6"/>
  <c r="L15" i="6"/>
  <c r="CO14" i="6"/>
  <c r="CN14" i="6"/>
  <c r="CK14" i="6"/>
  <c r="CH14" i="6"/>
  <c r="CG14" i="6" s="1"/>
  <c r="CE14" i="6"/>
  <c r="CD14" i="6"/>
  <c r="CJ14" i="6" s="1"/>
  <c r="CA14" i="6"/>
  <c r="BZ14" i="6"/>
  <c r="BW14" i="6"/>
  <c r="BT14" i="6"/>
  <c r="BS14" i="6"/>
  <c r="BQ14" i="6"/>
  <c r="BP14" i="6"/>
  <c r="BM14" i="6"/>
  <c r="BL14" i="6"/>
  <c r="BI14" i="6"/>
  <c r="BF14" i="6"/>
  <c r="BE14" i="6" s="1"/>
  <c r="BB14" i="6"/>
  <c r="AY14" i="6"/>
  <c r="AX14" i="6"/>
  <c r="AU14" i="6"/>
  <c r="BA14" i="6" s="1"/>
  <c r="AR14" i="6"/>
  <c r="AQ14" i="6" s="1"/>
  <c r="AN14" i="6"/>
  <c r="AT14" i="6" s="1"/>
  <c r="AM14" i="6"/>
  <c r="AL14" i="6"/>
  <c r="AK14" i="6" s="1"/>
  <c r="AJ14" i="6"/>
  <c r="AG14" i="6"/>
  <c r="AE14" i="6"/>
  <c r="Z14" i="6"/>
  <c r="B14" i="6" s="1"/>
  <c r="W14" i="6"/>
  <c r="V14" i="6" s="1"/>
  <c r="T14" i="6"/>
  <c r="S14" i="6"/>
  <c r="Y14" i="6" s="1"/>
  <c r="Q14" i="6"/>
  <c r="P14" i="6"/>
  <c r="O14" i="6" s="1"/>
  <c r="L14" i="6"/>
  <c r="J14" i="6"/>
  <c r="CO13" i="6"/>
  <c r="CN13" i="6" s="1"/>
  <c r="CK13" i="6"/>
  <c r="CH13" i="6"/>
  <c r="CG13" i="6" s="1"/>
  <c r="CD13" i="6"/>
  <c r="CA13" i="6"/>
  <c r="BZ13" i="6"/>
  <c r="BW13" i="6"/>
  <c r="BT13" i="6"/>
  <c r="BS13" i="6"/>
  <c r="BP13" i="6"/>
  <c r="BM13" i="6"/>
  <c r="BL13" i="6" s="1"/>
  <c r="BJ13" i="6"/>
  <c r="BI13" i="6"/>
  <c r="BO13" i="6" s="1"/>
  <c r="BF13" i="6"/>
  <c r="BE13" i="6" s="1"/>
  <c r="BB13" i="6"/>
  <c r="BH13" i="6" s="1"/>
  <c r="AY13" i="6"/>
  <c r="AX13" i="6" s="1"/>
  <c r="AU13" i="6"/>
  <c r="BA13" i="6" s="1"/>
  <c r="AR13" i="6"/>
  <c r="AQ13" i="6"/>
  <c r="AN13" i="6"/>
  <c r="AT13" i="6" s="1"/>
  <c r="AL13" i="6"/>
  <c r="AK13" i="6"/>
  <c r="AJ13" i="6" s="1"/>
  <c r="AG13" i="6"/>
  <c r="AM13" i="6" s="1"/>
  <c r="AE13" i="6"/>
  <c r="AD13" i="6"/>
  <c r="AC13" i="6" s="1"/>
  <c r="Z13" i="6"/>
  <c r="X13" i="6"/>
  <c r="W13" i="6" s="1"/>
  <c r="V13" i="6"/>
  <c r="S13" i="6"/>
  <c r="Y13" i="6" s="1"/>
  <c r="Q13" i="6"/>
  <c r="P13" i="6"/>
  <c r="L13" i="6"/>
  <c r="J13" i="6"/>
  <c r="CQ12" i="6"/>
  <c r="CO12" i="6"/>
  <c r="CN12" i="6" s="1"/>
  <c r="CL12" i="6"/>
  <c r="CK12" i="6"/>
  <c r="CH12" i="6"/>
  <c r="CG12" i="6"/>
  <c r="CD12" i="6"/>
  <c r="CC12" i="6"/>
  <c r="CA12" i="6"/>
  <c r="BZ12" i="6" s="1"/>
  <c r="BW12" i="6"/>
  <c r="BT12" i="6"/>
  <c r="BS12" i="6" s="1"/>
  <c r="BQ12" i="6"/>
  <c r="BP12" i="6"/>
  <c r="BV12" i="6" s="1"/>
  <c r="BM12" i="6"/>
  <c r="BL12" i="6" s="1"/>
  <c r="BI12" i="6"/>
  <c r="BH12" i="6"/>
  <c r="BF12" i="6"/>
  <c r="BE12" i="6"/>
  <c r="BB12" i="6"/>
  <c r="AY12" i="6"/>
  <c r="AX12" i="6"/>
  <c r="AU12" i="6"/>
  <c r="AR12" i="6"/>
  <c r="AQ12" i="6" s="1"/>
  <c r="AN12" i="6"/>
  <c r="AT12" i="6" s="1"/>
  <c r="AL12" i="6"/>
  <c r="AH12" i="6"/>
  <c r="AG12" i="6"/>
  <c r="AM12" i="6" s="1"/>
  <c r="AE12" i="6"/>
  <c r="AD12" i="6"/>
  <c r="AA12" i="6"/>
  <c r="Z12" i="6"/>
  <c r="W12" i="6"/>
  <c r="V12" i="6" s="1"/>
  <c r="S12" i="6"/>
  <c r="Q12" i="6"/>
  <c r="J12" i="6" s="1"/>
  <c r="L12" i="6"/>
  <c r="R12" i="6" s="1"/>
  <c r="CO11" i="6"/>
  <c r="CN11" i="6"/>
  <c r="CK11" i="6"/>
  <c r="CQ11" i="6" s="1"/>
  <c r="CH11" i="6"/>
  <c r="CG11" i="6" s="1"/>
  <c r="CD11" i="6"/>
  <c r="CJ11" i="6" s="1"/>
  <c r="CA11" i="6"/>
  <c r="BZ11" i="6"/>
  <c r="BW11" i="6"/>
  <c r="BT11" i="6"/>
  <c r="BS11" i="6" s="1"/>
  <c r="BP11" i="6"/>
  <c r="BO11" i="6"/>
  <c r="BM11" i="6"/>
  <c r="BL11" i="6" s="1"/>
  <c r="BI11" i="6"/>
  <c r="BJ11" i="6" s="1"/>
  <c r="BF11" i="6"/>
  <c r="BE11" i="6" s="1"/>
  <c r="BC11" i="6"/>
  <c r="BB11" i="6"/>
  <c r="BH11" i="6" s="1"/>
  <c r="AY11" i="6"/>
  <c r="AX11" i="6"/>
  <c r="AU11" i="6"/>
  <c r="BA11" i="6" s="1"/>
  <c r="AR11" i="6"/>
  <c r="AQ11" i="6"/>
  <c r="AN11" i="6"/>
  <c r="AT11" i="6" s="1"/>
  <c r="AM11" i="6"/>
  <c r="AL11" i="6"/>
  <c r="J11" i="6" s="1"/>
  <c r="AG11" i="6"/>
  <c r="AD11" i="6"/>
  <c r="AC11" i="6" s="1"/>
  <c r="Z11" i="6"/>
  <c r="AF11" i="6" s="1"/>
  <c r="W11" i="6"/>
  <c r="V11" i="6"/>
  <c r="S11" i="6"/>
  <c r="Y11" i="6" s="1"/>
  <c r="P11" i="6"/>
  <c r="O11" i="6" s="1"/>
  <c r="M11" i="6"/>
  <c r="L11" i="6"/>
  <c r="CO10" i="6"/>
  <c r="CN10" i="6" s="1"/>
  <c r="CK10" i="6"/>
  <c r="CJ10" i="6"/>
  <c r="CH10" i="6"/>
  <c r="CG10" i="6" s="1"/>
  <c r="CD10" i="6"/>
  <c r="CA10" i="6"/>
  <c r="BZ10" i="6"/>
  <c r="BW10" i="6"/>
  <c r="CC10" i="6" s="1"/>
  <c r="BT10" i="6"/>
  <c r="BS10" i="6"/>
  <c r="BP10" i="6"/>
  <c r="BV10" i="6" s="1"/>
  <c r="BM10" i="6"/>
  <c r="BL10" i="6" s="1"/>
  <c r="BJ10" i="6"/>
  <c r="BI10" i="6"/>
  <c r="BH10" i="6"/>
  <c r="BF10" i="6"/>
  <c r="BE10" i="6"/>
  <c r="BB10" i="6"/>
  <c r="AY10" i="6"/>
  <c r="AX10" i="6" s="1"/>
  <c r="AU10" i="6"/>
  <c r="AR10" i="6"/>
  <c r="AQ10" i="6" s="1"/>
  <c r="AN10" i="6"/>
  <c r="AT10" i="6" s="1"/>
  <c r="AL10" i="6"/>
  <c r="AG10" i="6"/>
  <c r="AM10" i="6" s="1"/>
  <c r="AF10" i="6"/>
  <c r="AE10" i="6"/>
  <c r="AD10" i="6" s="1"/>
  <c r="Z10" i="6"/>
  <c r="X10" i="6"/>
  <c r="W10" i="6" s="1"/>
  <c r="S10" i="6"/>
  <c r="R10" i="6"/>
  <c r="Q10" i="6"/>
  <c r="P10" i="6"/>
  <c r="O10" i="6"/>
  <c r="L10" i="6"/>
  <c r="CQ9" i="6"/>
  <c r="CO9" i="6"/>
  <c r="CN9" i="6" s="1"/>
  <c r="CK9" i="6"/>
  <c r="CH9" i="6"/>
  <c r="CG9" i="6" s="1"/>
  <c r="CE9" i="6"/>
  <c r="CD9" i="6"/>
  <c r="CJ9" i="6" s="1"/>
  <c r="CA9" i="6"/>
  <c r="BZ9" i="6"/>
  <c r="BW9" i="6"/>
  <c r="CC9" i="6" s="1"/>
  <c r="BT9" i="6"/>
  <c r="BS9" i="6" s="1"/>
  <c r="BP9" i="6"/>
  <c r="BO9" i="6"/>
  <c r="BM9" i="6"/>
  <c r="BL9" i="6"/>
  <c r="BI9" i="6"/>
  <c r="BF9" i="6"/>
  <c r="BE9" i="6" s="1"/>
  <c r="BB9" i="6"/>
  <c r="AY9" i="6"/>
  <c r="AX9" i="6" s="1"/>
  <c r="AV9" i="6"/>
  <c r="AU9" i="6"/>
  <c r="BA9" i="6" s="1"/>
  <c r="AR9" i="6"/>
  <c r="AQ9" i="6" s="1"/>
  <c r="AO9" i="6"/>
  <c r="AN9" i="6"/>
  <c r="AK9" i="6"/>
  <c r="AJ9" i="6" s="1"/>
  <c r="AG9" i="6"/>
  <c r="AE9" i="6"/>
  <c r="AF9" i="6" s="1"/>
  <c r="Z9" i="6"/>
  <c r="AA9" i="6" s="1"/>
  <c r="X9" i="6"/>
  <c r="W9" i="6"/>
  <c r="V9" i="6" s="1"/>
  <c r="T9" i="6"/>
  <c r="S9" i="6"/>
  <c r="Y9" i="6" s="1"/>
  <c r="Q9" i="6"/>
  <c r="P9" i="6"/>
  <c r="O9" i="6"/>
  <c r="L9" i="6"/>
  <c r="CO8" i="6"/>
  <c r="CN8" i="6" s="1"/>
  <c r="CK8" i="6"/>
  <c r="CQ8" i="6" s="1"/>
  <c r="CH8" i="6"/>
  <c r="CG8" i="6"/>
  <c r="CD8" i="6"/>
  <c r="CJ8" i="6" s="1"/>
  <c r="CA8" i="6"/>
  <c r="BZ8" i="6"/>
  <c r="BW8" i="6"/>
  <c r="CC8" i="6" s="1"/>
  <c r="BV8" i="6"/>
  <c r="BT8" i="6"/>
  <c r="BS8" i="6" s="1"/>
  <c r="BQ8" i="6"/>
  <c r="BP8" i="6"/>
  <c r="BM8" i="6"/>
  <c r="BL8" i="6"/>
  <c r="BI8" i="6"/>
  <c r="BF8" i="6"/>
  <c r="BE8" i="6"/>
  <c r="BB8" i="6"/>
  <c r="BA8" i="6"/>
  <c r="AY8" i="6"/>
  <c r="AX8" i="6"/>
  <c r="AU8" i="6"/>
  <c r="AR8" i="6"/>
  <c r="AQ8" i="6" s="1"/>
  <c r="AO8" i="6"/>
  <c r="AN8" i="6"/>
  <c r="AT8" i="6" s="1"/>
  <c r="AK8" i="6"/>
  <c r="AJ8" i="6" s="1"/>
  <c r="AG8" i="6"/>
  <c r="AM8" i="6" s="1"/>
  <c r="AD8" i="6"/>
  <c r="AC8" i="6" s="1"/>
  <c r="Z8" i="6"/>
  <c r="AF8" i="6" s="1"/>
  <c r="W8" i="6"/>
  <c r="V8" i="6" s="1"/>
  <c r="S8" i="6"/>
  <c r="P8" i="6"/>
  <c r="O8" i="6" s="1"/>
  <c r="L8" i="6"/>
  <c r="R8" i="6" s="1"/>
  <c r="J8" i="6"/>
  <c r="CO7" i="6"/>
  <c r="CN7" i="6" s="1"/>
  <c r="CK7" i="6"/>
  <c r="CQ7" i="6" s="1"/>
  <c r="CH7" i="6"/>
  <c r="CG7" i="6"/>
  <c r="CD7" i="6"/>
  <c r="CJ7" i="6" s="1"/>
  <c r="CC7" i="6"/>
  <c r="CA7" i="6"/>
  <c r="BZ7" i="6"/>
  <c r="BW7" i="6"/>
  <c r="BV7" i="6"/>
  <c r="BT7" i="6"/>
  <c r="BS7" i="6" s="1"/>
  <c r="BP7" i="6"/>
  <c r="BM7" i="6"/>
  <c r="BL7" i="6"/>
  <c r="BI7" i="6"/>
  <c r="BF7" i="6"/>
  <c r="BE7" i="6"/>
  <c r="BB7" i="6"/>
  <c r="BH7" i="6" s="1"/>
  <c r="AY7" i="6"/>
  <c r="AX7" i="6" s="1"/>
  <c r="AV7" i="6"/>
  <c r="AU7" i="6"/>
  <c r="BA7" i="6" s="1"/>
  <c r="AR7" i="6"/>
  <c r="AQ7" i="6"/>
  <c r="AN7" i="6"/>
  <c r="AL7" i="6"/>
  <c r="J7" i="6" s="1"/>
  <c r="AK7" i="6"/>
  <c r="AG7" i="6"/>
  <c r="AF7" i="6"/>
  <c r="AD7" i="6"/>
  <c r="AC7" i="6" s="1"/>
  <c r="AA7" i="6"/>
  <c r="Z7" i="6"/>
  <c r="W7" i="6"/>
  <c r="V7" i="6"/>
  <c r="S7" i="6"/>
  <c r="Y7" i="6" s="1"/>
  <c r="R7" i="6"/>
  <c r="P7" i="6"/>
  <c r="O7" i="6" s="1"/>
  <c r="L7" i="6"/>
  <c r="I7" i="6"/>
  <c r="CO6" i="6"/>
  <c r="CN6" i="6" s="1"/>
  <c r="CK6" i="6"/>
  <c r="CJ6" i="6"/>
  <c r="CH6" i="6"/>
  <c r="CG6" i="6" s="1"/>
  <c r="CD6" i="6"/>
  <c r="CA6" i="6"/>
  <c r="BZ6" i="6" s="1"/>
  <c r="BX6" i="6"/>
  <c r="BW6" i="6"/>
  <c r="CC6" i="6" s="1"/>
  <c r="BT6" i="6"/>
  <c r="BS6" i="6"/>
  <c r="BP6" i="6"/>
  <c r="BV6" i="6" s="1"/>
  <c r="BM6" i="6"/>
  <c r="BL6" i="6" s="1"/>
  <c r="BI6" i="6"/>
  <c r="BH6" i="6"/>
  <c r="BF6" i="6"/>
  <c r="BE6" i="6"/>
  <c r="BB6" i="6"/>
  <c r="AY6" i="6"/>
  <c r="AX6" i="6" s="1"/>
  <c r="AU6" i="6"/>
  <c r="AR6" i="6"/>
  <c r="AQ6" i="6" s="1"/>
  <c r="AO6" i="6"/>
  <c r="AN6" i="6"/>
  <c r="AT6" i="6" s="1"/>
  <c r="AK6" i="6"/>
  <c r="AJ6" i="6" s="1"/>
  <c r="AG6" i="6"/>
  <c r="AF6" i="6"/>
  <c r="AD6" i="6"/>
  <c r="AC6" i="6" s="1"/>
  <c r="Z6" i="6"/>
  <c r="X6" i="6"/>
  <c r="J6" i="6" s="1"/>
  <c r="T6" i="6"/>
  <c r="S6" i="6"/>
  <c r="P6" i="6"/>
  <c r="O6" i="6" s="1"/>
  <c r="G6" i="6"/>
  <c r="L6" i="6"/>
  <c r="CO5" i="6"/>
  <c r="CN5" i="6" s="1"/>
  <c r="CK5" i="6"/>
  <c r="CQ5" i="6" s="1"/>
  <c r="CH5" i="6"/>
  <c r="CG5" i="6"/>
  <c r="CE5" i="6"/>
  <c r="CD5" i="6"/>
  <c r="CJ5" i="6" s="1"/>
  <c r="CA5" i="6"/>
  <c r="BZ5" i="6"/>
  <c r="BW5" i="6"/>
  <c r="BT5" i="6"/>
  <c r="BS5" i="6" s="1"/>
  <c r="BP5" i="6"/>
  <c r="BV5" i="6" s="1"/>
  <c r="BM5" i="6"/>
  <c r="BL5" i="6"/>
  <c r="BI5" i="6"/>
  <c r="BO5" i="6" s="1"/>
  <c r="BF5" i="6"/>
  <c r="BE5" i="6"/>
  <c r="BB5" i="6"/>
  <c r="BC5" i="6" s="1"/>
  <c r="BA5" i="6"/>
  <c r="AY5" i="6"/>
  <c r="AX5" i="6" s="1"/>
  <c r="AU5" i="6"/>
  <c r="AR5" i="6"/>
  <c r="AQ5" i="6"/>
  <c r="AN5" i="6"/>
  <c r="AT5" i="6" s="1"/>
  <c r="AL5" i="6"/>
  <c r="AG5" i="6"/>
  <c r="AM5" i="6" s="1"/>
  <c r="AE5" i="6"/>
  <c r="AD5" i="6"/>
  <c r="AC5" i="6" s="1"/>
  <c r="Z5" i="6"/>
  <c r="AF5" i="6" s="1"/>
  <c r="X5" i="6"/>
  <c r="W5" i="6"/>
  <c r="V5" i="6"/>
  <c r="S5" i="6"/>
  <c r="Y5" i="6" s="1"/>
  <c r="Q5" i="6"/>
  <c r="L5" i="6"/>
  <c r="R5" i="6" s="1"/>
  <c r="CO4" i="6"/>
  <c r="CN4" i="6"/>
  <c r="CK4" i="6"/>
  <c r="CQ4" i="6" s="1"/>
  <c r="CJ4" i="6"/>
  <c r="CH4" i="6"/>
  <c r="CG4" i="6" s="1"/>
  <c r="CD4" i="6"/>
  <c r="CA4" i="6"/>
  <c r="BZ4" i="6"/>
  <c r="BX4" i="6"/>
  <c r="BW4" i="6"/>
  <c r="CC4" i="6" s="1"/>
  <c r="BT4" i="6"/>
  <c r="BP4" i="6"/>
  <c r="BM4" i="6"/>
  <c r="BL4" i="6"/>
  <c r="BI4" i="6"/>
  <c r="BO4" i="6" s="1"/>
  <c r="BF4" i="6"/>
  <c r="BF55" i="6" s="1"/>
  <c r="BF58" i="6" s="1"/>
  <c r="BB4" i="6"/>
  <c r="AY4" i="6"/>
  <c r="AU4" i="6"/>
  <c r="BA4" i="6" s="1"/>
  <c r="AR4" i="6"/>
  <c r="AO4" i="6"/>
  <c r="AN4" i="6"/>
  <c r="AG4" i="6"/>
  <c r="Z4" i="6"/>
  <c r="S4" i="6"/>
  <c r="L4" i="6"/>
  <c r="CQ82" i="5"/>
  <c r="CJ82" i="5"/>
  <c r="CC82" i="5"/>
  <c r="BV82" i="5"/>
  <c r="BO82" i="5"/>
  <c r="BH82" i="5"/>
  <c r="BA82" i="5"/>
  <c r="AT82" i="5"/>
  <c r="Y74" i="5"/>
  <c r="Y73" i="5"/>
  <c r="Y72" i="5"/>
  <c r="AM71" i="5"/>
  <c r="AF71" i="5"/>
  <c r="Y71" i="5"/>
  <c r="R71" i="5"/>
  <c r="AM70" i="5"/>
  <c r="AF70" i="5"/>
  <c r="R70" i="5"/>
  <c r="AM69" i="5"/>
  <c r="AF69" i="5"/>
  <c r="R69" i="5"/>
  <c r="R68" i="5"/>
  <c r="AM67" i="5"/>
  <c r="Y67" i="5"/>
  <c r="R67" i="5"/>
  <c r="AM66" i="5"/>
  <c r="AF66" i="5"/>
  <c r="Y66" i="5"/>
  <c r="R66" i="5"/>
  <c r="AM65" i="5"/>
  <c r="Y65" i="5"/>
  <c r="R65" i="5"/>
  <c r="AF64" i="5"/>
  <c r="Y64" i="5"/>
  <c r="R64" i="5"/>
  <c r="AM63" i="5"/>
  <c r="AF63" i="5"/>
  <c r="R63" i="5"/>
  <c r="Y62" i="5"/>
  <c r="R62" i="5"/>
  <c r="R82" i="5" s="1"/>
  <c r="AM61" i="5"/>
  <c r="AF61" i="5"/>
  <c r="Y61" i="5"/>
  <c r="Y82" i="5" s="1"/>
  <c r="R61" i="5"/>
  <c r="BN59" i="5"/>
  <c r="BG59" i="5"/>
  <c r="CP58" i="5"/>
  <c r="CI58" i="5"/>
  <c r="CI59" i="5" s="1"/>
  <c r="CB58" i="5"/>
  <c r="CB59" i="5" s="1"/>
  <c r="BU58" i="5"/>
  <c r="BU59" i="5" s="1"/>
  <c r="CQ57" i="5"/>
  <c r="CO57" i="5"/>
  <c r="CN57" i="5"/>
  <c r="CK57" i="5"/>
  <c r="CH57" i="5"/>
  <c r="CG57" i="5"/>
  <c r="CD57" i="5"/>
  <c r="CJ57" i="5" s="1"/>
  <c r="CA57" i="5"/>
  <c r="BZ57" i="5" s="1"/>
  <c r="BW57" i="5"/>
  <c r="BV57" i="5"/>
  <c r="BT57" i="5"/>
  <c r="BS57" i="5" s="1"/>
  <c r="BP57" i="5"/>
  <c r="BO57" i="5"/>
  <c r="BM57" i="5"/>
  <c r="BL57" i="5" s="1"/>
  <c r="BI57" i="5"/>
  <c r="BF57" i="5"/>
  <c r="BE57" i="5"/>
  <c r="BB57" i="5"/>
  <c r="AY57" i="5"/>
  <c r="AX57" i="5" s="1"/>
  <c r="AU57" i="5"/>
  <c r="AT57" i="5"/>
  <c r="AR57" i="5"/>
  <c r="AQ57" i="5" s="1"/>
  <c r="AN57" i="5"/>
  <c r="AK57" i="5"/>
  <c r="AJ57" i="5" s="1"/>
  <c r="AG57" i="5"/>
  <c r="AM57" i="5" s="1"/>
  <c r="AD57" i="5"/>
  <c r="AC57" i="5" s="1"/>
  <c r="Z57" i="5"/>
  <c r="X57" i="5"/>
  <c r="W57" i="5" s="1"/>
  <c r="T57" i="5"/>
  <c r="S57" i="5"/>
  <c r="Y57" i="5" s="1"/>
  <c r="P57" i="5"/>
  <c r="O57" i="5"/>
  <c r="L57" i="5"/>
  <c r="J57" i="5"/>
  <c r="CQ56" i="5"/>
  <c r="CO56" i="5"/>
  <c r="CN56" i="5"/>
  <c r="CK56" i="5"/>
  <c r="CH56" i="5"/>
  <c r="CG56" i="5"/>
  <c r="CE56" i="5"/>
  <c r="CD56" i="5"/>
  <c r="CJ56" i="5" s="1"/>
  <c r="CA56" i="5"/>
  <c r="BZ56" i="5"/>
  <c r="BW56" i="5"/>
  <c r="CC56" i="5" s="1"/>
  <c r="BT56" i="5"/>
  <c r="BS56" i="5"/>
  <c r="BQ56" i="5"/>
  <c r="BP56" i="5"/>
  <c r="BV56" i="5" s="1"/>
  <c r="BM56" i="5"/>
  <c r="BL56" i="5"/>
  <c r="BI56" i="5"/>
  <c r="BO56" i="5" s="1"/>
  <c r="BH56" i="5"/>
  <c r="BF56" i="5"/>
  <c r="BE56" i="5" s="1"/>
  <c r="BB56" i="5"/>
  <c r="BC56" i="5" s="1"/>
  <c r="AY56" i="5"/>
  <c r="AX56" i="5" s="1"/>
  <c r="AV56" i="5"/>
  <c r="AU56" i="5"/>
  <c r="BA56" i="5" s="1"/>
  <c r="AR56" i="5"/>
  <c r="AQ56" i="5"/>
  <c r="AN56" i="5"/>
  <c r="AT56" i="5" s="1"/>
  <c r="AL56" i="5"/>
  <c r="AK56" i="5"/>
  <c r="AH56" i="5"/>
  <c r="AG56" i="5"/>
  <c r="AE56" i="5"/>
  <c r="Z56" i="5"/>
  <c r="W56" i="5"/>
  <c r="V56" i="5"/>
  <c r="S56" i="5"/>
  <c r="Y56" i="5" s="1"/>
  <c r="P56" i="5"/>
  <c r="O56" i="5"/>
  <c r="M56" i="5"/>
  <c r="L56" i="5"/>
  <c r="CP55" i="5"/>
  <c r="CI55" i="5"/>
  <c r="CB55" i="5"/>
  <c r="BU55" i="5"/>
  <c r="BN55" i="5"/>
  <c r="BN58" i="5" s="1"/>
  <c r="BG55" i="5"/>
  <c r="BG58" i="5" s="1"/>
  <c r="AZ55" i="5"/>
  <c r="AS55" i="5"/>
  <c r="AS58" i="5" s="1"/>
  <c r="AS59" i="5" s="1"/>
  <c r="CO54" i="5"/>
  <c r="CN54" i="5"/>
  <c r="CK54" i="5"/>
  <c r="CQ54" i="5" s="1"/>
  <c r="CH54" i="5"/>
  <c r="CG54" i="5"/>
  <c r="CD54" i="5"/>
  <c r="CA54" i="5"/>
  <c r="BZ54" i="5" s="1"/>
  <c r="BX54" i="5"/>
  <c r="BW54" i="5"/>
  <c r="CC54" i="5" s="1"/>
  <c r="BT54" i="5"/>
  <c r="BS54" i="5"/>
  <c r="BP54" i="5"/>
  <c r="BV54" i="5" s="1"/>
  <c r="BM54" i="5"/>
  <c r="BL54" i="5"/>
  <c r="BI54" i="5"/>
  <c r="BO54" i="5" s="1"/>
  <c r="BH54" i="5"/>
  <c r="BF54" i="5"/>
  <c r="BE54" i="5"/>
  <c r="BB54" i="5"/>
  <c r="BA54" i="5"/>
  <c r="AY54" i="5"/>
  <c r="AX54" i="5" s="1"/>
  <c r="AV54" i="5"/>
  <c r="AU54" i="5"/>
  <c r="AR54" i="5"/>
  <c r="AQ54" i="5" s="1"/>
  <c r="AN54" i="5"/>
  <c r="AT54" i="5" s="1"/>
  <c r="AK54" i="5"/>
  <c r="AJ54" i="5" s="1"/>
  <c r="AG54" i="5"/>
  <c r="AM54" i="5" s="1"/>
  <c r="AD54" i="5"/>
  <c r="AC54" i="5" s="1"/>
  <c r="Z54" i="5"/>
  <c r="Y54" i="5"/>
  <c r="W54" i="5"/>
  <c r="V54" i="5"/>
  <c r="T54" i="5"/>
  <c r="S54" i="5"/>
  <c r="P54" i="5"/>
  <c r="O54" i="5"/>
  <c r="L54" i="5"/>
  <c r="J54" i="5"/>
  <c r="CO53" i="5"/>
  <c r="CN53" i="5"/>
  <c r="CL53" i="5"/>
  <c r="CK53" i="5"/>
  <c r="CQ53" i="5" s="1"/>
  <c r="CH53" i="5"/>
  <c r="CG53" i="5"/>
  <c r="CD53" i="5"/>
  <c r="CC53" i="5"/>
  <c r="CA53" i="5"/>
  <c r="BZ53" i="5"/>
  <c r="BW53" i="5"/>
  <c r="BT53" i="5"/>
  <c r="BS53" i="5"/>
  <c r="BP53" i="5"/>
  <c r="BV53" i="5" s="1"/>
  <c r="BM53" i="5"/>
  <c r="BL53" i="5"/>
  <c r="BI53" i="5"/>
  <c r="BO53" i="5" s="1"/>
  <c r="BF53" i="5"/>
  <c r="BE53" i="5"/>
  <c r="BB53" i="5"/>
  <c r="BH53" i="5" s="1"/>
  <c r="AY53" i="5"/>
  <c r="AX53" i="5"/>
  <c r="AU53" i="5"/>
  <c r="AT53" i="5"/>
  <c r="AR53" i="5"/>
  <c r="AQ53" i="5" s="1"/>
  <c r="AO53" i="5"/>
  <c r="AN53" i="5"/>
  <c r="AK53" i="5"/>
  <c r="AJ53" i="5"/>
  <c r="AG53" i="5"/>
  <c r="AM53" i="5" s="1"/>
  <c r="AD53" i="5"/>
  <c r="AC53" i="5"/>
  <c r="Z53" i="5"/>
  <c r="X53" i="5"/>
  <c r="W53" i="5" s="1"/>
  <c r="S53" i="5"/>
  <c r="R53" i="5"/>
  <c r="P53" i="5"/>
  <c r="L53" i="5"/>
  <c r="J53" i="5"/>
  <c r="CQ52" i="5"/>
  <c r="CO52" i="5"/>
  <c r="CN52" i="5" s="1"/>
  <c r="CK52" i="5"/>
  <c r="CJ52" i="5"/>
  <c r="CH52" i="5"/>
  <c r="CG52" i="5" s="1"/>
  <c r="CD52" i="5"/>
  <c r="CE52" i="5" s="1"/>
  <c r="CA52" i="5"/>
  <c r="BZ52" i="5"/>
  <c r="BW52" i="5"/>
  <c r="CC52" i="5" s="1"/>
  <c r="BT52" i="5"/>
  <c r="BS52" i="5" s="1"/>
  <c r="BP52" i="5"/>
  <c r="BO52" i="5"/>
  <c r="BM52" i="5"/>
  <c r="BL52" i="5" s="1"/>
  <c r="BI52" i="5"/>
  <c r="BH52" i="5"/>
  <c r="BF52" i="5"/>
  <c r="BE52" i="5" s="1"/>
  <c r="BB52" i="5"/>
  <c r="AY52" i="5"/>
  <c r="AX52" i="5" s="1"/>
  <c r="AU52" i="5"/>
  <c r="AR52" i="5"/>
  <c r="AQ52" i="5" s="1"/>
  <c r="AN52" i="5"/>
  <c r="AK52" i="5"/>
  <c r="AJ52" i="5" s="1"/>
  <c r="AG52" i="5"/>
  <c r="AF52" i="5"/>
  <c r="AD52" i="5"/>
  <c r="AC52" i="5"/>
  <c r="Z52" i="5"/>
  <c r="W52" i="5"/>
  <c r="V52" i="5"/>
  <c r="T52" i="5"/>
  <c r="S52" i="5"/>
  <c r="Y52" i="5" s="1"/>
  <c r="Q52" i="5"/>
  <c r="P52" i="5" s="1"/>
  <c r="L52" i="5"/>
  <c r="J52" i="5"/>
  <c r="CO51" i="5"/>
  <c r="CN51" i="5"/>
  <c r="CK51" i="5"/>
  <c r="CQ51" i="5" s="1"/>
  <c r="CH51" i="5"/>
  <c r="CG51" i="5" s="1"/>
  <c r="CD51" i="5"/>
  <c r="CA51" i="5"/>
  <c r="BZ51" i="5"/>
  <c r="BW51" i="5"/>
  <c r="CC51" i="5" s="1"/>
  <c r="BT51" i="5"/>
  <c r="BS51" i="5"/>
  <c r="BP51" i="5"/>
  <c r="BV51" i="5" s="1"/>
  <c r="BM51" i="5"/>
  <c r="BL51" i="5"/>
  <c r="BI51" i="5"/>
  <c r="BO51" i="5" s="1"/>
  <c r="BF51" i="5"/>
  <c r="BE51" i="5" s="1"/>
  <c r="BB51" i="5"/>
  <c r="AY51" i="5"/>
  <c r="AX51" i="5"/>
  <c r="AU51" i="5"/>
  <c r="BA51" i="5" s="1"/>
  <c r="AR51" i="5"/>
  <c r="AQ51" i="5"/>
  <c r="AN51" i="5"/>
  <c r="AT51" i="5" s="1"/>
  <c r="AL51" i="5"/>
  <c r="AK51" i="5"/>
  <c r="AJ51" i="5" s="1"/>
  <c r="AG51" i="5"/>
  <c r="AE51" i="5"/>
  <c r="Z51" i="5"/>
  <c r="Y51" i="5"/>
  <c r="X51" i="5"/>
  <c r="W51" i="5"/>
  <c r="S51" i="5"/>
  <c r="Q51" i="5"/>
  <c r="P51" i="5"/>
  <c r="L51" i="5"/>
  <c r="CO50" i="5"/>
  <c r="CN50" i="5"/>
  <c r="CK50" i="5"/>
  <c r="CH50" i="5"/>
  <c r="CG50" i="5" s="1"/>
  <c r="CD50" i="5"/>
  <c r="CJ50" i="5" s="1"/>
  <c r="CA50" i="5"/>
  <c r="BZ50" i="5"/>
  <c r="BW50" i="5"/>
  <c r="CC50" i="5" s="1"/>
  <c r="BV50" i="5"/>
  <c r="BT50" i="5"/>
  <c r="BS50" i="5"/>
  <c r="BP50" i="5"/>
  <c r="BM50" i="5"/>
  <c r="BL50" i="5"/>
  <c r="BI50" i="5"/>
  <c r="BH50" i="5"/>
  <c r="BF50" i="5"/>
  <c r="BE50" i="5"/>
  <c r="BB50" i="5"/>
  <c r="BC50" i="5" s="1"/>
  <c r="AY50" i="5"/>
  <c r="AX50" i="5" s="1"/>
  <c r="AV50" i="5"/>
  <c r="AU50" i="5"/>
  <c r="BA50" i="5" s="1"/>
  <c r="AR50" i="5"/>
  <c r="AQ50" i="5" s="1"/>
  <c r="AO50" i="5"/>
  <c r="AN50" i="5"/>
  <c r="AT50" i="5" s="1"/>
  <c r="AL50" i="5"/>
  <c r="AK50" i="5"/>
  <c r="AH50" i="5"/>
  <c r="AG50" i="5"/>
  <c r="AM50" i="5" s="1"/>
  <c r="AF50" i="5"/>
  <c r="AE50" i="5"/>
  <c r="AD50" i="5"/>
  <c r="Z50" i="5"/>
  <c r="X50" i="5"/>
  <c r="S50" i="5"/>
  <c r="E50" i="5" s="1"/>
  <c r="Q50" i="5"/>
  <c r="P50" i="5"/>
  <c r="O50" i="5"/>
  <c r="M50" i="5"/>
  <c r="L50" i="5"/>
  <c r="CQ49" i="5"/>
  <c r="CO49" i="5"/>
  <c r="CN49" i="5" s="1"/>
  <c r="CL49" i="5"/>
  <c r="CK49" i="5"/>
  <c r="CH49" i="5"/>
  <c r="CG49" i="5"/>
  <c r="CD49" i="5"/>
  <c r="CJ49" i="5" s="1"/>
  <c r="CA49" i="5"/>
  <c r="BZ49" i="5"/>
  <c r="BW49" i="5"/>
  <c r="BV49" i="5"/>
  <c r="BT49" i="5"/>
  <c r="BS49" i="5" s="1"/>
  <c r="BP49" i="5"/>
  <c r="BO49" i="5"/>
  <c r="BM49" i="5"/>
  <c r="BL49" i="5"/>
  <c r="BJ49" i="5"/>
  <c r="BI49" i="5"/>
  <c r="BF49" i="5"/>
  <c r="BE49" i="5" s="1"/>
  <c r="BB49" i="5"/>
  <c r="AY49" i="5"/>
  <c r="AX49" i="5"/>
  <c r="AU49" i="5"/>
  <c r="BA49" i="5" s="1"/>
  <c r="AR49" i="5"/>
  <c r="AQ49" i="5" s="1"/>
  <c r="AN49" i="5"/>
  <c r="AG49" i="5"/>
  <c r="AA49" i="5"/>
  <c r="Z49" i="5"/>
  <c r="X49" i="5"/>
  <c r="W49" i="5" s="1"/>
  <c r="V49" i="5" s="1"/>
  <c r="S49" i="5"/>
  <c r="Q49" i="5"/>
  <c r="P49" i="5" s="1"/>
  <c r="L49" i="5"/>
  <c r="CO48" i="5"/>
  <c r="CN48" i="5" s="1"/>
  <c r="CK48" i="5"/>
  <c r="CQ48" i="5" s="1"/>
  <c r="CH48" i="5"/>
  <c r="CG48" i="5"/>
  <c r="CD48" i="5"/>
  <c r="CA48" i="5"/>
  <c r="BZ48" i="5"/>
  <c r="BW48" i="5"/>
  <c r="BV48" i="5"/>
  <c r="BT48" i="5"/>
  <c r="BS48" i="5" s="1"/>
  <c r="BQ48" i="5"/>
  <c r="BP48" i="5"/>
  <c r="BM48" i="5"/>
  <c r="BL48" i="5"/>
  <c r="BI48" i="5"/>
  <c r="BO48" i="5" s="1"/>
  <c r="BH48" i="5"/>
  <c r="BF48" i="5"/>
  <c r="BE48" i="5"/>
  <c r="BC48" i="5"/>
  <c r="BB48" i="5"/>
  <c r="AY48" i="5"/>
  <c r="AX48" i="5" s="1"/>
  <c r="AV48" i="5"/>
  <c r="AU48" i="5"/>
  <c r="AT48" i="5"/>
  <c r="AR48" i="5"/>
  <c r="AQ48" i="5" s="1"/>
  <c r="AN48" i="5"/>
  <c r="AO48" i="5" s="1"/>
  <c r="AM48" i="5"/>
  <c r="AL48" i="5"/>
  <c r="AK48" i="5"/>
  <c r="AJ48" i="5"/>
  <c r="AG48" i="5"/>
  <c r="AE48" i="5"/>
  <c r="AD48" i="5"/>
  <c r="Z48" i="5"/>
  <c r="Y48" i="5"/>
  <c r="X48" i="5"/>
  <c r="W48" i="5"/>
  <c r="V48" i="5"/>
  <c r="S48" i="5"/>
  <c r="Q48" i="5"/>
  <c r="L48" i="5"/>
  <c r="M48" i="5" s="1"/>
  <c r="CO47" i="5"/>
  <c r="CN47" i="5"/>
  <c r="CK47" i="5"/>
  <c r="CH47" i="5"/>
  <c r="CG47" i="5"/>
  <c r="CD47" i="5"/>
  <c r="CA47" i="5"/>
  <c r="BZ47" i="5"/>
  <c r="BX47" i="5"/>
  <c r="BW47" i="5"/>
  <c r="CC47" i="5" s="1"/>
  <c r="BT47" i="5"/>
  <c r="BS47" i="5"/>
  <c r="BQ47" i="5"/>
  <c r="BP47" i="5"/>
  <c r="BV47" i="5" s="1"/>
  <c r="BM47" i="5"/>
  <c r="BL47" i="5"/>
  <c r="BI47" i="5"/>
  <c r="BO47" i="5" s="1"/>
  <c r="BF47" i="5"/>
  <c r="BE47" i="5"/>
  <c r="BB47" i="5"/>
  <c r="BA47" i="5"/>
  <c r="AY47" i="5"/>
  <c r="AX47" i="5"/>
  <c r="AU47" i="5"/>
  <c r="AR47" i="5"/>
  <c r="AQ47" i="5"/>
  <c r="AN47" i="5"/>
  <c r="AK47" i="5"/>
  <c r="AJ47" i="5"/>
  <c r="AG47" i="5"/>
  <c r="AM47" i="5" s="1"/>
  <c r="AD47" i="5"/>
  <c r="AC47" i="5" s="1"/>
  <c r="AA47" i="5"/>
  <c r="Z47" i="5"/>
  <c r="Y47" i="5"/>
  <c r="W47" i="5"/>
  <c r="V47" i="5"/>
  <c r="S47" i="5"/>
  <c r="P47" i="5"/>
  <c r="O47" i="5" s="1"/>
  <c r="L47" i="5"/>
  <c r="R47" i="5" s="1"/>
  <c r="J47" i="5"/>
  <c r="CO46" i="5"/>
  <c r="CN46" i="5" s="1"/>
  <c r="CK46" i="5"/>
  <c r="CH46" i="5"/>
  <c r="CG46" i="5" s="1"/>
  <c r="CE46" i="5"/>
  <c r="CD46" i="5"/>
  <c r="CJ46" i="5" s="1"/>
  <c r="CA46" i="5"/>
  <c r="BZ46" i="5" s="1"/>
  <c r="BW46" i="5"/>
  <c r="CC46" i="5" s="1"/>
  <c r="BT46" i="5"/>
  <c r="BS46" i="5" s="1"/>
  <c r="BP46" i="5"/>
  <c r="BV46" i="5" s="1"/>
  <c r="BO46" i="5"/>
  <c r="BM46" i="5"/>
  <c r="BL46" i="5" s="1"/>
  <c r="BJ46" i="5"/>
  <c r="BI46" i="5"/>
  <c r="BF46" i="5"/>
  <c r="BE46" i="5"/>
  <c r="BB46" i="5"/>
  <c r="BH46" i="5" s="1"/>
  <c r="BA46" i="5"/>
  <c r="AY46" i="5"/>
  <c r="AX46" i="5" s="1"/>
  <c r="AU46" i="5"/>
  <c r="AT46" i="5"/>
  <c r="AR46" i="5"/>
  <c r="AQ46" i="5"/>
  <c r="AN46" i="5"/>
  <c r="AK46" i="5"/>
  <c r="AJ46" i="5" s="1"/>
  <c r="AH46" i="5"/>
  <c r="AG46" i="5"/>
  <c r="AM46" i="5" s="1"/>
  <c r="AD46" i="5"/>
  <c r="AC46" i="5" s="1"/>
  <c r="Z46" i="5"/>
  <c r="AF46" i="5" s="1"/>
  <c r="W46" i="5"/>
  <c r="S46" i="5"/>
  <c r="Y46" i="5" s="1"/>
  <c r="P46" i="5"/>
  <c r="O46" i="5"/>
  <c r="L46" i="5"/>
  <c r="J46" i="5"/>
  <c r="CO45" i="5"/>
  <c r="CN45" i="5" s="1"/>
  <c r="CK45" i="5"/>
  <c r="CQ45" i="5" s="1"/>
  <c r="CJ45" i="5"/>
  <c r="CH45" i="5"/>
  <c r="CG45" i="5"/>
  <c r="CD45" i="5"/>
  <c r="CE45" i="5" s="1"/>
  <c r="CA45" i="5"/>
  <c r="BZ45" i="5"/>
  <c r="BW45" i="5"/>
  <c r="CC45" i="5" s="1"/>
  <c r="BV45" i="5"/>
  <c r="BT45" i="5"/>
  <c r="BS45" i="5" s="1"/>
  <c r="BP45" i="5"/>
  <c r="BM45" i="5"/>
  <c r="BL45" i="5"/>
  <c r="BI45" i="5"/>
  <c r="BO45" i="5" s="1"/>
  <c r="BF45" i="5"/>
  <c r="BE45" i="5"/>
  <c r="BB45" i="5"/>
  <c r="BH45" i="5" s="1"/>
  <c r="AY45" i="5"/>
  <c r="AX45" i="5" s="1"/>
  <c r="AU45" i="5"/>
  <c r="BA45" i="5" s="1"/>
  <c r="AR45" i="5"/>
  <c r="AQ45" i="5" s="1"/>
  <c r="AO45" i="5"/>
  <c r="AN45" i="5"/>
  <c r="AT45" i="5" s="1"/>
  <c r="AK45" i="5"/>
  <c r="AJ45" i="5" s="1"/>
  <c r="AG45" i="5"/>
  <c r="AD45" i="5"/>
  <c r="AC45" i="5" s="1"/>
  <c r="Z45" i="5"/>
  <c r="W45" i="5"/>
  <c r="V45" i="5"/>
  <c r="T45" i="5"/>
  <c r="S45" i="5"/>
  <c r="Y45" i="5" s="1"/>
  <c r="P45" i="5"/>
  <c r="O45" i="5" s="1"/>
  <c r="L45" i="5"/>
  <c r="J45" i="5"/>
  <c r="CQ44" i="5"/>
  <c r="CO44" i="5"/>
  <c r="CN44" i="5" s="1"/>
  <c r="CK44" i="5"/>
  <c r="CH44" i="5"/>
  <c r="CG44" i="5"/>
  <c r="CD44" i="5"/>
  <c r="CA44" i="5"/>
  <c r="BZ44" i="5" s="1"/>
  <c r="BX44" i="5"/>
  <c r="BW44" i="5"/>
  <c r="CC44" i="5" s="1"/>
  <c r="BT44" i="5"/>
  <c r="BS44" i="5"/>
  <c r="BP44" i="5"/>
  <c r="BV44" i="5" s="1"/>
  <c r="BM44" i="5"/>
  <c r="BL44" i="5" s="1"/>
  <c r="BI44" i="5"/>
  <c r="BF44" i="5"/>
  <c r="BE44" i="5"/>
  <c r="BB44" i="5"/>
  <c r="AY44" i="5"/>
  <c r="AX44" i="5"/>
  <c r="AU44" i="5"/>
  <c r="BA44" i="5" s="1"/>
  <c r="AR44" i="5"/>
  <c r="AQ44" i="5"/>
  <c r="AN44" i="5"/>
  <c r="AT44" i="5" s="1"/>
  <c r="AK44" i="5"/>
  <c r="AJ44" i="5" s="1"/>
  <c r="AG44" i="5"/>
  <c r="AF44" i="5"/>
  <c r="AD44" i="5"/>
  <c r="AC44" i="5" s="1"/>
  <c r="Z44" i="5"/>
  <c r="W44" i="5"/>
  <c r="V44" i="5" s="1"/>
  <c r="T44" i="5"/>
  <c r="S44" i="5"/>
  <c r="Y44" i="5" s="1"/>
  <c r="P44" i="5"/>
  <c r="O44" i="5" s="1"/>
  <c r="L44" i="5"/>
  <c r="J44" i="5"/>
  <c r="CO43" i="5"/>
  <c r="CN43" i="5"/>
  <c r="CK43" i="5"/>
  <c r="CQ43" i="5" s="1"/>
  <c r="CJ43" i="5"/>
  <c r="CH43" i="5"/>
  <c r="CG43" i="5" s="1"/>
  <c r="CD43" i="5"/>
  <c r="CA43" i="5"/>
  <c r="BZ43" i="5" s="1"/>
  <c r="BW43" i="5"/>
  <c r="BT43" i="5"/>
  <c r="BS43" i="5" s="1"/>
  <c r="BQ43" i="5"/>
  <c r="BP43" i="5"/>
  <c r="BV43" i="5" s="1"/>
  <c r="BM43" i="5"/>
  <c r="BL43" i="5"/>
  <c r="BJ43" i="5"/>
  <c r="BI43" i="5"/>
  <c r="BO43" i="5" s="1"/>
  <c r="BF43" i="5"/>
  <c r="BE43" i="5" s="1"/>
  <c r="BB43" i="5"/>
  <c r="AY43" i="5"/>
  <c r="AX43" i="5" s="1"/>
  <c r="AU43" i="5"/>
  <c r="AR43" i="5"/>
  <c r="AQ43" i="5"/>
  <c r="AO43" i="5"/>
  <c r="AN43" i="5"/>
  <c r="AT43" i="5" s="1"/>
  <c r="AL43" i="5"/>
  <c r="AK43" i="5"/>
  <c r="AJ43" i="5"/>
  <c r="AG43" i="5"/>
  <c r="AE43" i="5"/>
  <c r="AD43" i="5"/>
  <c r="AC43" i="5"/>
  <c r="Z43" i="5"/>
  <c r="AF43" i="5" s="1"/>
  <c r="X43" i="5"/>
  <c r="W43" i="5" s="1"/>
  <c r="S43" i="5"/>
  <c r="R43" i="5"/>
  <c r="Q43" i="5"/>
  <c r="L43" i="5"/>
  <c r="J43" i="5"/>
  <c r="CO42" i="5"/>
  <c r="CN42" i="5" s="1"/>
  <c r="CK42" i="5"/>
  <c r="CQ42" i="5" s="1"/>
  <c r="CJ42" i="5"/>
  <c r="CH42" i="5"/>
  <c r="CG42" i="5" s="1"/>
  <c r="CD42" i="5"/>
  <c r="CA42" i="5"/>
  <c r="BZ42" i="5" s="1"/>
  <c r="BW42" i="5"/>
  <c r="CC42" i="5" s="1"/>
  <c r="BT42" i="5"/>
  <c r="BS42" i="5"/>
  <c r="BQ42" i="5"/>
  <c r="BP42" i="5"/>
  <c r="BV42" i="5" s="1"/>
  <c r="BM42" i="5"/>
  <c r="BL42" i="5" s="1"/>
  <c r="BI42" i="5"/>
  <c r="BF42" i="5"/>
  <c r="BE42" i="5"/>
  <c r="BB42" i="5"/>
  <c r="AY42" i="5"/>
  <c r="AX42" i="5" s="1"/>
  <c r="AU42" i="5"/>
  <c r="BA42" i="5" s="1"/>
  <c r="AR42" i="5"/>
  <c r="AQ42" i="5"/>
  <c r="AN42" i="5"/>
  <c r="AT42" i="5" s="1"/>
  <c r="AM42" i="5"/>
  <c r="AK42" i="5"/>
  <c r="AJ42" i="5" s="1"/>
  <c r="AG42" i="5"/>
  <c r="AD42" i="5"/>
  <c r="AC42" i="5" s="1"/>
  <c r="Z42" i="5"/>
  <c r="W42" i="5"/>
  <c r="V42" i="5"/>
  <c r="T42" i="5"/>
  <c r="S42" i="5"/>
  <c r="Y42" i="5" s="1"/>
  <c r="P42" i="5"/>
  <c r="O42" i="5"/>
  <c r="L42" i="5"/>
  <c r="J42" i="5"/>
  <c r="CO41" i="5"/>
  <c r="CN41" i="5"/>
  <c r="CL41" i="5"/>
  <c r="CK41" i="5"/>
  <c r="CQ41" i="5" s="1"/>
  <c r="CH41" i="5"/>
  <c r="CG41" i="5" s="1"/>
  <c r="CD41" i="5"/>
  <c r="CC41" i="5"/>
  <c r="CA41" i="5"/>
  <c r="BZ41" i="5"/>
  <c r="BW41" i="5"/>
  <c r="BT41" i="5"/>
  <c r="BS41" i="5"/>
  <c r="BP41" i="5"/>
  <c r="BV41" i="5" s="1"/>
  <c r="BM41" i="5"/>
  <c r="BL41" i="5"/>
  <c r="BI41" i="5"/>
  <c r="BO41" i="5" s="1"/>
  <c r="BF41" i="5"/>
  <c r="BE41" i="5" s="1"/>
  <c r="BB41" i="5"/>
  <c r="AY41" i="5"/>
  <c r="AX41" i="5" s="1"/>
  <c r="AU41" i="5"/>
  <c r="AR41" i="5"/>
  <c r="AQ41" i="5" s="1"/>
  <c r="AO41" i="5"/>
  <c r="AN41" i="5"/>
  <c r="AT41" i="5" s="1"/>
  <c r="AK41" i="5"/>
  <c r="AJ41" i="5" s="1"/>
  <c r="AG41" i="5"/>
  <c r="AF41" i="5"/>
  <c r="AD41" i="5"/>
  <c r="AC41" i="5" s="1"/>
  <c r="Z41" i="5"/>
  <c r="W41" i="5"/>
  <c r="V41" i="5" s="1"/>
  <c r="S41" i="5"/>
  <c r="P41" i="5"/>
  <c r="L41" i="5"/>
  <c r="E41" i="5" s="1"/>
  <c r="J41" i="5"/>
  <c r="CO40" i="5"/>
  <c r="CN40" i="5"/>
  <c r="CK40" i="5"/>
  <c r="CH40" i="5"/>
  <c r="CG40" i="5"/>
  <c r="CD40" i="5"/>
  <c r="CJ40" i="5" s="1"/>
  <c r="CA40" i="5"/>
  <c r="BZ40" i="5" s="1"/>
  <c r="BW40" i="5"/>
  <c r="BV40" i="5"/>
  <c r="BT40" i="5"/>
  <c r="BS40" i="5" s="1"/>
  <c r="BP40" i="5"/>
  <c r="BM40" i="5"/>
  <c r="BL40" i="5"/>
  <c r="BI40" i="5"/>
  <c r="BO40" i="5" s="1"/>
  <c r="BF40" i="5"/>
  <c r="BE40" i="5"/>
  <c r="BB40" i="5"/>
  <c r="AY40" i="5"/>
  <c r="AX40" i="5" s="1"/>
  <c r="AU40" i="5"/>
  <c r="AR40" i="5"/>
  <c r="AQ40" i="5" s="1"/>
  <c r="AN40" i="5"/>
  <c r="AK40" i="5"/>
  <c r="AJ40" i="5"/>
  <c r="AH40" i="5"/>
  <c r="AG40" i="5"/>
  <c r="AM40" i="5" s="1"/>
  <c r="AD40" i="5"/>
  <c r="AC40" i="5" s="1"/>
  <c r="Z40" i="5"/>
  <c r="AF40" i="5" s="1"/>
  <c r="Y40" i="5"/>
  <c r="W40" i="5"/>
  <c r="V40" i="5" s="1"/>
  <c r="S40" i="5"/>
  <c r="Q40" i="5"/>
  <c r="R40" i="5" s="1"/>
  <c r="P40" i="5"/>
  <c r="O40" i="5"/>
  <c r="L40" i="5"/>
  <c r="CQ39" i="5"/>
  <c r="CO39" i="5"/>
  <c r="CN39" i="5" s="1"/>
  <c r="CK39" i="5"/>
  <c r="CH39" i="5"/>
  <c r="CG39" i="5"/>
  <c r="CD39" i="5"/>
  <c r="CJ39" i="5" s="1"/>
  <c r="CA39" i="5"/>
  <c r="BZ39" i="5"/>
  <c r="BW39" i="5"/>
  <c r="BT39" i="5"/>
  <c r="BS39" i="5"/>
  <c r="BP39" i="5"/>
  <c r="BO39" i="5"/>
  <c r="BM39" i="5"/>
  <c r="BL39" i="5"/>
  <c r="BI39" i="5"/>
  <c r="BF39" i="5"/>
  <c r="BE39" i="5" s="1"/>
  <c r="BB39" i="5"/>
  <c r="BH39" i="5" s="1"/>
  <c r="AY39" i="5"/>
  <c r="AX39" i="5" s="1"/>
  <c r="AV39" i="5"/>
  <c r="AU39" i="5"/>
  <c r="BA39" i="5" s="1"/>
  <c r="AR39" i="5"/>
  <c r="AQ39" i="5" s="1"/>
  <c r="AN39" i="5"/>
  <c r="AM39" i="5"/>
  <c r="AK39" i="5"/>
  <c r="AJ39" i="5" s="1"/>
  <c r="AG39" i="5"/>
  <c r="AE39" i="5"/>
  <c r="AD39" i="5"/>
  <c r="AC39" i="5" s="1"/>
  <c r="Z39" i="5"/>
  <c r="W39" i="5"/>
  <c r="V39" i="5" s="1"/>
  <c r="S39" i="5"/>
  <c r="Q39" i="5"/>
  <c r="J39" i="5" s="1"/>
  <c r="P39" i="5"/>
  <c r="O39" i="5"/>
  <c r="L39" i="5"/>
  <c r="E39" i="5"/>
  <c r="CO38" i="5"/>
  <c r="CN38" i="5"/>
  <c r="CK38" i="5"/>
  <c r="CJ38" i="5"/>
  <c r="CH38" i="5"/>
  <c r="CG38" i="5"/>
  <c r="CD38" i="5"/>
  <c r="CC38" i="5"/>
  <c r="CA38" i="5"/>
  <c r="BZ38" i="5" s="1"/>
  <c r="BW38" i="5"/>
  <c r="BV38" i="5"/>
  <c r="BT38" i="5"/>
  <c r="BS38" i="5" s="1"/>
  <c r="BP38" i="5"/>
  <c r="BQ38" i="5" s="1"/>
  <c r="BM38" i="5"/>
  <c r="BL38" i="5" s="1"/>
  <c r="BJ38" i="5"/>
  <c r="BI38" i="5"/>
  <c r="BO38" i="5" s="1"/>
  <c r="BF38" i="5"/>
  <c r="BE38" i="5"/>
  <c r="BB38" i="5"/>
  <c r="BH38" i="5" s="1"/>
  <c r="AY38" i="5"/>
  <c r="AX38" i="5"/>
  <c r="AU38" i="5"/>
  <c r="BA38" i="5" s="1"/>
  <c r="AT38" i="5"/>
  <c r="AR38" i="5"/>
  <c r="AQ38" i="5"/>
  <c r="AN38" i="5"/>
  <c r="AO38" i="5" s="1"/>
  <c r="AK38" i="5"/>
  <c r="AJ38" i="5" s="1"/>
  <c r="AG38" i="5"/>
  <c r="AM38" i="5" s="1"/>
  <c r="AE38" i="5"/>
  <c r="AD38" i="5"/>
  <c r="AC38" i="5" s="1"/>
  <c r="Z38" i="5"/>
  <c r="Y38" i="5"/>
  <c r="X38" i="5"/>
  <c r="S38" i="5"/>
  <c r="E38" i="5" s="1"/>
  <c r="Q38" i="5"/>
  <c r="P38" i="5" s="1"/>
  <c r="L38" i="5"/>
  <c r="B38" i="5"/>
  <c r="CO37" i="5"/>
  <c r="CN37" i="5" s="1"/>
  <c r="CK37" i="5"/>
  <c r="CJ37" i="5"/>
  <c r="CH37" i="5"/>
  <c r="CG37" i="5"/>
  <c r="CD37" i="5"/>
  <c r="CA37" i="5"/>
  <c r="BZ37" i="5"/>
  <c r="BW37" i="5"/>
  <c r="CC37" i="5" s="1"/>
  <c r="BT37" i="5"/>
  <c r="BS37" i="5"/>
  <c r="BP37" i="5"/>
  <c r="BV37" i="5" s="1"/>
  <c r="BM37" i="5"/>
  <c r="BL37" i="5" s="1"/>
  <c r="BJ37" i="5"/>
  <c r="BI37" i="5"/>
  <c r="BH37" i="5"/>
  <c r="BF37" i="5"/>
  <c r="BE37" i="5"/>
  <c r="BB37" i="5"/>
  <c r="BA37" i="5"/>
  <c r="AY37" i="5"/>
  <c r="AX37" i="5" s="1"/>
  <c r="AU37" i="5"/>
  <c r="AR37" i="5"/>
  <c r="AQ37" i="5"/>
  <c r="AN37" i="5"/>
  <c r="AT37" i="5" s="1"/>
  <c r="AG37" i="5"/>
  <c r="AA37" i="5"/>
  <c r="Z37" i="5"/>
  <c r="S37" i="5"/>
  <c r="L37" i="5"/>
  <c r="CO36" i="5"/>
  <c r="CN36" i="5" s="1"/>
  <c r="CK36" i="5"/>
  <c r="CQ36" i="5" s="1"/>
  <c r="CJ36" i="5"/>
  <c r="CH36" i="5"/>
  <c r="CG36" i="5" s="1"/>
  <c r="CE36" i="5"/>
  <c r="CD36" i="5"/>
  <c r="CA36" i="5"/>
  <c r="BZ36" i="5"/>
  <c r="BW36" i="5"/>
  <c r="BV36" i="5"/>
  <c r="BT36" i="5"/>
  <c r="BS36" i="5" s="1"/>
  <c r="BP36" i="5"/>
  <c r="BM36" i="5"/>
  <c r="BL36" i="5" s="1"/>
  <c r="BI36" i="5"/>
  <c r="BF36" i="5"/>
  <c r="BE36" i="5"/>
  <c r="BB36" i="5"/>
  <c r="AY36" i="5"/>
  <c r="AX36" i="5" s="1"/>
  <c r="AU36" i="5"/>
  <c r="BA36" i="5" s="1"/>
  <c r="AR36" i="5"/>
  <c r="AQ36" i="5" s="1"/>
  <c r="AN36" i="5"/>
  <c r="AT36" i="5" s="1"/>
  <c r="AL36" i="5"/>
  <c r="AL37" i="5" s="1"/>
  <c r="AK36" i="5"/>
  <c r="AJ36" i="5"/>
  <c r="AG36" i="5"/>
  <c r="E36" i="5" s="1"/>
  <c r="AF36" i="5"/>
  <c r="AE36" i="5"/>
  <c r="Z36" i="5"/>
  <c r="X36" i="5"/>
  <c r="X37" i="5" s="1"/>
  <c r="W37" i="5" s="1"/>
  <c r="V37" i="5" s="1"/>
  <c r="W36" i="5"/>
  <c r="V36" i="5" s="1"/>
  <c r="T36" i="5"/>
  <c r="S36" i="5"/>
  <c r="Y36" i="5" s="1"/>
  <c r="Q36" i="5"/>
  <c r="L36" i="5"/>
  <c r="CO35" i="5"/>
  <c r="CN35" i="5"/>
  <c r="CK35" i="5"/>
  <c r="CQ35" i="5" s="1"/>
  <c r="CH35" i="5"/>
  <c r="CG35" i="5" s="1"/>
  <c r="CD35" i="5"/>
  <c r="CA35" i="5"/>
  <c r="BZ35" i="5" s="1"/>
  <c r="BW35" i="5"/>
  <c r="CC35" i="5" s="1"/>
  <c r="BT35" i="5"/>
  <c r="BS35" i="5"/>
  <c r="BP35" i="5"/>
  <c r="BO35" i="5"/>
  <c r="BM35" i="5"/>
  <c r="BL35" i="5" s="1"/>
  <c r="BI35" i="5"/>
  <c r="BF35" i="5"/>
  <c r="BE35" i="5"/>
  <c r="BB35" i="5"/>
  <c r="BH35" i="5" s="1"/>
  <c r="AY35" i="5"/>
  <c r="AX35" i="5" s="1"/>
  <c r="AU35" i="5"/>
  <c r="BA35" i="5" s="1"/>
  <c r="AR35" i="5"/>
  <c r="AQ35" i="5" s="1"/>
  <c r="AN35" i="5"/>
  <c r="AT35" i="5" s="1"/>
  <c r="AM35" i="5"/>
  <c r="AK35" i="5"/>
  <c r="AJ35" i="5" s="1"/>
  <c r="AH35" i="5"/>
  <c r="AG35" i="5"/>
  <c r="AD35" i="5"/>
  <c r="AC35" i="5"/>
  <c r="Z35" i="5"/>
  <c r="AF35" i="5" s="1"/>
  <c r="Y35" i="5"/>
  <c r="W35" i="5"/>
  <c r="V35" i="5" s="1"/>
  <c r="S35" i="5"/>
  <c r="P35" i="5"/>
  <c r="O35" i="5"/>
  <c r="L35" i="5"/>
  <c r="R35" i="5" s="1"/>
  <c r="J35" i="5"/>
  <c r="CO34" i="5"/>
  <c r="CN34" i="5"/>
  <c r="CK34" i="5"/>
  <c r="CH34" i="5"/>
  <c r="CG34" i="5" s="1"/>
  <c r="CD34" i="5"/>
  <c r="CA34" i="5"/>
  <c r="BZ34" i="5"/>
  <c r="BX34" i="5"/>
  <c r="BW34" i="5"/>
  <c r="CC34" i="5" s="1"/>
  <c r="BT34" i="5"/>
  <c r="BS34" i="5" s="1"/>
  <c r="BP34" i="5"/>
  <c r="BV34" i="5" s="1"/>
  <c r="BM34" i="5"/>
  <c r="BL34" i="5" s="1"/>
  <c r="BI34" i="5"/>
  <c r="BO34" i="5" s="1"/>
  <c r="BH34" i="5"/>
  <c r="BF34" i="5"/>
  <c r="BE34" i="5" s="1"/>
  <c r="BC34" i="5"/>
  <c r="BB34" i="5"/>
  <c r="AY34" i="5"/>
  <c r="AX34" i="5"/>
  <c r="AU34" i="5"/>
  <c r="BA34" i="5" s="1"/>
  <c r="AT34" i="5"/>
  <c r="AR34" i="5"/>
  <c r="AQ34" i="5" s="1"/>
  <c r="AN34" i="5"/>
  <c r="AK34" i="5"/>
  <c r="AJ34" i="5" s="1"/>
  <c r="AG34" i="5"/>
  <c r="AM34" i="5" s="1"/>
  <c r="AD34" i="5"/>
  <c r="AC34" i="5"/>
  <c r="Z34" i="5"/>
  <c r="AF34" i="5" s="1"/>
  <c r="W34" i="5"/>
  <c r="V34" i="5" s="1"/>
  <c r="S34" i="5"/>
  <c r="Y34" i="5" s="1"/>
  <c r="P34" i="5"/>
  <c r="L34" i="5"/>
  <c r="R34" i="5" s="1"/>
  <c r="J34" i="5"/>
  <c r="CO33" i="5"/>
  <c r="CN33" i="5" s="1"/>
  <c r="CK33" i="5"/>
  <c r="CQ33" i="5" s="1"/>
  <c r="CJ33" i="5"/>
  <c r="CH33" i="5"/>
  <c r="CG33" i="5" s="1"/>
  <c r="CD33" i="5"/>
  <c r="CC33" i="5"/>
  <c r="CA33" i="5"/>
  <c r="BZ33" i="5" s="1"/>
  <c r="BW33" i="5"/>
  <c r="BX33" i="5" s="1"/>
  <c r="BT33" i="5"/>
  <c r="BS33" i="5"/>
  <c r="BP33" i="5"/>
  <c r="BV33" i="5" s="1"/>
  <c r="BO33" i="5"/>
  <c r="BM33" i="5"/>
  <c r="BL33" i="5" s="1"/>
  <c r="BI33" i="5"/>
  <c r="BH33" i="5"/>
  <c r="BF33" i="5"/>
  <c r="BE33" i="5" s="1"/>
  <c r="BB33" i="5"/>
  <c r="AY33" i="5"/>
  <c r="AX33" i="5"/>
  <c r="AV33" i="5"/>
  <c r="AU33" i="5"/>
  <c r="BA33" i="5" s="1"/>
  <c r="AR33" i="5"/>
  <c r="AQ33" i="5" s="1"/>
  <c r="AN33" i="5"/>
  <c r="AK33" i="5"/>
  <c r="AJ33" i="5" s="1"/>
  <c r="AG33" i="5"/>
  <c r="AM33" i="5" s="1"/>
  <c r="AD33" i="5"/>
  <c r="AC33" i="5"/>
  <c r="Z33" i="5"/>
  <c r="W33" i="5"/>
  <c r="V33" i="5" s="1"/>
  <c r="S33" i="5"/>
  <c r="Q33" i="5"/>
  <c r="J33" i="5" s="1"/>
  <c r="L33" i="5"/>
  <c r="CO32" i="5"/>
  <c r="CN32" i="5" s="1"/>
  <c r="CK32" i="5"/>
  <c r="CQ32" i="5" s="1"/>
  <c r="CH32" i="5"/>
  <c r="CG32" i="5"/>
  <c r="CD32" i="5"/>
  <c r="CJ32" i="5" s="1"/>
  <c r="CC32" i="5"/>
  <c r="CA32" i="5"/>
  <c r="BZ32" i="5" s="1"/>
  <c r="BW32" i="5"/>
  <c r="BV32" i="5"/>
  <c r="BT32" i="5"/>
  <c r="BS32" i="5" s="1"/>
  <c r="BQ32" i="5"/>
  <c r="BP32" i="5"/>
  <c r="BM32" i="5"/>
  <c r="BL32" i="5"/>
  <c r="BJ32" i="5"/>
  <c r="BI32" i="5"/>
  <c r="BO32" i="5" s="1"/>
  <c r="BF32" i="5"/>
  <c r="BE32" i="5"/>
  <c r="BB32" i="5"/>
  <c r="AY32" i="5"/>
  <c r="AX32" i="5" s="1"/>
  <c r="AU32" i="5"/>
  <c r="AT32" i="5"/>
  <c r="AR32" i="5"/>
  <c r="AQ32" i="5"/>
  <c r="AO32" i="5"/>
  <c r="AN32" i="5"/>
  <c r="AL32" i="5"/>
  <c r="AK32" i="5"/>
  <c r="AJ32" i="5"/>
  <c r="AG32" i="5"/>
  <c r="AM32" i="5" s="1"/>
  <c r="AE32" i="5"/>
  <c r="Z32" i="5"/>
  <c r="X32" i="5"/>
  <c r="W32" i="5"/>
  <c r="V32" i="5" s="1"/>
  <c r="S32" i="5"/>
  <c r="R32" i="5"/>
  <c r="Q32" i="5"/>
  <c r="P32" i="5" s="1"/>
  <c r="L32" i="5"/>
  <c r="CO31" i="5"/>
  <c r="CN31" i="5"/>
  <c r="CK31" i="5"/>
  <c r="CQ31" i="5" s="1"/>
  <c r="CH31" i="5"/>
  <c r="CG31" i="5"/>
  <c r="CD31" i="5"/>
  <c r="CA31" i="5"/>
  <c r="BZ31" i="5" s="1"/>
  <c r="BW31" i="5"/>
  <c r="CC31" i="5" s="1"/>
  <c r="BV31" i="5"/>
  <c r="BT31" i="5"/>
  <c r="BS31" i="5" s="1"/>
  <c r="BQ31" i="5"/>
  <c r="BP31" i="5"/>
  <c r="BM31" i="5"/>
  <c r="BL31" i="5"/>
  <c r="BI31" i="5"/>
  <c r="BO31" i="5" s="1"/>
  <c r="BF31" i="5"/>
  <c r="BE31" i="5"/>
  <c r="BB31" i="5"/>
  <c r="BA31" i="5"/>
  <c r="AY31" i="5"/>
  <c r="AX31" i="5" s="1"/>
  <c r="AU31" i="5"/>
  <c r="AV31" i="5" s="1"/>
  <c r="AT31" i="5"/>
  <c r="AR31" i="5"/>
  <c r="AQ31" i="5" s="1"/>
  <c r="AO31" i="5"/>
  <c r="AN31" i="5"/>
  <c r="AK31" i="5"/>
  <c r="AJ31" i="5" s="1"/>
  <c r="AG31" i="5"/>
  <c r="AM31" i="5" s="1"/>
  <c r="AF31" i="5"/>
  <c r="AD31" i="5"/>
  <c r="AC31" i="5" s="1"/>
  <c r="Z31" i="5"/>
  <c r="Y31" i="5"/>
  <c r="X31" i="5"/>
  <c r="J31" i="5" s="1"/>
  <c r="S31" i="5"/>
  <c r="P31" i="5"/>
  <c r="L31" i="5"/>
  <c r="R31" i="5" s="1"/>
  <c r="CO30" i="5"/>
  <c r="CN30" i="5"/>
  <c r="CK30" i="5"/>
  <c r="CH30" i="5"/>
  <c r="CG30" i="5"/>
  <c r="CD30" i="5"/>
  <c r="CJ30" i="5" s="1"/>
  <c r="CA30" i="5"/>
  <c r="BZ30" i="5" s="1"/>
  <c r="BW30" i="5"/>
  <c r="BV30" i="5"/>
  <c r="BT30" i="5"/>
  <c r="BS30" i="5" s="1"/>
  <c r="BP30" i="5"/>
  <c r="BO30" i="5"/>
  <c r="BM30" i="5"/>
  <c r="BL30" i="5" s="1"/>
  <c r="BI30" i="5"/>
  <c r="BJ30" i="5" s="1"/>
  <c r="BF30" i="5"/>
  <c r="BE30" i="5"/>
  <c r="BC30" i="5"/>
  <c r="BB30" i="5"/>
  <c r="BH30" i="5" s="1"/>
  <c r="BA30" i="5"/>
  <c r="AY30" i="5"/>
  <c r="AX30" i="5" s="1"/>
  <c r="AU30" i="5"/>
  <c r="AT30" i="5"/>
  <c r="AR30" i="5"/>
  <c r="AQ30" i="5"/>
  <c r="AN30" i="5"/>
  <c r="AK30" i="5"/>
  <c r="AJ30" i="5"/>
  <c r="AH30" i="5"/>
  <c r="AG30" i="5"/>
  <c r="AM30" i="5" s="1"/>
  <c r="AD30" i="5"/>
  <c r="AC30" i="5" s="1"/>
  <c r="Z30" i="5"/>
  <c r="AF30" i="5" s="1"/>
  <c r="X30" i="5"/>
  <c r="W30" i="5" s="1"/>
  <c r="S30" i="5"/>
  <c r="Y30" i="5" s="1"/>
  <c r="R30" i="5"/>
  <c r="P30" i="5"/>
  <c r="O30" i="5" s="1"/>
  <c r="L30" i="5"/>
  <c r="J30" i="5"/>
  <c r="CO29" i="5"/>
  <c r="CN29" i="5" s="1"/>
  <c r="CK29" i="5"/>
  <c r="CJ29" i="5"/>
  <c r="CH29" i="5"/>
  <c r="CG29" i="5" s="1"/>
  <c r="CE29" i="5"/>
  <c r="CD29" i="5"/>
  <c r="CA29" i="5"/>
  <c r="BZ29" i="5" s="1"/>
  <c r="BW29" i="5"/>
  <c r="CC29" i="5" s="1"/>
  <c r="BT29" i="5"/>
  <c r="BS29" i="5"/>
  <c r="BP29" i="5"/>
  <c r="BV29" i="5" s="1"/>
  <c r="BO29" i="5"/>
  <c r="BM29" i="5"/>
  <c r="BL29" i="5" s="1"/>
  <c r="BI29" i="5"/>
  <c r="BF29" i="5"/>
  <c r="BE29" i="5" s="1"/>
  <c r="BC29" i="5"/>
  <c r="BB29" i="5"/>
  <c r="BH29" i="5" s="1"/>
  <c r="AY29" i="5"/>
  <c r="AX29" i="5" s="1"/>
  <c r="AV29" i="5"/>
  <c r="AU29" i="5"/>
  <c r="BA29" i="5" s="1"/>
  <c r="AR29" i="5"/>
  <c r="AQ29" i="5"/>
  <c r="AN29" i="5"/>
  <c r="AM29" i="5"/>
  <c r="AK29" i="5"/>
  <c r="AJ29" i="5" s="1"/>
  <c r="AG29" i="5"/>
  <c r="AD29" i="5"/>
  <c r="AC29" i="5" s="1"/>
  <c r="Z29" i="5"/>
  <c r="AF29" i="5" s="1"/>
  <c r="W29" i="5"/>
  <c r="V29" i="5" s="1"/>
  <c r="S29" i="5"/>
  <c r="Y29" i="5" s="1"/>
  <c r="P29" i="5"/>
  <c r="O29" i="5"/>
  <c r="L29" i="5"/>
  <c r="R29" i="5" s="1"/>
  <c r="J29" i="5"/>
  <c r="CO28" i="5"/>
  <c r="CN28" i="5"/>
  <c r="CK28" i="5"/>
  <c r="CQ28" i="5" s="1"/>
  <c r="CJ28" i="5"/>
  <c r="CH28" i="5"/>
  <c r="CG28" i="5" s="1"/>
  <c r="CD28" i="5"/>
  <c r="CA28" i="5"/>
  <c r="BZ28" i="5"/>
  <c r="BX28" i="5"/>
  <c r="BW28" i="5"/>
  <c r="CC28" i="5" s="1"/>
  <c r="BT28" i="5"/>
  <c r="BS28" i="5" s="1"/>
  <c r="BP28" i="5"/>
  <c r="BV28" i="5" s="1"/>
  <c r="BM28" i="5"/>
  <c r="BL28" i="5"/>
  <c r="BI28" i="5"/>
  <c r="BO28" i="5" s="1"/>
  <c r="BF28" i="5"/>
  <c r="BE28" i="5"/>
  <c r="BB28" i="5"/>
  <c r="AY28" i="5"/>
  <c r="AX28" i="5" s="1"/>
  <c r="AV28" i="5"/>
  <c r="AU28" i="5"/>
  <c r="BA28" i="5" s="1"/>
  <c r="AR28" i="5"/>
  <c r="AQ28" i="5"/>
  <c r="AO28" i="5"/>
  <c r="AN28" i="5"/>
  <c r="AT28" i="5" s="1"/>
  <c r="AL28" i="5"/>
  <c r="AK28" i="5"/>
  <c r="AJ28" i="5"/>
  <c r="AH28" i="5"/>
  <c r="AG28" i="5"/>
  <c r="AM28" i="5" s="1"/>
  <c r="AD28" i="5"/>
  <c r="AC28" i="5" s="1"/>
  <c r="Z28" i="5"/>
  <c r="X28" i="5"/>
  <c r="W28" i="5"/>
  <c r="S28" i="5"/>
  <c r="Q28" i="5"/>
  <c r="P28" i="5"/>
  <c r="O28" i="5"/>
  <c r="L28" i="5"/>
  <c r="B28" i="5"/>
  <c r="CQ27" i="5"/>
  <c r="CO27" i="5"/>
  <c r="CN27" i="5" s="1"/>
  <c r="CK27" i="5"/>
  <c r="CH27" i="5"/>
  <c r="CG27" i="5" s="1"/>
  <c r="CD27" i="5"/>
  <c r="CJ27" i="5" s="1"/>
  <c r="CA27" i="5"/>
  <c r="BZ27" i="5"/>
  <c r="BW27" i="5"/>
  <c r="BV27" i="5"/>
  <c r="BT27" i="5"/>
  <c r="BS27" i="5" s="1"/>
  <c r="BP27" i="5"/>
  <c r="BO27" i="5"/>
  <c r="BM27" i="5"/>
  <c r="BL27" i="5"/>
  <c r="BI27" i="5"/>
  <c r="BF27" i="5"/>
  <c r="BE27" i="5" s="1"/>
  <c r="BB27" i="5"/>
  <c r="AY27" i="5"/>
  <c r="AX27" i="5"/>
  <c r="AV27" i="5"/>
  <c r="AU27" i="5"/>
  <c r="BA27" i="5" s="1"/>
  <c r="AR27" i="5"/>
  <c r="AQ27" i="5" s="1"/>
  <c r="AN27" i="5"/>
  <c r="AL27" i="5"/>
  <c r="AG27" i="5"/>
  <c r="AM27" i="5" s="1"/>
  <c r="AF27" i="5"/>
  <c r="AD27" i="5"/>
  <c r="AC27" i="5" s="1"/>
  <c r="Z27" i="5"/>
  <c r="AA27" i="5" s="1"/>
  <c r="W27" i="5"/>
  <c r="V27" i="5"/>
  <c r="S27" i="5"/>
  <c r="Q27" i="5"/>
  <c r="P27" i="5"/>
  <c r="O27" i="5" s="1"/>
  <c r="L27" i="5"/>
  <c r="J27" i="5"/>
  <c r="CO26" i="5"/>
  <c r="CN26" i="5"/>
  <c r="CK26" i="5"/>
  <c r="CQ26" i="5" s="1"/>
  <c r="CH26" i="5"/>
  <c r="CG26" i="5" s="1"/>
  <c r="CD26" i="5"/>
  <c r="CC26" i="5"/>
  <c r="CA26" i="5"/>
  <c r="BZ26" i="5" s="1"/>
  <c r="BW26" i="5"/>
  <c r="BT26" i="5"/>
  <c r="BS26" i="5" s="1"/>
  <c r="BP26" i="5"/>
  <c r="BV26" i="5" s="1"/>
  <c r="BM26" i="5"/>
  <c r="BL26" i="5"/>
  <c r="BI26" i="5"/>
  <c r="BH26" i="5"/>
  <c r="BF26" i="5"/>
  <c r="BE26" i="5" s="1"/>
  <c r="BB26" i="5"/>
  <c r="AY26" i="5"/>
  <c r="AX26" i="5" s="1"/>
  <c r="AU26" i="5"/>
  <c r="AR26" i="5"/>
  <c r="AQ26" i="5"/>
  <c r="AN26" i="5"/>
  <c r="AL26" i="5"/>
  <c r="AK26" i="5" s="1"/>
  <c r="AG26" i="5"/>
  <c r="AE26" i="5"/>
  <c r="AD26" i="5"/>
  <c r="AC26" i="5"/>
  <c r="Z26" i="5"/>
  <c r="AF26" i="5" s="1"/>
  <c r="X26" i="5"/>
  <c r="S26" i="5"/>
  <c r="Q26" i="5"/>
  <c r="P26" i="5"/>
  <c r="M26" i="5"/>
  <c r="L26" i="5"/>
  <c r="R26" i="5" s="1"/>
  <c r="CO25" i="5"/>
  <c r="CN25" i="5" s="1"/>
  <c r="CK25" i="5"/>
  <c r="CJ25" i="5"/>
  <c r="CH25" i="5"/>
  <c r="CG25" i="5"/>
  <c r="CD25" i="5"/>
  <c r="CA25" i="5"/>
  <c r="BZ25" i="5"/>
  <c r="BW25" i="5"/>
  <c r="CC25" i="5" s="1"/>
  <c r="BT25" i="5"/>
  <c r="BS25" i="5" s="1"/>
  <c r="BP25" i="5"/>
  <c r="BO25" i="5"/>
  <c r="BM25" i="5"/>
  <c r="BL25" i="5" s="1"/>
  <c r="BJ25" i="5"/>
  <c r="BI25" i="5"/>
  <c r="BF25" i="5"/>
  <c r="BE25" i="5"/>
  <c r="BB25" i="5"/>
  <c r="AY25" i="5"/>
  <c r="AX25" i="5" s="1"/>
  <c r="AU25" i="5"/>
  <c r="AR25" i="5"/>
  <c r="AQ25" i="5" s="1"/>
  <c r="AN25" i="5"/>
  <c r="AT25" i="5" s="1"/>
  <c r="AL25" i="5"/>
  <c r="AK25" i="5" s="1"/>
  <c r="AJ25" i="5" s="1"/>
  <c r="AG25" i="5"/>
  <c r="AM25" i="5" s="1"/>
  <c r="AD25" i="5"/>
  <c r="AC25" i="5" s="1"/>
  <c r="Z25" i="5"/>
  <c r="X25" i="5"/>
  <c r="W25" i="5"/>
  <c r="S25" i="5"/>
  <c r="Y25" i="5" s="1"/>
  <c r="R25" i="5"/>
  <c r="Q25" i="5"/>
  <c r="L25" i="5"/>
  <c r="CO24" i="5"/>
  <c r="CN24" i="5" s="1"/>
  <c r="CK24" i="5"/>
  <c r="CQ24" i="5" s="1"/>
  <c r="CH24" i="5"/>
  <c r="CG24" i="5"/>
  <c r="CD24" i="5"/>
  <c r="CJ24" i="5" s="1"/>
  <c r="CC24" i="5"/>
  <c r="CA24" i="5"/>
  <c r="BZ24" i="5"/>
  <c r="BW24" i="5"/>
  <c r="BT24" i="5"/>
  <c r="BS24" i="5"/>
  <c r="BP24" i="5"/>
  <c r="BM24" i="5"/>
  <c r="BL24" i="5"/>
  <c r="BJ24" i="5"/>
  <c r="BI24" i="5"/>
  <c r="BO24" i="5" s="1"/>
  <c r="BF24" i="5"/>
  <c r="BE24" i="5"/>
  <c r="BB24" i="5"/>
  <c r="BA24" i="5"/>
  <c r="AY24" i="5"/>
  <c r="AX24" i="5" s="1"/>
  <c r="AU24" i="5"/>
  <c r="AT24" i="5"/>
  <c r="AR24" i="5"/>
  <c r="AQ24" i="5" s="1"/>
  <c r="AN24" i="5"/>
  <c r="AO24" i="5" s="1"/>
  <c r="AL24" i="5"/>
  <c r="AK24" i="5"/>
  <c r="AJ24" i="5" s="1"/>
  <c r="AH24" i="5"/>
  <c r="AG24" i="5"/>
  <c r="AM24" i="5" s="1"/>
  <c r="AD24" i="5"/>
  <c r="AC24" i="5"/>
  <c r="Z24" i="5"/>
  <c r="AF24" i="5" s="1"/>
  <c r="X24" i="5"/>
  <c r="W24" i="5" s="1"/>
  <c r="S24" i="5"/>
  <c r="R24" i="5"/>
  <c r="Q24" i="5"/>
  <c r="L24" i="5"/>
  <c r="CQ23" i="5"/>
  <c r="CO23" i="5"/>
  <c r="CN23" i="5" s="1"/>
  <c r="CK23" i="5"/>
  <c r="CJ23" i="5"/>
  <c r="CH23" i="5"/>
  <c r="CG23" i="5" s="1"/>
  <c r="CD23" i="5"/>
  <c r="CA23" i="5"/>
  <c r="BZ23" i="5" s="1"/>
  <c r="BW23" i="5"/>
  <c r="CC23" i="5" s="1"/>
  <c r="BT23" i="5"/>
  <c r="BS23" i="5"/>
  <c r="BP23" i="5"/>
  <c r="BV23" i="5" s="1"/>
  <c r="BM23" i="5"/>
  <c r="BL23" i="5" s="1"/>
  <c r="BI23" i="5"/>
  <c r="BO23" i="5" s="1"/>
  <c r="BH23" i="5"/>
  <c r="BF23" i="5"/>
  <c r="BE23" i="5"/>
  <c r="BB23" i="5"/>
  <c r="AY23" i="5"/>
  <c r="AX23" i="5" s="1"/>
  <c r="AU23" i="5"/>
  <c r="BA23" i="5" s="1"/>
  <c r="AR23" i="5"/>
  <c r="AQ23" i="5"/>
  <c r="AO23" i="5"/>
  <c r="AN23" i="5"/>
  <c r="AT23" i="5" s="1"/>
  <c r="AK23" i="5"/>
  <c r="AJ23" i="5" s="1"/>
  <c r="AG23" i="5"/>
  <c r="AD23" i="5"/>
  <c r="AC23" i="5"/>
  <c r="Z23" i="5"/>
  <c r="W23" i="5"/>
  <c r="V23" i="5" s="1"/>
  <c r="S23" i="5"/>
  <c r="Y23" i="5" s="1"/>
  <c r="P23" i="5"/>
  <c r="O23" i="5"/>
  <c r="L23" i="5"/>
  <c r="E23" i="5" s="1"/>
  <c r="K23" i="5" s="1"/>
  <c r="J23" i="5"/>
  <c r="CO22" i="5"/>
  <c r="CN22" i="5"/>
  <c r="CL22" i="5"/>
  <c r="CK22" i="5"/>
  <c r="CQ22" i="5" s="1"/>
  <c r="CJ22" i="5"/>
  <c r="CH22" i="5"/>
  <c r="CG22" i="5" s="1"/>
  <c r="CD22" i="5"/>
  <c r="CA22" i="5"/>
  <c r="BZ22" i="5"/>
  <c r="BW22" i="5"/>
  <c r="BT22" i="5"/>
  <c r="BS22" i="5" s="1"/>
  <c r="BQ22" i="5"/>
  <c r="BP22" i="5"/>
  <c r="BV22" i="5" s="1"/>
  <c r="BM22" i="5"/>
  <c r="BL22" i="5"/>
  <c r="BI22" i="5"/>
  <c r="BO22" i="5" s="1"/>
  <c r="BH22" i="5"/>
  <c r="BF22" i="5"/>
  <c r="BE22" i="5" s="1"/>
  <c r="BB22" i="5"/>
  <c r="AY22" i="5"/>
  <c r="AX22" i="5" s="1"/>
  <c r="AU22" i="5"/>
  <c r="AR22" i="5"/>
  <c r="AQ22" i="5" s="1"/>
  <c r="AO22" i="5"/>
  <c r="AN22" i="5"/>
  <c r="AT22" i="5" s="1"/>
  <c r="AL22" i="5"/>
  <c r="AK22" i="5"/>
  <c r="AJ22" i="5"/>
  <c r="AG22" i="5"/>
  <c r="AM22" i="5" s="1"/>
  <c r="AE22" i="5"/>
  <c r="AD22" i="5"/>
  <c r="AC22" i="5" s="1"/>
  <c r="Z22" i="5"/>
  <c r="AF22" i="5" s="1"/>
  <c r="X22" i="5"/>
  <c r="W22" i="5" s="1"/>
  <c r="S22" i="5"/>
  <c r="Q22" i="5"/>
  <c r="L22" i="5"/>
  <c r="CO21" i="5"/>
  <c r="CN21" i="5" s="1"/>
  <c r="CK21" i="5"/>
  <c r="CQ21" i="5" s="1"/>
  <c r="CJ21" i="5"/>
  <c r="CH21" i="5"/>
  <c r="CG21" i="5"/>
  <c r="CD21" i="5"/>
  <c r="CA21" i="5"/>
  <c r="BZ21" i="5" s="1"/>
  <c r="BW21" i="5"/>
  <c r="CC21" i="5" s="1"/>
  <c r="BT21" i="5"/>
  <c r="BS21" i="5"/>
  <c r="BQ21" i="5"/>
  <c r="BP21" i="5"/>
  <c r="BV21" i="5" s="1"/>
  <c r="BM21" i="5"/>
  <c r="BL21" i="5" s="1"/>
  <c r="BI21" i="5"/>
  <c r="BF21" i="5"/>
  <c r="BE21" i="5"/>
  <c r="BB21" i="5"/>
  <c r="AY21" i="5"/>
  <c r="AX21" i="5" s="1"/>
  <c r="AU21" i="5"/>
  <c r="BA21" i="5" s="1"/>
  <c r="AR21" i="5"/>
  <c r="AQ21" i="5"/>
  <c r="AN21" i="5"/>
  <c r="AT21" i="5" s="1"/>
  <c r="AM21" i="5"/>
  <c r="AK21" i="5"/>
  <c r="AJ21" i="5" s="1"/>
  <c r="AG21" i="5"/>
  <c r="AD21" i="5"/>
  <c r="AC21" i="5" s="1"/>
  <c r="Z21" i="5"/>
  <c r="Y21" i="5"/>
  <c r="X21" i="5"/>
  <c r="J21" i="5" s="1"/>
  <c r="W21" i="5"/>
  <c r="S21" i="5"/>
  <c r="T21" i="5" s="1"/>
  <c r="P21" i="5"/>
  <c r="O21" i="5"/>
  <c r="L21" i="5"/>
  <c r="CO20" i="5"/>
  <c r="CN20" i="5"/>
  <c r="CK20" i="5"/>
  <c r="CQ20" i="5" s="1"/>
  <c r="CH20" i="5"/>
  <c r="CG20" i="5"/>
  <c r="CD20" i="5"/>
  <c r="CC20" i="5"/>
  <c r="CA20" i="5"/>
  <c r="BZ20" i="5" s="1"/>
  <c r="BW20" i="5"/>
  <c r="BT20" i="5"/>
  <c r="BS20" i="5" s="1"/>
  <c r="BP20" i="5"/>
  <c r="BV20" i="5" s="1"/>
  <c r="BM20" i="5"/>
  <c r="BL20" i="5"/>
  <c r="BJ20" i="5"/>
  <c r="BI20" i="5"/>
  <c r="BO20" i="5" s="1"/>
  <c r="BF20" i="5"/>
  <c r="BE20" i="5"/>
  <c r="BB20" i="5"/>
  <c r="BA20" i="5"/>
  <c r="AY20" i="5"/>
  <c r="AX20" i="5" s="1"/>
  <c r="AU20" i="5"/>
  <c r="AT20" i="5"/>
  <c r="AR20" i="5"/>
  <c r="AQ20" i="5" s="1"/>
  <c r="AN20" i="5"/>
  <c r="AO20" i="5" s="1"/>
  <c r="AL20" i="5"/>
  <c r="AK20" i="5"/>
  <c r="AJ20" i="5" s="1"/>
  <c r="AG20" i="5"/>
  <c r="AM20" i="5" s="1"/>
  <c r="AD20" i="5"/>
  <c r="AC20" i="5" s="1"/>
  <c r="Z20" i="5"/>
  <c r="AF20" i="5" s="1"/>
  <c r="Y20" i="5"/>
  <c r="W20" i="5"/>
  <c r="V20" i="5" s="1"/>
  <c r="S20" i="5"/>
  <c r="R20" i="5"/>
  <c r="P20" i="5"/>
  <c r="L20" i="5"/>
  <c r="J20" i="5"/>
  <c r="CQ19" i="5"/>
  <c r="CO19" i="5"/>
  <c r="CN19" i="5" s="1"/>
  <c r="CK19" i="5"/>
  <c r="CH19" i="5"/>
  <c r="CG19" i="5" s="1"/>
  <c r="CD19" i="5"/>
  <c r="CJ19" i="5" s="1"/>
  <c r="CA19" i="5"/>
  <c r="BZ19" i="5"/>
  <c r="BW19" i="5"/>
  <c r="CC19" i="5" s="1"/>
  <c r="BV19" i="5"/>
  <c r="BT19" i="5"/>
  <c r="BS19" i="5" s="1"/>
  <c r="BP19" i="5"/>
  <c r="BM19" i="5"/>
  <c r="BL19" i="5" s="1"/>
  <c r="BI19" i="5"/>
  <c r="BH19" i="5"/>
  <c r="BF19" i="5"/>
  <c r="BE19" i="5" s="1"/>
  <c r="BC19" i="5"/>
  <c r="BB19" i="5"/>
  <c r="AY19" i="5"/>
  <c r="AX19" i="5"/>
  <c r="AU19" i="5"/>
  <c r="BA19" i="5" s="1"/>
  <c r="AT19" i="5"/>
  <c r="AR19" i="5"/>
  <c r="AQ19" i="5" s="1"/>
  <c r="AN19" i="5"/>
  <c r="AK19" i="5"/>
  <c r="AG19" i="5"/>
  <c r="AF19" i="5"/>
  <c r="AD19" i="5"/>
  <c r="AC19" i="5" s="1"/>
  <c r="Z19" i="5"/>
  <c r="W19" i="5"/>
  <c r="V19" i="5" s="1"/>
  <c r="S19" i="5"/>
  <c r="Y19" i="5" s="1"/>
  <c r="R19" i="5"/>
  <c r="P19" i="5"/>
  <c r="O19" i="5" s="1"/>
  <c r="L19" i="5"/>
  <c r="J19" i="5"/>
  <c r="CO18" i="5"/>
  <c r="CN18" i="5" s="1"/>
  <c r="CK18" i="5"/>
  <c r="CH18" i="5"/>
  <c r="CG18" i="5"/>
  <c r="CD18" i="5"/>
  <c r="CC18" i="5"/>
  <c r="CA18" i="5"/>
  <c r="BZ18" i="5" s="1"/>
  <c r="BX18" i="5"/>
  <c r="BW18" i="5"/>
  <c r="BT18" i="5"/>
  <c r="BS18" i="5"/>
  <c r="BP18" i="5"/>
  <c r="BV18" i="5" s="1"/>
  <c r="BM18" i="5"/>
  <c r="BL18" i="5" s="1"/>
  <c r="BJ18" i="5"/>
  <c r="BI18" i="5"/>
  <c r="BF18" i="5"/>
  <c r="BE18" i="5" s="1"/>
  <c r="BB18" i="5"/>
  <c r="BA18" i="5"/>
  <c r="AY18" i="5"/>
  <c r="AX18" i="5" s="1"/>
  <c r="AV18" i="5"/>
  <c r="AU18" i="5"/>
  <c r="AR18" i="5"/>
  <c r="AQ18" i="5"/>
  <c r="AN18" i="5"/>
  <c r="AT18" i="5" s="1"/>
  <c r="AM18" i="5"/>
  <c r="AK18" i="5"/>
  <c r="AJ18" i="5" s="1"/>
  <c r="AH18" i="5"/>
  <c r="AG18" i="5"/>
  <c r="AD18" i="5"/>
  <c r="AC18" i="5" s="1"/>
  <c r="Z18" i="5"/>
  <c r="Y18" i="5"/>
  <c r="W18" i="5"/>
  <c r="V18" i="5" s="1"/>
  <c r="S18" i="5"/>
  <c r="P18" i="5"/>
  <c r="O18" i="5"/>
  <c r="L18" i="5"/>
  <c r="R18" i="5" s="1"/>
  <c r="J18" i="5"/>
  <c r="CO17" i="5"/>
  <c r="CN17" i="5"/>
  <c r="CK17" i="5"/>
  <c r="CQ17" i="5" s="1"/>
  <c r="CJ17" i="5"/>
  <c r="CH17" i="5"/>
  <c r="CG17" i="5" s="1"/>
  <c r="CE17" i="5"/>
  <c r="CD17" i="5"/>
  <c r="CA17" i="5"/>
  <c r="BZ17" i="5" s="1"/>
  <c r="BW17" i="5"/>
  <c r="CC17" i="5" s="1"/>
  <c r="BT17" i="5"/>
  <c r="BS17" i="5" s="1"/>
  <c r="BQ17" i="5"/>
  <c r="BP17" i="5"/>
  <c r="BV17" i="5" s="1"/>
  <c r="BM17" i="5"/>
  <c r="BL17" i="5"/>
  <c r="BJ17" i="5"/>
  <c r="BI17" i="5"/>
  <c r="BO17" i="5" s="1"/>
  <c r="BH17" i="5"/>
  <c r="BF17" i="5"/>
  <c r="BE17" i="5" s="1"/>
  <c r="BB17" i="5"/>
  <c r="AY17" i="5"/>
  <c r="AX17" i="5" s="1"/>
  <c r="AU17" i="5"/>
  <c r="AT17" i="5"/>
  <c r="AR17" i="5"/>
  <c r="AQ17" i="5"/>
  <c r="AO17" i="5"/>
  <c r="AN17" i="5"/>
  <c r="AL17" i="5"/>
  <c r="AK17" i="5"/>
  <c r="AJ17" i="5" s="1"/>
  <c r="AH17" i="5"/>
  <c r="AG17" i="5"/>
  <c r="AM17" i="5" s="1"/>
  <c r="AD17" i="5"/>
  <c r="AC17" i="5" s="1"/>
  <c r="Z17" i="5"/>
  <c r="AF17" i="5" s="1"/>
  <c r="Y17" i="5"/>
  <c r="X17" i="5"/>
  <c r="T17" i="5"/>
  <c r="S17" i="5"/>
  <c r="P17" i="5"/>
  <c r="L17" i="5"/>
  <c r="R17" i="5" s="1"/>
  <c r="CQ16" i="5"/>
  <c r="CO16" i="5"/>
  <c r="CN16" i="5" s="1"/>
  <c r="CK16" i="5"/>
  <c r="CH16" i="5"/>
  <c r="CG16" i="5" s="1"/>
  <c r="CE16" i="5"/>
  <c r="CD16" i="5"/>
  <c r="CJ16" i="5" s="1"/>
  <c r="CA16" i="5"/>
  <c r="BZ16" i="5"/>
  <c r="BW16" i="5"/>
  <c r="CC16" i="5" s="1"/>
  <c r="BT16" i="5"/>
  <c r="BS16" i="5" s="1"/>
  <c r="BP16" i="5"/>
  <c r="BO16" i="5"/>
  <c r="BM16" i="5"/>
  <c r="BL16" i="5"/>
  <c r="BI16" i="5"/>
  <c r="BF16" i="5"/>
  <c r="BE16" i="5"/>
  <c r="BB16" i="5"/>
  <c r="BH16" i="5" s="1"/>
  <c r="AY16" i="5"/>
  <c r="AX16" i="5" s="1"/>
  <c r="AU16" i="5"/>
  <c r="BA16" i="5" s="1"/>
  <c r="AR16" i="5"/>
  <c r="AQ16" i="5" s="1"/>
  <c r="AN16" i="5"/>
  <c r="AL16" i="5"/>
  <c r="AK16" i="5" s="1"/>
  <c r="AJ16" i="5" s="1"/>
  <c r="AG16" i="5"/>
  <c r="AE16" i="5"/>
  <c r="Z16" i="5"/>
  <c r="X16" i="5"/>
  <c r="S16" i="5"/>
  <c r="T16" i="5" s="1"/>
  <c r="Q16" i="5"/>
  <c r="P16" i="5"/>
  <c r="O16" i="5"/>
  <c r="L16" i="5"/>
  <c r="M16" i="5" s="1"/>
  <c r="CO15" i="5"/>
  <c r="CN15" i="5" s="1"/>
  <c r="CK15" i="5"/>
  <c r="CH15" i="5"/>
  <c r="CG15" i="5"/>
  <c r="CE15" i="5"/>
  <c r="CD15" i="5"/>
  <c r="CJ15" i="5" s="1"/>
  <c r="CA15" i="5"/>
  <c r="BZ15" i="5" s="1"/>
  <c r="BW15" i="5"/>
  <c r="BV15" i="5"/>
  <c r="BT15" i="5"/>
  <c r="BS15" i="5" s="1"/>
  <c r="BP15" i="5"/>
  <c r="BM15" i="5"/>
  <c r="BL15" i="5"/>
  <c r="BI15" i="5"/>
  <c r="BO15" i="5" s="1"/>
  <c r="BF15" i="5"/>
  <c r="BE15" i="5"/>
  <c r="BB15" i="5"/>
  <c r="BH15" i="5" s="1"/>
  <c r="AY15" i="5"/>
  <c r="AX15" i="5" s="1"/>
  <c r="AU15" i="5"/>
  <c r="AT15" i="5"/>
  <c r="AR15" i="5"/>
  <c r="AQ15" i="5" s="1"/>
  <c r="AN15" i="5"/>
  <c r="AL15" i="5"/>
  <c r="AK15" i="5" s="1"/>
  <c r="AH15" i="5"/>
  <c r="AG15" i="5"/>
  <c r="AM15" i="5" s="1"/>
  <c r="AE15" i="5"/>
  <c r="J15" i="5" s="1"/>
  <c r="AD15" i="5"/>
  <c r="AA15" i="5"/>
  <c r="Z15" i="5"/>
  <c r="X15" i="5"/>
  <c r="W15" i="5"/>
  <c r="V15" i="5" s="1"/>
  <c r="S15" i="5"/>
  <c r="Y15" i="5" s="1"/>
  <c r="Q15" i="5"/>
  <c r="P15" i="5"/>
  <c r="O15" i="5" s="1"/>
  <c r="L15" i="5"/>
  <c r="R15" i="5" s="1"/>
  <c r="E15" i="5"/>
  <c r="CO14" i="5"/>
  <c r="CN14" i="5"/>
  <c r="CK14" i="5"/>
  <c r="CQ14" i="5" s="1"/>
  <c r="CH14" i="5"/>
  <c r="CG14" i="5" s="1"/>
  <c r="CD14" i="5"/>
  <c r="CC14" i="5"/>
  <c r="CA14" i="5"/>
  <c r="BZ14" i="5"/>
  <c r="BW14" i="5"/>
  <c r="BT14" i="5"/>
  <c r="BS14" i="5" s="1"/>
  <c r="BP14" i="5"/>
  <c r="BM14" i="5"/>
  <c r="BL14" i="5"/>
  <c r="BI14" i="5"/>
  <c r="BO14" i="5" s="1"/>
  <c r="BF14" i="5"/>
  <c r="BE14" i="5" s="1"/>
  <c r="BB14" i="5"/>
  <c r="AY14" i="5"/>
  <c r="AX14" i="5" s="1"/>
  <c r="AU14" i="5"/>
  <c r="BA14" i="5" s="1"/>
  <c r="AR14" i="5"/>
  <c r="AQ14" i="5"/>
  <c r="AO14" i="5"/>
  <c r="AN14" i="5"/>
  <c r="AT14" i="5" s="1"/>
  <c r="AK14" i="5"/>
  <c r="AJ14" i="5" s="1"/>
  <c r="AG14" i="5"/>
  <c r="AM14" i="5" s="1"/>
  <c r="AE14" i="5"/>
  <c r="AA14" i="5"/>
  <c r="Z14" i="5"/>
  <c r="X14" i="5"/>
  <c r="J14" i="5" s="1"/>
  <c r="W14" i="5"/>
  <c r="S14" i="5"/>
  <c r="Q14" i="5"/>
  <c r="P14" i="5" s="1"/>
  <c r="L14" i="5"/>
  <c r="R14" i="5" s="1"/>
  <c r="CQ13" i="5"/>
  <c r="CO13" i="5"/>
  <c r="CN13" i="5"/>
  <c r="CK13" i="5"/>
  <c r="CH13" i="5"/>
  <c r="CG13" i="5" s="1"/>
  <c r="CE13" i="5"/>
  <c r="CD13" i="5"/>
  <c r="CJ13" i="5" s="1"/>
  <c r="CA13" i="5"/>
  <c r="BZ13" i="5" s="1"/>
  <c r="BW13" i="5"/>
  <c r="BT13" i="5"/>
  <c r="BS13" i="5"/>
  <c r="BP13" i="5"/>
  <c r="BV13" i="5" s="1"/>
  <c r="BM13" i="5"/>
  <c r="BL13" i="5"/>
  <c r="BI13" i="5"/>
  <c r="BF13" i="5"/>
  <c r="BE13" i="5" s="1"/>
  <c r="BB13" i="5"/>
  <c r="BH13" i="5" s="1"/>
  <c r="BA13" i="5"/>
  <c r="AY13" i="5"/>
  <c r="AX13" i="5" s="1"/>
  <c r="AV13" i="5"/>
  <c r="AU13" i="5"/>
  <c r="AR13" i="5"/>
  <c r="AQ13" i="5"/>
  <c r="AO13" i="5"/>
  <c r="AN13" i="5"/>
  <c r="AT13" i="5" s="1"/>
  <c r="AL13" i="5"/>
  <c r="AK13" i="5"/>
  <c r="AG13" i="5"/>
  <c r="AM13" i="5" s="1"/>
  <c r="AE13" i="5"/>
  <c r="AD13" i="5" s="1"/>
  <c r="Z13" i="5"/>
  <c r="X13" i="5"/>
  <c r="S13" i="5"/>
  <c r="R13" i="5"/>
  <c r="P13" i="5"/>
  <c r="L13" i="5"/>
  <c r="E13" i="5"/>
  <c r="CO12" i="5"/>
  <c r="CN12" i="5"/>
  <c r="CK12" i="5"/>
  <c r="CQ12" i="5" s="1"/>
  <c r="CH12" i="5"/>
  <c r="CG12" i="5" s="1"/>
  <c r="CD12" i="5"/>
  <c r="CJ12" i="5" s="1"/>
  <c r="CA12" i="5"/>
  <c r="BZ12" i="5" s="1"/>
  <c r="BX12" i="5"/>
  <c r="BW12" i="5"/>
  <c r="CC12" i="5" s="1"/>
  <c r="BT12" i="5"/>
  <c r="BS12" i="5"/>
  <c r="BP12" i="5"/>
  <c r="BM12" i="5"/>
  <c r="BL12" i="5" s="1"/>
  <c r="BI12" i="5"/>
  <c r="BF12" i="5"/>
  <c r="BE12" i="5" s="1"/>
  <c r="BB12" i="5"/>
  <c r="BH12" i="5" s="1"/>
  <c r="AY12" i="5"/>
  <c r="AX12" i="5" s="1"/>
  <c r="AV12" i="5"/>
  <c r="AU12" i="5"/>
  <c r="BA12" i="5" s="1"/>
  <c r="AR12" i="5"/>
  <c r="AQ12" i="5" s="1"/>
  <c r="AN12" i="5"/>
  <c r="AT12" i="5" s="1"/>
  <c r="AL12" i="5"/>
  <c r="AM12" i="5" s="1"/>
  <c r="AH12" i="5"/>
  <c r="AG12" i="5"/>
  <c r="AE12" i="5"/>
  <c r="AD12" i="5" s="1"/>
  <c r="Z12" i="5"/>
  <c r="AF12" i="5" s="1"/>
  <c r="W12" i="5"/>
  <c r="V12" i="5" s="1"/>
  <c r="S12" i="5"/>
  <c r="Y12" i="5" s="1"/>
  <c r="Q12" i="5"/>
  <c r="P12" i="5" s="1"/>
  <c r="L12" i="5"/>
  <c r="CO11" i="5"/>
  <c r="CN11" i="5"/>
  <c r="CK11" i="5"/>
  <c r="CQ11" i="5" s="1"/>
  <c r="CJ11" i="5"/>
  <c r="CH11" i="5"/>
  <c r="CG11" i="5" s="1"/>
  <c r="CD11" i="5"/>
  <c r="CC11" i="5"/>
  <c r="CA11" i="5"/>
  <c r="BZ11" i="5" s="1"/>
  <c r="BX11" i="5"/>
  <c r="BW11" i="5"/>
  <c r="BT11" i="5"/>
  <c r="BS11" i="5" s="1"/>
  <c r="BP11" i="5"/>
  <c r="BM11" i="5"/>
  <c r="BL11" i="5"/>
  <c r="BI11" i="5"/>
  <c r="BO11" i="5" s="1"/>
  <c r="BF11" i="5"/>
  <c r="BE11" i="5"/>
  <c r="BB11" i="5"/>
  <c r="AY11" i="5"/>
  <c r="AX11" i="5" s="1"/>
  <c r="AU11" i="5"/>
  <c r="BA11" i="5" s="1"/>
  <c r="AT11" i="5"/>
  <c r="AR11" i="5"/>
  <c r="AQ11" i="5" s="1"/>
  <c r="AN11" i="5"/>
  <c r="AO11" i="5" s="1"/>
  <c r="AM11" i="5"/>
  <c r="AL11" i="5"/>
  <c r="AK11" i="5"/>
  <c r="AJ11" i="5"/>
  <c r="AH11" i="5"/>
  <c r="AG11" i="5"/>
  <c r="AE11" i="5"/>
  <c r="AD11" i="5" s="1"/>
  <c r="Z11" i="5"/>
  <c r="AF11" i="5" s="1"/>
  <c r="X11" i="5"/>
  <c r="W11" i="5" s="1"/>
  <c r="S11" i="5"/>
  <c r="Y11" i="5" s="1"/>
  <c r="P11" i="5"/>
  <c r="O11" i="5" s="1"/>
  <c r="L11" i="5"/>
  <c r="R11" i="5" s="1"/>
  <c r="B11" i="5"/>
  <c r="CQ10" i="5"/>
  <c r="CO10" i="5"/>
  <c r="CN10" i="5"/>
  <c r="CK10" i="5"/>
  <c r="CH10" i="5"/>
  <c r="CG10" i="5"/>
  <c r="CD10" i="5"/>
  <c r="CJ10" i="5" s="1"/>
  <c r="CA10" i="5"/>
  <c r="BZ10" i="5" s="1"/>
  <c r="BW10" i="5"/>
  <c r="CC10" i="5" s="1"/>
  <c r="BT10" i="5"/>
  <c r="BS10" i="5" s="1"/>
  <c r="BP10" i="5"/>
  <c r="BV10" i="5" s="1"/>
  <c r="BM10" i="5"/>
  <c r="BL10" i="5"/>
  <c r="BI10" i="5"/>
  <c r="BF10" i="5"/>
  <c r="BE10" i="5" s="1"/>
  <c r="BB10" i="5"/>
  <c r="AY10" i="5"/>
  <c r="AX10" i="5" s="1"/>
  <c r="AU10" i="5"/>
  <c r="BA10" i="5" s="1"/>
  <c r="AR10" i="5"/>
  <c r="AQ10" i="5" s="1"/>
  <c r="AO10" i="5"/>
  <c r="AN10" i="5"/>
  <c r="AT10" i="5" s="1"/>
  <c r="AL10" i="5"/>
  <c r="AK10" i="5" s="1"/>
  <c r="AG10" i="5"/>
  <c r="AE10" i="5"/>
  <c r="AD10" i="5"/>
  <c r="Z10" i="5"/>
  <c r="AF10" i="5" s="1"/>
  <c r="X10" i="5"/>
  <c r="J10" i="5" s="1"/>
  <c r="T10" i="5"/>
  <c r="S10" i="5"/>
  <c r="Q10" i="5"/>
  <c r="P10" i="5"/>
  <c r="L10" i="5"/>
  <c r="R10" i="5" s="1"/>
  <c r="CO9" i="5"/>
  <c r="CN9" i="5" s="1"/>
  <c r="CK9" i="5"/>
  <c r="CQ9" i="5" s="1"/>
  <c r="CH9" i="5"/>
  <c r="CG9" i="5" s="1"/>
  <c r="CE9" i="5"/>
  <c r="CD9" i="5"/>
  <c r="CJ9" i="5" s="1"/>
  <c r="CA9" i="5"/>
  <c r="BZ9" i="5" s="1"/>
  <c r="BW9" i="5"/>
  <c r="BT9" i="5"/>
  <c r="BS9" i="5"/>
  <c r="BP9" i="5"/>
  <c r="BV9" i="5" s="1"/>
  <c r="BM9" i="5"/>
  <c r="BL9" i="5" s="1"/>
  <c r="BJ9" i="5"/>
  <c r="BI9" i="5"/>
  <c r="BO9" i="5" s="1"/>
  <c r="BF9" i="5"/>
  <c r="BE9" i="5" s="1"/>
  <c r="BB9" i="5"/>
  <c r="BH9" i="5" s="1"/>
  <c r="AY9" i="5"/>
  <c r="AX9" i="5" s="1"/>
  <c r="AU9" i="5"/>
  <c r="AT9" i="5"/>
  <c r="AR9" i="5"/>
  <c r="AQ9" i="5" s="1"/>
  <c r="AN9" i="5"/>
  <c r="AO9" i="5" s="1"/>
  <c r="AL9" i="5"/>
  <c r="AK9" i="5" s="1"/>
  <c r="AH9" i="5"/>
  <c r="AG9" i="5"/>
  <c r="AM9" i="5" s="1"/>
  <c r="AD9" i="5"/>
  <c r="AC9" i="5" s="1"/>
  <c r="Z9" i="5"/>
  <c r="AF9" i="5" s="1"/>
  <c r="X9" i="5"/>
  <c r="W9" i="5" s="1"/>
  <c r="S9" i="5"/>
  <c r="Y9" i="5" s="1"/>
  <c r="Q9" i="5"/>
  <c r="P9" i="5" s="1"/>
  <c r="L9" i="5"/>
  <c r="CO8" i="5"/>
  <c r="CN8" i="5" s="1"/>
  <c r="CK8" i="5"/>
  <c r="CL8" i="5" s="1"/>
  <c r="CH8" i="5"/>
  <c r="CG8" i="5" s="1"/>
  <c r="CE8" i="5"/>
  <c r="CD8" i="5"/>
  <c r="CJ8" i="5" s="1"/>
  <c r="CC8" i="5"/>
  <c r="CA8" i="5"/>
  <c r="BZ8" i="5" s="1"/>
  <c r="BX8" i="5"/>
  <c r="BW8" i="5"/>
  <c r="BT8" i="5"/>
  <c r="BS8" i="5"/>
  <c r="BP8" i="5"/>
  <c r="BV8" i="5" s="1"/>
  <c r="BM8" i="5"/>
  <c r="BL8" i="5" s="1"/>
  <c r="BI8" i="5"/>
  <c r="BJ8" i="5" s="1"/>
  <c r="BF8" i="5"/>
  <c r="BE8" i="5" s="1"/>
  <c r="BB8" i="5"/>
  <c r="BA8" i="5"/>
  <c r="AY8" i="5"/>
  <c r="AX8" i="5" s="1"/>
  <c r="AV8" i="5"/>
  <c r="AU8" i="5"/>
  <c r="AR8" i="5"/>
  <c r="AQ8" i="5" s="1"/>
  <c r="AN8" i="5"/>
  <c r="AT8" i="5" s="1"/>
  <c r="AK8" i="5"/>
  <c r="AJ8" i="5" s="1"/>
  <c r="AG8" i="5"/>
  <c r="AF8" i="5"/>
  <c r="AD8" i="5"/>
  <c r="AC8" i="5" s="1"/>
  <c r="Z8" i="5"/>
  <c r="W8" i="5"/>
  <c r="T8" i="5"/>
  <c r="S8" i="5"/>
  <c r="Y8" i="5" s="1"/>
  <c r="P8" i="5"/>
  <c r="O8" i="5" s="1"/>
  <c r="L8" i="5"/>
  <c r="J8" i="5"/>
  <c r="CO7" i="5"/>
  <c r="CN7" i="5"/>
  <c r="CK7" i="5"/>
  <c r="CQ7" i="5" s="1"/>
  <c r="CH7" i="5"/>
  <c r="CG7" i="5" s="1"/>
  <c r="CD7" i="5"/>
  <c r="CE7" i="5" s="1"/>
  <c r="CA7" i="5"/>
  <c r="BZ7" i="5" s="1"/>
  <c r="BW7" i="5"/>
  <c r="CC7" i="5" s="1"/>
  <c r="BV7" i="5"/>
  <c r="BT7" i="5"/>
  <c r="BS7" i="5" s="1"/>
  <c r="BQ7" i="5"/>
  <c r="BP7" i="5"/>
  <c r="BM7" i="5"/>
  <c r="BL7" i="5"/>
  <c r="BI7" i="5"/>
  <c r="BO7" i="5" s="1"/>
  <c r="BF7" i="5"/>
  <c r="BE7" i="5" s="1"/>
  <c r="BB7" i="5"/>
  <c r="BC7" i="5" s="1"/>
  <c r="BA7" i="5"/>
  <c r="AY7" i="5"/>
  <c r="AX7" i="5" s="1"/>
  <c r="AU7" i="5"/>
  <c r="AR7" i="5"/>
  <c r="AQ7" i="5" s="1"/>
  <c r="AN7" i="5"/>
  <c r="AT7" i="5" s="1"/>
  <c r="AL7" i="5"/>
  <c r="AK7" i="5"/>
  <c r="AJ7" i="5" s="1"/>
  <c r="AH7" i="5"/>
  <c r="AG7" i="5"/>
  <c r="AM7" i="5" s="1"/>
  <c r="AD7" i="5"/>
  <c r="AC7" i="5" s="1"/>
  <c r="Z7" i="5"/>
  <c r="AF7" i="5" s="1"/>
  <c r="X7" i="5"/>
  <c r="W7" i="5" s="1"/>
  <c r="S7" i="5"/>
  <c r="R7" i="5"/>
  <c r="P7" i="5"/>
  <c r="L7" i="5"/>
  <c r="J7" i="5"/>
  <c r="CQ6" i="5"/>
  <c r="CO6" i="5"/>
  <c r="CN6" i="5" s="1"/>
  <c r="CK6" i="5"/>
  <c r="CJ6" i="5"/>
  <c r="CH6" i="5"/>
  <c r="CG6" i="5" s="1"/>
  <c r="CD6" i="5"/>
  <c r="CE6" i="5" s="1"/>
  <c r="CA6" i="5"/>
  <c r="BZ6" i="5"/>
  <c r="BW6" i="5"/>
  <c r="CC6" i="5" s="1"/>
  <c r="BT6" i="5"/>
  <c r="BS6" i="5" s="1"/>
  <c r="BP6" i="5"/>
  <c r="BM6" i="5"/>
  <c r="BL6" i="5" s="1"/>
  <c r="BI6" i="5"/>
  <c r="BH6" i="5"/>
  <c r="BF6" i="5"/>
  <c r="BE6" i="5" s="1"/>
  <c r="BC6" i="5"/>
  <c r="BB6" i="5"/>
  <c r="AY6" i="5"/>
  <c r="AX6" i="5" s="1"/>
  <c r="AU6" i="5"/>
  <c r="BA6" i="5" s="1"/>
  <c r="AR6" i="5"/>
  <c r="AQ6" i="5"/>
  <c r="AN6" i="5"/>
  <c r="AL6" i="5"/>
  <c r="AG6" i="5"/>
  <c r="AD6" i="5"/>
  <c r="AC6" i="5"/>
  <c r="Z6" i="5"/>
  <c r="W6" i="5"/>
  <c r="V6" i="5"/>
  <c r="S6" i="5"/>
  <c r="Y6" i="5" s="1"/>
  <c r="P6" i="5"/>
  <c r="O6" i="5" s="1"/>
  <c r="M6" i="5"/>
  <c r="L6" i="5"/>
  <c r="R6" i="5" s="1"/>
  <c r="CO5" i="5"/>
  <c r="CN5" i="5"/>
  <c r="CL5" i="5"/>
  <c r="CK5" i="5"/>
  <c r="CQ5" i="5" s="1"/>
  <c r="CH5" i="5"/>
  <c r="CG5" i="5" s="1"/>
  <c r="CD5" i="5"/>
  <c r="CA5" i="5"/>
  <c r="BZ5" i="5"/>
  <c r="BW5" i="5"/>
  <c r="BT5" i="5"/>
  <c r="BS5" i="5"/>
  <c r="BQ5" i="5"/>
  <c r="BP5" i="5"/>
  <c r="BV5" i="5" s="1"/>
  <c r="BM5" i="5"/>
  <c r="BL5" i="5"/>
  <c r="BI5" i="5"/>
  <c r="BO5" i="5" s="1"/>
  <c r="BF5" i="5"/>
  <c r="BE5" i="5" s="1"/>
  <c r="BB5" i="5"/>
  <c r="AY5" i="5"/>
  <c r="AX5" i="5"/>
  <c r="AU5" i="5"/>
  <c r="AR5" i="5"/>
  <c r="AQ5" i="5"/>
  <c r="AN5" i="5"/>
  <c r="AT5" i="5" s="1"/>
  <c r="AL5" i="5"/>
  <c r="AK5" i="5"/>
  <c r="AJ5" i="5"/>
  <c r="AG5" i="5"/>
  <c r="AM5" i="5" s="1"/>
  <c r="AE5" i="5"/>
  <c r="AD5" i="5"/>
  <c r="AC5" i="5"/>
  <c r="AA5" i="5"/>
  <c r="Z5" i="5"/>
  <c r="AF5" i="5" s="1"/>
  <c r="X5" i="5"/>
  <c r="W5" i="5" s="1"/>
  <c r="S5" i="5"/>
  <c r="Q5" i="5"/>
  <c r="L5" i="5"/>
  <c r="CO4" i="5"/>
  <c r="CK4" i="5"/>
  <c r="CJ4" i="5"/>
  <c r="CH4" i="5"/>
  <c r="CH55" i="5" s="1"/>
  <c r="CH58" i="5" s="1"/>
  <c r="CG4" i="5"/>
  <c r="CD4" i="5"/>
  <c r="CA4" i="5"/>
  <c r="CA55" i="5" s="1"/>
  <c r="CA58" i="5" s="1"/>
  <c r="BW4" i="5"/>
  <c r="BT4" i="5"/>
  <c r="BS4" i="5"/>
  <c r="BP4" i="5"/>
  <c r="BM4" i="5"/>
  <c r="BI4" i="5"/>
  <c r="BH4" i="5"/>
  <c r="BF4" i="5"/>
  <c r="BF55" i="5" s="1"/>
  <c r="BF58" i="5" s="1"/>
  <c r="BB4" i="5"/>
  <c r="AY4" i="5"/>
  <c r="AV4" i="5"/>
  <c r="AU4" i="5"/>
  <c r="AR4" i="5"/>
  <c r="AQ4" i="5"/>
  <c r="AN4" i="5"/>
  <c r="AG4" i="5"/>
  <c r="AE4" i="5"/>
  <c r="AD4" i="5" s="1"/>
  <c r="Z4" i="5"/>
  <c r="X4" i="5"/>
  <c r="S4" i="5"/>
  <c r="Q4" i="5"/>
  <c r="P4" i="5"/>
  <c r="L4" i="5"/>
  <c r="B4" i="5" s="1"/>
  <c r="CQ83" i="4"/>
  <c r="CJ83" i="4"/>
  <c r="CC83" i="4"/>
  <c r="BV83" i="4"/>
  <c r="BO83" i="4"/>
  <c r="BH83" i="4"/>
  <c r="BA83" i="4"/>
  <c r="AT83" i="4"/>
  <c r="AF80" i="4"/>
  <c r="Y79" i="4"/>
  <c r="Y78" i="4"/>
  <c r="AM77" i="4"/>
  <c r="Y77" i="4"/>
  <c r="R77" i="4"/>
  <c r="AM76" i="4"/>
  <c r="AM75" i="4"/>
  <c r="Y75" i="4"/>
  <c r="R75" i="4"/>
  <c r="AM74" i="4"/>
  <c r="AF74" i="4"/>
  <c r="R74" i="4"/>
  <c r="AF73" i="4"/>
  <c r="R73" i="4"/>
  <c r="R72" i="4"/>
  <c r="Y71" i="4"/>
  <c r="R71" i="4"/>
  <c r="AF70" i="4"/>
  <c r="Y69" i="4"/>
  <c r="AM68" i="4"/>
  <c r="Y68" i="4"/>
  <c r="R68" i="4"/>
  <c r="AF67" i="4"/>
  <c r="Y67" i="4"/>
  <c r="R67" i="4"/>
  <c r="R66" i="4"/>
  <c r="AM65" i="4"/>
  <c r="Y65" i="4"/>
  <c r="R65" i="4"/>
  <c r="Y64" i="4"/>
  <c r="R64" i="4"/>
  <c r="AM63" i="4"/>
  <c r="AF63" i="4"/>
  <c r="Y63" i="4"/>
  <c r="AM62" i="4"/>
  <c r="Y62" i="4"/>
  <c r="R62" i="4"/>
  <c r="R83" i="4" s="1"/>
  <c r="AM61" i="4"/>
  <c r="AF61" i="4"/>
  <c r="AF83" i="4" s="1"/>
  <c r="AE49" i="4" s="1"/>
  <c r="Y61" i="4"/>
  <c r="R61" i="4"/>
  <c r="CP58" i="4"/>
  <c r="CI58" i="4"/>
  <c r="BU58" i="4"/>
  <c r="CO57" i="4"/>
  <c r="CN57" i="4"/>
  <c r="CK57" i="4"/>
  <c r="CH57" i="4"/>
  <c r="CG57" i="4"/>
  <c r="CD57" i="4"/>
  <c r="CC57" i="4"/>
  <c r="CA57" i="4"/>
  <c r="BZ57" i="4" s="1"/>
  <c r="BW57" i="4"/>
  <c r="BX57" i="4" s="1"/>
  <c r="BV57" i="4"/>
  <c r="BT57" i="4"/>
  <c r="BS57" i="4" s="1"/>
  <c r="BP57" i="4"/>
  <c r="BQ57" i="4" s="1"/>
  <c r="BM57" i="4"/>
  <c r="BL57" i="4"/>
  <c r="BI57" i="4"/>
  <c r="BF57" i="4"/>
  <c r="BE57" i="4"/>
  <c r="BB57" i="4"/>
  <c r="AY57" i="4"/>
  <c r="AX57" i="4" s="1"/>
  <c r="AU57" i="4"/>
  <c r="AT57" i="4"/>
  <c r="AR57" i="4"/>
  <c r="AQ57" i="4" s="1"/>
  <c r="AO57" i="4"/>
  <c r="AN57" i="4"/>
  <c r="AK57" i="4"/>
  <c r="AJ57" i="4" s="1"/>
  <c r="AG57" i="4"/>
  <c r="AD57" i="4"/>
  <c r="AC57" i="4" s="1"/>
  <c r="Z57" i="4"/>
  <c r="W57" i="4"/>
  <c r="V57" i="4" s="1"/>
  <c r="S57" i="4"/>
  <c r="R57" i="4"/>
  <c r="P57" i="4"/>
  <c r="O57" i="4" s="1"/>
  <c r="L57" i="4"/>
  <c r="J57" i="4"/>
  <c r="CO56" i="4"/>
  <c r="CN56" i="4" s="1"/>
  <c r="CK56" i="4"/>
  <c r="CQ56" i="4" s="1"/>
  <c r="CJ56" i="4"/>
  <c r="CH56" i="4"/>
  <c r="CG56" i="4"/>
  <c r="CD56" i="4"/>
  <c r="CA56" i="4"/>
  <c r="BZ56" i="4"/>
  <c r="BW56" i="4"/>
  <c r="BV56" i="4"/>
  <c r="BT56" i="4"/>
  <c r="BS56" i="4" s="1"/>
  <c r="BP56" i="4"/>
  <c r="BQ56" i="4" s="1"/>
  <c r="BM56" i="4"/>
  <c r="BL56" i="4" s="1"/>
  <c r="BJ56" i="4"/>
  <c r="BI56" i="4"/>
  <c r="BO56" i="4" s="1"/>
  <c r="BF56" i="4"/>
  <c r="BE56" i="4"/>
  <c r="BB56" i="4"/>
  <c r="AY56" i="4"/>
  <c r="AX56" i="4"/>
  <c r="AU56" i="4"/>
  <c r="AR56" i="4"/>
  <c r="AQ56" i="4" s="1"/>
  <c r="AN56" i="4"/>
  <c r="AO56" i="4" s="1"/>
  <c r="AL56" i="4"/>
  <c r="AK56" i="4" s="1"/>
  <c r="AG56" i="4"/>
  <c r="AE56" i="4"/>
  <c r="AD56" i="4"/>
  <c r="Z56" i="4"/>
  <c r="AA56" i="4" s="1"/>
  <c r="W56" i="4"/>
  <c r="V56" i="4"/>
  <c r="S56" i="4"/>
  <c r="Y56" i="4" s="1"/>
  <c r="P56" i="4"/>
  <c r="O56" i="4" s="1"/>
  <c r="L56" i="4"/>
  <c r="J56" i="4"/>
  <c r="CP55" i="4"/>
  <c r="CI55" i="4"/>
  <c r="CB55" i="4"/>
  <c r="BU55" i="4"/>
  <c r="BN55" i="4"/>
  <c r="BG55" i="4"/>
  <c r="AZ55" i="4"/>
  <c r="AZ58" i="4" s="1"/>
  <c r="AZ59" i="4" s="1"/>
  <c r="AS55" i="4"/>
  <c r="CO54" i="4"/>
  <c r="CN54" i="4" s="1"/>
  <c r="CL54" i="4"/>
  <c r="CK54" i="4"/>
  <c r="CJ54" i="4"/>
  <c r="CH54" i="4"/>
  <c r="CG54" i="4" s="1"/>
  <c r="CD54" i="4"/>
  <c r="CE54" i="4" s="1"/>
  <c r="CA54" i="4"/>
  <c r="BZ54" i="4"/>
  <c r="BW54" i="4"/>
  <c r="CC54" i="4" s="1"/>
  <c r="BT54" i="4"/>
  <c r="BS54" i="4"/>
  <c r="BP54" i="4"/>
  <c r="BM54" i="4"/>
  <c r="BL54" i="4" s="1"/>
  <c r="BI54" i="4"/>
  <c r="BH54" i="4"/>
  <c r="BF54" i="4"/>
  <c r="BE54" i="4" s="1"/>
  <c r="BB54" i="4"/>
  <c r="BC54" i="4" s="1"/>
  <c r="AY54" i="4"/>
  <c r="AX54" i="4" s="1"/>
  <c r="AU54" i="4"/>
  <c r="BA54" i="4" s="1"/>
  <c r="AR54" i="4"/>
  <c r="AQ54" i="4"/>
  <c r="AN54" i="4"/>
  <c r="AK54" i="4"/>
  <c r="AJ54" i="4" s="1"/>
  <c r="AG54" i="4"/>
  <c r="AF54" i="4"/>
  <c r="AD54" i="4"/>
  <c r="AC54" i="4" s="1"/>
  <c r="AA54" i="4"/>
  <c r="Z54" i="4"/>
  <c r="W54" i="4"/>
  <c r="V54" i="4" s="1"/>
  <c r="S54" i="4"/>
  <c r="Y54" i="4" s="1"/>
  <c r="P54" i="4"/>
  <c r="O54" i="4" s="1"/>
  <c r="L54" i="4"/>
  <c r="J54" i="4"/>
  <c r="CO53" i="4"/>
  <c r="CN53" i="4"/>
  <c r="CK53" i="4"/>
  <c r="CJ53" i="4"/>
  <c r="CH53" i="4"/>
  <c r="CG53" i="4" s="1"/>
  <c r="CE53" i="4"/>
  <c r="CD53" i="4"/>
  <c r="CA53" i="4"/>
  <c r="BZ53" i="4"/>
  <c r="BW53" i="4"/>
  <c r="CC53" i="4" s="1"/>
  <c r="BT53" i="4"/>
  <c r="BS53" i="4" s="1"/>
  <c r="BP53" i="4"/>
  <c r="BM53" i="4"/>
  <c r="BL53" i="4"/>
  <c r="BJ53" i="4"/>
  <c r="BI53" i="4"/>
  <c r="BO53" i="4" s="1"/>
  <c r="BF53" i="4"/>
  <c r="BE53" i="4" s="1"/>
  <c r="BB53" i="4"/>
  <c r="BA53" i="4"/>
  <c r="AY53" i="4"/>
  <c r="AX53" i="4" s="1"/>
  <c r="AU53" i="4"/>
  <c r="AV53" i="4" s="1"/>
  <c r="AR53" i="4"/>
  <c r="AQ53" i="4"/>
  <c r="AO53" i="4"/>
  <c r="AN53" i="4"/>
  <c r="AT53" i="4" s="1"/>
  <c r="AL53" i="4"/>
  <c r="AK53" i="4"/>
  <c r="AJ53" i="4"/>
  <c r="AG53" i="4"/>
  <c r="AM53" i="4" s="1"/>
  <c r="AE53" i="4"/>
  <c r="AD53" i="4" s="1"/>
  <c r="AC53" i="4" s="1"/>
  <c r="Z53" i="4"/>
  <c r="X53" i="4"/>
  <c r="S53" i="4"/>
  <c r="T53" i="4" s="1"/>
  <c r="P53" i="4"/>
  <c r="O53" i="4" s="1"/>
  <c r="L53" i="4"/>
  <c r="CO52" i="4"/>
  <c r="CN52" i="4" s="1"/>
  <c r="CK52" i="4"/>
  <c r="CQ52" i="4" s="1"/>
  <c r="CJ52" i="4"/>
  <c r="CH52" i="4"/>
  <c r="CG52" i="4"/>
  <c r="CD52" i="4"/>
  <c r="CE52" i="4" s="1"/>
  <c r="CA52" i="4"/>
  <c r="BZ52" i="4" s="1"/>
  <c r="BW52" i="4"/>
  <c r="BV52" i="4"/>
  <c r="BT52" i="4"/>
  <c r="BS52" i="4" s="1"/>
  <c r="BP52" i="4"/>
  <c r="BQ52" i="4" s="1"/>
  <c r="BM52" i="4"/>
  <c r="BL52" i="4"/>
  <c r="BI52" i="4"/>
  <c r="BH52" i="4"/>
  <c r="BF52" i="4"/>
  <c r="BE52" i="4" s="1"/>
  <c r="BB52" i="4"/>
  <c r="BC52" i="4" s="1"/>
  <c r="AY52" i="4"/>
  <c r="AX52" i="4" s="1"/>
  <c r="AU52" i="4"/>
  <c r="BA52" i="4" s="1"/>
  <c r="AR52" i="4"/>
  <c r="AQ52" i="4" s="1"/>
  <c r="AN52" i="4"/>
  <c r="AT52" i="4" s="1"/>
  <c r="AL52" i="4"/>
  <c r="AG52" i="4"/>
  <c r="AE52" i="4"/>
  <c r="AD52" i="4"/>
  <c r="AC52" i="4" s="1"/>
  <c r="Z52" i="4"/>
  <c r="AF52" i="4" s="1"/>
  <c r="X52" i="4"/>
  <c r="X55" i="4" s="1"/>
  <c r="W52" i="4"/>
  <c r="V52" i="4" s="1"/>
  <c r="S52" i="4"/>
  <c r="Y52" i="4" s="1"/>
  <c r="R52" i="4"/>
  <c r="Q52" i="4"/>
  <c r="P52" i="4" s="1"/>
  <c r="L52" i="4"/>
  <c r="J52" i="4"/>
  <c r="CQ51" i="4"/>
  <c r="CO51" i="4"/>
  <c r="CN51" i="4"/>
  <c r="CL51" i="4"/>
  <c r="CK51" i="4"/>
  <c r="CH51" i="4"/>
  <c r="CG51" i="4"/>
  <c r="CD51" i="4"/>
  <c r="CJ51" i="4" s="1"/>
  <c r="CA51" i="4"/>
  <c r="BZ51" i="4" s="1"/>
  <c r="BW51" i="4"/>
  <c r="BV51" i="4"/>
  <c r="BT51" i="4"/>
  <c r="BS51" i="4" s="1"/>
  <c r="BP51" i="4"/>
  <c r="BM51" i="4"/>
  <c r="BL51" i="4"/>
  <c r="BJ51" i="4"/>
  <c r="BI51" i="4"/>
  <c r="BO51" i="4" s="1"/>
  <c r="BF51" i="4"/>
  <c r="BE51" i="4" s="1"/>
  <c r="BB51" i="4"/>
  <c r="BH51" i="4" s="1"/>
  <c r="AY51" i="4"/>
  <c r="AX51" i="4" s="1"/>
  <c r="AU51" i="4"/>
  <c r="BA51" i="4" s="1"/>
  <c r="AR51" i="4"/>
  <c r="AQ51" i="4"/>
  <c r="AN51" i="4"/>
  <c r="AL51" i="4"/>
  <c r="AK51" i="4"/>
  <c r="AG51" i="4"/>
  <c r="AH51" i="4" s="1"/>
  <c r="AE51" i="4"/>
  <c r="AF51" i="4" s="1"/>
  <c r="Z51" i="4"/>
  <c r="AA51" i="4" s="1"/>
  <c r="X51" i="4"/>
  <c r="W51" i="4"/>
  <c r="V51" i="4" s="1"/>
  <c r="S51" i="4"/>
  <c r="Y51" i="4" s="1"/>
  <c r="Q51" i="4"/>
  <c r="P51" i="4"/>
  <c r="O51" i="4" s="1"/>
  <c r="L51" i="4"/>
  <c r="CO50" i="4"/>
  <c r="CN50" i="4"/>
  <c r="CL50" i="4"/>
  <c r="CK50" i="4"/>
  <c r="CQ50" i="4" s="1"/>
  <c r="CH50" i="4"/>
  <c r="CG50" i="4" s="1"/>
  <c r="CD50" i="4"/>
  <c r="CJ50" i="4" s="1"/>
  <c r="CA50" i="4"/>
  <c r="BZ50" i="4" s="1"/>
  <c r="BW50" i="4"/>
  <c r="BT50" i="4"/>
  <c r="BS50" i="4"/>
  <c r="BP50" i="4"/>
  <c r="BM50" i="4"/>
  <c r="BL50" i="4"/>
  <c r="BI50" i="4"/>
  <c r="BO50" i="4" s="1"/>
  <c r="BF50" i="4"/>
  <c r="BE50" i="4" s="1"/>
  <c r="BB50" i="4"/>
  <c r="AY50" i="4"/>
  <c r="AX50" i="4"/>
  <c r="AU50" i="4"/>
  <c r="BA50" i="4" s="1"/>
  <c r="AR50" i="4"/>
  <c r="AQ50" i="4"/>
  <c r="AN50" i="4"/>
  <c r="AT50" i="4" s="1"/>
  <c r="AL50" i="4"/>
  <c r="AK50" i="4" s="1"/>
  <c r="AG50" i="4"/>
  <c r="AF50" i="4"/>
  <c r="AE50" i="4"/>
  <c r="AD50" i="4"/>
  <c r="AC50" i="4" s="1"/>
  <c r="Z50" i="4"/>
  <c r="X50" i="4"/>
  <c r="W50" i="4" s="1"/>
  <c r="V50" i="4" s="1"/>
  <c r="S50" i="4"/>
  <c r="Q50" i="4"/>
  <c r="P50" i="4" s="1"/>
  <c r="L50" i="4"/>
  <c r="M50" i="4" s="1"/>
  <c r="CO49" i="4"/>
  <c r="CN49" i="4" s="1"/>
  <c r="CK49" i="4"/>
  <c r="CQ49" i="4" s="1"/>
  <c r="CJ49" i="4"/>
  <c r="CH49" i="4"/>
  <c r="CG49" i="4" s="1"/>
  <c r="CD49" i="4"/>
  <c r="CA49" i="4"/>
  <c r="BZ49" i="4" s="1"/>
  <c r="BX49" i="4"/>
  <c r="BW49" i="4"/>
  <c r="CC49" i="4" s="1"/>
  <c r="BT49" i="4"/>
  <c r="BS49" i="4"/>
  <c r="BQ49" i="4"/>
  <c r="BP49" i="4"/>
  <c r="BV49" i="4" s="1"/>
  <c r="BM49" i="4"/>
  <c r="BL49" i="4" s="1"/>
  <c r="BI49" i="4"/>
  <c r="BH49" i="4"/>
  <c r="BF49" i="4"/>
  <c r="BE49" i="4"/>
  <c r="BB49" i="4"/>
  <c r="AY49" i="4"/>
  <c r="AX49" i="4"/>
  <c r="AU49" i="4"/>
  <c r="BA49" i="4" s="1"/>
  <c r="AR49" i="4"/>
  <c r="AQ49" i="4" s="1"/>
  <c r="AN49" i="4"/>
  <c r="AT49" i="4" s="1"/>
  <c r="AG49" i="4"/>
  <c r="AH49" i="4" s="1"/>
  <c r="AD49" i="4"/>
  <c r="Z49" i="4"/>
  <c r="AF49" i="4" s="1"/>
  <c r="S49" i="4"/>
  <c r="Q49" i="4"/>
  <c r="L49" i="4"/>
  <c r="CQ48" i="4"/>
  <c r="CO48" i="4"/>
  <c r="CN48" i="4"/>
  <c r="CK48" i="4"/>
  <c r="CH48" i="4"/>
  <c r="CG48" i="4"/>
  <c r="CD48" i="4"/>
  <c r="CJ48" i="4" s="1"/>
  <c r="CA48" i="4"/>
  <c r="BZ48" i="4" s="1"/>
  <c r="BW48" i="4"/>
  <c r="BT48" i="4"/>
  <c r="BS48" i="4" s="1"/>
  <c r="BP48" i="4"/>
  <c r="BV48" i="4" s="1"/>
  <c r="BO48" i="4"/>
  <c r="BM48" i="4"/>
  <c r="BL48" i="4"/>
  <c r="BI48" i="4"/>
  <c r="BJ48" i="4" s="1"/>
  <c r="BF48" i="4"/>
  <c r="BE48" i="4"/>
  <c r="BB48" i="4"/>
  <c r="BH48" i="4" s="1"/>
  <c r="BA48" i="4"/>
  <c r="AY48" i="4"/>
  <c r="AX48" i="4"/>
  <c r="AU48" i="4"/>
  <c r="AR48" i="4"/>
  <c r="AQ48" i="4"/>
  <c r="AN48" i="4"/>
  <c r="AT48" i="4" s="1"/>
  <c r="AL48" i="4"/>
  <c r="AK48" i="4"/>
  <c r="AG48" i="4"/>
  <c r="AE48" i="4"/>
  <c r="AD48" i="4"/>
  <c r="AC48" i="4"/>
  <c r="AA48" i="4"/>
  <c r="Z48" i="4"/>
  <c r="X48" i="4"/>
  <c r="W48" i="4"/>
  <c r="V48" i="4" s="1"/>
  <c r="S48" i="4"/>
  <c r="Y48" i="4" s="1"/>
  <c r="Q48" i="4"/>
  <c r="P48" i="4"/>
  <c r="O48" i="4" s="1"/>
  <c r="L48" i="4"/>
  <c r="E48" i="4"/>
  <c r="CO47" i="4"/>
  <c r="CN47" i="4"/>
  <c r="CK47" i="4"/>
  <c r="CQ47" i="4" s="1"/>
  <c r="CH47" i="4"/>
  <c r="CG47" i="4" s="1"/>
  <c r="CD47" i="4"/>
  <c r="CJ47" i="4" s="1"/>
  <c r="CC47" i="4"/>
  <c r="CA47" i="4"/>
  <c r="BZ47" i="4"/>
  <c r="BW47" i="4"/>
  <c r="BT47" i="4"/>
  <c r="BS47" i="4"/>
  <c r="BP47" i="4"/>
  <c r="BV47" i="4" s="1"/>
  <c r="BM47" i="4"/>
  <c r="BL47" i="4"/>
  <c r="BI47" i="4"/>
  <c r="BH47" i="4"/>
  <c r="BF47" i="4"/>
  <c r="BE47" i="4" s="1"/>
  <c r="BB47" i="4"/>
  <c r="AY47" i="4"/>
  <c r="AX47" i="4" s="1"/>
  <c r="AU47" i="4"/>
  <c r="BA47" i="4" s="1"/>
  <c r="AR47" i="4"/>
  <c r="AQ47" i="4" s="1"/>
  <c r="AO47" i="4"/>
  <c r="AN47" i="4"/>
  <c r="AT47" i="4" s="1"/>
  <c r="AK47" i="4"/>
  <c r="AJ47" i="4" s="1"/>
  <c r="AG47" i="4"/>
  <c r="AF47" i="4"/>
  <c r="AD47" i="4"/>
  <c r="AC47" i="4" s="1"/>
  <c r="Z47" i="4"/>
  <c r="W47" i="4"/>
  <c r="V47" i="4" s="1"/>
  <c r="S47" i="4"/>
  <c r="Y47" i="4" s="1"/>
  <c r="P47" i="4"/>
  <c r="L47" i="4"/>
  <c r="R47" i="4" s="1"/>
  <c r="J47" i="4"/>
  <c r="CO46" i="4"/>
  <c r="CN46" i="4"/>
  <c r="CK46" i="4"/>
  <c r="CQ46" i="4" s="1"/>
  <c r="CH46" i="4"/>
  <c r="CG46" i="4" s="1"/>
  <c r="CD46" i="4"/>
  <c r="CJ46" i="4" s="1"/>
  <c r="CA46" i="4"/>
  <c r="BZ46" i="4" s="1"/>
  <c r="BW46" i="4"/>
  <c r="BV46" i="4"/>
  <c r="BT46" i="4"/>
  <c r="BS46" i="4"/>
  <c r="BP46" i="4"/>
  <c r="BM46" i="4"/>
  <c r="BL46" i="4"/>
  <c r="BJ46" i="4"/>
  <c r="BI46" i="4"/>
  <c r="BO46" i="4" s="1"/>
  <c r="BF46" i="4"/>
  <c r="BE46" i="4"/>
  <c r="BB46" i="4"/>
  <c r="BH46" i="4" s="1"/>
  <c r="AY46" i="4"/>
  <c r="AX46" i="4" s="1"/>
  <c r="AU46" i="4"/>
  <c r="BA46" i="4" s="1"/>
  <c r="AT46" i="4"/>
  <c r="AR46" i="4"/>
  <c r="AQ46" i="4" s="1"/>
  <c r="AN46" i="4"/>
  <c r="AK46" i="4"/>
  <c r="AJ46" i="4" s="1"/>
  <c r="AG46" i="4"/>
  <c r="AM46" i="4" s="1"/>
  <c r="AD46" i="4"/>
  <c r="AC46" i="4" s="1"/>
  <c r="Z46" i="4"/>
  <c r="W46" i="4"/>
  <c r="V46" i="4" s="1"/>
  <c r="S46" i="4"/>
  <c r="Y46" i="4" s="1"/>
  <c r="P46" i="4"/>
  <c r="I46" i="4" s="1"/>
  <c r="L46" i="4"/>
  <c r="R46" i="4" s="1"/>
  <c r="J46" i="4"/>
  <c r="CO45" i="4"/>
  <c r="CN45" i="4"/>
  <c r="CK45" i="4"/>
  <c r="CQ45" i="4" s="1"/>
  <c r="CJ45" i="4"/>
  <c r="CH45" i="4"/>
  <c r="CG45" i="4" s="1"/>
  <c r="CD45" i="4"/>
  <c r="CE45" i="4" s="1"/>
  <c r="CA45" i="4"/>
  <c r="BZ45" i="4"/>
  <c r="BX45" i="4"/>
  <c r="BW45" i="4"/>
  <c r="CC45" i="4" s="1"/>
  <c r="BT45" i="4"/>
  <c r="BS45" i="4" s="1"/>
  <c r="BP45" i="4"/>
  <c r="BM45" i="4"/>
  <c r="BL45" i="4" s="1"/>
  <c r="BI45" i="4"/>
  <c r="BF45" i="4"/>
  <c r="BE45" i="4"/>
  <c r="BB45" i="4"/>
  <c r="BH45" i="4" s="1"/>
  <c r="AY45" i="4"/>
  <c r="AX45" i="4"/>
  <c r="AU45" i="4"/>
  <c r="BA45" i="4" s="1"/>
  <c r="AR45" i="4"/>
  <c r="AQ45" i="4" s="1"/>
  <c r="AN45" i="4"/>
  <c r="AM45" i="4"/>
  <c r="AK45" i="4"/>
  <c r="AJ45" i="4" s="1"/>
  <c r="AG45" i="4"/>
  <c r="AD45" i="4"/>
  <c r="Z45" i="4"/>
  <c r="AF45" i="4" s="1"/>
  <c r="W45" i="4"/>
  <c r="V45" i="4"/>
  <c r="S45" i="4"/>
  <c r="P45" i="4"/>
  <c r="O45" i="4" s="1"/>
  <c r="L45" i="4"/>
  <c r="J45" i="4"/>
  <c r="CQ44" i="4"/>
  <c r="CO44" i="4"/>
  <c r="CN44" i="4" s="1"/>
  <c r="CK44" i="4"/>
  <c r="CH44" i="4"/>
  <c r="CG44" i="4"/>
  <c r="CD44" i="4"/>
  <c r="CA44" i="4"/>
  <c r="BZ44" i="4"/>
  <c r="BW44" i="4"/>
  <c r="CC44" i="4" s="1"/>
  <c r="BT44" i="4"/>
  <c r="BS44" i="4"/>
  <c r="BP44" i="4"/>
  <c r="BV44" i="4" s="1"/>
  <c r="BO44" i="4"/>
  <c r="BM44" i="4"/>
  <c r="BL44" i="4" s="1"/>
  <c r="BI44" i="4"/>
  <c r="BH44" i="4"/>
  <c r="BF44" i="4"/>
  <c r="BE44" i="4" s="1"/>
  <c r="BB44" i="4"/>
  <c r="AY44" i="4"/>
  <c r="AX44" i="4" s="1"/>
  <c r="AU44" i="4"/>
  <c r="BA44" i="4" s="1"/>
  <c r="AR44" i="4"/>
  <c r="AQ44" i="4"/>
  <c r="AO44" i="4"/>
  <c r="AN44" i="4"/>
  <c r="AT44" i="4" s="1"/>
  <c r="AK44" i="4"/>
  <c r="AJ44" i="4" s="1"/>
  <c r="AG44" i="4"/>
  <c r="AF44" i="4"/>
  <c r="AD44" i="4"/>
  <c r="AC44" i="4" s="1"/>
  <c r="Z44" i="4"/>
  <c r="W44" i="4"/>
  <c r="V44" i="4"/>
  <c r="S44" i="4"/>
  <c r="Y44" i="4" s="1"/>
  <c r="P44" i="4"/>
  <c r="O44" i="4"/>
  <c r="L44" i="4"/>
  <c r="J44" i="4"/>
  <c r="CO43" i="4"/>
  <c r="CN43" i="4"/>
  <c r="CK43" i="4"/>
  <c r="CQ43" i="4" s="1"/>
  <c r="CJ43" i="4"/>
  <c r="CH43" i="4"/>
  <c r="CG43" i="4" s="1"/>
  <c r="CD43" i="4"/>
  <c r="CA43" i="4"/>
  <c r="BZ43" i="4"/>
  <c r="BW43" i="4"/>
  <c r="BT43" i="4"/>
  <c r="BS43" i="4" s="1"/>
  <c r="BQ43" i="4"/>
  <c r="BP43" i="4"/>
  <c r="BV43" i="4" s="1"/>
  <c r="BM43" i="4"/>
  <c r="BL43" i="4"/>
  <c r="BI43" i="4"/>
  <c r="BO43" i="4" s="1"/>
  <c r="BF43" i="4"/>
  <c r="BE43" i="4" s="1"/>
  <c r="BB43" i="4"/>
  <c r="BA43" i="4"/>
  <c r="AY43" i="4"/>
  <c r="AX43" i="4" s="1"/>
  <c r="AU43" i="4"/>
  <c r="AR43" i="4"/>
  <c r="AQ43" i="4" s="1"/>
  <c r="AO43" i="4"/>
  <c r="AN43" i="4"/>
  <c r="AT43" i="4" s="1"/>
  <c r="AL43" i="4"/>
  <c r="AK43" i="4"/>
  <c r="AJ43" i="4"/>
  <c r="AG43" i="4"/>
  <c r="AM43" i="4" s="1"/>
  <c r="AE43" i="4"/>
  <c r="AD43" i="4"/>
  <c r="AC43" i="4" s="1"/>
  <c r="AA43" i="4"/>
  <c r="Z43" i="4"/>
  <c r="AF43" i="4" s="1"/>
  <c r="X43" i="4"/>
  <c r="W43" i="4" s="1"/>
  <c r="S43" i="4"/>
  <c r="Q43" i="4"/>
  <c r="L43" i="4"/>
  <c r="R43" i="4" s="1"/>
  <c r="CQ42" i="4"/>
  <c r="CO42" i="4"/>
  <c r="CN42" i="4" s="1"/>
  <c r="CK42" i="4"/>
  <c r="CH42" i="4"/>
  <c r="CG42" i="4"/>
  <c r="CD42" i="4"/>
  <c r="CC42" i="4"/>
  <c r="CA42" i="4"/>
  <c r="BZ42" i="4" s="1"/>
  <c r="BW42" i="4"/>
  <c r="BX42" i="4" s="1"/>
  <c r="BT42" i="4"/>
  <c r="BS42" i="4"/>
  <c r="BP42" i="4"/>
  <c r="BV42" i="4" s="1"/>
  <c r="BM42" i="4"/>
  <c r="BL42" i="4" s="1"/>
  <c r="BI42" i="4"/>
  <c r="BF42" i="4"/>
  <c r="BE42" i="4" s="1"/>
  <c r="BB42" i="4"/>
  <c r="AY42" i="4"/>
  <c r="AX42" i="4" s="1"/>
  <c r="AU42" i="4"/>
  <c r="BA42" i="4" s="1"/>
  <c r="AR42" i="4"/>
  <c r="AQ42" i="4"/>
  <c r="AN42" i="4"/>
  <c r="AM42" i="4"/>
  <c r="AK42" i="4"/>
  <c r="AJ42" i="4" s="1"/>
  <c r="AH42" i="4"/>
  <c r="AG42" i="4"/>
  <c r="AE42" i="4"/>
  <c r="AD42" i="4"/>
  <c r="AC42" i="4" s="1"/>
  <c r="Z42" i="4"/>
  <c r="Y42" i="4"/>
  <c r="X42" i="4"/>
  <c r="J42" i="4" s="1"/>
  <c r="S42" i="4"/>
  <c r="P42" i="4"/>
  <c r="O42" i="4"/>
  <c r="L42" i="4"/>
  <c r="R42" i="4" s="1"/>
  <c r="CO41" i="4"/>
  <c r="CN41" i="4"/>
  <c r="CK41" i="4"/>
  <c r="CQ41" i="4" s="1"/>
  <c r="CH41" i="4"/>
  <c r="CG41" i="4"/>
  <c r="CD41" i="4"/>
  <c r="CJ41" i="4" s="1"/>
  <c r="CA41" i="4"/>
  <c r="BZ41" i="4" s="1"/>
  <c r="BW41" i="4"/>
  <c r="BV41" i="4"/>
  <c r="BT41" i="4"/>
  <c r="BS41" i="4"/>
  <c r="BP41" i="4"/>
  <c r="BO41" i="4"/>
  <c r="BM41" i="4"/>
  <c r="BL41" i="4"/>
  <c r="BI41" i="4"/>
  <c r="BF41" i="4"/>
  <c r="BE41" i="4"/>
  <c r="BB41" i="4"/>
  <c r="BH41" i="4" s="1"/>
  <c r="AY41" i="4"/>
  <c r="AX41" i="4" s="1"/>
  <c r="AU41" i="4"/>
  <c r="AT41" i="4"/>
  <c r="AR41" i="4"/>
  <c r="AQ41" i="4" s="1"/>
  <c r="AN41" i="4"/>
  <c r="AK41" i="4"/>
  <c r="AJ41" i="4"/>
  <c r="AG41" i="4"/>
  <c r="AM41" i="4" s="1"/>
  <c r="AD41" i="4"/>
  <c r="AC41" i="4" s="1"/>
  <c r="Z41" i="4"/>
  <c r="AF41" i="4" s="1"/>
  <c r="W41" i="4"/>
  <c r="V41" i="4" s="1"/>
  <c r="S41" i="4"/>
  <c r="R41" i="4"/>
  <c r="P41" i="4"/>
  <c r="O41" i="4"/>
  <c r="L41" i="4"/>
  <c r="M41" i="4" s="1"/>
  <c r="J41" i="4"/>
  <c r="CO40" i="4"/>
  <c r="CN40" i="4"/>
  <c r="CK40" i="4"/>
  <c r="CQ40" i="4" s="1"/>
  <c r="CH40" i="4"/>
  <c r="CG40" i="4"/>
  <c r="CD40" i="4"/>
  <c r="CJ40" i="4" s="1"/>
  <c r="CA40" i="4"/>
  <c r="BZ40" i="4"/>
  <c r="BW40" i="4"/>
  <c r="BV40" i="4"/>
  <c r="BT40" i="4"/>
  <c r="BS40" i="4" s="1"/>
  <c r="BP40" i="4"/>
  <c r="BM40" i="4"/>
  <c r="BL40" i="4"/>
  <c r="BI40" i="4"/>
  <c r="BH40" i="4"/>
  <c r="BF40" i="4"/>
  <c r="BE40" i="4" s="1"/>
  <c r="BB40" i="4"/>
  <c r="AY40" i="4"/>
  <c r="AX40" i="4"/>
  <c r="AU40" i="4"/>
  <c r="BA40" i="4" s="1"/>
  <c r="AR40" i="4"/>
  <c r="AQ40" i="4" s="1"/>
  <c r="AN40" i="4"/>
  <c r="AL40" i="4"/>
  <c r="AG40" i="4"/>
  <c r="AE40" i="4"/>
  <c r="J40" i="4" s="1"/>
  <c r="Z40" i="4"/>
  <c r="X40" i="4"/>
  <c r="Y40" i="4" s="1"/>
  <c r="W40" i="4"/>
  <c r="V40" i="4"/>
  <c r="S40" i="4"/>
  <c r="T40" i="4" s="1"/>
  <c r="Q40" i="4"/>
  <c r="P40" i="4"/>
  <c r="O40" i="4"/>
  <c r="L40" i="4"/>
  <c r="R40" i="4" s="1"/>
  <c r="CO39" i="4"/>
  <c r="CN39" i="4"/>
  <c r="CK39" i="4"/>
  <c r="CH39" i="4"/>
  <c r="CG39" i="4"/>
  <c r="CD39" i="4"/>
  <c r="CJ39" i="4" s="1"/>
  <c r="CA39" i="4"/>
  <c r="BZ39" i="4" s="1"/>
  <c r="BW39" i="4"/>
  <c r="CC39" i="4" s="1"/>
  <c r="BT39" i="4"/>
  <c r="BS39" i="4"/>
  <c r="BP39" i="4"/>
  <c r="BM39" i="4"/>
  <c r="BL39" i="4" s="1"/>
  <c r="BI39" i="4"/>
  <c r="BF39" i="4"/>
  <c r="BE39" i="4"/>
  <c r="BB39" i="4"/>
  <c r="BH39" i="4" s="1"/>
  <c r="AY39" i="4"/>
  <c r="AX39" i="4" s="1"/>
  <c r="AU39" i="4"/>
  <c r="AT39" i="4"/>
  <c r="AR39" i="4"/>
  <c r="AQ39" i="4"/>
  <c r="AN39" i="4"/>
  <c r="AL39" i="4"/>
  <c r="AK39" i="4"/>
  <c r="AJ39" i="4" s="1"/>
  <c r="AG39" i="4"/>
  <c r="AH39" i="4" s="1"/>
  <c r="AD39" i="4"/>
  <c r="AC39" i="4" s="1"/>
  <c r="Z39" i="4"/>
  <c r="AF39" i="4" s="1"/>
  <c r="W39" i="4"/>
  <c r="V39" i="4"/>
  <c r="S39" i="4"/>
  <c r="Y39" i="4" s="1"/>
  <c r="Q39" i="4"/>
  <c r="P39" i="4" s="1"/>
  <c r="L39" i="4"/>
  <c r="J39" i="4"/>
  <c r="CO38" i="4"/>
  <c r="CN38" i="4" s="1"/>
  <c r="CK38" i="4"/>
  <c r="CQ38" i="4" s="1"/>
  <c r="CH38" i="4"/>
  <c r="CG38" i="4"/>
  <c r="CD38" i="4"/>
  <c r="CC38" i="4"/>
  <c r="CA38" i="4"/>
  <c r="BZ38" i="4" s="1"/>
  <c r="BW38" i="4"/>
  <c r="BT38" i="4"/>
  <c r="BS38" i="4"/>
  <c r="BP38" i="4"/>
  <c r="BV38" i="4" s="1"/>
  <c r="BM38" i="4"/>
  <c r="BL38" i="4" s="1"/>
  <c r="BI38" i="4"/>
  <c r="BF38" i="4"/>
  <c r="BE38" i="4" s="1"/>
  <c r="BB38" i="4"/>
  <c r="BH38" i="4" s="1"/>
  <c r="AY38" i="4"/>
  <c r="AX38" i="4" s="1"/>
  <c r="AU38" i="4"/>
  <c r="BA38" i="4" s="1"/>
  <c r="AR38" i="4"/>
  <c r="AQ38" i="4"/>
  <c r="AN38" i="4"/>
  <c r="AM38" i="4"/>
  <c r="AL38" i="4"/>
  <c r="AG38" i="4"/>
  <c r="AE38" i="4"/>
  <c r="AD38" i="4"/>
  <c r="Z38" i="4"/>
  <c r="AF38" i="4" s="1"/>
  <c r="X38" i="4"/>
  <c r="W38" i="4"/>
  <c r="V38" i="4" s="1"/>
  <c r="S38" i="4"/>
  <c r="Q38" i="4"/>
  <c r="P38" i="4"/>
  <c r="O38" i="4"/>
  <c r="L38" i="4"/>
  <c r="J38" i="4"/>
  <c r="CQ37" i="4"/>
  <c r="CO37" i="4"/>
  <c r="CN37" i="4" s="1"/>
  <c r="CK37" i="4"/>
  <c r="CH37" i="4"/>
  <c r="CG37" i="4" s="1"/>
  <c r="CD37" i="4"/>
  <c r="CE37" i="4" s="1"/>
  <c r="CA37" i="4"/>
  <c r="BZ37" i="4"/>
  <c r="BW37" i="4"/>
  <c r="CC37" i="4" s="1"/>
  <c r="BV37" i="4"/>
  <c r="BT37" i="4"/>
  <c r="BS37" i="4" s="1"/>
  <c r="BP37" i="4"/>
  <c r="BM37" i="4"/>
  <c r="BL37" i="4" s="1"/>
  <c r="BI37" i="4"/>
  <c r="BO37" i="4" s="1"/>
  <c r="BF37" i="4"/>
  <c r="BE37" i="4"/>
  <c r="BB37" i="4"/>
  <c r="BH37" i="4" s="1"/>
  <c r="AY37" i="4"/>
  <c r="AX37" i="4" s="1"/>
  <c r="AU37" i="4"/>
  <c r="BA37" i="4" s="1"/>
  <c r="AT37" i="4"/>
  <c r="AR37" i="4"/>
  <c r="AQ37" i="4" s="1"/>
  <c r="AO37" i="4"/>
  <c r="AN37" i="4"/>
  <c r="AG37" i="4"/>
  <c r="Z37" i="4"/>
  <c r="S37" i="4"/>
  <c r="L37" i="4"/>
  <c r="CQ36" i="4"/>
  <c r="CO36" i="4"/>
  <c r="CN36" i="4" s="1"/>
  <c r="CK36" i="4"/>
  <c r="CH36" i="4"/>
  <c r="CG36" i="4"/>
  <c r="CD36" i="4"/>
  <c r="CJ36" i="4" s="1"/>
  <c r="CA36" i="4"/>
  <c r="BZ36" i="4"/>
  <c r="BX36" i="4"/>
  <c r="BW36" i="4"/>
  <c r="CC36" i="4" s="1"/>
  <c r="BT36" i="4"/>
  <c r="BS36" i="4"/>
  <c r="BP36" i="4"/>
  <c r="BO36" i="4"/>
  <c r="BM36" i="4"/>
  <c r="BL36" i="4" s="1"/>
  <c r="BI36" i="4"/>
  <c r="BH36" i="4"/>
  <c r="BF36" i="4"/>
  <c r="BE36" i="4" s="1"/>
  <c r="BC36" i="4"/>
  <c r="BB36" i="4"/>
  <c r="AY36" i="4"/>
  <c r="AX36" i="4"/>
  <c r="AU36" i="4"/>
  <c r="BA36" i="4" s="1"/>
  <c r="AR36" i="4"/>
  <c r="AQ36" i="4"/>
  <c r="AN36" i="4"/>
  <c r="AL36" i="4"/>
  <c r="AG36" i="4"/>
  <c r="AM36" i="4" s="1"/>
  <c r="AE36" i="4"/>
  <c r="AD36" i="4"/>
  <c r="Z36" i="4"/>
  <c r="X36" i="4"/>
  <c r="X37" i="4" s="1"/>
  <c r="S36" i="4"/>
  <c r="Q36" i="4"/>
  <c r="O36" i="4" s="1"/>
  <c r="P36" i="4"/>
  <c r="L36" i="4"/>
  <c r="CO35" i="4"/>
  <c r="CN35" i="4"/>
  <c r="CK35" i="4"/>
  <c r="CQ35" i="4" s="1"/>
  <c r="CH35" i="4"/>
  <c r="CG35" i="4"/>
  <c r="CD35" i="4"/>
  <c r="CJ35" i="4" s="1"/>
  <c r="CA35" i="4"/>
  <c r="BZ35" i="4"/>
  <c r="BW35" i="4"/>
  <c r="BV35" i="4"/>
  <c r="BT35" i="4"/>
  <c r="BS35" i="4" s="1"/>
  <c r="BP35" i="4"/>
  <c r="BO35" i="4"/>
  <c r="BM35" i="4"/>
  <c r="BL35" i="4" s="1"/>
  <c r="BJ35" i="4"/>
  <c r="BI35" i="4"/>
  <c r="BF35" i="4"/>
  <c r="BE35" i="4"/>
  <c r="BB35" i="4"/>
  <c r="BH35" i="4" s="1"/>
  <c r="AY35" i="4"/>
  <c r="AX35" i="4"/>
  <c r="AU35" i="4"/>
  <c r="AR35" i="4"/>
  <c r="AQ35" i="4" s="1"/>
  <c r="AN35" i="4"/>
  <c r="AM35" i="4"/>
  <c r="AK35" i="4"/>
  <c r="AJ35" i="4" s="1"/>
  <c r="AG35" i="4"/>
  <c r="AH35" i="4" s="1"/>
  <c r="AD35" i="4"/>
  <c r="AC35" i="4"/>
  <c r="Z35" i="4"/>
  <c r="AF35" i="4" s="1"/>
  <c r="W35" i="4"/>
  <c r="V35" i="4" s="1"/>
  <c r="S35" i="4"/>
  <c r="P35" i="4"/>
  <c r="O35" i="4" s="1"/>
  <c r="L35" i="4"/>
  <c r="J35" i="4"/>
  <c r="CQ34" i="4"/>
  <c r="CO34" i="4"/>
  <c r="CN34" i="4" s="1"/>
  <c r="CK34" i="4"/>
  <c r="CH34" i="4"/>
  <c r="CG34" i="4"/>
  <c r="CD34" i="4"/>
  <c r="CJ34" i="4" s="1"/>
  <c r="CA34" i="4"/>
  <c r="BZ34" i="4"/>
  <c r="BW34" i="4"/>
  <c r="CC34" i="4" s="1"/>
  <c r="BT34" i="4"/>
  <c r="BS34" i="4"/>
  <c r="BP34" i="4"/>
  <c r="BO34" i="4"/>
  <c r="BM34" i="4"/>
  <c r="BL34" i="4" s="1"/>
  <c r="BI34" i="4"/>
  <c r="BF34" i="4"/>
  <c r="BE34" i="4"/>
  <c r="BB34" i="4"/>
  <c r="BH34" i="4" s="1"/>
  <c r="AY34" i="4"/>
  <c r="AX34" i="4"/>
  <c r="AU34" i="4"/>
  <c r="BA34" i="4" s="1"/>
  <c r="AR34" i="4"/>
  <c r="AQ34" i="4"/>
  <c r="AN34" i="4"/>
  <c r="AM34" i="4"/>
  <c r="AK34" i="4"/>
  <c r="AJ34" i="4" s="1"/>
  <c r="AG34" i="4"/>
  <c r="AD34" i="4"/>
  <c r="AC34" i="4"/>
  <c r="Z34" i="4"/>
  <c r="AF34" i="4" s="1"/>
  <c r="W34" i="4"/>
  <c r="V34" i="4"/>
  <c r="T34" i="4"/>
  <c r="S34" i="4"/>
  <c r="Y34" i="4" s="1"/>
  <c r="P34" i="4"/>
  <c r="L34" i="4"/>
  <c r="J34" i="4"/>
  <c r="CQ33" i="4"/>
  <c r="CO33" i="4"/>
  <c r="CN33" i="4"/>
  <c r="CK33" i="4"/>
  <c r="CH33" i="4"/>
  <c r="CG33" i="4"/>
  <c r="CD33" i="4"/>
  <c r="CC33" i="4"/>
  <c r="CA33" i="4"/>
  <c r="BZ33" i="4" s="1"/>
  <c r="BX33" i="4"/>
  <c r="BW33" i="4"/>
  <c r="BT33" i="4"/>
  <c r="BS33" i="4" s="1"/>
  <c r="BP33" i="4"/>
  <c r="BV33" i="4" s="1"/>
  <c r="BM33" i="4"/>
  <c r="BL33" i="4"/>
  <c r="BI33" i="4"/>
  <c r="BO33" i="4" s="1"/>
  <c r="BF33" i="4"/>
  <c r="BE33" i="4"/>
  <c r="BB33" i="4"/>
  <c r="BH33" i="4" s="1"/>
  <c r="BA33" i="4"/>
  <c r="AY33" i="4"/>
  <c r="AX33" i="4" s="1"/>
  <c r="AU33" i="4"/>
  <c r="AV33" i="4" s="1"/>
  <c r="AR33" i="4"/>
  <c r="AQ33" i="4" s="1"/>
  <c r="AN33" i="4"/>
  <c r="AT33" i="4" s="1"/>
  <c r="AK33" i="4"/>
  <c r="AJ33" i="4" s="1"/>
  <c r="AG33" i="4"/>
  <c r="AF33" i="4"/>
  <c r="AD33" i="4"/>
  <c r="AC33" i="4" s="1"/>
  <c r="Z33" i="4"/>
  <c r="X33" i="4"/>
  <c r="S33" i="4"/>
  <c r="R33" i="4"/>
  <c r="Q33" i="4"/>
  <c r="P33" i="4" s="1"/>
  <c r="M33" i="4"/>
  <c r="L33" i="4"/>
  <c r="J33" i="4"/>
  <c r="CO32" i="4"/>
  <c r="CN32" i="4" s="1"/>
  <c r="CK32" i="4"/>
  <c r="CQ32" i="4" s="1"/>
  <c r="CH32" i="4"/>
  <c r="CG32" i="4"/>
  <c r="CD32" i="4"/>
  <c r="CJ32" i="4" s="1"/>
  <c r="CA32" i="4"/>
  <c r="BZ32" i="4"/>
  <c r="BW32" i="4"/>
  <c r="BV32" i="4"/>
  <c r="BT32" i="4"/>
  <c r="BS32" i="4" s="1"/>
  <c r="BP32" i="4"/>
  <c r="BM32" i="4"/>
  <c r="BL32" i="4"/>
  <c r="BJ32" i="4"/>
  <c r="BI32" i="4"/>
  <c r="BO32" i="4" s="1"/>
  <c r="BF32" i="4"/>
  <c r="BE32" i="4" s="1"/>
  <c r="BB32" i="4"/>
  <c r="AY32" i="4"/>
  <c r="AX32" i="4" s="1"/>
  <c r="AU32" i="4"/>
  <c r="AR32" i="4"/>
  <c r="AQ32" i="4" s="1"/>
  <c r="AN32" i="4"/>
  <c r="AL32" i="4"/>
  <c r="AK32" i="4" s="1"/>
  <c r="AG32" i="4"/>
  <c r="AE32" i="4"/>
  <c r="AD32" i="4" s="1"/>
  <c r="Z32" i="4"/>
  <c r="AA32" i="4" s="1"/>
  <c r="X32" i="4"/>
  <c r="W32" i="4" s="1"/>
  <c r="V32" i="4" s="1"/>
  <c r="S32" i="4"/>
  <c r="T32" i="4" s="1"/>
  <c r="Q32" i="4"/>
  <c r="P32" i="4"/>
  <c r="O32" i="4" s="1"/>
  <c r="L32" i="4"/>
  <c r="E32" i="4" s="1"/>
  <c r="CO31" i="4"/>
  <c r="CN31" i="4" s="1"/>
  <c r="CK31" i="4"/>
  <c r="CQ31" i="4" s="1"/>
  <c r="CJ31" i="4"/>
  <c r="CH31" i="4"/>
  <c r="CG31" i="4"/>
  <c r="CE31" i="4"/>
  <c r="CD31" i="4"/>
  <c r="CA31" i="4"/>
  <c r="BZ31" i="4"/>
  <c r="BW31" i="4"/>
  <c r="BV31" i="4"/>
  <c r="BT31" i="4"/>
  <c r="BS31" i="4" s="1"/>
  <c r="BQ31" i="4"/>
  <c r="BP31" i="4"/>
  <c r="BM31" i="4"/>
  <c r="BL31" i="4" s="1"/>
  <c r="BI31" i="4"/>
  <c r="BO31" i="4" s="1"/>
  <c r="BF31" i="4"/>
  <c r="BE31" i="4"/>
  <c r="BB31" i="4"/>
  <c r="BH31" i="4" s="1"/>
  <c r="AY31" i="4"/>
  <c r="AX31" i="4" s="1"/>
  <c r="AU31" i="4"/>
  <c r="BA31" i="4" s="1"/>
  <c r="AT31" i="4"/>
  <c r="AR31" i="4"/>
  <c r="AQ31" i="4" s="1"/>
  <c r="AO31" i="4"/>
  <c r="AN31" i="4"/>
  <c r="AL31" i="4"/>
  <c r="AK31" i="4"/>
  <c r="AJ31" i="4" s="1"/>
  <c r="AG31" i="4"/>
  <c r="AM31" i="4" s="1"/>
  <c r="AE31" i="4"/>
  <c r="AD31" i="4"/>
  <c r="AC31" i="4" s="1"/>
  <c r="Z31" i="4"/>
  <c r="X31" i="4"/>
  <c r="W31" i="4"/>
  <c r="V31" i="4"/>
  <c r="S31" i="4"/>
  <c r="R31" i="4"/>
  <c r="Q31" i="4"/>
  <c r="M31" i="4"/>
  <c r="L31" i="4"/>
  <c r="E31" i="4" s="1"/>
  <c r="CO30" i="4"/>
  <c r="CN30" i="4"/>
  <c r="CK30" i="4"/>
  <c r="CQ30" i="4" s="1"/>
  <c r="CJ30" i="4"/>
  <c r="CH30" i="4"/>
  <c r="CG30" i="4" s="1"/>
  <c r="CD30" i="4"/>
  <c r="CA30" i="4"/>
  <c r="BZ30" i="4"/>
  <c r="BW30" i="4"/>
  <c r="CC30" i="4" s="1"/>
  <c r="BT30" i="4"/>
  <c r="BS30" i="4"/>
  <c r="BP30" i="4"/>
  <c r="BM30" i="4"/>
  <c r="BL30" i="4"/>
  <c r="BI30" i="4"/>
  <c r="BH30" i="4"/>
  <c r="BF30" i="4"/>
  <c r="BE30" i="4" s="1"/>
  <c r="BB30" i="4"/>
  <c r="AY30" i="4"/>
  <c r="AX30" i="4"/>
  <c r="AU30" i="4"/>
  <c r="BA30" i="4" s="1"/>
  <c r="AR30" i="4"/>
  <c r="AQ30" i="4" s="1"/>
  <c r="AN30" i="4"/>
  <c r="AT30" i="4" s="1"/>
  <c r="AL30" i="4"/>
  <c r="AK30" i="4"/>
  <c r="AJ30" i="4" s="1"/>
  <c r="AH30" i="4"/>
  <c r="AG30" i="4"/>
  <c r="AM30" i="4" s="1"/>
  <c r="AD30" i="4"/>
  <c r="AC30" i="4" s="1"/>
  <c r="Z30" i="4"/>
  <c r="W30" i="4"/>
  <c r="V30" i="4" s="1"/>
  <c r="S30" i="4"/>
  <c r="P30" i="4"/>
  <c r="O30" i="4" s="1"/>
  <c r="M30" i="4"/>
  <c r="L30" i="4"/>
  <c r="J30" i="4"/>
  <c r="CO29" i="4"/>
  <c r="CN29" i="4"/>
  <c r="CK29" i="4"/>
  <c r="CH29" i="4"/>
  <c r="CG29" i="4"/>
  <c r="CD29" i="4"/>
  <c r="CJ29" i="4" s="1"/>
  <c r="CA29" i="4"/>
  <c r="BZ29" i="4" s="1"/>
  <c r="BW29" i="4"/>
  <c r="BV29" i="4"/>
  <c r="BT29" i="4"/>
  <c r="BS29" i="4" s="1"/>
  <c r="BP29" i="4"/>
  <c r="BM29" i="4"/>
  <c r="BL29" i="4"/>
  <c r="BJ29" i="4"/>
  <c r="BI29" i="4"/>
  <c r="BO29" i="4" s="1"/>
  <c r="BF29" i="4"/>
  <c r="BE29" i="4"/>
  <c r="BB29" i="4"/>
  <c r="BH29" i="4" s="1"/>
  <c r="AY29" i="4"/>
  <c r="AX29" i="4" s="1"/>
  <c r="AU29" i="4"/>
  <c r="AT29" i="4"/>
  <c r="AR29" i="4"/>
  <c r="AQ29" i="4" s="1"/>
  <c r="AN29" i="4"/>
  <c r="AK29" i="4"/>
  <c r="AJ29" i="4" s="1"/>
  <c r="AG29" i="4"/>
  <c r="AD29" i="4"/>
  <c r="AC29" i="4"/>
  <c r="Z29" i="4"/>
  <c r="AF29" i="4" s="1"/>
  <c r="W29" i="4"/>
  <c r="V29" i="4" s="1"/>
  <c r="S29" i="4"/>
  <c r="P29" i="4"/>
  <c r="O29" i="4" s="1"/>
  <c r="L29" i="4"/>
  <c r="R29" i="4" s="1"/>
  <c r="J29" i="4"/>
  <c r="CQ28" i="4"/>
  <c r="CO28" i="4"/>
  <c r="CN28" i="4" s="1"/>
  <c r="CK28" i="4"/>
  <c r="CH28" i="4"/>
  <c r="CG28" i="4"/>
  <c r="CE28" i="4"/>
  <c r="CD28" i="4"/>
  <c r="CJ28" i="4" s="1"/>
  <c r="CA28" i="4"/>
  <c r="BZ28" i="4"/>
  <c r="BW28" i="4"/>
  <c r="CC28" i="4" s="1"/>
  <c r="BT28" i="4"/>
  <c r="BS28" i="4" s="1"/>
  <c r="BP28" i="4"/>
  <c r="BO28" i="4"/>
  <c r="BM28" i="4"/>
  <c r="BL28" i="4"/>
  <c r="BI28" i="4"/>
  <c r="BH28" i="4"/>
  <c r="BF28" i="4"/>
  <c r="BE28" i="4"/>
  <c r="BB28" i="4"/>
  <c r="AY28" i="4"/>
  <c r="AX28" i="4"/>
  <c r="AU28" i="4"/>
  <c r="BA28" i="4" s="1"/>
  <c r="AR28" i="4"/>
  <c r="AQ28" i="4" s="1"/>
  <c r="AN28" i="4"/>
  <c r="AM28" i="4"/>
  <c r="AK28" i="4"/>
  <c r="AJ28" i="4" s="1"/>
  <c r="AG28" i="4"/>
  <c r="AD28" i="4"/>
  <c r="AC28" i="4" s="1"/>
  <c r="Z28" i="4"/>
  <c r="AF28" i="4" s="1"/>
  <c r="W28" i="4"/>
  <c r="V28" i="4"/>
  <c r="S28" i="4"/>
  <c r="Y28" i="4" s="1"/>
  <c r="Q28" i="4"/>
  <c r="L28" i="4"/>
  <c r="CO27" i="4"/>
  <c r="CN27" i="4"/>
  <c r="CL27" i="4"/>
  <c r="CK27" i="4"/>
  <c r="CQ27" i="4" s="1"/>
  <c r="CH27" i="4"/>
  <c r="CG27" i="4"/>
  <c r="CD27" i="4"/>
  <c r="CC27" i="4"/>
  <c r="CA27" i="4"/>
  <c r="BZ27" i="4" s="1"/>
  <c r="BX27" i="4"/>
  <c r="BW27" i="4"/>
  <c r="BV27" i="4"/>
  <c r="BT27" i="4"/>
  <c r="BS27" i="4"/>
  <c r="BQ27" i="4"/>
  <c r="BP27" i="4"/>
  <c r="BM27" i="4"/>
  <c r="BL27" i="4"/>
  <c r="BI27" i="4"/>
  <c r="BO27" i="4" s="1"/>
  <c r="BF27" i="4"/>
  <c r="BE27" i="4"/>
  <c r="BB27" i="4"/>
  <c r="AY27" i="4"/>
  <c r="AX27" i="4"/>
  <c r="AU27" i="4"/>
  <c r="BA27" i="4" s="1"/>
  <c r="AR27" i="4"/>
  <c r="AQ27" i="4" s="1"/>
  <c r="AN27" i="4"/>
  <c r="AT27" i="4" s="1"/>
  <c r="AL27" i="4"/>
  <c r="AK27" i="4"/>
  <c r="AJ27" i="4" s="1"/>
  <c r="AH27" i="4"/>
  <c r="AG27" i="4"/>
  <c r="AM27" i="4" s="1"/>
  <c r="AD27" i="4"/>
  <c r="AC27" i="4" s="1"/>
  <c r="Z27" i="4"/>
  <c r="W27" i="4"/>
  <c r="V27" i="4" s="1"/>
  <c r="S27" i="4"/>
  <c r="Y27" i="4" s="1"/>
  <c r="Q27" i="4"/>
  <c r="R27" i="4" s="1"/>
  <c r="P27" i="4"/>
  <c r="O27" i="4" s="1"/>
  <c r="L27" i="4"/>
  <c r="M27" i="4" s="1"/>
  <c r="CO26" i="4"/>
  <c r="CN26" i="4"/>
  <c r="CL26" i="4"/>
  <c r="CK26" i="4"/>
  <c r="CQ26" i="4" s="1"/>
  <c r="CH26" i="4"/>
  <c r="CG26" i="4"/>
  <c r="CD26" i="4"/>
  <c r="CA26" i="4"/>
  <c r="BZ26" i="4"/>
  <c r="BW26" i="4"/>
  <c r="BV26" i="4"/>
  <c r="BT26" i="4"/>
  <c r="BS26" i="4" s="1"/>
  <c r="BQ26" i="4"/>
  <c r="BP26" i="4"/>
  <c r="BO26" i="4"/>
  <c r="BM26" i="4"/>
  <c r="BL26" i="4"/>
  <c r="BJ26" i="4"/>
  <c r="BI26" i="4"/>
  <c r="BF26" i="4"/>
  <c r="BE26" i="4" s="1"/>
  <c r="BB26" i="4"/>
  <c r="BH26" i="4" s="1"/>
  <c r="BA26" i="4"/>
  <c r="AY26" i="4"/>
  <c r="AX26" i="4" s="1"/>
  <c r="AU26" i="4"/>
  <c r="AR26" i="4"/>
  <c r="AQ26" i="4"/>
  <c r="AN26" i="4"/>
  <c r="AM26" i="4"/>
  <c r="AK26" i="4"/>
  <c r="AJ26" i="4" s="1"/>
  <c r="AH26" i="4"/>
  <c r="AG26" i="4"/>
  <c r="AE26" i="4"/>
  <c r="Z26" i="4"/>
  <c r="X26" i="4"/>
  <c r="W26" i="4"/>
  <c r="V26" i="4" s="1"/>
  <c r="S26" i="4"/>
  <c r="Q26" i="4"/>
  <c r="P26" i="4"/>
  <c r="L26" i="4"/>
  <c r="R26" i="4" s="1"/>
  <c r="CO25" i="4"/>
  <c r="CN25" i="4"/>
  <c r="CK25" i="4"/>
  <c r="CQ25" i="4" s="1"/>
  <c r="CH25" i="4"/>
  <c r="CG25" i="4" s="1"/>
  <c r="CD25" i="4"/>
  <c r="CA25" i="4"/>
  <c r="BZ25" i="4" s="1"/>
  <c r="BW25" i="4"/>
  <c r="CC25" i="4" s="1"/>
  <c r="BT25" i="4"/>
  <c r="BS25" i="4"/>
  <c r="BP25" i="4"/>
  <c r="BV25" i="4" s="1"/>
  <c r="BM25" i="4"/>
  <c r="BL25" i="4" s="1"/>
  <c r="BI25" i="4"/>
  <c r="BH25" i="4"/>
  <c r="BF25" i="4"/>
  <c r="BE25" i="4"/>
  <c r="BB25" i="4"/>
  <c r="AY25" i="4"/>
  <c r="AX25" i="4" s="1"/>
  <c r="AV25" i="4"/>
  <c r="AU25" i="4"/>
  <c r="BA25" i="4" s="1"/>
  <c r="AR25" i="4"/>
  <c r="AQ25" i="4"/>
  <c r="AO25" i="4"/>
  <c r="AN25" i="4"/>
  <c r="AT25" i="4" s="1"/>
  <c r="AL25" i="4"/>
  <c r="AK25" i="4" s="1"/>
  <c r="AG25" i="4"/>
  <c r="AF25" i="4"/>
  <c r="AD25" i="4"/>
  <c r="AC25" i="4" s="1"/>
  <c r="Z25" i="4"/>
  <c r="Y25" i="4"/>
  <c r="W25" i="4"/>
  <c r="V25" i="4" s="1"/>
  <c r="T25" i="4"/>
  <c r="S25" i="4"/>
  <c r="Q25" i="4"/>
  <c r="J25" i="4" s="1"/>
  <c r="P25" i="4"/>
  <c r="O25" i="4" s="1"/>
  <c r="G25" i="4"/>
  <c r="L25" i="4"/>
  <c r="R25" i="4" s="1"/>
  <c r="CO24" i="4"/>
  <c r="CN24" i="4"/>
  <c r="CL24" i="4"/>
  <c r="CK24" i="4"/>
  <c r="CQ24" i="4" s="1"/>
  <c r="CH24" i="4"/>
  <c r="CG24" i="4"/>
  <c r="CD24" i="4"/>
  <c r="CJ24" i="4" s="1"/>
  <c r="CA24" i="4"/>
  <c r="BZ24" i="4" s="1"/>
  <c r="BW24" i="4"/>
  <c r="BV24" i="4"/>
  <c r="BT24" i="4"/>
  <c r="BS24" i="4" s="1"/>
  <c r="BP24" i="4"/>
  <c r="BM24" i="4"/>
  <c r="BL24" i="4"/>
  <c r="BJ24" i="4"/>
  <c r="BI24" i="4"/>
  <c r="BO24" i="4" s="1"/>
  <c r="BF24" i="4"/>
  <c r="BE24" i="4"/>
  <c r="BB24" i="4"/>
  <c r="BH24" i="4" s="1"/>
  <c r="AY24" i="4"/>
  <c r="AX24" i="4" s="1"/>
  <c r="AU24" i="4"/>
  <c r="BA24" i="4" s="1"/>
  <c r="AT24" i="4"/>
  <c r="AR24" i="4"/>
  <c r="AQ24" i="4" s="1"/>
  <c r="AN24" i="4"/>
  <c r="AK24" i="4"/>
  <c r="AJ24" i="4" s="1"/>
  <c r="AG24" i="4"/>
  <c r="AM24" i="4" s="1"/>
  <c r="AD24" i="4"/>
  <c r="AC24" i="4"/>
  <c r="AA24" i="4"/>
  <c r="Z24" i="4"/>
  <c r="AF24" i="4" s="1"/>
  <c r="W24" i="4"/>
  <c r="V24" i="4" s="1"/>
  <c r="S24" i="4"/>
  <c r="Q24" i="4"/>
  <c r="P24" i="4" s="1"/>
  <c r="L24" i="4"/>
  <c r="CQ23" i="4"/>
  <c r="CO23" i="4"/>
  <c r="CN23" i="4" s="1"/>
  <c r="CK23" i="4"/>
  <c r="CH23" i="4"/>
  <c r="CG23" i="4" s="1"/>
  <c r="CE23" i="4"/>
  <c r="CD23" i="4"/>
  <c r="CJ23" i="4" s="1"/>
  <c r="CA23" i="4"/>
  <c r="BZ23" i="4"/>
  <c r="BW23" i="4"/>
  <c r="CC23" i="4" s="1"/>
  <c r="BT23" i="4"/>
  <c r="BS23" i="4"/>
  <c r="BP23" i="4"/>
  <c r="BO23" i="4"/>
  <c r="BM23" i="4"/>
  <c r="BL23" i="4" s="1"/>
  <c r="BI23" i="4"/>
  <c r="BF23" i="4"/>
  <c r="BE23" i="4"/>
  <c r="BC23" i="4"/>
  <c r="BB23" i="4"/>
  <c r="BH23" i="4" s="1"/>
  <c r="AY23" i="4"/>
  <c r="AX23" i="4" s="1"/>
  <c r="AU23" i="4"/>
  <c r="BA23" i="4" s="1"/>
  <c r="AR23" i="4"/>
  <c r="AQ23" i="4" s="1"/>
  <c r="AN23" i="4"/>
  <c r="AM23" i="4"/>
  <c r="AK23" i="4"/>
  <c r="AJ23" i="4" s="1"/>
  <c r="AG23" i="4"/>
  <c r="AD23" i="4"/>
  <c r="AC23" i="4" s="1"/>
  <c r="Z23" i="4"/>
  <c r="AF23" i="4" s="1"/>
  <c r="W23" i="4"/>
  <c r="V23" i="4" s="1"/>
  <c r="S23" i="4"/>
  <c r="Y23" i="4" s="1"/>
  <c r="P23" i="4"/>
  <c r="O23" i="4" s="1"/>
  <c r="L23" i="4"/>
  <c r="J23" i="4"/>
  <c r="CO22" i="4"/>
  <c r="CN22" i="4"/>
  <c r="CK22" i="4"/>
  <c r="CJ22" i="4"/>
  <c r="CH22" i="4"/>
  <c r="CG22" i="4" s="1"/>
  <c r="CD22" i="4"/>
  <c r="CA22" i="4"/>
  <c r="BZ22" i="4" s="1"/>
  <c r="BW22" i="4"/>
  <c r="CC22" i="4" s="1"/>
  <c r="BT22" i="4"/>
  <c r="BS22" i="4"/>
  <c r="BP22" i="4"/>
  <c r="BV22" i="4" s="1"/>
  <c r="BM22" i="4"/>
  <c r="BL22" i="4"/>
  <c r="BI22" i="4"/>
  <c r="BO22" i="4" s="1"/>
  <c r="BH22" i="4"/>
  <c r="BF22" i="4"/>
  <c r="BE22" i="4" s="1"/>
  <c r="BB22" i="4"/>
  <c r="AY22" i="4"/>
  <c r="AX22" i="4" s="1"/>
  <c r="AU22" i="4"/>
  <c r="BA22" i="4" s="1"/>
  <c r="AR22" i="4"/>
  <c r="AQ22" i="4" s="1"/>
  <c r="AO22" i="4"/>
  <c r="AN22" i="4"/>
  <c r="AT22" i="4" s="1"/>
  <c r="AL22" i="4"/>
  <c r="AK22" i="4"/>
  <c r="AJ22" i="4" s="1"/>
  <c r="AG22" i="4"/>
  <c r="AM22" i="4" s="1"/>
  <c r="AE22" i="4"/>
  <c r="AD22" i="4" s="1"/>
  <c r="Z22" i="4"/>
  <c r="Y22" i="4"/>
  <c r="X22" i="4"/>
  <c r="T22" i="4"/>
  <c r="S22" i="4"/>
  <c r="Q22" i="4"/>
  <c r="P22" i="4" s="1"/>
  <c r="L22" i="4"/>
  <c r="J22" i="4"/>
  <c r="CQ21" i="4"/>
  <c r="CO21" i="4"/>
  <c r="CN21" i="4" s="1"/>
  <c r="CK21" i="4"/>
  <c r="CH21" i="4"/>
  <c r="CG21" i="4" s="1"/>
  <c r="CD21" i="4"/>
  <c r="CJ21" i="4" s="1"/>
  <c r="CA21" i="4"/>
  <c r="BZ21" i="4"/>
  <c r="BW21" i="4"/>
  <c r="CC21" i="4" s="1"/>
  <c r="BT21" i="4"/>
  <c r="BS21" i="4"/>
  <c r="BP21" i="4"/>
  <c r="BV21" i="4" s="1"/>
  <c r="BO21" i="4"/>
  <c r="BM21" i="4"/>
  <c r="BL21" i="4" s="1"/>
  <c r="BI21" i="4"/>
  <c r="BF21" i="4"/>
  <c r="BE21" i="4"/>
  <c r="BC21" i="4"/>
  <c r="BB21" i="4"/>
  <c r="BH21" i="4" s="1"/>
  <c r="AY21" i="4"/>
  <c r="AX21" i="4"/>
  <c r="AU21" i="4"/>
  <c r="BA21" i="4" s="1"/>
  <c r="AR21" i="4"/>
  <c r="AQ21" i="4"/>
  <c r="AN21" i="4"/>
  <c r="AO21" i="4" s="1"/>
  <c r="AM21" i="4"/>
  <c r="AK21" i="4"/>
  <c r="AJ21" i="4" s="1"/>
  <c r="AG21" i="4"/>
  <c r="AD21" i="4"/>
  <c r="AC21" i="4"/>
  <c r="AA21" i="4"/>
  <c r="Z21" i="4"/>
  <c r="AF21" i="4" s="1"/>
  <c r="W21" i="4"/>
  <c r="V21" i="4"/>
  <c r="S21" i="4"/>
  <c r="Y21" i="4" s="1"/>
  <c r="R21" i="4"/>
  <c r="Q21" i="4"/>
  <c r="P21" i="4"/>
  <c r="L21" i="4"/>
  <c r="M21" i="4" s="1"/>
  <c r="J21" i="4"/>
  <c r="CO20" i="4"/>
  <c r="CN20" i="4"/>
  <c r="CL20" i="4"/>
  <c r="CK20" i="4"/>
  <c r="CQ20" i="4" s="1"/>
  <c r="CJ20" i="4"/>
  <c r="CH20" i="4"/>
  <c r="CG20" i="4" s="1"/>
  <c r="CD20" i="4"/>
  <c r="CA20" i="4"/>
  <c r="BZ20" i="4"/>
  <c r="BW20" i="4"/>
  <c r="BT20" i="4"/>
  <c r="BS20" i="4"/>
  <c r="BP20" i="4"/>
  <c r="BM20" i="4"/>
  <c r="BL20" i="4"/>
  <c r="BI20" i="4"/>
  <c r="BO20" i="4" s="1"/>
  <c r="BF20" i="4"/>
  <c r="BE20" i="4" s="1"/>
  <c r="BB20" i="4"/>
  <c r="AY20" i="4"/>
  <c r="AX20" i="4" s="1"/>
  <c r="AU20" i="4"/>
  <c r="AT20" i="4"/>
  <c r="AR20" i="4"/>
  <c r="AQ20" i="4" s="1"/>
  <c r="AN20" i="4"/>
  <c r="AO20" i="4" s="1"/>
  <c r="AL20" i="4"/>
  <c r="AK20" i="4"/>
  <c r="AJ20" i="4" s="1"/>
  <c r="AG20" i="4"/>
  <c r="AM20" i="4" s="1"/>
  <c r="AE20" i="4"/>
  <c r="AD20" i="4"/>
  <c r="AC20" i="4" s="1"/>
  <c r="Z20" i="4"/>
  <c r="AF20" i="4" s="1"/>
  <c r="Y20" i="4"/>
  <c r="X20" i="4"/>
  <c r="S20" i="4"/>
  <c r="P20" i="4"/>
  <c r="L20" i="4"/>
  <c r="R20" i="4" s="1"/>
  <c r="CO19" i="4"/>
  <c r="CN19" i="4"/>
  <c r="CK19" i="4"/>
  <c r="CQ19" i="4" s="1"/>
  <c r="CJ19" i="4"/>
  <c r="CH19" i="4"/>
  <c r="CG19" i="4" s="1"/>
  <c r="CE19" i="4"/>
  <c r="CD19" i="4"/>
  <c r="CA19" i="4"/>
  <c r="BZ19" i="4"/>
  <c r="BX19" i="4"/>
  <c r="BW19" i="4"/>
  <c r="CC19" i="4" s="1"/>
  <c r="BT19" i="4"/>
  <c r="BS19" i="4"/>
  <c r="BP19" i="4"/>
  <c r="BM19" i="4"/>
  <c r="BL19" i="4"/>
  <c r="BI19" i="4"/>
  <c r="BO19" i="4" s="1"/>
  <c r="BH19" i="4"/>
  <c r="BF19" i="4"/>
  <c r="BE19" i="4"/>
  <c r="BB19" i="4"/>
  <c r="AY19" i="4"/>
  <c r="AX19" i="4" s="1"/>
  <c r="AU19" i="4"/>
  <c r="BA19" i="4" s="1"/>
  <c r="AT19" i="4"/>
  <c r="AR19" i="4"/>
  <c r="AQ19" i="4"/>
  <c r="AO19" i="4"/>
  <c r="AN19" i="4"/>
  <c r="AK19" i="4"/>
  <c r="AJ19" i="4" s="1"/>
  <c r="AG19" i="4"/>
  <c r="AF19" i="4"/>
  <c r="AD19" i="4"/>
  <c r="AC19" i="4" s="1"/>
  <c r="AA19" i="4"/>
  <c r="Z19" i="4"/>
  <c r="W19" i="4"/>
  <c r="V19" i="4"/>
  <c r="T19" i="4"/>
  <c r="S19" i="4"/>
  <c r="Y19" i="4" s="1"/>
  <c r="P19" i="4"/>
  <c r="O19" i="4"/>
  <c r="L19" i="4"/>
  <c r="R19" i="4" s="1"/>
  <c r="J19" i="4"/>
  <c r="CO18" i="4"/>
  <c r="CN18" i="4"/>
  <c r="CK18" i="4"/>
  <c r="CH18" i="4"/>
  <c r="CG18" i="4"/>
  <c r="CD18" i="4"/>
  <c r="CJ18" i="4" s="1"/>
  <c r="CC18" i="4"/>
  <c r="CA18" i="4"/>
  <c r="BZ18" i="4"/>
  <c r="BX18" i="4"/>
  <c r="BW18" i="4"/>
  <c r="BT18" i="4"/>
  <c r="BS18" i="4" s="1"/>
  <c r="BP18" i="4"/>
  <c r="BV18" i="4" s="1"/>
  <c r="BO18" i="4"/>
  <c r="BM18" i="4"/>
  <c r="BL18" i="4"/>
  <c r="BJ18" i="4"/>
  <c r="BI18" i="4"/>
  <c r="BF18" i="4"/>
  <c r="BE18" i="4"/>
  <c r="BB18" i="4"/>
  <c r="BA18" i="4"/>
  <c r="AY18" i="4"/>
  <c r="AX18" i="4" s="1"/>
  <c r="AU18" i="4"/>
  <c r="AV18" i="4" s="1"/>
  <c r="AR18" i="4"/>
  <c r="AQ18" i="4"/>
  <c r="AO18" i="4"/>
  <c r="AN18" i="4"/>
  <c r="AT18" i="4" s="1"/>
  <c r="AK18" i="4"/>
  <c r="AJ18" i="4"/>
  <c r="AG18" i="4"/>
  <c r="AM18" i="4" s="1"/>
  <c r="AF18" i="4"/>
  <c r="AD18" i="4"/>
  <c r="AC18" i="4" s="1"/>
  <c r="Z18" i="4"/>
  <c r="Y18" i="4"/>
  <c r="W18" i="4"/>
  <c r="V18" i="4" s="1"/>
  <c r="T18" i="4"/>
  <c r="S18" i="4"/>
  <c r="P18" i="4"/>
  <c r="O18" i="4"/>
  <c r="L18" i="4"/>
  <c r="J18" i="4"/>
  <c r="CO17" i="4"/>
  <c r="CN17" i="4"/>
  <c r="CK17" i="4"/>
  <c r="CQ17" i="4" s="1"/>
  <c r="CH17" i="4"/>
  <c r="CG17" i="4"/>
  <c r="CD17" i="4"/>
  <c r="CA17" i="4"/>
  <c r="BZ17" i="4"/>
  <c r="BW17" i="4"/>
  <c r="BV17" i="4"/>
  <c r="BT17" i="4"/>
  <c r="BS17" i="4"/>
  <c r="BQ17" i="4"/>
  <c r="BP17" i="4"/>
  <c r="BM17" i="4"/>
  <c r="BL17" i="4"/>
  <c r="BI17" i="4"/>
  <c r="BH17" i="4"/>
  <c r="BF17" i="4"/>
  <c r="BE17" i="4"/>
  <c r="BB17" i="4"/>
  <c r="AY17" i="4"/>
  <c r="AX17" i="4" s="1"/>
  <c r="AU17" i="4"/>
  <c r="AT17" i="4"/>
  <c r="AR17" i="4"/>
  <c r="AQ17" i="4"/>
  <c r="AO17" i="4"/>
  <c r="AN17" i="4"/>
  <c r="AK17" i="4"/>
  <c r="AJ17" i="4" s="1"/>
  <c r="AG17" i="4"/>
  <c r="AF17" i="4"/>
  <c r="AD17" i="4"/>
  <c r="AC17" i="4" s="1"/>
  <c r="Z17" i="4"/>
  <c r="W17" i="4"/>
  <c r="V17" i="4"/>
  <c r="S17" i="4"/>
  <c r="Q17" i="4"/>
  <c r="P17" i="4"/>
  <c r="O17" i="4"/>
  <c r="L17" i="4"/>
  <c r="J17" i="4"/>
  <c r="CO16" i="4"/>
  <c r="CN16" i="4" s="1"/>
  <c r="CK16" i="4"/>
  <c r="CQ16" i="4" s="1"/>
  <c r="CJ16" i="4"/>
  <c r="CH16" i="4"/>
  <c r="CG16" i="4" s="1"/>
  <c r="CD16" i="4"/>
  <c r="CE16" i="4" s="1"/>
  <c r="CA16" i="4"/>
  <c r="BZ16" i="4"/>
  <c r="BW16" i="4"/>
  <c r="CC16" i="4" s="1"/>
  <c r="BV16" i="4"/>
  <c r="BT16" i="4"/>
  <c r="BS16" i="4" s="1"/>
  <c r="BP16" i="4"/>
  <c r="BM16" i="4"/>
  <c r="BL16" i="4" s="1"/>
  <c r="BI16" i="4"/>
  <c r="BO16" i="4" s="1"/>
  <c r="BF16" i="4"/>
  <c r="BE16" i="4"/>
  <c r="BB16" i="4"/>
  <c r="BH16" i="4" s="1"/>
  <c r="AY16" i="4"/>
  <c r="AX16" i="4" s="1"/>
  <c r="AU16" i="4"/>
  <c r="BA16" i="4" s="1"/>
  <c r="AT16" i="4"/>
  <c r="AR16" i="4"/>
  <c r="AQ16" i="4" s="1"/>
  <c r="AN16" i="4"/>
  <c r="AO16" i="4" s="1"/>
  <c r="AL16" i="4"/>
  <c r="AK16" i="4"/>
  <c r="AJ16" i="4"/>
  <c r="AH16" i="4"/>
  <c r="AG16" i="4"/>
  <c r="AE16" i="4"/>
  <c r="AD16" i="4" s="1"/>
  <c r="Z16" i="4"/>
  <c r="AF16" i="4" s="1"/>
  <c r="X16" i="4"/>
  <c r="W16" i="4"/>
  <c r="S16" i="4"/>
  <c r="Y16" i="4" s="1"/>
  <c r="Q16" i="4"/>
  <c r="J16" i="4" s="1"/>
  <c r="L16" i="4"/>
  <c r="CO15" i="4"/>
  <c r="CN15" i="4"/>
  <c r="CK15" i="4"/>
  <c r="CQ15" i="4" s="1"/>
  <c r="CH15" i="4"/>
  <c r="CG15" i="4"/>
  <c r="CD15" i="4"/>
  <c r="CJ15" i="4" s="1"/>
  <c r="CA15" i="4"/>
  <c r="BZ15" i="4" s="1"/>
  <c r="BW15" i="4"/>
  <c r="BT15" i="4"/>
  <c r="BS15" i="4"/>
  <c r="BP15" i="4"/>
  <c r="BM15" i="4"/>
  <c r="BL15" i="4"/>
  <c r="BI15" i="4"/>
  <c r="BF15" i="4"/>
  <c r="BE15" i="4"/>
  <c r="BB15" i="4"/>
  <c r="BH15" i="4" s="1"/>
  <c r="AY15" i="4"/>
  <c r="AX15" i="4" s="1"/>
  <c r="AU15" i="4"/>
  <c r="BA15" i="4" s="1"/>
  <c r="AR15" i="4"/>
  <c r="AQ15" i="4"/>
  <c r="AN15" i="4"/>
  <c r="AT15" i="4" s="1"/>
  <c r="AM15" i="4"/>
  <c r="AL15" i="4"/>
  <c r="AK15" i="4"/>
  <c r="AH15" i="4"/>
  <c r="AG15" i="4"/>
  <c r="AE15" i="4"/>
  <c r="Z15" i="4"/>
  <c r="X15" i="4"/>
  <c r="J15" i="4" s="1"/>
  <c r="W15" i="4"/>
  <c r="V15" i="4" s="1"/>
  <c r="S15" i="4"/>
  <c r="Y15" i="4" s="1"/>
  <c r="Q15" i="4"/>
  <c r="P15" i="4"/>
  <c r="O15" i="4"/>
  <c r="L15" i="4"/>
  <c r="R15" i="4" s="1"/>
  <c r="CO14" i="4"/>
  <c r="CN14" i="4"/>
  <c r="CK14" i="4"/>
  <c r="CQ14" i="4" s="1"/>
  <c r="CJ14" i="4"/>
  <c r="CH14" i="4"/>
  <c r="CG14" i="4" s="1"/>
  <c r="CD14" i="4"/>
  <c r="CA14" i="4"/>
  <c r="BZ14" i="4"/>
  <c r="BW14" i="4"/>
  <c r="BT14" i="4"/>
  <c r="BS14" i="4"/>
  <c r="BP14" i="4"/>
  <c r="BM14" i="4"/>
  <c r="BL14" i="4"/>
  <c r="BI14" i="4"/>
  <c r="BO14" i="4" s="1"/>
  <c r="BF14" i="4"/>
  <c r="BE14" i="4" s="1"/>
  <c r="BB14" i="4"/>
  <c r="BH14" i="4" s="1"/>
  <c r="AY14" i="4"/>
  <c r="AX14" i="4"/>
  <c r="AU14" i="4"/>
  <c r="BA14" i="4" s="1"/>
  <c r="AR14" i="4"/>
  <c r="AQ14" i="4"/>
  <c r="AN14" i="4"/>
  <c r="AK14" i="4"/>
  <c r="AJ14" i="4" s="1"/>
  <c r="AG14" i="4"/>
  <c r="AM14" i="4" s="1"/>
  <c r="AE14" i="4"/>
  <c r="AD14" i="4" s="1"/>
  <c r="AC14" i="4"/>
  <c r="Z14" i="4"/>
  <c r="X14" i="4"/>
  <c r="W14" i="4" s="1"/>
  <c r="S14" i="4"/>
  <c r="Q14" i="4"/>
  <c r="J14" i="4" s="1"/>
  <c r="M14" i="4"/>
  <c r="L14" i="4"/>
  <c r="CO13" i="4"/>
  <c r="CN13" i="4"/>
  <c r="CK13" i="4"/>
  <c r="CJ13" i="4"/>
  <c r="CH13" i="4"/>
  <c r="CG13" i="4"/>
  <c r="CE13" i="4"/>
  <c r="CD13" i="4"/>
  <c r="CA13" i="4"/>
  <c r="BZ13" i="4" s="1"/>
  <c r="BW13" i="4"/>
  <c r="BV13" i="4"/>
  <c r="BT13" i="4"/>
  <c r="BS13" i="4"/>
  <c r="BQ13" i="4"/>
  <c r="BP13" i="4"/>
  <c r="BM13" i="4"/>
  <c r="BL13" i="4"/>
  <c r="BJ13" i="4"/>
  <c r="BI13" i="4"/>
  <c r="BF13" i="4"/>
  <c r="BE13" i="4" s="1"/>
  <c r="BB13" i="4"/>
  <c r="BH13" i="4" s="1"/>
  <c r="BA13" i="4"/>
  <c r="AY13" i="4"/>
  <c r="AX13" i="4"/>
  <c r="AU13" i="4"/>
  <c r="AR13" i="4"/>
  <c r="AQ13" i="4"/>
  <c r="AO13" i="4"/>
  <c r="AN13" i="4"/>
  <c r="AT13" i="4" s="1"/>
  <c r="AK13" i="4"/>
  <c r="AJ13" i="4" s="1"/>
  <c r="AG13" i="4"/>
  <c r="AD13" i="4"/>
  <c r="AC13" i="4" s="1"/>
  <c r="AA13" i="4"/>
  <c r="Z13" i="4"/>
  <c r="AF13" i="4" s="1"/>
  <c r="Y13" i="4"/>
  <c r="X13" i="4"/>
  <c r="W13" i="4" s="1"/>
  <c r="S13" i="4"/>
  <c r="Q13" i="4"/>
  <c r="P13" i="4"/>
  <c r="O13" i="4" s="1"/>
  <c r="L13" i="4"/>
  <c r="R13" i="4" s="1"/>
  <c r="CO12" i="4"/>
  <c r="CN12" i="4"/>
  <c r="CK12" i="4"/>
  <c r="CQ12" i="4" s="1"/>
  <c r="CH12" i="4"/>
  <c r="CG12" i="4"/>
  <c r="CD12" i="4"/>
  <c r="CC12" i="4"/>
  <c r="CA12" i="4"/>
  <c r="BZ12" i="4" s="1"/>
  <c r="BW12" i="4"/>
  <c r="BT12" i="4"/>
  <c r="BS12" i="4" s="1"/>
  <c r="BQ12" i="4"/>
  <c r="BP12" i="4"/>
  <c r="BV12" i="4" s="1"/>
  <c r="BM12" i="4"/>
  <c r="BL12" i="4"/>
  <c r="BI12" i="4"/>
  <c r="BO12" i="4" s="1"/>
  <c r="BF12" i="4"/>
  <c r="BE12" i="4"/>
  <c r="BB12" i="4"/>
  <c r="BA12" i="4"/>
  <c r="AY12" i="4"/>
  <c r="AX12" i="4" s="1"/>
  <c r="AU12" i="4"/>
  <c r="AR12" i="4"/>
  <c r="AQ12" i="4" s="1"/>
  <c r="AN12" i="4"/>
  <c r="AT12" i="4" s="1"/>
  <c r="AL12" i="4"/>
  <c r="AK12" i="4"/>
  <c r="AJ12" i="4"/>
  <c r="AH12" i="4"/>
  <c r="AG12" i="4"/>
  <c r="AM12" i="4" s="1"/>
  <c r="AE12" i="4"/>
  <c r="AD12" i="4"/>
  <c r="AC12" i="4" s="1"/>
  <c r="Z12" i="4"/>
  <c r="AF12" i="4" s="1"/>
  <c r="W12" i="4"/>
  <c r="V12" i="4"/>
  <c r="S12" i="4"/>
  <c r="Q12" i="4"/>
  <c r="L12" i="4"/>
  <c r="CO11" i="4"/>
  <c r="CN11" i="4" s="1"/>
  <c r="CK11" i="4"/>
  <c r="CH11" i="4"/>
  <c r="CG11" i="4"/>
  <c r="CD11" i="4"/>
  <c r="CA11" i="4"/>
  <c r="BZ11" i="4"/>
  <c r="BW11" i="4"/>
  <c r="CC11" i="4" s="1"/>
  <c r="BT11" i="4"/>
  <c r="BS11" i="4"/>
  <c r="BP11" i="4"/>
  <c r="BV11" i="4" s="1"/>
  <c r="BM11" i="4"/>
  <c r="BL11" i="4" s="1"/>
  <c r="BI11" i="4"/>
  <c r="BF11" i="4"/>
  <c r="BE11" i="4"/>
  <c r="BB11" i="4"/>
  <c r="BA11" i="4"/>
  <c r="AY11" i="4"/>
  <c r="AX11" i="4" s="1"/>
  <c r="AV11" i="4"/>
  <c r="AU11" i="4"/>
  <c r="AR11" i="4"/>
  <c r="AQ11" i="4"/>
  <c r="AO11" i="4"/>
  <c r="AN11" i="4"/>
  <c r="AT11" i="4" s="1"/>
  <c r="AL11" i="4"/>
  <c r="AK11" i="4" s="1"/>
  <c r="AG11" i="4"/>
  <c r="AD11" i="4"/>
  <c r="AC11" i="4" s="1"/>
  <c r="Z11" i="4"/>
  <c r="Y11" i="4"/>
  <c r="W11" i="4"/>
  <c r="V11" i="4" s="1"/>
  <c r="S11" i="4"/>
  <c r="T11" i="4" s="1"/>
  <c r="P11" i="4"/>
  <c r="O11" i="4" s="1"/>
  <c r="L11" i="4"/>
  <c r="B11" i="4" s="1"/>
  <c r="CO10" i="4"/>
  <c r="CN10" i="4"/>
  <c r="CK10" i="4"/>
  <c r="CQ10" i="4" s="1"/>
  <c r="CH10" i="4"/>
  <c r="CG10" i="4"/>
  <c r="CD10" i="4"/>
  <c r="CC10" i="4"/>
  <c r="CA10" i="4"/>
  <c r="BZ10" i="4" s="1"/>
  <c r="BW10" i="4"/>
  <c r="BV10" i="4"/>
  <c r="BT10" i="4"/>
  <c r="BS10" i="4" s="1"/>
  <c r="BQ10" i="4"/>
  <c r="BP10" i="4"/>
  <c r="BM10" i="4"/>
  <c r="BL10" i="4"/>
  <c r="BI10" i="4"/>
  <c r="BO10" i="4" s="1"/>
  <c r="BF10" i="4"/>
  <c r="BE10" i="4"/>
  <c r="BB10" i="4"/>
  <c r="AY10" i="4"/>
  <c r="AX10" i="4" s="1"/>
  <c r="AU10" i="4"/>
  <c r="AT10" i="4"/>
  <c r="AR10" i="4"/>
  <c r="AQ10" i="4" s="1"/>
  <c r="AN10" i="4"/>
  <c r="AO10" i="4" s="1"/>
  <c r="AL10" i="4"/>
  <c r="AK10" i="4"/>
  <c r="AJ10" i="4"/>
  <c r="AH10" i="4"/>
  <c r="AG10" i="4"/>
  <c r="AM10" i="4" s="1"/>
  <c r="AE10" i="4"/>
  <c r="AD10" i="4"/>
  <c r="AC10" i="4"/>
  <c r="Z10" i="4"/>
  <c r="AF10" i="4" s="1"/>
  <c r="X10" i="4"/>
  <c r="W10" i="4"/>
  <c r="V10" i="4"/>
  <c r="S10" i="4"/>
  <c r="Y10" i="4" s="1"/>
  <c r="Q10" i="4"/>
  <c r="P10" i="4" s="1"/>
  <c r="L10" i="4"/>
  <c r="J10" i="4"/>
  <c r="CO9" i="4"/>
  <c r="CN9" i="4"/>
  <c r="CK9" i="4"/>
  <c r="CH9" i="4"/>
  <c r="CG9" i="4" s="1"/>
  <c r="CD9" i="4"/>
  <c r="CA9" i="4"/>
  <c r="BZ9" i="4" s="1"/>
  <c r="BX9" i="4"/>
  <c r="BW9" i="4"/>
  <c r="CC9" i="4" s="1"/>
  <c r="BT9" i="4"/>
  <c r="BS9" i="4"/>
  <c r="BP9" i="4"/>
  <c r="BV9" i="4" s="1"/>
  <c r="BM9" i="4"/>
  <c r="BL9" i="4"/>
  <c r="BI9" i="4"/>
  <c r="BH9" i="4"/>
  <c r="BF9" i="4"/>
  <c r="BE9" i="4" s="1"/>
  <c r="BB9" i="4"/>
  <c r="AY9" i="4"/>
  <c r="AX9" i="4" s="1"/>
  <c r="AU9" i="4"/>
  <c r="BA9" i="4" s="1"/>
  <c r="AR9" i="4"/>
  <c r="AQ9" i="4"/>
  <c r="AN9" i="4"/>
  <c r="AT9" i="4" s="1"/>
  <c r="AL9" i="4"/>
  <c r="AK9" i="4"/>
  <c r="AJ9" i="4" s="1"/>
  <c r="AG9" i="4"/>
  <c r="AM9" i="4" s="1"/>
  <c r="AE9" i="4"/>
  <c r="AD9" i="4" s="1"/>
  <c r="Z9" i="4"/>
  <c r="X9" i="4"/>
  <c r="S9" i="4"/>
  <c r="Y9" i="4" s="1"/>
  <c r="Q9" i="4"/>
  <c r="P9" i="4" s="1"/>
  <c r="L9" i="4"/>
  <c r="J9" i="4"/>
  <c r="CQ8" i="4"/>
  <c r="CO8" i="4"/>
  <c r="CN8" i="4" s="1"/>
  <c r="CK8" i="4"/>
  <c r="CH8" i="4"/>
  <c r="CG8" i="4"/>
  <c r="CD8" i="4"/>
  <c r="CJ8" i="4" s="1"/>
  <c r="CA8" i="4"/>
  <c r="BZ8" i="4"/>
  <c r="BW8" i="4"/>
  <c r="CC8" i="4" s="1"/>
  <c r="BT8" i="4"/>
  <c r="BS8" i="4"/>
  <c r="BP8" i="4"/>
  <c r="BO8" i="4"/>
  <c r="BM8" i="4"/>
  <c r="BL8" i="4" s="1"/>
  <c r="BI8" i="4"/>
  <c r="BF8" i="4"/>
  <c r="BE8" i="4"/>
  <c r="BB8" i="4"/>
  <c r="BH8" i="4" s="1"/>
  <c r="AY8" i="4"/>
  <c r="AX8" i="4"/>
  <c r="AU8" i="4"/>
  <c r="BA8" i="4" s="1"/>
  <c r="AR8" i="4"/>
  <c r="AQ8" i="4" s="1"/>
  <c r="AN8" i="4"/>
  <c r="AM8" i="4"/>
  <c r="AK8" i="4"/>
  <c r="AJ8" i="4" s="1"/>
  <c r="AG8" i="4"/>
  <c r="AD8" i="4"/>
  <c r="AC8" i="4"/>
  <c r="Z8" i="4"/>
  <c r="AF8" i="4" s="1"/>
  <c r="W8" i="4"/>
  <c r="V8" i="4" s="1"/>
  <c r="S8" i="4"/>
  <c r="Y8" i="4" s="1"/>
  <c r="P8" i="4"/>
  <c r="O8" i="4"/>
  <c r="L8" i="4"/>
  <c r="J8" i="4"/>
  <c r="CO7" i="4"/>
  <c r="CN7" i="4"/>
  <c r="CK7" i="4"/>
  <c r="CJ7" i="4"/>
  <c r="CH7" i="4"/>
  <c r="CG7" i="4" s="1"/>
  <c r="CD7" i="4"/>
  <c r="CA7" i="4"/>
  <c r="BZ7" i="4"/>
  <c r="BX7" i="4"/>
  <c r="BW7" i="4"/>
  <c r="CC7" i="4" s="1"/>
  <c r="BT7" i="4"/>
  <c r="BS7" i="4"/>
  <c r="BP7" i="4"/>
  <c r="BV7" i="4" s="1"/>
  <c r="BM7" i="4"/>
  <c r="BL7" i="4"/>
  <c r="BI7" i="4"/>
  <c r="BH7" i="4"/>
  <c r="BF7" i="4"/>
  <c r="BE7" i="4" s="1"/>
  <c r="BB7" i="4"/>
  <c r="AY7" i="4"/>
  <c r="AX7" i="4"/>
  <c r="AU7" i="4"/>
  <c r="BA7" i="4" s="1"/>
  <c r="AR7" i="4"/>
  <c r="AQ7" i="4"/>
  <c r="AN7" i="4"/>
  <c r="AT7" i="4" s="1"/>
  <c r="AK7" i="4"/>
  <c r="AJ7" i="4" s="1"/>
  <c r="AG7" i="4"/>
  <c r="AD7" i="4"/>
  <c r="AC7" i="4" s="1"/>
  <c r="Z7" i="4"/>
  <c r="Y7" i="4"/>
  <c r="W7" i="4"/>
  <c r="V7" i="4" s="1"/>
  <c r="S7" i="4"/>
  <c r="T7" i="4" s="1"/>
  <c r="Q7" i="4"/>
  <c r="J7" i="4" s="1"/>
  <c r="P7" i="4"/>
  <c r="O7" i="4"/>
  <c r="M7" i="4"/>
  <c r="L7" i="4"/>
  <c r="R7" i="4" s="1"/>
  <c r="CO6" i="4"/>
  <c r="CN6" i="4"/>
  <c r="CK6" i="4"/>
  <c r="CQ6" i="4" s="1"/>
  <c r="CH6" i="4"/>
  <c r="CG6" i="4"/>
  <c r="CD6" i="4"/>
  <c r="CJ6" i="4" s="1"/>
  <c r="CA6" i="4"/>
  <c r="BZ6" i="4" s="1"/>
  <c r="BW6" i="4"/>
  <c r="BT6" i="4"/>
  <c r="BS6" i="4"/>
  <c r="BP6" i="4"/>
  <c r="BM6" i="4"/>
  <c r="BL6" i="4"/>
  <c r="BI6" i="4"/>
  <c r="BO6" i="4" s="1"/>
  <c r="BF6" i="4"/>
  <c r="BE6" i="4"/>
  <c r="BB6" i="4"/>
  <c r="BH6" i="4" s="1"/>
  <c r="AY6" i="4"/>
  <c r="AX6" i="4" s="1"/>
  <c r="AU6" i="4"/>
  <c r="AR6" i="4"/>
  <c r="AQ6" i="4" s="1"/>
  <c r="AN6" i="4"/>
  <c r="AL6" i="4"/>
  <c r="AM6" i="4" s="1"/>
  <c r="AH6" i="4"/>
  <c r="AG6" i="4"/>
  <c r="AD6" i="4"/>
  <c r="AC6" i="4" s="1"/>
  <c r="Z6" i="4"/>
  <c r="AF6" i="4" s="1"/>
  <c r="W6" i="4"/>
  <c r="V6" i="4" s="1"/>
  <c r="S6" i="4"/>
  <c r="Q6" i="4"/>
  <c r="L6" i="4"/>
  <c r="J6" i="4"/>
  <c r="CO5" i="4"/>
  <c r="CN5" i="4" s="1"/>
  <c r="CK5" i="4"/>
  <c r="CQ5" i="4" s="1"/>
  <c r="CJ5" i="4"/>
  <c r="CH5" i="4"/>
  <c r="CG5" i="4"/>
  <c r="CD5" i="4"/>
  <c r="CC5" i="4"/>
  <c r="CA5" i="4"/>
  <c r="BZ5" i="4" s="1"/>
  <c r="BX5" i="4"/>
  <c r="BW5" i="4"/>
  <c r="BT5" i="4"/>
  <c r="BS5" i="4"/>
  <c r="BP5" i="4"/>
  <c r="BM5" i="4"/>
  <c r="BL5" i="4" s="1"/>
  <c r="BI5" i="4"/>
  <c r="BF5" i="4"/>
  <c r="BE5" i="4"/>
  <c r="BB5" i="4"/>
  <c r="BA5" i="4"/>
  <c r="AY5" i="4"/>
  <c r="AX5" i="4"/>
  <c r="AU5" i="4"/>
  <c r="AR5" i="4"/>
  <c r="AQ5" i="4"/>
  <c r="AN5" i="4"/>
  <c r="AT5" i="4" s="1"/>
  <c r="AL5" i="4"/>
  <c r="AK5" i="4" s="1"/>
  <c r="AG5" i="4"/>
  <c r="AE5" i="4"/>
  <c r="Z5" i="4"/>
  <c r="AF5" i="4" s="1"/>
  <c r="X5" i="4"/>
  <c r="W5" i="4"/>
  <c r="S5" i="4"/>
  <c r="R5" i="4"/>
  <c r="Q5" i="4"/>
  <c r="P5" i="4"/>
  <c r="O5" i="4" s="1"/>
  <c r="L5" i="4"/>
  <c r="CO4" i="4"/>
  <c r="CO55" i="4" s="1"/>
  <c r="CO58" i="4" s="1"/>
  <c r="CK4" i="4"/>
  <c r="CQ4" i="4" s="1"/>
  <c r="CH4" i="4"/>
  <c r="CG4" i="4"/>
  <c r="CD4" i="4"/>
  <c r="CA4" i="4"/>
  <c r="BZ4" i="4"/>
  <c r="BW4" i="4"/>
  <c r="BT4" i="4"/>
  <c r="BP4" i="4"/>
  <c r="BV4" i="4" s="1"/>
  <c r="BO4" i="4"/>
  <c r="BM4" i="4"/>
  <c r="BL4" i="4"/>
  <c r="BI4" i="4"/>
  <c r="BF4" i="4"/>
  <c r="BF55" i="4" s="1"/>
  <c r="BF58" i="4" s="1"/>
  <c r="BB4" i="4"/>
  <c r="AY4" i="4"/>
  <c r="AX4" i="4"/>
  <c r="AU4" i="4"/>
  <c r="AR4" i="4"/>
  <c r="AN4" i="4"/>
  <c r="AL4" i="4"/>
  <c r="AK4" i="4" s="1"/>
  <c r="AG4" i="4"/>
  <c r="Z4" i="4"/>
  <c r="X4" i="4"/>
  <c r="W4" i="4" s="1"/>
  <c r="S4" i="4"/>
  <c r="M4" i="4"/>
  <c r="L4" i="4"/>
  <c r="CQ88" i="3"/>
  <c r="CJ88" i="3"/>
  <c r="CC88" i="3"/>
  <c r="BV88" i="3"/>
  <c r="BO88" i="3"/>
  <c r="BH88" i="3"/>
  <c r="BA88" i="3"/>
  <c r="AT88" i="3"/>
  <c r="AM86" i="3"/>
  <c r="AM85" i="3"/>
  <c r="AF84" i="3"/>
  <c r="Y83" i="3"/>
  <c r="Y82" i="3"/>
  <c r="R81" i="3"/>
  <c r="AM80" i="3"/>
  <c r="AF80" i="3"/>
  <c r="Y80" i="3"/>
  <c r="R80" i="3"/>
  <c r="AM79" i="3"/>
  <c r="AF79" i="3"/>
  <c r="Y79" i="3"/>
  <c r="AF78" i="3"/>
  <c r="Y78" i="3"/>
  <c r="R78" i="3"/>
  <c r="R77" i="3"/>
  <c r="AM76" i="3"/>
  <c r="AF76" i="3"/>
  <c r="R76" i="3"/>
  <c r="R75" i="3"/>
  <c r="Y74" i="3"/>
  <c r="R74" i="3"/>
  <c r="AM73" i="3"/>
  <c r="R73" i="3"/>
  <c r="AM72" i="3"/>
  <c r="AF72" i="3"/>
  <c r="Y72" i="3"/>
  <c r="R72" i="3"/>
  <c r="Y71" i="3"/>
  <c r="R71" i="3"/>
  <c r="AM70" i="3"/>
  <c r="AF70" i="3"/>
  <c r="Y70" i="3"/>
  <c r="AM69" i="3"/>
  <c r="AF69" i="3"/>
  <c r="Y69" i="3"/>
  <c r="R69" i="3"/>
  <c r="AM68" i="3"/>
  <c r="Y68" i="3"/>
  <c r="R68" i="3"/>
  <c r="AM67" i="3"/>
  <c r="AF67" i="3"/>
  <c r="R67" i="3"/>
  <c r="AM66" i="3"/>
  <c r="AF66" i="3"/>
  <c r="Y66" i="3"/>
  <c r="R66" i="3"/>
  <c r="Y65" i="3"/>
  <c r="R65" i="3"/>
  <c r="AM64" i="3"/>
  <c r="AF64" i="3"/>
  <c r="Y64" i="3"/>
  <c r="R64" i="3"/>
  <c r="AM63" i="3"/>
  <c r="AF63" i="3"/>
  <c r="Y63" i="3"/>
  <c r="R63" i="3"/>
  <c r="Y62" i="3"/>
  <c r="R62" i="3"/>
  <c r="AM61" i="3"/>
  <c r="AF61" i="3"/>
  <c r="Y61" i="3"/>
  <c r="R61" i="3"/>
  <c r="R88" i="3" s="1"/>
  <c r="Q49" i="3" s="1"/>
  <c r="BN58" i="3"/>
  <c r="BG58" i="3"/>
  <c r="AZ58" i="3"/>
  <c r="CO57" i="3"/>
  <c r="CN57" i="3" s="1"/>
  <c r="CJ57" i="3"/>
  <c r="CH57" i="3"/>
  <c r="CG57" i="3" s="1"/>
  <c r="CC57" i="3"/>
  <c r="CA57" i="3"/>
  <c r="BZ57" i="3" s="1"/>
  <c r="BX57" i="3"/>
  <c r="BT57" i="3"/>
  <c r="BS57" i="3"/>
  <c r="BQ57" i="3"/>
  <c r="BV57" i="3"/>
  <c r="BM57" i="3"/>
  <c r="BL57" i="3" s="1"/>
  <c r="BH57" i="3"/>
  <c r="BF57" i="3"/>
  <c r="BE57" i="3" s="1"/>
  <c r="BA57" i="3"/>
  <c r="AY57" i="3"/>
  <c r="AX57" i="3" s="1"/>
  <c r="AV57" i="3"/>
  <c r="AR57" i="3"/>
  <c r="AQ57" i="3"/>
  <c r="AO57" i="3"/>
  <c r="AT57" i="3"/>
  <c r="AK57" i="3"/>
  <c r="AJ57" i="3" s="1"/>
  <c r="AF57" i="3"/>
  <c r="AD57" i="3"/>
  <c r="AC57" i="3" s="1"/>
  <c r="Y57" i="3"/>
  <c r="W57" i="3"/>
  <c r="V57" i="3" s="1"/>
  <c r="T57" i="3"/>
  <c r="P57" i="3"/>
  <c r="O57" i="3"/>
  <c r="J57" i="3"/>
  <c r="E57" i="3"/>
  <c r="CO56" i="3"/>
  <c r="CN56" i="3"/>
  <c r="CQ56" i="3"/>
  <c r="CH56" i="3"/>
  <c r="CG56" i="3" s="1"/>
  <c r="CC56" i="3"/>
  <c r="CA56" i="3"/>
  <c r="BZ56" i="3" s="1"/>
  <c r="BX56" i="3"/>
  <c r="BV56" i="3"/>
  <c r="BT56" i="3"/>
  <c r="BS56" i="3"/>
  <c r="BM56" i="3"/>
  <c r="BL56" i="3"/>
  <c r="BO56" i="3"/>
  <c r="BF56" i="3"/>
  <c r="BE56" i="3" s="1"/>
  <c r="BA56" i="3"/>
  <c r="AY56" i="3"/>
  <c r="AX56" i="3" s="1"/>
  <c r="AV56" i="3"/>
  <c r="AT56" i="3"/>
  <c r="AR56" i="3"/>
  <c r="I56" i="3" s="1"/>
  <c r="AQ56" i="3"/>
  <c r="AL56" i="3"/>
  <c r="AK56" i="3"/>
  <c r="AJ56" i="3"/>
  <c r="AH56" i="3"/>
  <c r="AM56" i="3"/>
  <c r="AD56" i="3"/>
  <c r="AC56" i="3"/>
  <c r="AF56" i="3"/>
  <c r="W56" i="3"/>
  <c r="V56" i="3"/>
  <c r="R56" i="3"/>
  <c r="P56" i="3"/>
  <c r="O56" i="3" s="1"/>
  <c r="M56" i="3"/>
  <c r="J56" i="3"/>
  <c r="CP55" i="3"/>
  <c r="CP58" i="3" s="1"/>
  <c r="CI55" i="3"/>
  <c r="CI58" i="3" s="1"/>
  <c r="CB55" i="3"/>
  <c r="BU55" i="3"/>
  <c r="BN55" i="3"/>
  <c r="BG55" i="3"/>
  <c r="AZ55" i="3"/>
  <c r="AS55" i="3"/>
  <c r="AS58" i="3" s="1"/>
  <c r="CO54" i="3"/>
  <c r="CN54" i="3" s="1"/>
  <c r="CL54" i="3"/>
  <c r="CQ54" i="3"/>
  <c r="CH54" i="3"/>
  <c r="CG54" i="3" s="1"/>
  <c r="CC54" i="3"/>
  <c r="CA54" i="3"/>
  <c r="BZ54" i="3" s="1"/>
  <c r="BV54" i="3"/>
  <c r="BT54" i="3"/>
  <c r="BS54" i="3"/>
  <c r="BM54" i="3"/>
  <c r="BL54" i="3" s="1"/>
  <c r="BJ54" i="3"/>
  <c r="BO54" i="3"/>
  <c r="BF54" i="3"/>
  <c r="BE54" i="3" s="1"/>
  <c r="BA54" i="3"/>
  <c r="AY54" i="3"/>
  <c r="AX54" i="3"/>
  <c r="AT54" i="3"/>
  <c r="AR54" i="3"/>
  <c r="AQ54" i="3" s="1"/>
  <c r="AO54" i="3"/>
  <c r="AK54" i="3"/>
  <c r="AJ54" i="3" s="1"/>
  <c r="AH54" i="3"/>
  <c r="AM54" i="3"/>
  <c r="AD54" i="3"/>
  <c r="AC54" i="3"/>
  <c r="X54" i="3"/>
  <c r="V54" i="3" s="1"/>
  <c r="W54" i="3"/>
  <c r="Q54" i="3"/>
  <c r="CQ53" i="3"/>
  <c r="CO53" i="3"/>
  <c r="CN53" i="3" s="1"/>
  <c r="CJ53" i="3"/>
  <c r="CH53" i="3"/>
  <c r="CG53" i="3"/>
  <c r="CA53" i="3"/>
  <c r="BZ53" i="3"/>
  <c r="BX53" i="3"/>
  <c r="CC53" i="3"/>
  <c r="BT53" i="3"/>
  <c r="BS53" i="3" s="1"/>
  <c r="BO53" i="3"/>
  <c r="BM53" i="3"/>
  <c r="BL53" i="3" s="1"/>
  <c r="BH53" i="3"/>
  <c r="BF53" i="3"/>
  <c r="BE53" i="3"/>
  <c r="AY53" i="3"/>
  <c r="AX53" i="3" s="1"/>
  <c r="AV53" i="3"/>
  <c r="BA53" i="3"/>
  <c r="AR53" i="3"/>
  <c r="AQ53" i="3" s="1"/>
  <c r="AM53" i="3"/>
  <c r="AL53" i="3"/>
  <c r="AK53" i="3" s="1"/>
  <c r="AJ53" i="3" s="1"/>
  <c r="AH53" i="3"/>
  <c r="AE53" i="3"/>
  <c r="Y53" i="3"/>
  <c r="X53" i="3"/>
  <c r="W53" i="3"/>
  <c r="R53" i="3"/>
  <c r="P53" i="3"/>
  <c r="O53" i="3"/>
  <c r="CQ52" i="3"/>
  <c r="CO52" i="3"/>
  <c r="CN52" i="3"/>
  <c r="CL52" i="3"/>
  <c r="CH52" i="3"/>
  <c r="CG52" i="3"/>
  <c r="CJ52" i="3"/>
  <c r="CA52" i="3"/>
  <c r="BZ52" i="3" s="1"/>
  <c r="BV52" i="3"/>
  <c r="BT52" i="3"/>
  <c r="BS52" i="3" s="1"/>
  <c r="BO52" i="3"/>
  <c r="BM52" i="3"/>
  <c r="BL52" i="3"/>
  <c r="BF52" i="3"/>
  <c r="BE52" i="3"/>
  <c r="BH52" i="3"/>
  <c r="AY52" i="3"/>
  <c r="AX52" i="3" s="1"/>
  <c r="AT52" i="3"/>
  <c r="AR52" i="3"/>
  <c r="AQ52" i="3" s="1"/>
  <c r="AL52" i="3"/>
  <c r="AM52" i="3" s="1"/>
  <c r="AK52" i="3"/>
  <c r="AJ52" i="3" s="1"/>
  <c r="AH52" i="3"/>
  <c r="AE52" i="3"/>
  <c r="J52" i="3" s="1"/>
  <c r="AF52" i="3"/>
  <c r="X52" i="3"/>
  <c r="W52" i="3"/>
  <c r="V52" i="3" s="1"/>
  <c r="T52" i="3"/>
  <c r="Y52" i="3"/>
  <c r="Q52" i="3"/>
  <c r="P52" i="3" s="1"/>
  <c r="O52" i="3"/>
  <c r="CO51" i="3"/>
  <c r="CN51" i="3"/>
  <c r="CL51" i="3"/>
  <c r="CQ51" i="3"/>
  <c r="CH51" i="3"/>
  <c r="CG51" i="3"/>
  <c r="CC51" i="3"/>
  <c r="CA51" i="3"/>
  <c r="BZ51" i="3" s="1"/>
  <c r="BX51" i="3"/>
  <c r="BV51" i="3"/>
  <c r="BT51" i="3"/>
  <c r="BS51" i="3"/>
  <c r="BQ51" i="3"/>
  <c r="BM51" i="3"/>
  <c r="BL51" i="3"/>
  <c r="BJ51" i="3"/>
  <c r="BO51" i="3"/>
  <c r="BF51" i="3"/>
  <c r="BE51" i="3"/>
  <c r="BA51" i="3"/>
  <c r="AY51" i="3"/>
  <c r="AX51" i="3" s="1"/>
  <c r="AV51" i="3"/>
  <c r="AT51" i="3"/>
  <c r="AR51" i="3"/>
  <c r="AQ51" i="3"/>
  <c r="AO51" i="3"/>
  <c r="AM51" i="3"/>
  <c r="AL51" i="3"/>
  <c r="AK51" i="3"/>
  <c r="AJ51" i="3" s="1"/>
  <c r="AH51" i="3"/>
  <c r="AE51" i="3"/>
  <c r="AD51" i="3" s="1"/>
  <c r="AC51" i="3"/>
  <c r="AA51" i="3"/>
  <c r="AF51" i="3"/>
  <c r="X51" i="3"/>
  <c r="V51" i="3" s="1"/>
  <c r="W51" i="3"/>
  <c r="T51" i="3"/>
  <c r="Y51" i="3"/>
  <c r="Q51" i="3"/>
  <c r="P51" i="3"/>
  <c r="O51" i="3"/>
  <c r="J51" i="3"/>
  <c r="CO50" i="3"/>
  <c r="CN50" i="3"/>
  <c r="CJ50" i="3"/>
  <c r="CH50" i="3"/>
  <c r="CG50" i="3" s="1"/>
  <c r="CE50" i="3"/>
  <c r="CC50" i="3"/>
  <c r="CA50" i="3"/>
  <c r="BZ50" i="3"/>
  <c r="BX50" i="3"/>
  <c r="BT50" i="3"/>
  <c r="BS50" i="3"/>
  <c r="BV50" i="3"/>
  <c r="BM50" i="3"/>
  <c r="BL50" i="3"/>
  <c r="BH50" i="3"/>
  <c r="BF50" i="3"/>
  <c r="BE50" i="3" s="1"/>
  <c r="BC50" i="3"/>
  <c r="BA50" i="3"/>
  <c r="AY50" i="3"/>
  <c r="AX50" i="3" s="1"/>
  <c r="AR50" i="3"/>
  <c r="AQ50" i="3"/>
  <c r="AO50" i="3"/>
  <c r="AT50" i="3"/>
  <c r="AK50" i="3"/>
  <c r="AJ50" i="3"/>
  <c r="AE50" i="3"/>
  <c r="X50" i="3"/>
  <c r="T50" i="3"/>
  <c r="Q50" i="3"/>
  <c r="P50" i="3"/>
  <c r="O50" i="3" s="1"/>
  <c r="CQ49" i="3"/>
  <c r="CO49" i="3"/>
  <c r="CN49" i="3" s="1"/>
  <c r="CJ49" i="3"/>
  <c r="CH49" i="3"/>
  <c r="CG49" i="3"/>
  <c r="CE49" i="3"/>
  <c r="CA49" i="3"/>
  <c r="BZ49" i="3" s="1"/>
  <c r="BV49" i="3"/>
  <c r="BT49" i="3"/>
  <c r="BS49" i="3"/>
  <c r="BO49" i="3"/>
  <c r="BM49" i="3"/>
  <c r="BL49" i="3"/>
  <c r="BJ49" i="3"/>
  <c r="BH49" i="3"/>
  <c r="BF49" i="3"/>
  <c r="BE49" i="3"/>
  <c r="BC49" i="3"/>
  <c r="AY49" i="3"/>
  <c r="AX49" i="3" s="1"/>
  <c r="AT49" i="3"/>
  <c r="AR49" i="3"/>
  <c r="AQ49" i="3"/>
  <c r="AO49" i="3"/>
  <c r="AH49" i="3"/>
  <c r="R49" i="3"/>
  <c r="CQ48" i="3"/>
  <c r="CO48" i="3"/>
  <c r="CN48" i="3" s="1"/>
  <c r="CJ48" i="3"/>
  <c r="CH48" i="3"/>
  <c r="CG48" i="3"/>
  <c r="CE48" i="3"/>
  <c r="CA48" i="3"/>
  <c r="BZ48" i="3"/>
  <c r="BT48" i="3"/>
  <c r="BS48" i="3" s="1"/>
  <c r="BO48" i="3"/>
  <c r="BM48" i="3"/>
  <c r="BL48" i="3" s="1"/>
  <c r="BH48" i="3"/>
  <c r="BF48" i="3"/>
  <c r="BE48" i="3" s="1"/>
  <c r="BC48" i="3"/>
  <c r="AY48" i="3"/>
  <c r="AX48" i="3"/>
  <c r="AR48" i="3"/>
  <c r="AQ48" i="3" s="1"/>
  <c r="AM48" i="3"/>
  <c r="AK48" i="3"/>
  <c r="AJ48" i="3" s="1"/>
  <c r="AE48" i="3"/>
  <c r="AF48" i="3" s="1"/>
  <c r="AA48" i="3"/>
  <c r="X48" i="3"/>
  <c r="Y48" i="3" s="1"/>
  <c r="W48" i="3"/>
  <c r="V48" i="3"/>
  <c r="T48" i="3"/>
  <c r="Q48" i="3"/>
  <c r="P48" i="3"/>
  <c r="O48" i="3"/>
  <c r="M48" i="3"/>
  <c r="R48" i="3"/>
  <c r="E48" i="3"/>
  <c r="CO47" i="3"/>
  <c r="CN47" i="3" s="1"/>
  <c r="CL47" i="3"/>
  <c r="CQ47" i="3"/>
  <c r="CH47" i="3"/>
  <c r="CG47" i="3"/>
  <c r="CJ47" i="3"/>
  <c r="CA47" i="3"/>
  <c r="BZ47" i="3" s="1"/>
  <c r="BV47" i="3"/>
  <c r="BT47" i="3"/>
  <c r="BS47" i="3" s="1"/>
  <c r="BQ47" i="3"/>
  <c r="BM47" i="3"/>
  <c r="BL47" i="3"/>
  <c r="BJ47" i="3"/>
  <c r="BO47" i="3"/>
  <c r="BF47" i="3"/>
  <c r="BE47" i="3"/>
  <c r="BA47" i="3"/>
  <c r="AY47" i="3"/>
  <c r="AX47" i="3" s="1"/>
  <c r="AT47" i="3"/>
  <c r="AR47" i="3"/>
  <c r="AQ47" i="3" s="1"/>
  <c r="AO47" i="3"/>
  <c r="AK47" i="3"/>
  <c r="AJ47" i="3" s="1"/>
  <c r="AM47" i="3"/>
  <c r="AD47" i="3"/>
  <c r="AC47" i="3"/>
  <c r="AF47" i="3"/>
  <c r="Y47" i="3"/>
  <c r="W47" i="3"/>
  <c r="V47" i="3" s="1"/>
  <c r="R47" i="3"/>
  <c r="P47" i="3"/>
  <c r="O47" i="3"/>
  <c r="J47" i="3"/>
  <c r="CQ46" i="3"/>
  <c r="CO46" i="3"/>
  <c r="CN46" i="3"/>
  <c r="CL46" i="3"/>
  <c r="CH46" i="3"/>
  <c r="CG46" i="3"/>
  <c r="CE46" i="3"/>
  <c r="CJ46" i="3"/>
  <c r="CA46" i="3"/>
  <c r="BZ46" i="3"/>
  <c r="CC46" i="3"/>
  <c r="BV46" i="3"/>
  <c r="BT46" i="3"/>
  <c r="BS46" i="3" s="1"/>
  <c r="BO46" i="3"/>
  <c r="BM46" i="3"/>
  <c r="BL46" i="3"/>
  <c r="BJ46" i="3"/>
  <c r="BF46" i="3"/>
  <c r="BE46" i="3" s="1"/>
  <c r="BC46" i="3"/>
  <c r="BH46" i="3"/>
  <c r="AY46" i="3"/>
  <c r="AX46" i="3"/>
  <c r="AT46" i="3"/>
  <c r="AR46" i="3"/>
  <c r="AQ46" i="3" s="1"/>
  <c r="AM46" i="3"/>
  <c r="AK46" i="3"/>
  <c r="AJ46" i="3"/>
  <c r="AH46" i="3"/>
  <c r="AD46" i="3"/>
  <c r="AF46" i="3"/>
  <c r="W46" i="3"/>
  <c r="V46" i="3"/>
  <c r="P46" i="3"/>
  <c r="O46" i="3" s="1"/>
  <c r="J46" i="3"/>
  <c r="CO45" i="3"/>
  <c r="CN45" i="3" s="1"/>
  <c r="CJ45" i="3"/>
  <c r="CH45" i="3"/>
  <c r="CG45" i="3" s="1"/>
  <c r="CE45" i="3"/>
  <c r="CA45" i="3"/>
  <c r="BZ45" i="3"/>
  <c r="CC45" i="3"/>
  <c r="BT45" i="3"/>
  <c r="BS45" i="3"/>
  <c r="BV45" i="3"/>
  <c r="BM45" i="3"/>
  <c r="BL45" i="3" s="1"/>
  <c r="BJ45" i="3"/>
  <c r="BH45" i="3"/>
  <c r="BF45" i="3"/>
  <c r="BE45" i="3" s="1"/>
  <c r="BC45" i="3"/>
  <c r="BA45" i="3"/>
  <c r="AY45" i="3"/>
  <c r="AX45" i="3" s="1"/>
  <c r="AV45" i="3"/>
  <c r="AR45" i="3"/>
  <c r="AQ45" i="3"/>
  <c r="AT45" i="3"/>
  <c r="AK45" i="3"/>
  <c r="AJ45" i="3" s="1"/>
  <c r="AF45" i="3"/>
  <c r="AD45" i="3"/>
  <c r="AC45" i="3" s="1"/>
  <c r="AA45" i="3"/>
  <c r="W45" i="3"/>
  <c r="V45" i="3"/>
  <c r="T45" i="3"/>
  <c r="P45" i="3"/>
  <c r="O45" i="3"/>
  <c r="R45" i="3"/>
  <c r="J45" i="3"/>
  <c r="CO44" i="3"/>
  <c r="CN44" i="3"/>
  <c r="CL44" i="3"/>
  <c r="CQ44" i="3"/>
  <c r="CH44" i="3"/>
  <c r="CG44" i="3" s="1"/>
  <c r="CC44" i="3"/>
  <c r="CA44" i="3"/>
  <c r="BZ44" i="3" s="1"/>
  <c r="BX44" i="3"/>
  <c r="BT44" i="3"/>
  <c r="BS44" i="3"/>
  <c r="BQ44" i="3"/>
  <c r="BV44" i="3"/>
  <c r="BM44" i="3"/>
  <c r="BL44" i="3"/>
  <c r="BH44" i="3"/>
  <c r="BF44" i="3"/>
  <c r="BE44" i="3" s="1"/>
  <c r="BC44" i="3"/>
  <c r="BA44" i="3"/>
  <c r="AY44" i="3"/>
  <c r="AX44" i="3"/>
  <c r="AV44" i="3"/>
  <c r="AT44" i="3"/>
  <c r="AR44" i="3"/>
  <c r="AQ44" i="3" s="1"/>
  <c r="AM44" i="3"/>
  <c r="AK44" i="3"/>
  <c r="AJ44" i="3"/>
  <c r="AH44" i="3"/>
  <c r="AD44" i="3"/>
  <c r="AC44" i="3"/>
  <c r="AA44" i="3"/>
  <c r="AF44" i="3"/>
  <c r="W44" i="3"/>
  <c r="V44" i="3"/>
  <c r="R44" i="3"/>
  <c r="P44" i="3"/>
  <c r="O44" i="3" s="1"/>
  <c r="J44" i="3"/>
  <c r="B44" i="3"/>
  <c r="CQ43" i="3"/>
  <c r="CO43" i="3"/>
  <c r="CN43" i="3" s="1"/>
  <c r="CJ43" i="3"/>
  <c r="CH43" i="3"/>
  <c r="CG43" i="3"/>
  <c r="CE43" i="3"/>
  <c r="CA43" i="3"/>
  <c r="BZ43" i="3"/>
  <c r="BX43" i="3"/>
  <c r="CC43" i="3"/>
  <c r="BT43" i="3"/>
  <c r="BS43" i="3"/>
  <c r="BO43" i="3"/>
  <c r="BM43" i="3"/>
  <c r="BL43" i="3" s="1"/>
  <c r="BH43" i="3"/>
  <c r="BF43" i="3"/>
  <c r="BE43" i="3"/>
  <c r="AY43" i="3"/>
  <c r="AX43" i="3" s="1"/>
  <c r="BA43" i="3"/>
  <c r="AR43" i="3"/>
  <c r="AQ43" i="3" s="1"/>
  <c r="AM43" i="3"/>
  <c r="AL43" i="3"/>
  <c r="AE43" i="3"/>
  <c r="AD43" i="3"/>
  <c r="X43" i="3"/>
  <c r="Q43" i="3"/>
  <c r="P43" i="3"/>
  <c r="O43" i="3"/>
  <c r="M43" i="3"/>
  <c r="CQ42" i="3"/>
  <c r="CO42" i="3"/>
  <c r="CN42" i="3" s="1"/>
  <c r="CH42" i="3"/>
  <c r="CG42" i="3"/>
  <c r="CJ42" i="3"/>
  <c r="CA42" i="3"/>
  <c r="BZ42" i="3"/>
  <c r="BV42" i="3"/>
  <c r="BT42" i="3"/>
  <c r="BS42" i="3" s="1"/>
  <c r="BO42" i="3"/>
  <c r="BM42" i="3"/>
  <c r="BL42" i="3"/>
  <c r="BF42" i="3"/>
  <c r="BE42" i="3"/>
  <c r="BH42" i="3"/>
  <c r="AY42" i="3"/>
  <c r="AX42" i="3"/>
  <c r="AT42" i="3"/>
  <c r="AR42" i="3"/>
  <c r="AQ42" i="3" s="1"/>
  <c r="AM42" i="3"/>
  <c r="AK42" i="3"/>
  <c r="AJ42" i="3" s="1"/>
  <c r="AH42" i="3"/>
  <c r="AD42" i="3"/>
  <c r="AC42" i="3"/>
  <c r="AA42" i="3"/>
  <c r="AF42" i="3"/>
  <c r="W42" i="3"/>
  <c r="V42" i="3" s="1"/>
  <c r="R42" i="3"/>
  <c r="P42" i="3"/>
  <c r="O42" i="3" s="1"/>
  <c r="J42" i="3"/>
  <c r="CQ41" i="3"/>
  <c r="CO41" i="3"/>
  <c r="CN41" i="3" s="1"/>
  <c r="CJ41" i="3"/>
  <c r="CH41" i="3"/>
  <c r="CG41" i="3" s="1"/>
  <c r="CE41" i="3"/>
  <c r="CA41" i="3"/>
  <c r="BZ41" i="3"/>
  <c r="BX41" i="3"/>
  <c r="CC41" i="3"/>
  <c r="BT41" i="3"/>
  <c r="BS41" i="3" s="1"/>
  <c r="BO41" i="3"/>
  <c r="BM41" i="3"/>
  <c r="BL41" i="3" s="1"/>
  <c r="BH41" i="3"/>
  <c r="BF41" i="3"/>
  <c r="BE41" i="3" s="1"/>
  <c r="BC41" i="3"/>
  <c r="AY41" i="3"/>
  <c r="AX41" i="3"/>
  <c r="AV41" i="3"/>
  <c r="BA41" i="3"/>
  <c r="AR41" i="3"/>
  <c r="AQ41" i="3" s="1"/>
  <c r="AM41" i="3"/>
  <c r="AK41" i="3"/>
  <c r="AJ41" i="3" s="1"/>
  <c r="AF41" i="3"/>
  <c r="AD41" i="3"/>
  <c r="AC41" i="3" s="1"/>
  <c r="AA41" i="3"/>
  <c r="W41" i="3"/>
  <c r="V41" i="3"/>
  <c r="T41" i="3"/>
  <c r="Y41" i="3"/>
  <c r="P41" i="3"/>
  <c r="J41" i="3"/>
  <c r="E41" i="3"/>
  <c r="CO40" i="3"/>
  <c r="CN40" i="3" s="1"/>
  <c r="CJ40" i="3"/>
  <c r="CH40" i="3"/>
  <c r="CG40" i="3" s="1"/>
  <c r="CC40" i="3"/>
  <c r="CA40" i="3"/>
  <c r="BZ40" i="3" s="1"/>
  <c r="BX40" i="3"/>
  <c r="BT40" i="3"/>
  <c r="BS40" i="3"/>
  <c r="BQ40" i="3"/>
  <c r="BV40" i="3"/>
  <c r="BM40" i="3"/>
  <c r="BL40" i="3" s="1"/>
  <c r="BH40" i="3"/>
  <c r="BF40" i="3"/>
  <c r="BE40" i="3" s="1"/>
  <c r="BA40" i="3"/>
  <c r="AY40" i="3"/>
  <c r="AX40" i="3" s="1"/>
  <c r="AV40" i="3"/>
  <c r="AR40" i="3"/>
  <c r="AQ40" i="3"/>
  <c r="AO40" i="3"/>
  <c r="AT40" i="3"/>
  <c r="AK40" i="3"/>
  <c r="AJ40" i="3"/>
  <c r="AF40" i="3"/>
  <c r="AE40" i="3"/>
  <c r="Y40" i="3"/>
  <c r="X40" i="3"/>
  <c r="W40" i="3"/>
  <c r="R40" i="3"/>
  <c r="Q40" i="3"/>
  <c r="J40" i="3" s="1"/>
  <c r="CQ39" i="3"/>
  <c r="CO39" i="3"/>
  <c r="CN39" i="3" s="1"/>
  <c r="CJ39" i="3"/>
  <c r="CH39" i="3"/>
  <c r="CG39" i="3"/>
  <c r="CE39" i="3"/>
  <c r="CA39" i="3"/>
  <c r="BZ39" i="3"/>
  <c r="BV39" i="3"/>
  <c r="BT39" i="3"/>
  <c r="BS39" i="3"/>
  <c r="BO39" i="3"/>
  <c r="BM39" i="3"/>
  <c r="BL39" i="3"/>
  <c r="BJ39" i="3"/>
  <c r="BH39" i="3"/>
  <c r="BF39" i="3"/>
  <c r="BE39" i="3" s="1"/>
  <c r="BC39" i="3"/>
  <c r="AY39" i="3"/>
  <c r="AX39" i="3"/>
  <c r="AV39" i="3"/>
  <c r="BA39" i="3"/>
  <c r="AR39" i="3"/>
  <c r="AQ39" i="3"/>
  <c r="AM39" i="3"/>
  <c r="AL39" i="3"/>
  <c r="AK39" i="3" s="1"/>
  <c r="AF39" i="3"/>
  <c r="AE39" i="3"/>
  <c r="AD39" i="3"/>
  <c r="AC39" i="3"/>
  <c r="Y39" i="3"/>
  <c r="W39" i="3"/>
  <c r="V39" i="3" s="1"/>
  <c r="T39" i="3"/>
  <c r="Q39" i="3"/>
  <c r="J39" i="3" s="1"/>
  <c r="P39" i="3"/>
  <c r="O39" i="3"/>
  <c r="G39" i="3"/>
  <c r="E39" i="3"/>
  <c r="K39" i="3" s="1"/>
  <c r="CO38" i="3"/>
  <c r="CN38" i="3"/>
  <c r="CL38" i="3"/>
  <c r="CQ38" i="3"/>
  <c r="CH38" i="3"/>
  <c r="CG38" i="3"/>
  <c r="CC38" i="3"/>
  <c r="CA38" i="3"/>
  <c r="BZ38" i="3" s="1"/>
  <c r="BV38" i="3"/>
  <c r="BT38" i="3"/>
  <c r="BS38" i="3"/>
  <c r="BM38" i="3"/>
  <c r="BL38" i="3"/>
  <c r="BO38" i="3"/>
  <c r="BF38" i="3"/>
  <c r="BE38" i="3" s="1"/>
  <c r="BA38" i="3"/>
  <c r="AY38" i="3"/>
  <c r="AX38" i="3" s="1"/>
  <c r="AT38" i="3"/>
  <c r="AR38" i="3"/>
  <c r="AQ38" i="3"/>
  <c r="AO38" i="3"/>
  <c r="AK38" i="3"/>
  <c r="AJ38" i="3"/>
  <c r="AM38" i="3"/>
  <c r="AE38" i="3"/>
  <c r="AD38" i="3" s="1"/>
  <c r="AC38" i="3" s="1"/>
  <c r="AF38" i="3"/>
  <c r="X38" i="3"/>
  <c r="W38" i="3"/>
  <c r="V38" i="3"/>
  <c r="R38" i="3"/>
  <c r="P38" i="3"/>
  <c r="J38" i="3"/>
  <c r="CQ37" i="3"/>
  <c r="CO37" i="3"/>
  <c r="CN37" i="3" s="1"/>
  <c r="CJ37" i="3"/>
  <c r="CH37" i="3"/>
  <c r="CG37" i="3"/>
  <c r="CA37" i="3"/>
  <c r="BZ37" i="3" s="1"/>
  <c r="CC37" i="3"/>
  <c r="BT37" i="3"/>
  <c r="BS37" i="3"/>
  <c r="BQ37" i="3"/>
  <c r="BV37" i="3"/>
  <c r="BM37" i="3"/>
  <c r="BL37" i="3" s="1"/>
  <c r="BH37" i="3"/>
  <c r="BF37" i="3"/>
  <c r="BE37" i="3"/>
  <c r="AY37" i="3"/>
  <c r="AX37" i="3" s="1"/>
  <c r="AR37" i="3"/>
  <c r="AQ37" i="3"/>
  <c r="AO37" i="3"/>
  <c r="AT37" i="3"/>
  <c r="AL37" i="3"/>
  <c r="AK37" i="3" s="1"/>
  <c r="AH37" i="3"/>
  <c r="Q37" i="3"/>
  <c r="P37" i="3" s="1"/>
  <c r="CQ36" i="3"/>
  <c r="CO36" i="3"/>
  <c r="CN36" i="3" s="1"/>
  <c r="CH36" i="3"/>
  <c r="CG36" i="3"/>
  <c r="CE36" i="3"/>
  <c r="CJ36" i="3"/>
  <c r="CA36" i="3"/>
  <c r="BZ36" i="3" s="1"/>
  <c r="CC36" i="3"/>
  <c r="BV36" i="3"/>
  <c r="BT36" i="3"/>
  <c r="BS36" i="3" s="1"/>
  <c r="BQ36" i="3"/>
  <c r="BM36" i="3"/>
  <c r="BL36" i="3"/>
  <c r="BH36" i="3"/>
  <c r="BF36" i="3"/>
  <c r="BE36" i="3" s="1"/>
  <c r="AY36" i="3"/>
  <c r="AX36" i="3" s="1"/>
  <c r="AV36" i="3"/>
  <c r="BA36" i="3"/>
  <c r="AR36" i="3"/>
  <c r="AQ36" i="3" s="1"/>
  <c r="AM36" i="3"/>
  <c r="AL36" i="3"/>
  <c r="AE36" i="3"/>
  <c r="AE37" i="3" s="1"/>
  <c r="AD36" i="3"/>
  <c r="AC36" i="3" s="1"/>
  <c r="X36" i="3"/>
  <c r="Y36" i="3" s="1"/>
  <c r="W36" i="3"/>
  <c r="V36" i="3"/>
  <c r="T36" i="3"/>
  <c r="Q36" i="3"/>
  <c r="P36" i="3"/>
  <c r="O36" i="3"/>
  <c r="R36" i="3"/>
  <c r="E36" i="3"/>
  <c r="B36" i="3"/>
  <c r="CO35" i="3"/>
  <c r="CN35" i="3"/>
  <c r="CH35" i="3"/>
  <c r="CG35" i="3"/>
  <c r="CJ35" i="3"/>
  <c r="CA35" i="3"/>
  <c r="BZ35" i="3" s="1"/>
  <c r="CC35" i="3"/>
  <c r="BT35" i="3"/>
  <c r="BS35" i="3"/>
  <c r="BO35" i="3"/>
  <c r="BM35" i="3"/>
  <c r="BL35" i="3" s="1"/>
  <c r="BJ35" i="3"/>
  <c r="BF35" i="3"/>
  <c r="BE35" i="3"/>
  <c r="BC35" i="3"/>
  <c r="BH35" i="3"/>
  <c r="AY35" i="3"/>
  <c r="AX35" i="3" s="1"/>
  <c r="AT35" i="3"/>
  <c r="AR35" i="3"/>
  <c r="AQ35" i="3"/>
  <c r="AK35" i="3"/>
  <c r="AJ35" i="3"/>
  <c r="AM35" i="3"/>
  <c r="AD35" i="3"/>
  <c r="AC35" i="3" s="1"/>
  <c r="Y35" i="3"/>
  <c r="W35" i="3"/>
  <c r="V35" i="3" s="1"/>
  <c r="T35" i="3"/>
  <c r="Q35" i="3"/>
  <c r="P35" i="3" s="1"/>
  <c r="CQ34" i="3"/>
  <c r="CO34" i="3"/>
  <c r="CN34" i="3" s="1"/>
  <c r="CL34" i="3"/>
  <c r="CH34" i="3"/>
  <c r="CG34" i="3"/>
  <c r="CE34" i="3"/>
  <c r="CJ34" i="3"/>
  <c r="CA34" i="3"/>
  <c r="BZ34" i="3"/>
  <c r="BV34" i="3"/>
  <c r="BT34" i="3"/>
  <c r="BS34" i="3" s="1"/>
  <c r="BO34" i="3"/>
  <c r="BM34" i="3"/>
  <c r="BL34" i="3" s="1"/>
  <c r="BJ34" i="3"/>
  <c r="BF34" i="3"/>
  <c r="BE34" i="3"/>
  <c r="BC34" i="3"/>
  <c r="BH34" i="3"/>
  <c r="AY34" i="3"/>
  <c r="AX34" i="3"/>
  <c r="AT34" i="3"/>
  <c r="AR34" i="3"/>
  <c r="AQ34" i="3" s="1"/>
  <c r="AM34" i="3"/>
  <c r="AK34" i="3"/>
  <c r="AJ34" i="3" s="1"/>
  <c r="AH34" i="3"/>
  <c r="AD34" i="3"/>
  <c r="AC34" i="3"/>
  <c r="AA34" i="3"/>
  <c r="AF34" i="3"/>
  <c r="W34" i="3"/>
  <c r="V34" i="3"/>
  <c r="R34" i="3"/>
  <c r="Q34" i="3"/>
  <c r="B34" i="3"/>
  <c r="CQ33" i="3"/>
  <c r="CO33" i="3"/>
  <c r="CN33" i="3" s="1"/>
  <c r="CJ33" i="3"/>
  <c r="CH33" i="3"/>
  <c r="CG33" i="3"/>
  <c r="CE33" i="3"/>
  <c r="CC33" i="3"/>
  <c r="CA33" i="3"/>
  <c r="BZ33" i="3" s="1"/>
  <c r="BX33" i="3"/>
  <c r="BT33" i="3"/>
  <c r="BS33" i="3"/>
  <c r="BQ33" i="3"/>
  <c r="BV33" i="3"/>
  <c r="BM33" i="3"/>
  <c r="BL33" i="3" s="1"/>
  <c r="BH33" i="3"/>
  <c r="BF33" i="3"/>
  <c r="BE33" i="3" s="1"/>
  <c r="BC33" i="3"/>
  <c r="BA33" i="3"/>
  <c r="AY33" i="3"/>
  <c r="AX33" i="3"/>
  <c r="AV33" i="3"/>
  <c r="AR33" i="3"/>
  <c r="AQ33" i="3" s="1"/>
  <c r="AT33" i="3"/>
  <c r="AK33" i="3"/>
  <c r="AJ33" i="3" s="1"/>
  <c r="AF33" i="3"/>
  <c r="AD33" i="3"/>
  <c r="AC33" i="3" s="1"/>
  <c r="Y33" i="3"/>
  <c r="W33" i="3"/>
  <c r="V33" i="3"/>
  <c r="T33" i="3"/>
  <c r="Q33" i="3"/>
  <c r="J33" i="3" s="1"/>
  <c r="P33" i="3"/>
  <c r="O33" i="3"/>
  <c r="CO32" i="3"/>
  <c r="CN32" i="3"/>
  <c r="CQ32" i="3"/>
  <c r="CH32" i="3"/>
  <c r="CG32" i="3" s="1"/>
  <c r="CC32" i="3"/>
  <c r="CA32" i="3"/>
  <c r="BZ32" i="3" s="1"/>
  <c r="BV32" i="3"/>
  <c r="BT32" i="3"/>
  <c r="BS32" i="3" s="1"/>
  <c r="BQ32" i="3"/>
  <c r="BM32" i="3"/>
  <c r="BL32" i="3"/>
  <c r="BO32" i="3"/>
  <c r="BF32" i="3"/>
  <c r="BE32" i="3" s="1"/>
  <c r="BA32" i="3"/>
  <c r="AY32" i="3"/>
  <c r="AX32" i="3" s="1"/>
  <c r="AT32" i="3"/>
  <c r="AR32" i="3"/>
  <c r="AQ32" i="3" s="1"/>
  <c r="AO32" i="3"/>
  <c r="AL32" i="3"/>
  <c r="AK32" i="3"/>
  <c r="AJ32" i="3" s="1"/>
  <c r="AH32" i="3"/>
  <c r="AM32" i="3"/>
  <c r="AE32" i="3"/>
  <c r="AD32" i="3"/>
  <c r="AC32" i="3"/>
  <c r="AF32" i="3"/>
  <c r="X32" i="3"/>
  <c r="W32" i="3" s="1"/>
  <c r="V32" i="3" s="1"/>
  <c r="Y32" i="3"/>
  <c r="Q32" i="3"/>
  <c r="P32" i="3" s="1"/>
  <c r="J32" i="3"/>
  <c r="B32" i="3"/>
  <c r="CO31" i="3"/>
  <c r="CN31" i="3" s="1"/>
  <c r="CJ31" i="3"/>
  <c r="CH31" i="3"/>
  <c r="CG31" i="3" s="1"/>
  <c r="CC31" i="3"/>
  <c r="CA31" i="3"/>
  <c r="BZ31" i="3" s="1"/>
  <c r="BT31" i="3"/>
  <c r="BS31" i="3"/>
  <c r="BV31" i="3"/>
  <c r="BM31" i="3"/>
  <c r="BL31" i="3" s="1"/>
  <c r="BH31" i="3"/>
  <c r="BF31" i="3"/>
  <c r="BE31" i="3" s="1"/>
  <c r="BA31" i="3"/>
  <c r="AY31" i="3"/>
  <c r="AX31" i="3" s="1"/>
  <c r="AR31" i="3"/>
  <c r="AQ31" i="3"/>
  <c r="AT31" i="3"/>
  <c r="AL31" i="3"/>
  <c r="AK31" i="3" s="1"/>
  <c r="AJ31" i="3" s="1"/>
  <c r="AH31" i="3"/>
  <c r="AM31" i="3"/>
  <c r="AE31" i="3"/>
  <c r="AC31" i="3" s="1"/>
  <c r="AD31" i="3"/>
  <c r="X31" i="3"/>
  <c r="Q31" i="3"/>
  <c r="P31" i="3" s="1"/>
  <c r="J31" i="3"/>
  <c r="CQ30" i="3"/>
  <c r="CO30" i="3"/>
  <c r="CN30" i="3" s="1"/>
  <c r="CJ30" i="3"/>
  <c r="CH30" i="3"/>
  <c r="CG30" i="3" s="1"/>
  <c r="CE30" i="3"/>
  <c r="CA30" i="3"/>
  <c r="BZ30" i="3"/>
  <c r="CC30" i="3"/>
  <c r="BT30" i="3"/>
  <c r="BS30" i="3" s="1"/>
  <c r="BO30" i="3"/>
  <c r="BM30" i="3"/>
  <c r="BL30" i="3" s="1"/>
  <c r="BH30" i="3"/>
  <c r="BF30" i="3"/>
  <c r="BE30" i="3" s="1"/>
  <c r="BC30" i="3"/>
  <c r="AY30" i="3"/>
  <c r="AX30" i="3" s="1"/>
  <c r="BA30" i="3"/>
  <c r="AR30" i="3"/>
  <c r="AQ30" i="3" s="1"/>
  <c r="AT30" i="3"/>
  <c r="AK30" i="3"/>
  <c r="AJ30" i="3" s="1"/>
  <c r="AF30" i="3"/>
  <c r="AE30" i="3"/>
  <c r="J30" i="3" s="1"/>
  <c r="AA30" i="3"/>
  <c r="Y30" i="3"/>
  <c r="W30" i="3"/>
  <c r="V30" i="3" s="1"/>
  <c r="T30" i="3"/>
  <c r="Q30" i="3"/>
  <c r="P30" i="3"/>
  <c r="O30" i="3"/>
  <c r="E30" i="3"/>
  <c r="K30" i="3" s="1"/>
  <c r="CO29" i="3"/>
  <c r="CN29" i="3" s="1"/>
  <c r="CQ29" i="3"/>
  <c r="CH29" i="3"/>
  <c r="CG29" i="3" s="1"/>
  <c r="CJ29" i="3"/>
  <c r="CA29" i="3"/>
  <c r="BZ29" i="3"/>
  <c r="BX29" i="3"/>
  <c r="BV29" i="3"/>
  <c r="BT29" i="3"/>
  <c r="BS29" i="3" s="1"/>
  <c r="BO29" i="3"/>
  <c r="BM29" i="3"/>
  <c r="BL29" i="3" s="1"/>
  <c r="BJ29" i="3"/>
  <c r="BF29" i="3"/>
  <c r="BE29" i="3"/>
  <c r="BH29" i="3"/>
  <c r="AY29" i="3"/>
  <c r="AX29" i="3" s="1"/>
  <c r="AT29" i="3"/>
  <c r="AR29" i="3"/>
  <c r="AQ29" i="3" s="1"/>
  <c r="AM29" i="3"/>
  <c r="AK29" i="3"/>
  <c r="AJ29" i="3" s="1"/>
  <c r="AH29" i="3"/>
  <c r="AD29" i="3"/>
  <c r="AC29" i="3"/>
  <c r="AF29" i="3"/>
  <c r="W29" i="3"/>
  <c r="V29" i="3"/>
  <c r="B29" i="3"/>
  <c r="R29" i="3"/>
  <c r="P29" i="3"/>
  <c r="O29" i="3" s="1"/>
  <c r="J29" i="3"/>
  <c r="CQ28" i="3"/>
  <c r="CO28" i="3"/>
  <c r="CN28" i="3" s="1"/>
  <c r="CJ28" i="3"/>
  <c r="CH28" i="3"/>
  <c r="CG28" i="3"/>
  <c r="CE28" i="3"/>
  <c r="CA28" i="3"/>
  <c r="BZ28" i="3"/>
  <c r="CC28" i="3"/>
  <c r="BT28" i="3"/>
  <c r="BS28" i="3"/>
  <c r="BO28" i="3"/>
  <c r="BM28" i="3"/>
  <c r="BL28" i="3" s="1"/>
  <c r="BH28" i="3"/>
  <c r="BF28" i="3"/>
  <c r="BE28" i="3"/>
  <c r="BC28" i="3"/>
  <c r="AY28" i="3"/>
  <c r="AX28" i="3" s="1"/>
  <c r="BA28" i="3"/>
  <c r="AR28" i="3"/>
  <c r="AQ28" i="3"/>
  <c r="AM28" i="3"/>
  <c r="AK28" i="3"/>
  <c r="AJ28" i="3" s="1"/>
  <c r="AF28" i="3"/>
  <c r="AD28" i="3"/>
  <c r="AC28" i="3" s="1"/>
  <c r="AA28" i="3"/>
  <c r="X28" i="3"/>
  <c r="W28" i="3"/>
  <c r="V28" i="3"/>
  <c r="T28" i="3"/>
  <c r="Y28" i="3"/>
  <c r="Q28" i="3"/>
  <c r="J28" i="3" s="1"/>
  <c r="P28" i="3"/>
  <c r="O28" i="3"/>
  <c r="E28" i="3"/>
  <c r="CO27" i="3"/>
  <c r="CN27" i="3"/>
  <c r="CQ27" i="3"/>
  <c r="CH27" i="3"/>
  <c r="CG27" i="3"/>
  <c r="CC27" i="3"/>
  <c r="CA27" i="3"/>
  <c r="BZ27" i="3" s="1"/>
  <c r="BV27" i="3"/>
  <c r="BT27" i="3"/>
  <c r="BS27" i="3"/>
  <c r="BQ27" i="3"/>
  <c r="BM27" i="3"/>
  <c r="BL27" i="3"/>
  <c r="BO27" i="3"/>
  <c r="BF27" i="3"/>
  <c r="BE27" i="3"/>
  <c r="BA27" i="3"/>
  <c r="AY27" i="3"/>
  <c r="AX27" i="3" s="1"/>
  <c r="AT27" i="3"/>
  <c r="AR27" i="3"/>
  <c r="AQ27" i="3" s="1"/>
  <c r="AO27" i="3"/>
  <c r="AK27" i="3"/>
  <c r="AJ27" i="3"/>
  <c r="AM27" i="3"/>
  <c r="AD27" i="3"/>
  <c r="AC27" i="3"/>
  <c r="Y27" i="3"/>
  <c r="W27" i="3"/>
  <c r="V27" i="3" s="1"/>
  <c r="R27" i="3"/>
  <c r="Q27" i="3"/>
  <c r="O27" i="3" s="1"/>
  <c r="P27" i="3"/>
  <c r="M27" i="3"/>
  <c r="J27" i="3"/>
  <c r="B27" i="3"/>
  <c r="CQ26" i="3"/>
  <c r="CO26" i="3"/>
  <c r="CN26" i="3"/>
  <c r="CL26" i="3"/>
  <c r="CH26" i="3"/>
  <c r="CG26" i="3" s="1"/>
  <c r="CE26" i="3"/>
  <c r="CJ26" i="3"/>
  <c r="CA26" i="3"/>
  <c r="BZ26" i="3"/>
  <c r="CC26" i="3"/>
  <c r="BV26" i="3"/>
  <c r="BT26" i="3"/>
  <c r="BS26" i="3" s="1"/>
  <c r="BO26" i="3"/>
  <c r="BM26" i="3"/>
  <c r="BL26" i="3" s="1"/>
  <c r="BJ26" i="3"/>
  <c r="BF26" i="3"/>
  <c r="BE26" i="3" s="1"/>
  <c r="BC26" i="3"/>
  <c r="BH26" i="3"/>
  <c r="AY26" i="3"/>
  <c r="AX26" i="3" s="1"/>
  <c r="BA26" i="3"/>
  <c r="AR26" i="3"/>
  <c r="AQ26" i="3" s="1"/>
  <c r="AM26" i="3"/>
  <c r="AK26" i="3"/>
  <c r="AJ26" i="3"/>
  <c r="AH26" i="3"/>
  <c r="AE26" i="3"/>
  <c r="AF26" i="3" s="1"/>
  <c r="AD26" i="3"/>
  <c r="AC26" i="3"/>
  <c r="AA26" i="3"/>
  <c r="X26" i="3"/>
  <c r="W26" i="3"/>
  <c r="V26" i="3"/>
  <c r="T26" i="3"/>
  <c r="Y26" i="3"/>
  <c r="Q26" i="3"/>
  <c r="J26" i="3" s="1"/>
  <c r="P26" i="3"/>
  <c r="O26" i="3"/>
  <c r="G26" i="3"/>
  <c r="M26" i="3"/>
  <c r="E26" i="3"/>
  <c r="K26" i="3" s="1"/>
  <c r="CO25" i="3"/>
  <c r="CN25" i="3"/>
  <c r="CQ25" i="3"/>
  <c r="CH25" i="3"/>
  <c r="CG25" i="3"/>
  <c r="CC25" i="3"/>
  <c r="CA25" i="3"/>
  <c r="BZ25" i="3" s="1"/>
  <c r="BV25" i="3"/>
  <c r="BT25" i="3"/>
  <c r="BS25" i="3"/>
  <c r="BQ25" i="3"/>
  <c r="BM25" i="3"/>
  <c r="BL25" i="3"/>
  <c r="BO25" i="3"/>
  <c r="BF25" i="3"/>
  <c r="BE25" i="3"/>
  <c r="BA25" i="3"/>
  <c r="AY25" i="3"/>
  <c r="AX25" i="3" s="1"/>
  <c r="AT25" i="3"/>
  <c r="AR25" i="3"/>
  <c r="AQ25" i="3" s="1"/>
  <c r="AO25" i="3"/>
  <c r="AK25" i="3"/>
  <c r="AJ25" i="3"/>
  <c r="AM25" i="3"/>
  <c r="AD25" i="3"/>
  <c r="AC25" i="3"/>
  <c r="X25" i="3"/>
  <c r="R25" i="3"/>
  <c r="Q25" i="3"/>
  <c r="P25" i="3"/>
  <c r="CQ24" i="3"/>
  <c r="CO24" i="3"/>
  <c r="CN24" i="3" s="1"/>
  <c r="CJ24" i="3"/>
  <c r="CH24" i="3"/>
  <c r="CG24" i="3" s="1"/>
  <c r="CE24" i="3"/>
  <c r="CA24" i="3"/>
  <c r="BZ24" i="3"/>
  <c r="CC24" i="3"/>
  <c r="BT24" i="3"/>
  <c r="BS24" i="3"/>
  <c r="BO24" i="3"/>
  <c r="BM24" i="3"/>
  <c r="BL24" i="3" s="1"/>
  <c r="BH24" i="3"/>
  <c r="BF24" i="3"/>
  <c r="BE24" i="3"/>
  <c r="BC24" i="3"/>
  <c r="AY24" i="3"/>
  <c r="AX24" i="3"/>
  <c r="BA24" i="3"/>
  <c r="AR24" i="3"/>
  <c r="AQ24" i="3"/>
  <c r="AM24" i="3"/>
  <c r="AK24" i="3"/>
  <c r="AJ24" i="3" s="1"/>
  <c r="AF24" i="3"/>
  <c r="AD24" i="3"/>
  <c r="AC24" i="3" s="1"/>
  <c r="AA24" i="3"/>
  <c r="X24" i="3"/>
  <c r="W24" i="3"/>
  <c r="V24" i="3"/>
  <c r="T24" i="3"/>
  <c r="Y24" i="3"/>
  <c r="Q24" i="3"/>
  <c r="J24" i="3" s="1"/>
  <c r="P24" i="3"/>
  <c r="I24" i="3" s="1"/>
  <c r="O24" i="3"/>
  <c r="E24" i="3"/>
  <c r="CO23" i="3"/>
  <c r="CN23" i="3"/>
  <c r="CQ23" i="3"/>
  <c r="CH23" i="3"/>
  <c r="CG23" i="3"/>
  <c r="CC23" i="3"/>
  <c r="CA23" i="3"/>
  <c r="BZ23" i="3" s="1"/>
  <c r="BV23" i="3"/>
  <c r="BT23" i="3"/>
  <c r="BS23" i="3"/>
  <c r="BQ23" i="3"/>
  <c r="BM23" i="3"/>
  <c r="BL23" i="3"/>
  <c r="BO23" i="3"/>
  <c r="BF23" i="3"/>
  <c r="BE23" i="3"/>
  <c r="BA23" i="3"/>
  <c r="AY23" i="3"/>
  <c r="AX23" i="3" s="1"/>
  <c r="AT23" i="3"/>
  <c r="AR23" i="3"/>
  <c r="AO23" i="3"/>
  <c r="AK23" i="3"/>
  <c r="AJ23" i="3"/>
  <c r="AM23" i="3"/>
  <c r="AE23" i="3"/>
  <c r="AD23" i="3"/>
  <c r="AC23" i="3"/>
  <c r="AF23" i="3"/>
  <c r="W23" i="3"/>
  <c r="V23" i="3" s="1"/>
  <c r="R23" i="3"/>
  <c r="P23" i="3"/>
  <c r="O23" i="3"/>
  <c r="J23" i="3"/>
  <c r="B23" i="3"/>
  <c r="CQ22" i="3"/>
  <c r="CO22" i="3"/>
  <c r="CN22" i="3" s="1"/>
  <c r="CH22" i="3"/>
  <c r="CG22" i="3"/>
  <c r="CE22" i="3"/>
  <c r="CJ22" i="3"/>
  <c r="CA22" i="3"/>
  <c r="BZ22" i="3" s="1"/>
  <c r="CC22" i="3"/>
  <c r="BT22" i="3"/>
  <c r="BS22" i="3" s="1"/>
  <c r="BO22" i="3"/>
  <c r="BM22" i="3"/>
  <c r="BL22" i="3" s="1"/>
  <c r="BF22" i="3"/>
  <c r="BE22" i="3"/>
  <c r="BC22" i="3"/>
  <c r="BH22" i="3"/>
  <c r="AY22" i="3"/>
  <c r="AX22" i="3" s="1"/>
  <c r="AT22" i="3"/>
  <c r="AR22" i="3"/>
  <c r="AQ22" i="3" s="1"/>
  <c r="AM22" i="3"/>
  <c r="AK22" i="3"/>
  <c r="AJ22" i="3"/>
  <c r="AE22" i="3"/>
  <c r="AF22" i="3" s="1"/>
  <c r="AD22" i="3"/>
  <c r="AC22" i="3" s="1"/>
  <c r="AA22" i="3"/>
  <c r="X22" i="3"/>
  <c r="W22" i="3"/>
  <c r="V22" i="3" s="1"/>
  <c r="T22" i="3"/>
  <c r="Y22" i="3"/>
  <c r="Q22" i="3"/>
  <c r="P22" i="3"/>
  <c r="O22" i="3"/>
  <c r="CO21" i="3"/>
  <c r="CN21" i="3"/>
  <c r="CH21" i="3"/>
  <c r="CG21" i="3"/>
  <c r="CC21" i="3"/>
  <c r="CA21" i="3"/>
  <c r="BZ21" i="3" s="1"/>
  <c r="BV21" i="3"/>
  <c r="BT21" i="3"/>
  <c r="BS21" i="3" s="1"/>
  <c r="BQ21" i="3"/>
  <c r="BM21" i="3"/>
  <c r="BL21" i="3"/>
  <c r="BO21" i="3"/>
  <c r="BF21" i="3"/>
  <c r="BE21" i="3"/>
  <c r="BA21" i="3"/>
  <c r="AY21" i="3"/>
  <c r="AX21" i="3" s="1"/>
  <c r="AT21" i="3"/>
  <c r="AR21" i="3"/>
  <c r="AQ21" i="3"/>
  <c r="AO21" i="3"/>
  <c r="AK21" i="3"/>
  <c r="AJ21" i="3"/>
  <c r="AH21" i="3"/>
  <c r="AM21" i="3"/>
  <c r="AD21" i="3"/>
  <c r="AC21" i="3"/>
  <c r="Y21" i="3"/>
  <c r="W21" i="3"/>
  <c r="V21" i="3" s="1"/>
  <c r="Q21" i="3"/>
  <c r="R21" i="3" s="1"/>
  <c r="P21" i="3"/>
  <c r="O21" i="3"/>
  <c r="J21" i="3"/>
  <c r="CQ20" i="3"/>
  <c r="CO20" i="3"/>
  <c r="CN20" i="3" s="1"/>
  <c r="CJ20" i="3"/>
  <c r="CH20" i="3"/>
  <c r="CG20" i="3" s="1"/>
  <c r="CE20" i="3"/>
  <c r="CA20" i="3"/>
  <c r="BZ20" i="3"/>
  <c r="BX20" i="3"/>
  <c r="CC20" i="3"/>
  <c r="BT20" i="3"/>
  <c r="BS20" i="3" s="1"/>
  <c r="BO20" i="3"/>
  <c r="BM20" i="3"/>
  <c r="BL20" i="3" s="1"/>
  <c r="BH20" i="3"/>
  <c r="BF20" i="3"/>
  <c r="BE20" i="3" s="1"/>
  <c r="BC20" i="3"/>
  <c r="AY20" i="3"/>
  <c r="AX20" i="3" s="1"/>
  <c r="BA20" i="3"/>
  <c r="AT20" i="3"/>
  <c r="AR20" i="3"/>
  <c r="AQ20" i="3" s="1"/>
  <c r="AM20" i="3"/>
  <c r="AK20" i="3"/>
  <c r="AJ20" i="3" s="1"/>
  <c r="AF20" i="3"/>
  <c r="AD20" i="3"/>
  <c r="AC20" i="3" s="1"/>
  <c r="AA20" i="3"/>
  <c r="X20" i="3"/>
  <c r="W20" i="3"/>
  <c r="V20" i="3"/>
  <c r="P20" i="3"/>
  <c r="O20" i="3"/>
  <c r="J20" i="3"/>
  <c r="CO19" i="3"/>
  <c r="CN19" i="3"/>
  <c r="CJ19" i="3"/>
  <c r="CH19" i="3"/>
  <c r="CG19" i="3" s="1"/>
  <c r="CC19" i="3"/>
  <c r="CA19" i="3"/>
  <c r="BZ19" i="3"/>
  <c r="BX19" i="3"/>
  <c r="BT19" i="3"/>
  <c r="BS19" i="3"/>
  <c r="BQ19" i="3"/>
  <c r="BV19" i="3"/>
  <c r="BM19" i="3"/>
  <c r="BL19" i="3"/>
  <c r="BH19" i="3"/>
  <c r="BF19" i="3"/>
  <c r="BE19" i="3" s="1"/>
  <c r="BA19" i="3"/>
  <c r="AY19" i="3"/>
  <c r="AX19" i="3" s="1"/>
  <c r="AV19" i="3"/>
  <c r="AR19" i="3"/>
  <c r="AQ19" i="3"/>
  <c r="AT19" i="3"/>
  <c r="AK19" i="3"/>
  <c r="AJ19" i="3"/>
  <c r="AF19" i="3"/>
  <c r="AD19" i="3"/>
  <c r="AC19" i="3" s="1"/>
  <c r="Y19" i="3"/>
  <c r="X19" i="3"/>
  <c r="J19" i="3" s="1"/>
  <c r="W19" i="3"/>
  <c r="R19" i="3"/>
  <c r="P19" i="3"/>
  <c r="M19" i="3"/>
  <c r="CQ18" i="3"/>
  <c r="CO18" i="3"/>
  <c r="CN18" i="3"/>
  <c r="CL18" i="3"/>
  <c r="CH18" i="3"/>
  <c r="CG18" i="3"/>
  <c r="CJ18" i="3"/>
  <c r="CA18" i="3"/>
  <c r="BZ18" i="3" s="1"/>
  <c r="BV18" i="3"/>
  <c r="BT18" i="3"/>
  <c r="BS18" i="3" s="1"/>
  <c r="BO18" i="3"/>
  <c r="BM18" i="3"/>
  <c r="BL18" i="3" s="1"/>
  <c r="BJ18" i="3"/>
  <c r="BF18" i="3"/>
  <c r="BE18" i="3"/>
  <c r="BC18" i="3"/>
  <c r="BH18" i="3"/>
  <c r="BA18" i="3"/>
  <c r="AY18" i="3"/>
  <c r="AX18" i="3" s="1"/>
  <c r="AT18" i="3"/>
  <c r="AR18" i="3"/>
  <c r="AQ18" i="3"/>
  <c r="AM18" i="3"/>
  <c r="AK18" i="3"/>
  <c r="AJ18" i="3" s="1"/>
  <c r="AH18" i="3"/>
  <c r="AD18" i="3"/>
  <c r="AC18" i="3"/>
  <c r="Y18" i="3"/>
  <c r="W18" i="3"/>
  <c r="V18" i="3" s="1"/>
  <c r="R18" i="3"/>
  <c r="P18" i="3"/>
  <c r="O18" i="3" s="1"/>
  <c r="J18" i="3"/>
  <c r="CQ17" i="3"/>
  <c r="CO17" i="3"/>
  <c r="CN17" i="3"/>
  <c r="CJ17" i="3"/>
  <c r="CH17" i="3"/>
  <c r="CG17" i="3"/>
  <c r="CE17" i="3"/>
  <c r="CA17" i="3"/>
  <c r="BZ17" i="3"/>
  <c r="CC17" i="3"/>
  <c r="BV17" i="3"/>
  <c r="BT17" i="3"/>
  <c r="BS17" i="3" s="1"/>
  <c r="BO17" i="3"/>
  <c r="BM17" i="3"/>
  <c r="BL17" i="3" s="1"/>
  <c r="BH17" i="3"/>
  <c r="BF17" i="3"/>
  <c r="BE17" i="3"/>
  <c r="BC17" i="3"/>
  <c r="AY17" i="3"/>
  <c r="AX17" i="3" s="1"/>
  <c r="AR17" i="3"/>
  <c r="AQ17" i="3" s="1"/>
  <c r="AM17" i="3"/>
  <c r="AK17" i="3"/>
  <c r="AJ17" i="3"/>
  <c r="AF17" i="3"/>
  <c r="AD17" i="3"/>
  <c r="AC17" i="3"/>
  <c r="AA17" i="3"/>
  <c r="X17" i="3"/>
  <c r="W17" i="3"/>
  <c r="V17" i="3"/>
  <c r="Q17" i="3"/>
  <c r="P17" i="3"/>
  <c r="O17" i="3"/>
  <c r="J17" i="3"/>
  <c r="CO16" i="3"/>
  <c r="CN16" i="3"/>
  <c r="CL16" i="3"/>
  <c r="CQ16" i="3"/>
  <c r="CH16" i="3"/>
  <c r="CG16" i="3" s="1"/>
  <c r="CC16" i="3"/>
  <c r="CA16" i="3"/>
  <c r="BZ16" i="3"/>
  <c r="BV16" i="3"/>
  <c r="BT16" i="3"/>
  <c r="BS16" i="3"/>
  <c r="BQ16" i="3"/>
  <c r="BM16" i="3"/>
  <c r="BL16" i="3"/>
  <c r="BO16" i="3"/>
  <c r="BF16" i="3"/>
  <c r="BE16" i="3" s="1"/>
  <c r="BA16" i="3"/>
  <c r="AY16" i="3"/>
  <c r="AX16" i="3"/>
  <c r="AV16" i="3"/>
  <c r="AT16" i="3"/>
  <c r="AR16" i="3"/>
  <c r="AQ16" i="3" s="1"/>
  <c r="AO16" i="3"/>
  <c r="AL16" i="3"/>
  <c r="AK16" i="3"/>
  <c r="AJ16" i="3"/>
  <c r="AE16" i="3"/>
  <c r="AD16" i="3"/>
  <c r="AC16" i="3"/>
  <c r="X16" i="3"/>
  <c r="W16" i="3" s="1"/>
  <c r="Q16" i="3"/>
  <c r="J16" i="3"/>
  <c r="CO15" i="3"/>
  <c r="CN15" i="3" s="1"/>
  <c r="CJ15" i="3"/>
  <c r="CH15" i="3"/>
  <c r="CG15" i="3" s="1"/>
  <c r="CE15" i="3"/>
  <c r="CC15" i="3"/>
  <c r="CA15" i="3"/>
  <c r="BZ15" i="3"/>
  <c r="BX15" i="3"/>
  <c r="BT15" i="3"/>
  <c r="BS15" i="3"/>
  <c r="BM15" i="3"/>
  <c r="BL15" i="3" s="1"/>
  <c r="BH15" i="3"/>
  <c r="BF15" i="3"/>
  <c r="BE15" i="3"/>
  <c r="BA15" i="3"/>
  <c r="AY15" i="3"/>
  <c r="AX15" i="3" s="1"/>
  <c r="AV15" i="3"/>
  <c r="AR15" i="3"/>
  <c r="AQ15" i="3"/>
  <c r="AM15" i="3"/>
  <c r="AL15" i="3"/>
  <c r="AK15" i="3" s="1"/>
  <c r="AJ15" i="3"/>
  <c r="AH15" i="3"/>
  <c r="AE15" i="3"/>
  <c r="AD15" i="3" s="1"/>
  <c r="Y15" i="3"/>
  <c r="X15" i="3"/>
  <c r="W15" i="3"/>
  <c r="V15" i="3" s="1"/>
  <c r="T15" i="3"/>
  <c r="Q15" i="3"/>
  <c r="J15" i="3" s="1"/>
  <c r="P15" i="3"/>
  <c r="G15" i="3"/>
  <c r="B15" i="3"/>
  <c r="CO14" i="3"/>
  <c r="CN14" i="3"/>
  <c r="CJ14" i="3"/>
  <c r="CH14" i="3"/>
  <c r="CG14" i="3" s="1"/>
  <c r="CA14" i="3"/>
  <c r="BZ14" i="3" s="1"/>
  <c r="CC14" i="3"/>
  <c r="BT14" i="3"/>
  <c r="BS14" i="3" s="1"/>
  <c r="BV14" i="3"/>
  <c r="BO14" i="3"/>
  <c r="BM14" i="3"/>
  <c r="BL14" i="3" s="1"/>
  <c r="BF14" i="3"/>
  <c r="BE14" i="3" s="1"/>
  <c r="BH14" i="3"/>
  <c r="AY14" i="3"/>
  <c r="AX14" i="3" s="1"/>
  <c r="AV14" i="3"/>
  <c r="BA14" i="3"/>
  <c r="AT14" i="3"/>
  <c r="AR14" i="3"/>
  <c r="AQ14" i="3" s="1"/>
  <c r="AO14" i="3"/>
  <c r="AL14" i="3"/>
  <c r="AK14" i="3" s="1"/>
  <c r="AE14" i="3"/>
  <c r="AD14" i="3"/>
  <c r="AC14" i="3"/>
  <c r="Y14" i="3"/>
  <c r="X14" i="3"/>
  <c r="T14" i="3"/>
  <c r="Q14" i="3"/>
  <c r="P14" i="3"/>
  <c r="R14" i="3"/>
  <c r="CQ13" i="3"/>
  <c r="CO13" i="3"/>
  <c r="CN13" i="3"/>
  <c r="CH13" i="3"/>
  <c r="CG13" i="3"/>
  <c r="CA13" i="3"/>
  <c r="BZ13" i="3" s="1"/>
  <c r="BV13" i="3"/>
  <c r="BT13" i="3"/>
  <c r="BS13" i="3"/>
  <c r="BM13" i="3"/>
  <c r="BL13" i="3"/>
  <c r="BF13" i="3"/>
  <c r="BE13" i="3" s="1"/>
  <c r="BA13" i="3"/>
  <c r="AY13" i="3"/>
  <c r="AX13" i="3" s="1"/>
  <c r="AV13" i="3"/>
  <c r="AR13" i="3"/>
  <c r="AQ13" i="3" s="1"/>
  <c r="AK13" i="3"/>
  <c r="AJ13" i="3" s="1"/>
  <c r="AE13" i="3"/>
  <c r="AD13" i="3"/>
  <c r="AC13" i="3" s="1"/>
  <c r="W13" i="3"/>
  <c r="V13" i="3"/>
  <c r="Y13" i="3"/>
  <c r="P13" i="3"/>
  <c r="O13" i="3"/>
  <c r="M13" i="3"/>
  <c r="J13" i="3"/>
  <c r="CQ12" i="3"/>
  <c r="CO12" i="3"/>
  <c r="CN12" i="3" s="1"/>
  <c r="CJ12" i="3"/>
  <c r="CH12" i="3"/>
  <c r="CG12" i="3"/>
  <c r="CE12" i="3"/>
  <c r="CA12" i="3"/>
  <c r="BZ12" i="3"/>
  <c r="BV12" i="3"/>
  <c r="BT12" i="3"/>
  <c r="BS12" i="3"/>
  <c r="BQ12" i="3"/>
  <c r="BO12" i="3"/>
  <c r="BM12" i="3"/>
  <c r="BL12" i="3" s="1"/>
  <c r="BH12" i="3"/>
  <c r="BF12" i="3"/>
  <c r="BE12" i="3" s="1"/>
  <c r="BC12" i="3"/>
  <c r="AY12" i="3"/>
  <c r="AX12" i="3"/>
  <c r="AR12" i="3"/>
  <c r="AQ12" i="3" s="1"/>
  <c r="AL12" i="3"/>
  <c r="AK12" i="3" s="1"/>
  <c r="AE12" i="3"/>
  <c r="AD12" i="3" s="1"/>
  <c r="AC12" i="3"/>
  <c r="X12" i="3"/>
  <c r="W12" i="3"/>
  <c r="V12" i="3"/>
  <c r="Q12" i="3"/>
  <c r="M12" i="3"/>
  <c r="CQ11" i="3"/>
  <c r="CO11" i="3"/>
  <c r="CN11" i="3" s="1"/>
  <c r="CL11" i="3"/>
  <c r="CJ11" i="3"/>
  <c r="CH11" i="3"/>
  <c r="CG11" i="3"/>
  <c r="CE11" i="3"/>
  <c r="CA11" i="3"/>
  <c r="BZ11" i="3"/>
  <c r="BX11" i="3"/>
  <c r="CC11" i="3"/>
  <c r="BT11" i="3"/>
  <c r="BS11" i="3"/>
  <c r="BQ11" i="3"/>
  <c r="BO11" i="3"/>
  <c r="BM11" i="3"/>
  <c r="BL11" i="3" s="1"/>
  <c r="BJ11" i="3"/>
  <c r="BH11" i="3"/>
  <c r="BF11" i="3"/>
  <c r="BE11" i="3"/>
  <c r="BC11" i="3"/>
  <c r="AY11" i="3"/>
  <c r="AX11" i="3"/>
  <c r="B11" i="3"/>
  <c r="AT11" i="3"/>
  <c r="AR11" i="3"/>
  <c r="AQ11" i="3"/>
  <c r="AM11" i="3"/>
  <c r="AK11" i="3"/>
  <c r="AJ11" i="3"/>
  <c r="AH11" i="3"/>
  <c r="AF11" i="3"/>
  <c r="AE11" i="3"/>
  <c r="AA11" i="3"/>
  <c r="W11" i="3"/>
  <c r="V11" i="3"/>
  <c r="R11" i="3"/>
  <c r="P11" i="3"/>
  <c r="O11" i="3" s="1"/>
  <c r="CQ10" i="3"/>
  <c r="CO10" i="3"/>
  <c r="CN10" i="3" s="1"/>
  <c r="CL10" i="3"/>
  <c r="CH10" i="3"/>
  <c r="CG10" i="3" s="1"/>
  <c r="CE10" i="3"/>
  <c r="CJ10" i="3"/>
  <c r="CA10" i="3"/>
  <c r="BZ10" i="3"/>
  <c r="BV10" i="3"/>
  <c r="BT10" i="3"/>
  <c r="BS10" i="3" s="1"/>
  <c r="BO10" i="3"/>
  <c r="BM10" i="3"/>
  <c r="BL10" i="3" s="1"/>
  <c r="BJ10" i="3"/>
  <c r="BF10" i="3"/>
  <c r="BE10" i="3" s="1"/>
  <c r="BC10" i="3"/>
  <c r="BH10" i="3"/>
  <c r="AY10" i="3"/>
  <c r="AX10" i="3"/>
  <c r="AT10" i="3"/>
  <c r="AR10" i="3"/>
  <c r="AQ10" i="3" s="1"/>
  <c r="AL10" i="3"/>
  <c r="AM10" i="3" s="1"/>
  <c r="AK10" i="3"/>
  <c r="AJ10" i="3" s="1"/>
  <c r="AF10" i="3"/>
  <c r="AD10" i="3"/>
  <c r="AC10" i="3"/>
  <c r="AA10" i="3"/>
  <c r="X10" i="3"/>
  <c r="W10" i="3"/>
  <c r="V10" i="3" s="1"/>
  <c r="T10" i="3"/>
  <c r="Y10" i="3"/>
  <c r="Q10" i="3"/>
  <c r="J10" i="3" s="1"/>
  <c r="K10" i="3" s="1"/>
  <c r="P10" i="3"/>
  <c r="O10" i="3"/>
  <c r="E10" i="3"/>
  <c r="CO9" i="3"/>
  <c r="CN9" i="3"/>
  <c r="CJ9" i="3"/>
  <c r="CH9" i="3"/>
  <c r="CG9" i="3"/>
  <c r="CE9" i="3"/>
  <c r="CC9" i="3"/>
  <c r="CA9" i="3"/>
  <c r="BZ9" i="3"/>
  <c r="BV9" i="3"/>
  <c r="BT9" i="3"/>
  <c r="BS9" i="3"/>
  <c r="BQ9" i="3"/>
  <c r="BM9" i="3"/>
  <c r="BL9" i="3"/>
  <c r="BH9" i="3"/>
  <c r="BF9" i="3"/>
  <c r="BE9" i="3"/>
  <c r="BC9" i="3"/>
  <c r="BA9" i="3"/>
  <c r="AY9" i="3"/>
  <c r="AX9" i="3" s="1"/>
  <c r="AT9" i="3"/>
  <c r="AR9" i="3"/>
  <c r="AQ9" i="3" s="1"/>
  <c r="AO9" i="3"/>
  <c r="AK9" i="3"/>
  <c r="AJ9" i="3"/>
  <c r="AF9" i="3"/>
  <c r="AE9" i="3"/>
  <c r="AD9" i="3"/>
  <c r="AC9" i="3"/>
  <c r="Y9" i="3"/>
  <c r="X9" i="3"/>
  <c r="T9" i="3"/>
  <c r="R9" i="3"/>
  <c r="Q9" i="3"/>
  <c r="P9" i="3" s="1"/>
  <c r="B9" i="3"/>
  <c r="CQ8" i="3"/>
  <c r="CO8" i="3"/>
  <c r="CN8" i="3" s="1"/>
  <c r="CJ8" i="3"/>
  <c r="CH8" i="3"/>
  <c r="CG8" i="3"/>
  <c r="CE8" i="3"/>
  <c r="CA8" i="3"/>
  <c r="BZ8" i="3" s="1"/>
  <c r="CC8" i="3"/>
  <c r="BT8" i="3"/>
  <c r="BS8" i="3"/>
  <c r="BV8" i="3"/>
  <c r="BO8" i="3"/>
  <c r="BM8" i="3"/>
  <c r="BL8" i="3" s="1"/>
  <c r="BJ8" i="3"/>
  <c r="BH8" i="3"/>
  <c r="BF8" i="3"/>
  <c r="BE8" i="3"/>
  <c r="AY8" i="3"/>
  <c r="AX8" i="3" s="1"/>
  <c r="BA8" i="3"/>
  <c r="AR8" i="3"/>
  <c r="AQ8" i="3"/>
  <c r="AT8" i="3"/>
  <c r="AK8" i="3"/>
  <c r="AJ8" i="3" s="1"/>
  <c r="AF8" i="3"/>
  <c r="AD8" i="3"/>
  <c r="AC8" i="3"/>
  <c r="AA8" i="3"/>
  <c r="Y8" i="3"/>
  <c r="W8" i="3"/>
  <c r="V8" i="3"/>
  <c r="T8" i="3"/>
  <c r="P8" i="3"/>
  <c r="O8" i="3"/>
  <c r="R8" i="3"/>
  <c r="J8" i="3"/>
  <c r="B8" i="3"/>
  <c r="CO7" i="3"/>
  <c r="CN7" i="3"/>
  <c r="CQ7" i="3"/>
  <c r="CJ7" i="3"/>
  <c r="CH7" i="3"/>
  <c r="CG7" i="3" s="1"/>
  <c r="CE7" i="3"/>
  <c r="CC7" i="3"/>
  <c r="CA7" i="3"/>
  <c r="BZ7" i="3" s="1"/>
  <c r="BX7" i="3"/>
  <c r="BV7" i="3"/>
  <c r="BT7" i="3"/>
  <c r="BS7" i="3" s="1"/>
  <c r="BQ7" i="3"/>
  <c r="BM7" i="3"/>
  <c r="BL7" i="3"/>
  <c r="BJ7" i="3"/>
  <c r="BO7" i="3"/>
  <c r="BF7" i="3"/>
  <c r="BE7" i="3" s="1"/>
  <c r="BA7" i="3"/>
  <c r="AY7" i="3"/>
  <c r="AX7" i="3"/>
  <c r="AR7" i="3"/>
  <c r="AQ7" i="3" s="1"/>
  <c r="AT7" i="3"/>
  <c r="AK7" i="3"/>
  <c r="AJ7" i="3"/>
  <c r="AM7" i="3"/>
  <c r="AF7" i="3"/>
  <c r="AD7" i="3"/>
  <c r="AC7" i="3" s="1"/>
  <c r="AA7" i="3"/>
  <c r="X7" i="3"/>
  <c r="W7" i="3" s="1"/>
  <c r="V7" i="3" s="1"/>
  <c r="R7" i="3"/>
  <c r="P7" i="3"/>
  <c r="I7" i="3" s="1"/>
  <c r="M7" i="3"/>
  <c r="J7" i="3"/>
  <c r="CQ6" i="3"/>
  <c r="CO6" i="3"/>
  <c r="CN6" i="3"/>
  <c r="CL6" i="3"/>
  <c r="CH6" i="3"/>
  <c r="CG6" i="3"/>
  <c r="CJ6" i="3"/>
  <c r="CC6" i="3"/>
  <c r="CA6" i="3"/>
  <c r="BZ6" i="3"/>
  <c r="BX6" i="3"/>
  <c r="BT6" i="3"/>
  <c r="BS6" i="3"/>
  <c r="BV6" i="3"/>
  <c r="BO6" i="3"/>
  <c r="BM6" i="3"/>
  <c r="BL6" i="3"/>
  <c r="BJ6" i="3"/>
  <c r="BF6" i="3"/>
  <c r="BE6" i="3" s="1"/>
  <c r="BH6" i="3"/>
  <c r="AY6" i="3"/>
  <c r="AX6" i="3"/>
  <c r="AV6" i="3"/>
  <c r="BA6" i="3"/>
  <c r="AR6" i="3"/>
  <c r="AQ6" i="3" s="1"/>
  <c r="AM6" i="3"/>
  <c r="AK6" i="3"/>
  <c r="AJ6" i="3" s="1"/>
  <c r="AH6" i="3"/>
  <c r="AD6" i="3"/>
  <c r="AC6" i="3"/>
  <c r="AF6" i="3"/>
  <c r="W6" i="3"/>
  <c r="V6" i="3"/>
  <c r="B6" i="3"/>
  <c r="R6" i="3"/>
  <c r="P6" i="3"/>
  <c r="J6" i="3"/>
  <c r="CO5" i="3"/>
  <c r="CN5" i="3"/>
  <c r="CJ5" i="3"/>
  <c r="CH5" i="3"/>
  <c r="CG5" i="3" s="1"/>
  <c r="CE5" i="3"/>
  <c r="CA5" i="3"/>
  <c r="BZ5" i="3"/>
  <c r="BX5" i="3"/>
  <c r="CC5" i="3"/>
  <c r="BT5" i="3"/>
  <c r="BS5" i="3"/>
  <c r="BV5" i="3"/>
  <c r="BO5" i="3"/>
  <c r="BM5" i="3"/>
  <c r="BL5" i="3" s="1"/>
  <c r="BH5" i="3"/>
  <c r="BF5" i="3"/>
  <c r="BE5" i="3"/>
  <c r="BC5" i="3"/>
  <c r="AY5" i="3"/>
  <c r="AX5" i="3" s="1"/>
  <c r="BA5" i="3"/>
  <c r="AT5" i="3"/>
  <c r="AR5" i="3"/>
  <c r="AQ5" i="3" s="1"/>
  <c r="AO5" i="3"/>
  <c r="AL5" i="3"/>
  <c r="AK5" i="3"/>
  <c r="AH5" i="3"/>
  <c r="AE5" i="3"/>
  <c r="AD5" i="3" s="1"/>
  <c r="AC5" i="3" s="1"/>
  <c r="E5" i="3"/>
  <c r="X5" i="3"/>
  <c r="Q5" i="3"/>
  <c r="J5" i="3" s="1"/>
  <c r="P5" i="3"/>
  <c r="O5" i="3"/>
  <c r="CQ4" i="3"/>
  <c r="CO4" i="3"/>
  <c r="CN4" i="3"/>
  <c r="CL4" i="3"/>
  <c r="CH4" i="3"/>
  <c r="CC4" i="3"/>
  <c r="CA4" i="3"/>
  <c r="BZ4" i="3"/>
  <c r="BT4" i="3"/>
  <c r="BS4" i="3"/>
  <c r="BO4" i="3"/>
  <c r="BM4" i="3"/>
  <c r="BL4" i="3"/>
  <c r="BJ4" i="3"/>
  <c r="BH4" i="3"/>
  <c r="BF4" i="3"/>
  <c r="BF55" i="3" s="1"/>
  <c r="BF58" i="3" s="1"/>
  <c r="BA4" i="3"/>
  <c r="AY4" i="3"/>
  <c r="AX4" i="3" s="1"/>
  <c r="AV4" i="3"/>
  <c r="AE4" i="3"/>
  <c r="AC4" i="3" s="1"/>
  <c r="AA4" i="3"/>
  <c r="E4" i="3"/>
  <c r="BL6" i="13" l="1"/>
  <c r="BL6" i="14" s="1"/>
  <c r="AC47" i="13"/>
  <c r="AC47" i="14" s="1"/>
  <c r="BO16" i="13"/>
  <c r="H42" i="13"/>
  <c r="H19" i="13"/>
  <c r="H23" i="13"/>
  <c r="K42" i="13"/>
  <c r="H21" i="13"/>
  <c r="H28" i="13"/>
  <c r="I19" i="9"/>
  <c r="AY55" i="9"/>
  <c r="AY58" i="9" s="1"/>
  <c r="H20" i="9"/>
  <c r="AQ13" i="9"/>
  <c r="I16" i="9"/>
  <c r="I28" i="9"/>
  <c r="AR55" i="9"/>
  <c r="AR58" i="9" s="1"/>
  <c r="K42" i="9"/>
  <c r="AQ39" i="8"/>
  <c r="H23" i="8"/>
  <c r="K19" i="8"/>
  <c r="AR55" i="8"/>
  <c r="AR58" i="8" s="1"/>
  <c r="H20" i="8"/>
  <c r="H33" i="8"/>
  <c r="H44" i="8"/>
  <c r="I46" i="6"/>
  <c r="AR55" i="6"/>
  <c r="AR58" i="6" s="1"/>
  <c r="I34" i="10"/>
  <c r="I7" i="5"/>
  <c r="I10" i="4"/>
  <c r="I21" i="4"/>
  <c r="I34" i="4"/>
  <c r="I24" i="4"/>
  <c r="I45" i="4"/>
  <c r="K57" i="3"/>
  <c r="I35" i="3"/>
  <c r="K28" i="3"/>
  <c r="I13" i="3"/>
  <c r="I23" i="3"/>
  <c r="I27" i="3"/>
  <c r="H56" i="3"/>
  <c r="K24" i="3"/>
  <c r="I28" i="3"/>
  <c r="I46" i="3"/>
  <c r="I6" i="3"/>
  <c r="I32" i="3"/>
  <c r="K41" i="3"/>
  <c r="K5" i="3"/>
  <c r="H21" i="3"/>
  <c r="BZ6" i="13"/>
  <c r="BZ6" i="14" s="1"/>
  <c r="CB6" i="14"/>
  <c r="CC6" i="14" s="1"/>
  <c r="AJ7" i="13"/>
  <c r="AJ7" i="14" s="1"/>
  <c r="AL7" i="14"/>
  <c r="AM7" i="14" s="1"/>
  <c r="BL7" i="13"/>
  <c r="BL7" i="14" s="1"/>
  <c r="BN7" i="14"/>
  <c r="BO7" i="14" s="1"/>
  <c r="CN7" i="13"/>
  <c r="CN7" i="14" s="1"/>
  <c r="CP7" i="14"/>
  <c r="CQ7" i="14" s="1"/>
  <c r="AC8" i="13"/>
  <c r="AC8" i="14" s="1"/>
  <c r="AE8" i="14"/>
  <c r="BZ8" i="13"/>
  <c r="BZ8" i="14" s="1"/>
  <c r="CB8" i="14"/>
  <c r="AQ10" i="13"/>
  <c r="AS10" i="14"/>
  <c r="AT10" i="14" s="1"/>
  <c r="BS10" i="13"/>
  <c r="BS10" i="14" s="1"/>
  <c r="BU10" i="14"/>
  <c r="BV10" i="14" s="1"/>
  <c r="BZ11" i="13"/>
  <c r="BZ11" i="14" s="1"/>
  <c r="CB11" i="14"/>
  <c r="AQ12" i="13"/>
  <c r="AS12" i="14"/>
  <c r="AT12" i="14" s="1"/>
  <c r="BS12" i="13"/>
  <c r="BS12" i="14" s="1"/>
  <c r="BU12" i="14"/>
  <c r="BV12" i="14" s="1"/>
  <c r="AJ13" i="13"/>
  <c r="AJ13" i="14" s="1"/>
  <c r="AL13" i="14"/>
  <c r="AM13" i="14" s="1"/>
  <c r="V14" i="13"/>
  <c r="V14" i="14" s="1"/>
  <c r="X14" i="14"/>
  <c r="Y14" i="14" s="1"/>
  <c r="BV14" i="13"/>
  <c r="BU14" i="14"/>
  <c r="BV14" i="14" s="1"/>
  <c r="BE15" i="13"/>
  <c r="BE15" i="14" s="1"/>
  <c r="BG15" i="14"/>
  <c r="BH15" i="14" s="1"/>
  <c r="CG15" i="13"/>
  <c r="CG15" i="14" s="1"/>
  <c r="CI15" i="14"/>
  <c r="CJ15" i="14" s="1"/>
  <c r="V16" i="13"/>
  <c r="V16" i="14" s="1"/>
  <c r="X16" i="14"/>
  <c r="Y16" i="14" s="1"/>
  <c r="BA16" i="13"/>
  <c r="AZ16" i="14"/>
  <c r="BA16" i="14" s="1"/>
  <c r="BZ16" i="13"/>
  <c r="BZ16" i="14" s="1"/>
  <c r="CB16" i="14"/>
  <c r="CC16" i="14" s="1"/>
  <c r="AQ30" i="13"/>
  <c r="AS30" i="14"/>
  <c r="AT30" i="14" s="1"/>
  <c r="BS30" i="13"/>
  <c r="BS30" i="14" s="1"/>
  <c r="BU30" i="14"/>
  <c r="BV30" i="14" s="1"/>
  <c r="BL31" i="13"/>
  <c r="BL31" i="14" s="1"/>
  <c r="BN31" i="14"/>
  <c r="BO31" i="14" s="1"/>
  <c r="AQ32" i="13"/>
  <c r="AS32" i="14"/>
  <c r="AT32" i="14" s="1"/>
  <c r="BS32" i="13"/>
  <c r="BS32" i="14" s="1"/>
  <c r="BU32" i="14"/>
  <c r="BV32" i="14" s="1"/>
  <c r="BL34" i="13"/>
  <c r="BL34" i="14" s="1"/>
  <c r="BN34" i="14"/>
  <c r="BO34" i="14" s="1"/>
  <c r="AC37" i="13"/>
  <c r="AC37" i="14" s="1"/>
  <c r="AE37" i="14"/>
  <c r="AF37" i="14" s="1"/>
  <c r="CN39" i="13"/>
  <c r="CN39" i="14" s="1"/>
  <c r="CP39" i="14"/>
  <c r="CQ39" i="14" s="1"/>
  <c r="BA40" i="13"/>
  <c r="AZ40" i="14"/>
  <c r="BA40" i="14" s="1"/>
  <c r="V43" i="13"/>
  <c r="V43" i="14" s="1"/>
  <c r="X43" i="14"/>
  <c r="Y43" i="14" s="1"/>
  <c r="AC44" i="13"/>
  <c r="AC44" i="14" s="1"/>
  <c r="AE44" i="14"/>
  <c r="BE44" i="13"/>
  <c r="BE44" i="14" s="1"/>
  <c r="BG44" i="14"/>
  <c r="CN45" i="13"/>
  <c r="CN45" i="14" s="1"/>
  <c r="CP45" i="14"/>
  <c r="BE46" i="13"/>
  <c r="BE46" i="14" s="1"/>
  <c r="BG46" i="14"/>
  <c r="CG46" i="13"/>
  <c r="CG46" i="14" s="1"/>
  <c r="CI46" i="14"/>
  <c r="AX47" i="13"/>
  <c r="AZ47" i="14"/>
  <c r="BL50" i="13"/>
  <c r="BL50" i="14" s="1"/>
  <c r="BN50" i="14"/>
  <c r="BO50" i="14" s="1"/>
  <c r="CN50" i="13"/>
  <c r="CN50" i="14" s="1"/>
  <c r="CP50" i="14"/>
  <c r="CQ50" i="14" s="1"/>
  <c r="BZ51" i="13"/>
  <c r="BZ51" i="14" s="1"/>
  <c r="CB51" i="14"/>
  <c r="CC51" i="14" s="1"/>
  <c r="BL52" i="13"/>
  <c r="BL52" i="14" s="1"/>
  <c r="BN52" i="14"/>
  <c r="BO52" i="14" s="1"/>
  <c r="CN52" i="13"/>
  <c r="CN52" i="14" s="1"/>
  <c r="CP52" i="14"/>
  <c r="CQ52" i="14" s="1"/>
  <c r="AC53" i="13"/>
  <c r="AC53" i="14" s="1"/>
  <c r="AE53" i="14"/>
  <c r="AF53" i="14" s="1"/>
  <c r="AQ54" i="13"/>
  <c r="AS54" i="14"/>
  <c r="AT54" i="14" s="1"/>
  <c r="BO56" i="13"/>
  <c r="BN56" i="14"/>
  <c r="BO56" i="14" s="1"/>
  <c r="BL5" i="13"/>
  <c r="BL5" i="14" s="1"/>
  <c r="BN5" i="14"/>
  <c r="BO5" i="14" s="1"/>
  <c r="AC6" i="13"/>
  <c r="AC6" i="14" s="1"/>
  <c r="AE6" i="14"/>
  <c r="AF6" i="14" s="1"/>
  <c r="BE6" i="13"/>
  <c r="BE6" i="14" s="1"/>
  <c r="BG6" i="14"/>
  <c r="BH6" i="14" s="1"/>
  <c r="BE8" i="13"/>
  <c r="BE8" i="14" s="1"/>
  <c r="BG8" i="14"/>
  <c r="BH8" i="14" s="1"/>
  <c r="V9" i="13"/>
  <c r="V9" i="14" s="1"/>
  <c r="X9" i="14"/>
  <c r="Y9" i="14" s="1"/>
  <c r="AX9" i="13"/>
  <c r="AZ9" i="14"/>
  <c r="BA9" i="14" s="1"/>
  <c r="BZ9" i="13"/>
  <c r="BZ9" i="14" s="1"/>
  <c r="CB9" i="14"/>
  <c r="CC9" i="14" s="1"/>
  <c r="AC11" i="13"/>
  <c r="AC11" i="14" s="1"/>
  <c r="AE11" i="14"/>
  <c r="V12" i="13"/>
  <c r="V12" i="14" s="1"/>
  <c r="X12" i="14"/>
  <c r="Y12" i="14" s="1"/>
  <c r="BL13" i="13"/>
  <c r="BL13" i="14" s="1"/>
  <c r="BN13" i="14"/>
  <c r="BO13" i="14" s="1"/>
  <c r="CG13" i="13"/>
  <c r="CG13" i="14" s="1"/>
  <c r="CI13" i="14"/>
  <c r="CJ13" i="14" s="1"/>
  <c r="AX14" i="13"/>
  <c r="AZ14" i="14"/>
  <c r="BA14" i="14" s="1"/>
  <c r="AJ15" i="13"/>
  <c r="AJ15" i="14" s="1"/>
  <c r="AL15" i="14"/>
  <c r="AM15" i="14" s="1"/>
  <c r="AQ31" i="13"/>
  <c r="AS31" i="14"/>
  <c r="AT31" i="14" s="1"/>
  <c r="CN31" i="13"/>
  <c r="CN31" i="14" s="1"/>
  <c r="CP31" i="14"/>
  <c r="CQ31" i="14" s="1"/>
  <c r="BZ33" i="13"/>
  <c r="BZ33" i="14" s="1"/>
  <c r="CB33" i="14"/>
  <c r="AQ34" i="13"/>
  <c r="AS34" i="14"/>
  <c r="CN34" i="13"/>
  <c r="CN34" i="14" s="1"/>
  <c r="CP34" i="14"/>
  <c r="AC35" i="13"/>
  <c r="AC35" i="14" s="1"/>
  <c r="AE35" i="14"/>
  <c r="BE35" i="13"/>
  <c r="BE35" i="14" s="1"/>
  <c r="BG35" i="14"/>
  <c r="AJ36" i="13"/>
  <c r="AJ36" i="14" s="1"/>
  <c r="AL36" i="14"/>
  <c r="AM36" i="14" s="1"/>
  <c r="CN36" i="13"/>
  <c r="CN36" i="14" s="1"/>
  <c r="CP36" i="14"/>
  <c r="CQ36" i="14" s="1"/>
  <c r="BE37" i="13"/>
  <c r="BE37" i="14" s="1"/>
  <c r="BG37" i="14"/>
  <c r="BH37" i="14" s="1"/>
  <c r="CG37" i="13"/>
  <c r="CG37" i="14" s="1"/>
  <c r="CI37" i="14"/>
  <c r="CJ37" i="14" s="1"/>
  <c r="V38" i="13"/>
  <c r="V38" i="14" s="1"/>
  <c r="X38" i="14"/>
  <c r="Y38" i="14" s="1"/>
  <c r="AX38" i="13"/>
  <c r="AZ38" i="14"/>
  <c r="BA38" i="14" s="1"/>
  <c r="BZ38" i="13"/>
  <c r="BZ38" i="14" s="1"/>
  <c r="CB38" i="14"/>
  <c r="CC38" i="14" s="1"/>
  <c r="AQ39" i="13"/>
  <c r="AS39" i="14"/>
  <c r="AT39" i="14" s="1"/>
  <c r="CC40" i="13"/>
  <c r="CB40" i="14"/>
  <c r="CC40" i="14" s="1"/>
  <c r="AX43" i="13"/>
  <c r="AZ43" i="14"/>
  <c r="BA43" i="14" s="1"/>
  <c r="AQ45" i="13"/>
  <c r="AS45" i="14"/>
  <c r="BS45" i="13"/>
  <c r="BS45" i="14" s="1"/>
  <c r="BU45" i="14"/>
  <c r="AJ46" i="13"/>
  <c r="AJ46" i="14" s="1"/>
  <c r="AL46" i="14"/>
  <c r="AJ48" i="13"/>
  <c r="AJ48" i="14" s="1"/>
  <c r="AL48" i="14"/>
  <c r="AM48" i="14" s="1"/>
  <c r="BL48" i="13"/>
  <c r="BL48" i="14" s="1"/>
  <c r="BN48" i="14"/>
  <c r="BO48" i="14" s="1"/>
  <c r="CN48" i="13"/>
  <c r="CN48" i="14" s="1"/>
  <c r="CP48" i="14"/>
  <c r="CQ48" i="14" s="1"/>
  <c r="AC49" i="13"/>
  <c r="AC49" i="14" s="1"/>
  <c r="AE49" i="14"/>
  <c r="AF49" i="14" s="1"/>
  <c r="AX49" i="13"/>
  <c r="AZ49" i="14"/>
  <c r="BA49" i="14" s="1"/>
  <c r="BZ49" i="13"/>
  <c r="BZ49" i="14" s="1"/>
  <c r="CB49" i="14"/>
  <c r="CC49" i="14" s="1"/>
  <c r="AQ50" i="13"/>
  <c r="AS50" i="14"/>
  <c r="AT50" i="14" s="1"/>
  <c r="BE51" i="13"/>
  <c r="BE51" i="14" s="1"/>
  <c r="BG51" i="14"/>
  <c r="BH51" i="14" s="1"/>
  <c r="AQ52" i="13"/>
  <c r="AS52" i="14"/>
  <c r="AT52" i="14" s="1"/>
  <c r="CG53" i="13"/>
  <c r="CG53" i="14" s="1"/>
  <c r="CI53" i="14"/>
  <c r="CJ53" i="14" s="1"/>
  <c r="V54" i="13"/>
  <c r="V54" i="14" s="1"/>
  <c r="X54" i="14"/>
  <c r="Y54" i="14" s="1"/>
  <c r="BS54" i="13"/>
  <c r="BS54" i="14" s="1"/>
  <c r="BU54" i="14"/>
  <c r="AQ56" i="13"/>
  <c r="AS56" i="14"/>
  <c r="AT56" i="14" s="1"/>
  <c r="AC57" i="13"/>
  <c r="AC57" i="14" s="1"/>
  <c r="AE57" i="14"/>
  <c r="AF57" i="14" s="1"/>
  <c r="AX57" i="13"/>
  <c r="AZ57" i="14"/>
  <c r="BA57" i="14" s="1"/>
  <c r="BZ57" i="13"/>
  <c r="BZ57" i="14" s="1"/>
  <c r="CB57" i="14"/>
  <c r="CC57" i="14" s="1"/>
  <c r="AX4" i="13"/>
  <c r="AZ4" i="14"/>
  <c r="BA4" i="14" s="1"/>
  <c r="BZ4" i="13"/>
  <c r="BZ4" i="14" s="1"/>
  <c r="CB4" i="14"/>
  <c r="CC4" i="14" s="1"/>
  <c r="CQ5" i="13"/>
  <c r="CP5" i="14"/>
  <c r="CQ5" i="14" s="1"/>
  <c r="CG6" i="13"/>
  <c r="CG6" i="14" s="1"/>
  <c r="CI6" i="14"/>
  <c r="CJ6" i="14" s="1"/>
  <c r="AQ7" i="13"/>
  <c r="AS7" i="14"/>
  <c r="AT7" i="14" s="1"/>
  <c r="BV7" i="13"/>
  <c r="BU7" i="14"/>
  <c r="BV7" i="14" s="1"/>
  <c r="AJ8" i="13"/>
  <c r="AJ8" i="14" s="1"/>
  <c r="AL8" i="14"/>
  <c r="CG8" i="13"/>
  <c r="CG8" i="14" s="1"/>
  <c r="CI8" i="14"/>
  <c r="Y10" i="13"/>
  <c r="X10" i="14"/>
  <c r="Y10" i="14" s="1"/>
  <c r="BZ10" i="13"/>
  <c r="BZ10" i="14" s="1"/>
  <c r="CB10" i="14"/>
  <c r="CC10" i="14" s="1"/>
  <c r="CG11" i="13"/>
  <c r="CG11" i="14" s="1"/>
  <c r="CI11" i="14"/>
  <c r="AX12" i="13"/>
  <c r="AZ12" i="14"/>
  <c r="BA12" i="14" s="1"/>
  <c r="BZ12" i="13"/>
  <c r="BZ12" i="14" s="1"/>
  <c r="CB12" i="14"/>
  <c r="CC12" i="14" s="1"/>
  <c r="CC14" i="13"/>
  <c r="CB14" i="14"/>
  <c r="CC14" i="14" s="1"/>
  <c r="BL15" i="13"/>
  <c r="BL15" i="14" s="1"/>
  <c r="BN15" i="14"/>
  <c r="BO15" i="14" s="1"/>
  <c r="CN15" i="13"/>
  <c r="CN15" i="14" s="1"/>
  <c r="CP15" i="14"/>
  <c r="CQ15" i="14" s="1"/>
  <c r="AC16" i="13"/>
  <c r="AC16" i="14" s="1"/>
  <c r="AE16" i="14"/>
  <c r="AF16" i="14" s="1"/>
  <c r="BE16" i="13"/>
  <c r="BE16" i="14" s="1"/>
  <c r="BG16" i="14"/>
  <c r="BH16" i="14" s="1"/>
  <c r="CG16" i="13"/>
  <c r="CG16" i="14" s="1"/>
  <c r="CI16" i="14"/>
  <c r="CJ16" i="14" s="1"/>
  <c r="V30" i="13"/>
  <c r="V30" i="14" s="1"/>
  <c r="X30" i="14"/>
  <c r="Y30" i="14" s="1"/>
  <c r="AX30" i="13"/>
  <c r="AZ30" i="14"/>
  <c r="BA30" i="14" s="1"/>
  <c r="BZ30" i="13"/>
  <c r="BZ30" i="14" s="1"/>
  <c r="CB30" i="14"/>
  <c r="CC30" i="14" s="1"/>
  <c r="BS31" i="13"/>
  <c r="BS31" i="14" s="1"/>
  <c r="BU31" i="14"/>
  <c r="BV31" i="14" s="1"/>
  <c r="AX32" i="13"/>
  <c r="AZ32" i="14"/>
  <c r="BA32" i="14" s="1"/>
  <c r="BZ32" i="13"/>
  <c r="BZ32" i="14" s="1"/>
  <c r="CB32" i="14"/>
  <c r="CC32" i="14" s="1"/>
  <c r="BE33" i="13"/>
  <c r="BE33" i="14" s="1"/>
  <c r="BG33" i="14"/>
  <c r="BH33" i="14" s="1"/>
  <c r="V34" i="13"/>
  <c r="V34" i="14" s="1"/>
  <c r="X34" i="14"/>
  <c r="Y34" i="14" s="1"/>
  <c r="BZ35" i="13"/>
  <c r="BZ35" i="14" s="1"/>
  <c r="CB35" i="14"/>
  <c r="BV39" i="13"/>
  <c r="BU39" i="14"/>
  <c r="BV39" i="14" s="1"/>
  <c r="AC40" i="13"/>
  <c r="AC40" i="14" s="1"/>
  <c r="AE40" i="14"/>
  <c r="AF40" i="14" s="1"/>
  <c r="BE40" i="13"/>
  <c r="BE40" i="14" s="1"/>
  <c r="BG40" i="14"/>
  <c r="BH40" i="14" s="1"/>
  <c r="AC43" i="13"/>
  <c r="AC43" i="14" s="1"/>
  <c r="AE43" i="14"/>
  <c r="AF43" i="14" s="1"/>
  <c r="AJ44" i="13"/>
  <c r="AJ44" i="14" s="1"/>
  <c r="AL44" i="14"/>
  <c r="BL44" i="13"/>
  <c r="BL44" i="14" s="1"/>
  <c r="BN44" i="14"/>
  <c r="CG44" i="13"/>
  <c r="CG44" i="14" s="1"/>
  <c r="CI44" i="14"/>
  <c r="BL46" i="13"/>
  <c r="BL46" i="14" s="1"/>
  <c r="BN46" i="14"/>
  <c r="CN46" i="13"/>
  <c r="CN46" i="14" s="1"/>
  <c r="CP46" i="14"/>
  <c r="BE47" i="13"/>
  <c r="BE47" i="14" s="1"/>
  <c r="BG47" i="14"/>
  <c r="BZ47" i="13"/>
  <c r="BZ47" i="14" s="1"/>
  <c r="CB47" i="14"/>
  <c r="BS50" i="13"/>
  <c r="BS50" i="14" s="1"/>
  <c r="BU50" i="14"/>
  <c r="BV50" i="14" s="1"/>
  <c r="CG51" i="13"/>
  <c r="CG51" i="14" s="1"/>
  <c r="CI51" i="14"/>
  <c r="CJ51" i="14" s="1"/>
  <c r="BS52" i="13"/>
  <c r="BS52" i="14" s="1"/>
  <c r="BU52" i="14"/>
  <c r="BV52" i="14" s="1"/>
  <c r="AJ53" i="13"/>
  <c r="AJ53" i="14" s="1"/>
  <c r="AL53" i="14"/>
  <c r="AM53" i="14" s="1"/>
  <c r="AX54" i="13"/>
  <c r="AZ54" i="14"/>
  <c r="BA54" i="14" s="1"/>
  <c r="V56" i="13"/>
  <c r="V56" i="14" s="1"/>
  <c r="X56" i="14"/>
  <c r="Y56" i="14" s="1"/>
  <c r="BS56" i="13"/>
  <c r="BS56" i="14" s="1"/>
  <c r="BU56" i="14"/>
  <c r="BV56" i="14" s="1"/>
  <c r="AQ5" i="13"/>
  <c r="AS5" i="14"/>
  <c r="AT5" i="14" s="1"/>
  <c r="BS5" i="13"/>
  <c r="BS5" i="14" s="1"/>
  <c r="BU5" i="14"/>
  <c r="BV5" i="14" s="1"/>
  <c r="AJ6" i="13"/>
  <c r="AJ6" i="14" s="1"/>
  <c r="AL6" i="14"/>
  <c r="AM6" i="14" s="1"/>
  <c r="Y7" i="13"/>
  <c r="X7" i="14"/>
  <c r="Y7" i="14" s="1"/>
  <c r="BL8" i="13"/>
  <c r="BL8" i="14" s="1"/>
  <c r="BN8" i="14"/>
  <c r="AC9" i="13"/>
  <c r="AC9" i="14" s="1"/>
  <c r="AE9" i="14"/>
  <c r="AF9" i="14" s="1"/>
  <c r="CG9" i="13"/>
  <c r="CG9" i="14" s="1"/>
  <c r="CI9" i="14"/>
  <c r="CJ9" i="14" s="1"/>
  <c r="AJ11" i="13"/>
  <c r="AJ11" i="14" s="1"/>
  <c r="AL11" i="14"/>
  <c r="BL11" i="13"/>
  <c r="BL11" i="14" s="1"/>
  <c r="BN11" i="14"/>
  <c r="AQ13" i="13"/>
  <c r="AS13" i="14"/>
  <c r="AT13" i="14" s="1"/>
  <c r="CN13" i="13"/>
  <c r="CN13" i="14" s="1"/>
  <c r="CP13" i="14"/>
  <c r="CQ13" i="14" s="1"/>
  <c r="AC14" i="13"/>
  <c r="AC14" i="14" s="1"/>
  <c r="AE14" i="14"/>
  <c r="AF14" i="14" s="1"/>
  <c r="BE14" i="13"/>
  <c r="BE14" i="14" s="1"/>
  <c r="BG14" i="14"/>
  <c r="BH14" i="14" s="1"/>
  <c r="AQ15" i="13"/>
  <c r="AS15" i="14"/>
  <c r="AT15" i="14" s="1"/>
  <c r="AX31" i="13"/>
  <c r="AZ31" i="14"/>
  <c r="BA31" i="14" s="1"/>
  <c r="CG33" i="13"/>
  <c r="CG33" i="14" s="1"/>
  <c r="CI33" i="14"/>
  <c r="AX34" i="13"/>
  <c r="AZ34" i="14"/>
  <c r="BS34" i="13"/>
  <c r="BS34" i="14" s="1"/>
  <c r="BU34" i="14"/>
  <c r="AJ35" i="13"/>
  <c r="AJ35" i="14" s="1"/>
  <c r="AL35" i="14"/>
  <c r="BL35" i="13"/>
  <c r="BL35" i="14" s="1"/>
  <c r="BN35" i="14"/>
  <c r="AQ36" i="13"/>
  <c r="AS36" i="14"/>
  <c r="AT36" i="14" s="1"/>
  <c r="BS36" i="13"/>
  <c r="BS36" i="14" s="1"/>
  <c r="BU36" i="14"/>
  <c r="BV36" i="14" s="1"/>
  <c r="BL37" i="13"/>
  <c r="BL37" i="14" s="1"/>
  <c r="BN37" i="14"/>
  <c r="BO37" i="14" s="1"/>
  <c r="AC38" i="13"/>
  <c r="AC38" i="14" s="1"/>
  <c r="AE38" i="14"/>
  <c r="AF38" i="14" s="1"/>
  <c r="BE38" i="13"/>
  <c r="BE38" i="14" s="1"/>
  <c r="BG38" i="14"/>
  <c r="BH38" i="14" s="1"/>
  <c r="CG38" i="13"/>
  <c r="CG38" i="14" s="1"/>
  <c r="CI38" i="14"/>
  <c r="CJ38" i="14" s="1"/>
  <c r="AX39" i="13"/>
  <c r="AZ39" i="14"/>
  <c r="BA39" i="14" s="1"/>
  <c r="CG40" i="13"/>
  <c r="CG40" i="14" s="1"/>
  <c r="CI40" i="14"/>
  <c r="CJ40" i="14" s="1"/>
  <c r="BE43" i="13"/>
  <c r="BE43" i="14" s="1"/>
  <c r="BG43" i="14"/>
  <c r="BH43" i="14" s="1"/>
  <c r="CG43" i="13"/>
  <c r="CG43" i="14" s="1"/>
  <c r="CI43" i="14"/>
  <c r="CJ43" i="14" s="1"/>
  <c r="AX45" i="13"/>
  <c r="AZ45" i="14"/>
  <c r="BZ45" i="13"/>
  <c r="BZ45" i="14" s="1"/>
  <c r="CB45" i="14"/>
  <c r="AQ48" i="13"/>
  <c r="AS48" i="14"/>
  <c r="AT48" i="14" s="1"/>
  <c r="BS48" i="13"/>
  <c r="BS48" i="14" s="1"/>
  <c r="BU48" i="14"/>
  <c r="BV48" i="14" s="1"/>
  <c r="BE49" i="13"/>
  <c r="BE49" i="14" s="1"/>
  <c r="BG49" i="14"/>
  <c r="BH49" i="14" s="1"/>
  <c r="AX50" i="13"/>
  <c r="AZ50" i="14"/>
  <c r="BA50" i="14" s="1"/>
  <c r="AJ51" i="13"/>
  <c r="AJ51" i="14" s="1"/>
  <c r="AL51" i="14"/>
  <c r="AM51" i="14" s="1"/>
  <c r="V52" i="13"/>
  <c r="V52" i="14" s="1"/>
  <c r="X52" i="14"/>
  <c r="Y52" i="14" s="1"/>
  <c r="BL53" i="13"/>
  <c r="BL53" i="14" s="1"/>
  <c r="BN53" i="14"/>
  <c r="BO53" i="14" s="1"/>
  <c r="AC54" i="13"/>
  <c r="AC54" i="14" s="1"/>
  <c r="AE54" i="14"/>
  <c r="AF54" i="14" s="1"/>
  <c r="BZ54" i="13"/>
  <c r="BZ54" i="14" s="1"/>
  <c r="CB54" i="14"/>
  <c r="AX56" i="13"/>
  <c r="AZ56" i="14"/>
  <c r="BA56" i="14" s="1"/>
  <c r="CG57" i="13"/>
  <c r="CG57" i="14" s="1"/>
  <c r="CI57" i="14"/>
  <c r="CJ57" i="14" s="1"/>
  <c r="AC4" i="13"/>
  <c r="AC4" i="14" s="1"/>
  <c r="AE4" i="14"/>
  <c r="AF4" i="14" s="1"/>
  <c r="BE4" i="13"/>
  <c r="BE4" i="14" s="1"/>
  <c r="BG4" i="14"/>
  <c r="BH4" i="14" s="1"/>
  <c r="CG4" i="13"/>
  <c r="CG4" i="14" s="1"/>
  <c r="CN6" i="13"/>
  <c r="CN6" i="14" s="1"/>
  <c r="CP6" i="14"/>
  <c r="CQ6" i="14" s="1"/>
  <c r="AX7" i="13"/>
  <c r="AZ7" i="14"/>
  <c r="BA7" i="14" s="1"/>
  <c r="BZ7" i="13"/>
  <c r="BZ7" i="14" s="1"/>
  <c r="CB7" i="14"/>
  <c r="CC7" i="14" s="1"/>
  <c r="AQ8" i="13"/>
  <c r="AS8" i="14"/>
  <c r="CN8" i="13"/>
  <c r="CN8" i="14" s="1"/>
  <c r="CP8" i="14"/>
  <c r="AC10" i="13"/>
  <c r="AC10" i="14" s="1"/>
  <c r="AE10" i="14"/>
  <c r="AF10" i="14" s="1"/>
  <c r="BE10" i="13"/>
  <c r="BE10" i="14" s="1"/>
  <c r="BG10" i="14"/>
  <c r="BH10" i="14" s="1"/>
  <c r="CN11" i="13"/>
  <c r="CN11" i="14" s="1"/>
  <c r="CP11" i="14"/>
  <c r="BE12" i="13"/>
  <c r="BE12" i="14" s="1"/>
  <c r="BG12" i="14"/>
  <c r="BH12" i="14" s="1"/>
  <c r="CG12" i="13"/>
  <c r="CG12" i="14" s="1"/>
  <c r="CI12" i="14"/>
  <c r="CJ12" i="14" s="1"/>
  <c r="V13" i="13"/>
  <c r="V13" i="14" s="1"/>
  <c r="X13" i="14"/>
  <c r="Y13" i="14" s="1"/>
  <c r="BS13" i="13"/>
  <c r="BS13" i="14" s="1"/>
  <c r="BU13" i="14"/>
  <c r="BV13" i="14" s="1"/>
  <c r="CG14" i="13"/>
  <c r="CG14" i="14" s="1"/>
  <c r="CI14" i="14"/>
  <c r="CJ14" i="14" s="1"/>
  <c r="BV15" i="13"/>
  <c r="BU15" i="14"/>
  <c r="BV15" i="14" s="1"/>
  <c r="AJ16" i="13"/>
  <c r="AJ16" i="14" s="1"/>
  <c r="AL16" i="14"/>
  <c r="AM16" i="14" s="1"/>
  <c r="BL16" i="13"/>
  <c r="BL16" i="14" s="1"/>
  <c r="BN16" i="14"/>
  <c r="BO16" i="14" s="1"/>
  <c r="CN16" i="13"/>
  <c r="CN16" i="14" s="1"/>
  <c r="CP16" i="14"/>
  <c r="CQ16" i="14" s="1"/>
  <c r="AC30" i="13"/>
  <c r="AC30" i="14" s="1"/>
  <c r="AE30" i="14"/>
  <c r="AF30" i="14" s="1"/>
  <c r="BE30" i="13"/>
  <c r="BE30" i="14" s="1"/>
  <c r="BG30" i="14"/>
  <c r="BH30" i="14" s="1"/>
  <c r="BZ31" i="13"/>
  <c r="BZ31" i="14" s="1"/>
  <c r="CB31" i="14"/>
  <c r="CC31" i="14" s="1"/>
  <c r="BE32" i="13"/>
  <c r="BE32" i="14" s="1"/>
  <c r="BG32" i="14"/>
  <c r="BH32" i="14" s="1"/>
  <c r="CG32" i="13"/>
  <c r="CG32" i="14" s="1"/>
  <c r="CI32" i="14"/>
  <c r="AQ33" i="13"/>
  <c r="AS33" i="14"/>
  <c r="AT33" i="14" s="1"/>
  <c r="AC34" i="13"/>
  <c r="AC34" i="14" s="1"/>
  <c r="AE34" i="14"/>
  <c r="CG35" i="13"/>
  <c r="CG35" i="14" s="1"/>
  <c r="CI35" i="14"/>
  <c r="BZ39" i="13"/>
  <c r="BZ39" i="14" s="1"/>
  <c r="CB39" i="14"/>
  <c r="CC39" i="14" s="1"/>
  <c r="AJ40" i="13"/>
  <c r="AJ40" i="14" s="1"/>
  <c r="AL40" i="14"/>
  <c r="AM40" i="14" s="1"/>
  <c r="V44" i="13"/>
  <c r="V44" i="14" s="1"/>
  <c r="AQ44" i="13"/>
  <c r="AS44" i="14"/>
  <c r="BS44" i="13"/>
  <c r="BS44" i="14" s="1"/>
  <c r="BU44" i="14"/>
  <c r="CN44" i="13"/>
  <c r="CN44" i="14" s="1"/>
  <c r="CP44" i="14"/>
  <c r="AQ46" i="13"/>
  <c r="AS46" i="14"/>
  <c r="BS46" i="13"/>
  <c r="BS46" i="14" s="1"/>
  <c r="BU46" i="14"/>
  <c r="AJ47" i="13"/>
  <c r="AJ47" i="14" s="1"/>
  <c r="AL47" i="14"/>
  <c r="CG47" i="13"/>
  <c r="CG47" i="14" s="1"/>
  <c r="CI47" i="14"/>
  <c r="AJ49" i="13"/>
  <c r="AJ49" i="14" s="1"/>
  <c r="AL49" i="14"/>
  <c r="AM49" i="14" s="1"/>
  <c r="BZ50" i="13"/>
  <c r="BZ50" i="14" s="1"/>
  <c r="CB50" i="14"/>
  <c r="CC50" i="14" s="1"/>
  <c r="BL51" i="13"/>
  <c r="BL51" i="14" s="1"/>
  <c r="BN51" i="14"/>
  <c r="BO51" i="14" s="1"/>
  <c r="AX52" i="13"/>
  <c r="AZ52" i="14"/>
  <c r="BA52" i="14" s="1"/>
  <c r="BZ52" i="13"/>
  <c r="BZ52" i="14" s="1"/>
  <c r="CB52" i="14"/>
  <c r="CC52" i="14" s="1"/>
  <c r="AQ53" i="13"/>
  <c r="AS53" i="14"/>
  <c r="AT53" i="14" s="1"/>
  <c r="BE54" i="13"/>
  <c r="BE54" i="14" s="1"/>
  <c r="BG54" i="14"/>
  <c r="BH54" i="14" s="1"/>
  <c r="AC56" i="13"/>
  <c r="AC56" i="14" s="1"/>
  <c r="AE56" i="14"/>
  <c r="AF56" i="14" s="1"/>
  <c r="BZ56" i="13"/>
  <c r="BZ56" i="14" s="1"/>
  <c r="CB56" i="14"/>
  <c r="CC56" i="14" s="1"/>
  <c r="AJ57" i="13"/>
  <c r="AJ57" i="14" s="1"/>
  <c r="AL57" i="14"/>
  <c r="AM57" i="14" s="1"/>
  <c r="V5" i="13"/>
  <c r="V5" i="14" s="1"/>
  <c r="X5" i="14"/>
  <c r="Y5" i="14" s="1"/>
  <c r="AX5" i="13"/>
  <c r="AZ5" i="14"/>
  <c r="BA5" i="14" s="1"/>
  <c r="BZ5" i="13"/>
  <c r="BZ5" i="14" s="1"/>
  <c r="CB5" i="14"/>
  <c r="CC5" i="14" s="1"/>
  <c r="AT6" i="13"/>
  <c r="AS6" i="14"/>
  <c r="AT6" i="14" s="1"/>
  <c r="AC7" i="13"/>
  <c r="AC7" i="14" s="1"/>
  <c r="AE7" i="14"/>
  <c r="AF7" i="14" s="1"/>
  <c r="V8" i="13"/>
  <c r="V8" i="14" s="1"/>
  <c r="X8" i="14"/>
  <c r="BS8" i="13"/>
  <c r="BS8" i="14" s="1"/>
  <c r="BU8" i="14"/>
  <c r="AJ9" i="13"/>
  <c r="AJ9" i="14" s="1"/>
  <c r="AL9" i="14"/>
  <c r="AM9" i="14" s="1"/>
  <c r="BL9" i="13"/>
  <c r="BL9" i="14" s="1"/>
  <c r="BN9" i="14"/>
  <c r="BO9" i="14" s="1"/>
  <c r="CN9" i="13"/>
  <c r="CN9" i="14" s="1"/>
  <c r="CP9" i="14"/>
  <c r="CQ9" i="14" s="1"/>
  <c r="CJ10" i="13"/>
  <c r="CI10" i="14"/>
  <c r="CJ10" i="14" s="1"/>
  <c r="AQ11" i="13"/>
  <c r="AS11" i="14"/>
  <c r="AX13" i="13"/>
  <c r="AZ13" i="14"/>
  <c r="BA13" i="14" s="1"/>
  <c r="AJ14" i="13"/>
  <c r="AJ14" i="14" s="1"/>
  <c r="AL14" i="14"/>
  <c r="AM14" i="14" s="1"/>
  <c r="V15" i="13"/>
  <c r="V15" i="14" s="1"/>
  <c r="X15" i="14"/>
  <c r="Y15" i="14" s="1"/>
  <c r="AX15" i="13"/>
  <c r="AZ15" i="14"/>
  <c r="BA15" i="14" s="1"/>
  <c r="AC31" i="13"/>
  <c r="AC31" i="14" s="1"/>
  <c r="AE31" i="14"/>
  <c r="AF31" i="14" s="1"/>
  <c r="BL33" i="13"/>
  <c r="BL33" i="14" s="1"/>
  <c r="BN33" i="14"/>
  <c r="CN33" i="13"/>
  <c r="CN33" i="14" s="1"/>
  <c r="CP33" i="14"/>
  <c r="BZ34" i="13"/>
  <c r="BZ34" i="14" s="1"/>
  <c r="CB34" i="14"/>
  <c r="AQ35" i="13"/>
  <c r="AS35" i="14"/>
  <c r="V36" i="13"/>
  <c r="V36" i="14" s="1"/>
  <c r="X36" i="14"/>
  <c r="Y36" i="14" s="1"/>
  <c r="AX36" i="13"/>
  <c r="AZ36" i="14"/>
  <c r="BA36" i="14" s="1"/>
  <c r="BZ36" i="13"/>
  <c r="BZ36" i="14" s="1"/>
  <c r="CB36" i="14"/>
  <c r="CC36" i="14" s="1"/>
  <c r="AQ37" i="13"/>
  <c r="AS37" i="14"/>
  <c r="AT37" i="14" s="1"/>
  <c r="BS37" i="13"/>
  <c r="BS37" i="14" s="1"/>
  <c r="BU37" i="14"/>
  <c r="BV37" i="14" s="1"/>
  <c r="BL38" i="13"/>
  <c r="BL38" i="14" s="1"/>
  <c r="BN38" i="14"/>
  <c r="BO38" i="14" s="1"/>
  <c r="CN38" i="13"/>
  <c r="CN38" i="14" s="1"/>
  <c r="CP38" i="14"/>
  <c r="CQ38" i="14" s="1"/>
  <c r="AC39" i="13"/>
  <c r="AC39" i="14" s="1"/>
  <c r="AE39" i="14"/>
  <c r="AF39" i="14" s="1"/>
  <c r="BL40" i="13"/>
  <c r="BL40" i="14" s="1"/>
  <c r="BN40" i="14"/>
  <c r="BO40" i="14" s="1"/>
  <c r="CN40" i="13"/>
  <c r="CN40" i="14" s="1"/>
  <c r="CP40" i="14"/>
  <c r="CQ40" i="14" s="1"/>
  <c r="AJ43" i="13"/>
  <c r="AJ43" i="14" s="1"/>
  <c r="AL43" i="14"/>
  <c r="AM43" i="14" s="1"/>
  <c r="BL43" i="13"/>
  <c r="BL43" i="14" s="1"/>
  <c r="BN43" i="14"/>
  <c r="BO43" i="14" s="1"/>
  <c r="AC45" i="13"/>
  <c r="AC45" i="14" s="1"/>
  <c r="AE45" i="14"/>
  <c r="BE45" i="13"/>
  <c r="BE45" i="14" s="1"/>
  <c r="BG45" i="14"/>
  <c r="CG45" i="13"/>
  <c r="CG45" i="14" s="1"/>
  <c r="CI45" i="14"/>
  <c r="V48" i="13"/>
  <c r="V48" i="14" s="1"/>
  <c r="X48" i="14"/>
  <c r="Y48" i="14" s="1"/>
  <c r="AX48" i="13"/>
  <c r="AZ48" i="14"/>
  <c r="BA48" i="14" s="1"/>
  <c r="BZ48" i="13"/>
  <c r="BZ48" i="14" s="1"/>
  <c r="CB48" i="14"/>
  <c r="CC48" i="14" s="1"/>
  <c r="BL49" i="13"/>
  <c r="BL49" i="14" s="1"/>
  <c r="BN49" i="14"/>
  <c r="BO49" i="14" s="1"/>
  <c r="AC50" i="13"/>
  <c r="AC50" i="14" s="1"/>
  <c r="AE50" i="14"/>
  <c r="AF50" i="14" s="1"/>
  <c r="BE50" i="13"/>
  <c r="BE50" i="14" s="1"/>
  <c r="BG50" i="14"/>
  <c r="BH50" i="14" s="1"/>
  <c r="V51" i="13"/>
  <c r="V51" i="14" s="1"/>
  <c r="X51" i="14"/>
  <c r="Y51" i="14" s="1"/>
  <c r="AQ51" i="13"/>
  <c r="AS51" i="14"/>
  <c r="AT51" i="14" s="1"/>
  <c r="CN51" i="13"/>
  <c r="CN51" i="14" s="1"/>
  <c r="CP51" i="14"/>
  <c r="CQ51" i="14" s="1"/>
  <c r="AF52" i="13"/>
  <c r="AE52" i="14"/>
  <c r="AF52" i="14" s="1"/>
  <c r="V53" i="13"/>
  <c r="V53" i="14" s="1"/>
  <c r="X53" i="14"/>
  <c r="Y53" i="14" s="1"/>
  <c r="BS53" i="13"/>
  <c r="BS53" i="14" s="1"/>
  <c r="BU53" i="14"/>
  <c r="BV53" i="14" s="1"/>
  <c r="CG54" i="13"/>
  <c r="CG54" i="14" s="1"/>
  <c r="CI54" i="14"/>
  <c r="BE56" i="13"/>
  <c r="BE56" i="14" s="1"/>
  <c r="BG56" i="14"/>
  <c r="BH56" i="14" s="1"/>
  <c r="BO57" i="13"/>
  <c r="BN57" i="14"/>
  <c r="BO57" i="14" s="1"/>
  <c r="CN57" i="13"/>
  <c r="CN57" i="14" s="1"/>
  <c r="CP57" i="14"/>
  <c r="CQ57" i="14" s="1"/>
  <c r="AJ4" i="13"/>
  <c r="AJ4" i="14" s="1"/>
  <c r="AL4" i="14"/>
  <c r="AM4" i="14" s="1"/>
  <c r="BL4" i="13"/>
  <c r="BL4" i="14" s="1"/>
  <c r="BN4" i="14"/>
  <c r="BO4" i="14" s="1"/>
  <c r="BV6" i="13"/>
  <c r="BU6" i="14"/>
  <c r="BV6" i="14" s="1"/>
  <c r="BE7" i="13"/>
  <c r="BE7" i="14" s="1"/>
  <c r="BG7" i="14"/>
  <c r="BH7" i="14" s="1"/>
  <c r="CG7" i="13"/>
  <c r="CG7" i="14" s="1"/>
  <c r="CI7" i="14"/>
  <c r="CJ7" i="14" s="1"/>
  <c r="AX8" i="13"/>
  <c r="AZ8" i="14"/>
  <c r="AJ10" i="13"/>
  <c r="AJ10" i="14" s="1"/>
  <c r="AL10" i="14"/>
  <c r="AM10" i="14" s="1"/>
  <c r="BL10" i="13"/>
  <c r="BL10" i="14" s="1"/>
  <c r="BN10" i="14"/>
  <c r="BO10" i="14" s="1"/>
  <c r="V11" i="13"/>
  <c r="V11" i="14" s="1"/>
  <c r="X11" i="14"/>
  <c r="BS11" i="13"/>
  <c r="BS11" i="14" s="1"/>
  <c r="BU11" i="14"/>
  <c r="AJ12" i="13"/>
  <c r="AJ12" i="14" s="1"/>
  <c r="AL12" i="14"/>
  <c r="AM12" i="14" s="1"/>
  <c r="BL12" i="13"/>
  <c r="BL12" i="14" s="1"/>
  <c r="BN12" i="14"/>
  <c r="BO12" i="14" s="1"/>
  <c r="CN12" i="13"/>
  <c r="CN12" i="14" s="1"/>
  <c r="CP12" i="14"/>
  <c r="CQ12" i="14" s="1"/>
  <c r="AC13" i="13"/>
  <c r="AC13" i="14" s="1"/>
  <c r="AE13" i="14"/>
  <c r="AF13" i="14" s="1"/>
  <c r="BZ13" i="13"/>
  <c r="BZ13" i="14" s="1"/>
  <c r="CB13" i="14"/>
  <c r="CC13" i="14" s="1"/>
  <c r="BO14" i="13"/>
  <c r="BN14" i="14"/>
  <c r="BO14" i="14" s="1"/>
  <c r="CQ14" i="13"/>
  <c r="CP14" i="14"/>
  <c r="CQ14" i="14" s="1"/>
  <c r="BZ15" i="13"/>
  <c r="BZ15" i="14" s="1"/>
  <c r="CB15" i="14"/>
  <c r="CC15" i="14" s="1"/>
  <c r="AJ30" i="13"/>
  <c r="AJ30" i="14" s="1"/>
  <c r="AL30" i="14"/>
  <c r="AM30" i="14" s="1"/>
  <c r="BL30" i="13"/>
  <c r="BL30" i="14" s="1"/>
  <c r="BN30" i="14"/>
  <c r="BO30" i="14" s="1"/>
  <c r="CN30" i="13"/>
  <c r="CN30" i="14" s="1"/>
  <c r="CP30" i="14"/>
  <c r="CQ30" i="14" s="1"/>
  <c r="CG31" i="13"/>
  <c r="CG31" i="14" s="1"/>
  <c r="BL32" i="13"/>
  <c r="BL32" i="14" s="1"/>
  <c r="BN32" i="14"/>
  <c r="BO32" i="14" s="1"/>
  <c r="AJ34" i="13"/>
  <c r="AJ34" i="14" s="1"/>
  <c r="AL34" i="14"/>
  <c r="BE34" i="13"/>
  <c r="BE34" i="14" s="1"/>
  <c r="BG34" i="14"/>
  <c r="BH34" i="14" s="1"/>
  <c r="BS35" i="13"/>
  <c r="BS35" i="14" s="1"/>
  <c r="CG39" i="13"/>
  <c r="CG39" i="14" s="1"/>
  <c r="CI39" i="14"/>
  <c r="CJ39" i="14" s="1"/>
  <c r="AQ40" i="13"/>
  <c r="AS40" i="14"/>
  <c r="AT40" i="14" s="1"/>
  <c r="CN43" i="13"/>
  <c r="CN43" i="14" s="1"/>
  <c r="CP43" i="14"/>
  <c r="CQ43" i="14" s="1"/>
  <c r="AX44" i="13"/>
  <c r="AZ44" i="14"/>
  <c r="AX46" i="13"/>
  <c r="AZ46" i="14"/>
  <c r="BZ46" i="13"/>
  <c r="BZ46" i="14" s="1"/>
  <c r="CB46" i="14"/>
  <c r="AQ47" i="13"/>
  <c r="AS47" i="14"/>
  <c r="CN47" i="13"/>
  <c r="CN47" i="14" s="1"/>
  <c r="CP47" i="14"/>
  <c r="AQ49" i="13"/>
  <c r="AS49" i="14"/>
  <c r="AT49" i="14" s="1"/>
  <c r="CN49" i="13"/>
  <c r="CN49" i="14" s="1"/>
  <c r="CP49" i="14"/>
  <c r="CQ49" i="14" s="1"/>
  <c r="CG50" i="13"/>
  <c r="CG50" i="14" s="1"/>
  <c r="CI50" i="14"/>
  <c r="CJ50" i="14" s="1"/>
  <c r="BS51" i="13"/>
  <c r="BS51" i="14" s="1"/>
  <c r="BU51" i="14"/>
  <c r="BV51" i="14" s="1"/>
  <c r="CG52" i="13"/>
  <c r="CG52" i="14" s="1"/>
  <c r="CI52" i="14"/>
  <c r="CJ52" i="14" s="1"/>
  <c r="AX53" i="13"/>
  <c r="AZ53" i="14"/>
  <c r="BA53" i="14" s="1"/>
  <c r="AM54" i="13"/>
  <c r="AL54" i="14"/>
  <c r="AM54" i="14" s="1"/>
  <c r="CG56" i="13"/>
  <c r="CG56" i="14" s="1"/>
  <c r="CI56" i="14"/>
  <c r="CJ56" i="14" s="1"/>
  <c r="AQ57" i="13"/>
  <c r="AS57" i="14"/>
  <c r="AT57" i="14" s="1"/>
  <c r="CN4" i="13"/>
  <c r="CN4" i="14" s="1"/>
  <c r="CP4" i="14"/>
  <c r="CQ4" i="14" s="1"/>
  <c r="AC5" i="13"/>
  <c r="AC5" i="14" s="1"/>
  <c r="AE5" i="14"/>
  <c r="AF5" i="14" s="1"/>
  <c r="BE5" i="13"/>
  <c r="BE5" i="14" s="1"/>
  <c r="BG5" i="14"/>
  <c r="BH5" i="14" s="1"/>
  <c r="CG5" i="13"/>
  <c r="CG5" i="14" s="1"/>
  <c r="CI5" i="14"/>
  <c r="CJ5" i="14" s="1"/>
  <c r="V6" i="13"/>
  <c r="V6" i="14" s="1"/>
  <c r="X6" i="14"/>
  <c r="Y6" i="14" s="1"/>
  <c r="AX6" i="13"/>
  <c r="AZ6" i="14"/>
  <c r="BA6" i="14" s="1"/>
  <c r="AQ9" i="13"/>
  <c r="AS9" i="14"/>
  <c r="AT9" i="14" s="1"/>
  <c r="BS9" i="13"/>
  <c r="BS9" i="14" s="1"/>
  <c r="BU9" i="14"/>
  <c r="BV9" i="14" s="1"/>
  <c r="CN10" i="13"/>
  <c r="CN10" i="14" s="1"/>
  <c r="CP10" i="14"/>
  <c r="CQ10" i="14" s="1"/>
  <c r="AX11" i="13"/>
  <c r="AZ11" i="14"/>
  <c r="BE13" i="13"/>
  <c r="BE13" i="14" s="1"/>
  <c r="BG13" i="14"/>
  <c r="BH13" i="14" s="1"/>
  <c r="AQ14" i="13"/>
  <c r="AS14" i="14"/>
  <c r="AT14" i="14" s="1"/>
  <c r="AC15" i="13"/>
  <c r="AC15" i="14" s="1"/>
  <c r="AE15" i="14"/>
  <c r="AF15" i="14" s="1"/>
  <c r="AJ31" i="13"/>
  <c r="AJ31" i="14" s="1"/>
  <c r="AL31" i="14"/>
  <c r="AM31" i="14" s="1"/>
  <c r="CN32" i="13"/>
  <c r="CN32" i="14" s="1"/>
  <c r="CP32" i="14"/>
  <c r="AX33" i="13"/>
  <c r="AZ33" i="14"/>
  <c r="BA33" i="14" s="1"/>
  <c r="BS33" i="13"/>
  <c r="BS33" i="14" s="1"/>
  <c r="BU33" i="14"/>
  <c r="CG34" i="13"/>
  <c r="CG34" i="14" s="1"/>
  <c r="CI34" i="14"/>
  <c r="V35" i="13"/>
  <c r="V35" i="14" s="1"/>
  <c r="X35" i="14"/>
  <c r="Y35" i="14" s="1"/>
  <c r="AX35" i="13"/>
  <c r="AZ35" i="14"/>
  <c r="CN35" i="13"/>
  <c r="CN35" i="14" s="1"/>
  <c r="CP35" i="14"/>
  <c r="BE36" i="13"/>
  <c r="BE36" i="14" s="1"/>
  <c r="BG36" i="14"/>
  <c r="BH36" i="14" s="1"/>
  <c r="AX37" i="13"/>
  <c r="AZ37" i="14"/>
  <c r="BA37" i="14" s="1"/>
  <c r="BZ37" i="13"/>
  <c r="BZ37" i="14" s="1"/>
  <c r="CB37" i="14"/>
  <c r="CC37" i="14" s="1"/>
  <c r="AQ38" i="13"/>
  <c r="AS38" i="14"/>
  <c r="AT38" i="14" s="1"/>
  <c r="AJ39" i="13"/>
  <c r="AJ39" i="14" s="1"/>
  <c r="AL39" i="14"/>
  <c r="AM39" i="14" s="1"/>
  <c r="BL39" i="13"/>
  <c r="BL39" i="14" s="1"/>
  <c r="BN39" i="14"/>
  <c r="BO39" i="14" s="1"/>
  <c r="V40" i="13"/>
  <c r="V40" i="14" s="1"/>
  <c r="X40" i="14"/>
  <c r="Y40" i="14" s="1"/>
  <c r="AQ43" i="13"/>
  <c r="AS43" i="14"/>
  <c r="AT43" i="14" s="1"/>
  <c r="BS43" i="13"/>
  <c r="BS43" i="14" s="1"/>
  <c r="BU43" i="14"/>
  <c r="BV43" i="14" s="1"/>
  <c r="BZ44" i="13"/>
  <c r="BZ44" i="14" s="1"/>
  <c r="CB44" i="14"/>
  <c r="AJ45" i="13"/>
  <c r="AJ45" i="14" s="1"/>
  <c r="AL45" i="14"/>
  <c r="BL45" i="13"/>
  <c r="BL45" i="14" s="1"/>
  <c r="BN45" i="14"/>
  <c r="AC46" i="13"/>
  <c r="AC46" i="14" s="1"/>
  <c r="AE46" i="14"/>
  <c r="V47" i="13"/>
  <c r="V47" i="14" s="1"/>
  <c r="X47" i="14"/>
  <c r="BS47" i="13"/>
  <c r="BS47" i="14" s="1"/>
  <c r="BU47" i="14"/>
  <c r="BE48" i="13"/>
  <c r="BE48" i="14" s="1"/>
  <c r="BG48" i="14"/>
  <c r="BH48" i="14" s="1"/>
  <c r="CG48" i="13"/>
  <c r="CG48" i="14" s="1"/>
  <c r="CI48" i="14"/>
  <c r="CJ48" i="14" s="1"/>
  <c r="V49" i="13"/>
  <c r="V49" i="14" s="1"/>
  <c r="X49" i="14"/>
  <c r="Y49" i="14" s="1"/>
  <c r="BS49" i="13"/>
  <c r="BS49" i="14" s="1"/>
  <c r="BU49" i="14"/>
  <c r="BV49" i="14" s="1"/>
  <c r="AJ50" i="13"/>
  <c r="AJ50" i="14" s="1"/>
  <c r="AL50" i="14"/>
  <c r="AM50" i="14" s="1"/>
  <c r="AX51" i="13"/>
  <c r="AZ51" i="14"/>
  <c r="BA51" i="14" s="1"/>
  <c r="AJ52" i="13"/>
  <c r="AJ52" i="14" s="1"/>
  <c r="AL52" i="14"/>
  <c r="AM52" i="14" s="1"/>
  <c r="BZ53" i="13"/>
  <c r="BZ53" i="14" s="1"/>
  <c r="CB53" i="14"/>
  <c r="CC53" i="14" s="1"/>
  <c r="CN54" i="13"/>
  <c r="CN54" i="14" s="1"/>
  <c r="CP54" i="14"/>
  <c r="AJ56" i="13"/>
  <c r="AJ56" i="14" s="1"/>
  <c r="AL56" i="14"/>
  <c r="AM56" i="14" s="1"/>
  <c r="V57" i="13"/>
  <c r="V57" i="14" s="1"/>
  <c r="X57" i="14"/>
  <c r="Y57" i="14" s="1"/>
  <c r="BS57" i="13"/>
  <c r="BS57" i="14" s="1"/>
  <c r="BU57" i="14"/>
  <c r="BV57" i="14" s="1"/>
  <c r="I8" i="9"/>
  <c r="I46" i="9"/>
  <c r="Z58" i="9"/>
  <c r="AB58" i="9" s="1"/>
  <c r="AB55" i="9"/>
  <c r="I14" i="9"/>
  <c r="I25" i="9"/>
  <c r="H57" i="9"/>
  <c r="H18" i="9"/>
  <c r="I24" i="9"/>
  <c r="I27" i="9"/>
  <c r="H46" i="9"/>
  <c r="K18" i="9"/>
  <c r="I35" i="9"/>
  <c r="Q55" i="9"/>
  <c r="P4" i="9"/>
  <c r="H33" i="9"/>
  <c r="H54" i="9"/>
  <c r="H7" i="9"/>
  <c r="H42" i="9"/>
  <c r="R4" i="9"/>
  <c r="I10" i="9"/>
  <c r="H13" i="9"/>
  <c r="K14" i="9"/>
  <c r="K43" i="9"/>
  <c r="H47" i="9"/>
  <c r="I6" i="9"/>
  <c r="I11" i="9"/>
  <c r="I18" i="9"/>
  <c r="H23" i="9"/>
  <c r="I42" i="9"/>
  <c r="I57" i="9"/>
  <c r="H30" i="8"/>
  <c r="I33" i="8"/>
  <c r="K18" i="8"/>
  <c r="I41" i="8"/>
  <c r="I44" i="8"/>
  <c r="I46" i="8"/>
  <c r="I45" i="8"/>
  <c r="I52" i="8"/>
  <c r="I6" i="8"/>
  <c r="I7" i="8"/>
  <c r="I25" i="8"/>
  <c r="I30" i="8"/>
  <c r="I11" i="8"/>
  <c r="I11" i="7"/>
  <c r="V32" i="7"/>
  <c r="K35" i="7"/>
  <c r="I23" i="7"/>
  <c r="I18" i="7"/>
  <c r="I9" i="7"/>
  <c r="I29" i="7"/>
  <c r="O18" i="7"/>
  <c r="H18" i="7" s="1"/>
  <c r="V23" i="7"/>
  <c r="I7" i="7"/>
  <c r="J4" i="7"/>
  <c r="K4" i="7" s="1"/>
  <c r="H6" i="7"/>
  <c r="I44" i="7"/>
  <c r="I57" i="7"/>
  <c r="H27" i="7"/>
  <c r="I51" i="7"/>
  <c r="K21" i="6"/>
  <c r="H46" i="6"/>
  <c r="I8" i="6"/>
  <c r="I27" i="6"/>
  <c r="I13" i="6"/>
  <c r="H27" i="6"/>
  <c r="H8" i="6"/>
  <c r="H53" i="6"/>
  <c r="I56" i="6"/>
  <c r="I17" i="10"/>
  <c r="AC11" i="10"/>
  <c r="O34" i="10"/>
  <c r="H42" i="10"/>
  <c r="BE51" i="10"/>
  <c r="AC30" i="10"/>
  <c r="CN11" i="10"/>
  <c r="BS14" i="10"/>
  <c r="H21" i="10"/>
  <c r="CN43" i="10"/>
  <c r="CG13" i="10"/>
  <c r="O17" i="10"/>
  <c r="H27" i="10"/>
  <c r="I41" i="10"/>
  <c r="I19" i="5"/>
  <c r="I28" i="5"/>
  <c r="I57" i="5"/>
  <c r="AC10" i="5"/>
  <c r="I20" i="5"/>
  <c r="I35" i="5"/>
  <c r="I30" i="5"/>
  <c r="I39" i="5"/>
  <c r="K41" i="5"/>
  <c r="AJ56" i="5"/>
  <c r="I8" i="5"/>
  <c r="I11" i="5"/>
  <c r="I41" i="5"/>
  <c r="AF4" i="5"/>
  <c r="I23" i="5"/>
  <c r="H35" i="4"/>
  <c r="AJ15" i="4"/>
  <c r="I17" i="4"/>
  <c r="I29" i="4"/>
  <c r="O34" i="4"/>
  <c r="O46" i="4"/>
  <c r="H46" i="4" s="1"/>
  <c r="I11" i="4"/>
  <c r="I13" i="4"/>
  <c r="AC45" i="4"/>
  <c r="I56" i="4"/>
  <c r="V16" i="4"/>
  <c r="H7" i="4"/>
  <c r="I39" i="4"/>
  <c r="I19" i="4"/>
  <c r="AJ48" i="4"/>
  <c r="H48" i="4" s="1"/>
  <c r="I50" i="4"/>
  <c r="H57" i="4"/>
  <c r="I18" i="4"/>
  <c r="O21" i="4"/>
  <c r="H27" i="4"/>
  <c r="I54" i="4"/>
  <c r="Y9" i="13"/>
  <c r="BO53" i="13"/>
  <c r="AT4" i="13"/>
  <c r="CJ9" i="13"/>
  <c r="BO43" i="13"/>
  <c r="CC48" i="13"/>
  <c r="J25" i="14"/>
  <c r="AT39" i="13"/>
  <c r="AF37" i="13"/>
  <c r="CQ7" i="13"/>
  <c r="CC9" i="13"/>
  <c r="BH12" i="13"/>
  <c r="BA31" i="13"/>
  <c r="CQ36" i="13"/>
  <c r="CC37" i="13"/>
  <c r="Y43" i="13"/>
  <c r="J19" i="14"/>
  <c r="AT12" i="13"/>
  <c r="BL14" i="13"/>
  <c r="BL14" i="14" s="1"/>
  <c r="AF43" i="13"/>
  <c r="AT52" i="13"/>
  <c r="BV52" i="13"/>
  <c r="BH38" i="13"/>
  <c r="AT5" i="13"/>
  <c r="J28" i="14"/>
  <c r="BH6" i="13"/>
  <c r="BS6" i="13"/>
  <c r="BS6" i="14" s="1"/>
  <c r="AM9" i="13"/>
  <c r="J11" i="13"/>
  <c r="CQ30" i="13"/>
  <c r="AM40" i="13"/>
  <c r="BZ40" i="13"/>
  <c r="BZ40" i="14" s="1"/>
  <c r="AJ54" i="13"/>
  <c r="AJ54" i="14" s="1"/>
  <c r="CC57" i="13"/>
  <c r="BO4" i="13"/>
  <c r="BO6" i="13"/>
  <c r="CN14" i="13"/>
  <c r="CN14" i="14" s="1"/>
  <c r="BA36" i="13"/>
  <c r="BS39" i="13"/>
  <c r="BS39" i="14" s="1"/>
  <c r="CQ49" i="13"/>
  <c r="AT54" i="13"/>
  <c r="J27" i="14"/>
  <c r="J20" i="14"/>
  <c r="AM10" i="13"/>
  <c r="CQ15" i="13"/>
  <c r="AF48" i="13"/>
  <c r="CQ52" i="13"/>
  <c r="BL56" i="13"/>
  <c r="BL56" i="14" s="1"/>
  <c r="J42" i="14"/>
  <c r="AF6" i="13"/>
  <c r="V10" i="13"/>
  <c r="V10" i="14" s="1"/>
  <c r="BV10" i="13"/>
  <c r="AM30" i="13"/>
  <c r="BV31" i="13"/>
  <c r="BA56" i="13"/>
  <c r="J17" i="14"/>
  <c r="J24" i="14"/>
  <c r="CN5" i="13"/>
  <c r="CN5" i="14" s="1"/>
  <c r="AF7" i="13"/>
  <c r="BS15" i="13"/>
  <c r="BS15" i="14" s="1"/>
  <c r="AF31" i="13"/>
  <c r="AM53" i="13"/>
  <c r="B71" i="14"/>
  <c r="B73" i="14" s="1"/>
  <c r="BH4" i="4"/>
  <c r="BC4" i="4"/>
  <c r="BV5" i="4"/>
  <c r="BQ5" i="4"/>
  <c r="AM57" i="4"/>
  <c r="M13" i="5"/>
  <c r="G13" i="5"/>
  <c r="E4" i="4"/>
  <c r="CJ4" i="4"/>
  <c r="CE4" i="4"/>
  <c r="BQ6" i="4"/>
  <c r="BX20" i="4"/>
  <c r="M25" i="4"/>
  <c r="E7" i="5"/>
  <c r="K7" i="5" s="1"/>
  <c r="AA23" i="5"/>
  <c r="R28" i="5"/>
  <c r="CQ30" i="5"/>
  <c r="AF38" i="5"/>
  <c r="AO47" i="5"/>
  <c r="E51" i="5"/>
  <c r="AA6" i="6"/>
  <c r="BO7" i="6"/>
  <c r="BX12" i="6"/>
  <c r="AH23" i="6"/>
  <c r="AF25" i="6"/>
  <c r="R32" i="6"/>
  <c r="BV34" i="6"/>
  <c r="BQ34" i="6"/>
  <c r="CQ39" i="6"/>
  <c r="AF44" i="6"/>
  <c r="AA44" i="6"/>
  <c r="M45" i="6"/>
  <c r="R45" i="6"/>
  <c r="AM47" i="6"/>
  <c r="AO50" i="6"/>
  <c r="CE53" i="6"/>
  <c r="CJ53" i="6"/>
  <c r="Y56" i="6"/>
  <c r="T56" i="6"/>
  <c r="CJ15" i="7"/>
  <c r="CE15" i="7"/>
  <c r="AF21" i="7"/>
  <c r="BH33" i="7"/>
  <c r="BC33" i="7"/>
  <c r="Y36" i="7"/>
  <c r="B36" i="7"/>
  <c r="Y8" i="8"/>
  <c r="E8" i="8"/>
  <c r="K8" i="8" s="1"/>
  <c r="AO14" i="4"/>
  <c r="AA15" i="4"/>
  <c r="B19" i="4"/>
  <c r="E26" i="4"/>
  <c r="E28" i="4"/>
  <c r="T30" i="4"/>
  <c r="AV30" i="4"/>
  <c r="BX30" i="4"/>
  <c r="AV32" i="4"/>
  <c r="CL32" i="4"/>
  <c r="BQ38" i="4"/>
  <c r="M39" i="4"/>
  <c r="AH41" i="4"/>
  <c r="E42" i="4"/>
  <c r="K42" i="4" s="1"/>
  <c r="BQ42" i="4"/>
  <c r="CE42" i="4"/>
  <c r="AV44" i="4"/>
  <c r="AA45" i="4"/>
  <c r="CL46" i="4"/>
  <c r="AG55" i="5"/>
  <c r="AV5" i="5"/>
  <c r="BJ5" i="5"/>
  <c r="AA6" i="5"/>
  <c r="M10" i="5"/>
  <c r="AV11" i="5"/>
  <c r="BJ11" i="5"/>
  <c r="CL11" i="5"/>
  <c r="T12" i="5"/>
  <c r="BC12" i="5"/>
  <c r="BJ14" i="5"/>
  <c r="AA18" i="5"/>
  <c r="CL18" i="5"/>
  <c r="T19" i="5"/>
  <c r="AH19" i="5"/>
  <c r="AV19" i="5"/>
  <c r="BJ19" i="5"/>
  <c r="AH20" i="5"/>
  <c r="AA21" i="5"/>
  <c r="BC21" i="5"/>
  <c r="AH22" i="5"/>
  <c r="AV22" i="5"/>
  <c r="BJ22" i="5"/>
  <c r="BX22" i="5"/>
  <c r="M23" i="5"/>
  <c r="CL24" i="5"/>
  <c r="AH25" i="5"/>
  <c r="B27" i="5"/>
  <c r="BJ28" i="5"/>
  <c r="BQ30" i="5"/>
  <c r="E31" i="5"/>
  <c r="K31" i="5" s="1"/>
  <c r="BC35" i="5"/>
  <c r="AV37" i="5"/>
  <c r="BX37" i="5"/>
  <c r="BQ40" i="5"/>
  <c r="AV41" i="5"/>
  <c r="AA42" i="5"/>
  <c r="BC42" i="5"/>
  <c r="BX43" i="5"/>
  <c r="M47" i="5"/>
  <c r="CE50" i="5"/>
  <c r="BQ53" i="5"/>
  <c r="BJ57" i="5"/>
  <c r="AH7" i="6"/>
  <c r="AH9" i="6"/>
  <c r="AM9" i="6"/>
  <c r="CC11" i="6"/>
  <c r="BX11" i="6"/>
  <c r="E19" i="6"/>
  <c r="K19" i="6" s="1"/>
  <c r="CE19" i="6"/>
  <c r="AO22" i="6"/>
  <c r="CQ22" i="6"/>
  <c r="CL22" i="6"/>
  <c r="AH24" i="6"/>
  <c r="R25" i="6"/>
  <c r="T30" i="6"/>
  <c r="Y30" i="6"/>
  <c r="CC50" i="6"/>
  <c r="BX50" i="6"/>
  <c r="BH51" i="6"/>
  <c r="BQ56" i="6"/>
  <c r="AH10" i="7"/>
  <c r="BJ10" i="7"/>
  <c r="E14" i="7"/>
  <c r="AO19" i="7"/>
  <c r="AO20" i="7"/>
  <c r="AH23" i="7"/>
  <c r="AM23" i="7"/>
  <c r="T24" i="7"/>
  <c r="BX26" i="7"/>
  <c r="CL26" i="7"/>
  <c r="M30" i="7"/>
  <c r="CL35" i="7"/>
  <c r="CQ35" i="7"/>
  <c r="BV40" i="7"/>
  <c r="AF44" i="7"/>
  <c r="AA44" i="7"/>
  <c r="CC46" i="7"/>
  <c r="BX46" i="7"/>
  <c r="AA49" i="7"/>
  <c r="BO52" i="7"/>
  <c r="BJ52" i="7"/>
  <c r="CQ53" i="7"/>
  <c r="BO6" i="8"/>
  <c r="BJ6" i="8"/>
  <c r="CJ8" i="8"/>
  <c r="CE8" i="8"/>
  <c r="BX15" i="4"/>
  <c r="BQ9" i="6"/>
  <c r="AV18" i="6"/>
  <c r="CQ27" i="6"/>
  <c r="BO35" i="6"/>
  <c r="AT40" i="6"/>
  <c r="AV43" i="6"/>
  <c r="CC43" i="6"/>
  <c r="BX43" i="6"/>
  <c r="CE44" i="6"/>
  <c r="CL47" i="6"/>
  <c r="T49" i="6"/>
  <c r="BC51" i="6"/>
  <c r="CL51" i="6"/>
  <c r="BJ52" i="6"/>
  <c r="T57" i="6"/>
  <c r="AH57" i="6"/>
  <c r="AM8" i="7"/>
  <c r="AH8" i="7"/>
  <c r="AO16" i="7"/>
  <c r="AA20" i="7"/>
  <c r="AT27" i="7"/>
  <c r="AO27" i="7"/>
  <c r="AM29" i="7"/>
  <c r="AH29" i="7"/>
  <c r="BH39" i="7"/>
  <c r="BC39" i="7"/>
  <c r="T43" i="7"/>
  <c r="CL48" i="7"/>
  <c r="CQ48" i="7"/>
  <c r="BQ53" i="7"/>
  <c r="R7" i="8"/>
  <c r="M7" i="8"/>
  <c r="CL15" i="4"/>
  <c r="CL17" i="4"/>
  <c r="AH24" i="4"/>
  <c r="AV27" i="4"/>
  <c r="AA34" i="4"/>
  <c r="CK55" i="5"/>
  <c r="CK58" i="5" s="1"/>
  <c r="BX5" i="5"/>
  <c r="B7" i="5"/>
  <c r="AA7" i="5"/>
  <c r="AO7" i="5"/>
  <c r="T9" i="5"/>
  <c r="BQ9" i="5"/>
  <c r="AV10" i="5"/>
  <c r="AA11" i="5"/>
  <c r="BC13" i="5"/>
  <c r="BQ13" i="5"/>
  <c r="E16" i="5"/>
  <c r="AO16" i="5"/>
  <c r="AA17" i="5"/>
  <c r="AV17" i="5"/>
  <c r="AO18" i="5"/>
  <c r="BQ18" i="5"/>
  <c r="CQ18" i="5"/>
  <c r="B20" i="5"/>
  <c r="BQ20" i="5"/>
  <c r="BX23" i="5"/>
  <c r="BQ24" i="5"/>
  <c r="T30" i="5"/>
  <c r="AV32" i="5"/>
  <c r="M34" i="5"/>
  <c r="AV34" i="5"/>
  <c r="G35" i="5"/>
  <c r="B40" i="5"/>
  <c r="AO40" i="5"/>
  <c r="T41" i="5"/>
  <c r="BQ41" i="5"/>
  <c r="T43" i="5"/>
  <c r="AV43" i="5"/>
  <c r="B45" i="5"/>
  <c r="T46" i="5"/>
  <c r="E48" i="5"/>
  <c r="CE49" i="5"/>
  <c r="CL51" i="5"/>
  <c r="AO54" i="5"/>
  <c r="T56" i="5"/>
  <c r="BQ5" i="6"/>
  <c r="BJ6" i="6"/>
  <c r="CL6" i="6"/>
  <c r="AA8" i="6"/>
  <c r="CL8" i="6"/>
  <c r="G12" i="6"/>
  <c r="BA12" i="6"/>
  <c r="CL14" i="6"/>
  <c r="AA16" i="6"/>
  <c r="BQ17" i="6"/>
  <c r="CJ24" i="6"/>
  <c r="CE24" i="6"/>
  <c r="CL27" i="6"/>
  <c r="BJ35" i="6"/>
  <c r="BA41" i="6"/>
  <c r="AV41" i="6"/>
  <c r="CL41" i="6"/>
  <c r="CC51" i="6"/>
  <c r="BX51" i="6"/>
  <c r="BJ54" i="6"/>
  <c r="BO54" i="6"/>
  <c r="CJ10" i="7"/>
  <c r="CE10" i="7"/>
  <c r="G12" i="7"/>
  <c r="R20" i="7"/>
  <c r="E20" i="7"/>
  <c r="K20" i="7" s="1"/>
  <c r="AM22" i="7"/>
  <c r="AH22" i="7"/>
  <c r="AF24" i="7"/>
  <c r="AA24" i="7"/>
  <c r="Y29" i="7"/>
  <c r="T33" i="7"/>
  <c r="Y33" i="7"/>
  <c r="AM34" i="7"/>
  <c r="Y37" i="7"/>
  <c r="E37" i="7"/>
  <c r="BH54" i="7"/>
  <c r="BC54" i="7"/>
  <c r="L55" i="8"/>
  <c r="M4" i="8"/>
  <c r="E4" i="8"/>
  <c r="BC42" i="4"/>
  <c r="E44" i="4"/>
  <c r="K44" i="4" s="1"/>
  <c r="BC5" i="4"/>
  <c r="AO6" i="4"/>
  <c r="BC8" i="4"/>
  <c r="CE8" i="4"/>
  <c r="BQ11" i="4"/>
  <c r="AO12" i="4"/>
  <c r="AF15" i="4"/>
  <c r="AV17" i="4"/>
  <c r="B34" i="4"/>
  <c r="BA41" i="4"/>
  <c r="BX43" i="4"/>
  <c r="T50" i="4"/>
  <c r="BQ50" i="4"/>
  <c r="T52" i="4"/>
  <c r="AV52" i="4"/>
  <c r="BX53" i="4"/>
  <c r="CL56" i="4"/>
  <c r="BX4" i="5"/>
  <c r="CE5" i="4"/>
  <c r="BJ6" i="4"/>
  <c r="BV6" i="4"/>
  <c r="CL6" i="4"/>
  <c r="AF7" i="4"/>
  <c r="AV7" i="4"/>
  <c r="AA8" i="4"/>
  <c r="AV9" i="4"/>
  <c r="BA10" i="4"/>
  <c r="AF11" i="4"/>
  <c r="CE11" i="4"/>
  <c r="T13" i="4"/>
  <c r="BC19" i="4"/>
  <c r="CC20" i="4"/>
  <c r="AT21" i="4"/>
  <c r="CE21" i="4"/>
  <c r="AV22" i="4"/>
  <c r="AA23" i="4"/>
  <c r="BC25" i="4"/>
  <c r="BJ28" i="4"/>
  <c r="Y30" i="4"/>
  <c r="BO30" i="4"/>
  <c r="BA32" i="4"/>
  <c r="Y33" i="4"/>
  <c r="CL33" i="4"/>
  <c r="AO34" i="4"/>
  <c r="BC34" i="4"/>
  <c r="AT35" i="4"/>
  <c r="CL35" i="4"/>
  <c r="T36" i="4"/>
  <c r="AA38" i="4"/>
  <c r="CL38" i="4"/>
  <c r="BQ41" i="4"/>
  <c r="AV43" i="4"/>
  <c r="BC44" i="4"/>
  <c r="AH45" i="4"/>
  <c r="AH46" i="4"/>
  <c r="AV51" i="4"/>
  <c r="AH54" i="4"/>
  <c r="T57" i="4"/>
  <c r="AV57" i="4"/>
  <c r="BX7" i="5"/>
  <c r="BC8" i="5"/>
  <c r="BC9" i="5"/>
  <c r="BQ10" i="5"/>
  <c r="AA12" i="5"/>
  <c r="CE14" i="5"/>
  <c r="M15" i="5"/>
  <c r="AV15" i="5"/>
  <c r="BJ15" i="5"/>
  <c r="Y16" i="5"/>
  <c r="BC18" i="5"/>
  <c r="CE18" i="5"/>
  <c r="AM19" i="5"/>
  <c r="BO19" i="5"/>
  <c r="CE19" i="5"/>
  <c r="AF21" i="5"/>
  <c r="AV21" i="5"/>
  <c r="BH21" i="5"/>
  <c r="BX21" i="5"/>
  <c r="AA22" i="5"/>
  <c r="BA22" i="5"/>
  <c r="AF23" i="5"/>
  <c r="AV23" i="5"/>
  <c r="B24" i="5"/>
  <c r="AA24" i="5"/>
  <c r="BX25" i="5"/>
  <c r="T26" i="5"/>
  <c r="CE27" i="5"/>
  <c r="AA29" i="5"/>
  <c r="CL30" i="5"/>
  <c r="BJ31" i="5"/>
  <c r="CL31" i="5"/>
  <c r="E32" i="5"/>
  <c r="AH33" i="5"/>
  <c r="BX35" i="5"/>
  <c r="BC37" i="5"/>
  <c r="BO37" i="5"/>
  <c r="AA38" i="5"/>
  <c r="BC39" i="5"/>
  <c r="BQ39" i="5"/>
  <c r="CE39" i="5"/>
  <c r="BA41" i="5"/>
  <c r="AF42" i="5"/>
  <c r="AV42" i="5"/>
  <c r="BH42" i="5"/>
  <c r="CC43" i="5"/>
  <c r="E44" i="5"/>
  <c r="K44" i="5" s="1"/>
  <c r="BC44" i="5"/>
  <c r="BQ44" i="5"/>
  <c r="CE44" i="5"/>
  <c r="AF47" i="5"/>
  <c r="AT47" i="5"/>
  <c r="BA48" i="5"/>
  <c r="M49" i="5"/>
  <c r="T51" i="5"/>
  <c r="AV51" i="5"/>
  <c r="BX51" i="5"/>
  <c r="AH52" i="5"/>
  <c r="AH53" i="5"/>
  <c r="BJ53" i="5"/>
  <c r="BX56" i="5"/>
  <c r="AV4" i="6"/>
  <c r="E5" i="6"/>
  <c r="AO5" i="6"/>
  <c r="BJ7" i="6"/>
  <c r="M8" i="6"/>
  <c r="BV9" i="6"/>
  <c r="AO10" i="6"/>
  <c r="AA14" i="6"/>
  <c r="BO14" i="6"/>
  <c r="BJ14" i="6"/>
  <c r="CQ17" i="6"/>
  <c r="CL17" i="6"/>
  <c r="CE18" i="6"/>
  <c r="R20" i="6"/>
  <c r="AM20" i="6"/>
  <c r="M21" i="6"/>
  <c r="AF21" i="6"/>
  <c r="AA21" i="6"/>
  <c r="AV21" i="6"/>
  <c r="BA21" i="6"/>
  <c r="BO23" i="6"/>
  <c r="AM24" i="6"/>
  <c r="BQ24" i="6"/>
  <c r="BV24" i="6"/>
  <c r="R26" i="6"/>
  <c r="B26" i="6"/>
  <c r="BJ27" i="6"/>
  <c r="AA29" i="6"/>
  <c r="BQ30" i="6"/>
  <c r="AT34" i="6"/>
  <c r="E35" i="6"/>
  <c r="K35" i="6" s="1"/>
  <c r="T38" i="6"/>
  <c r="Y38" i="6"/>
  <c r="R40" i="6"/>
  <c r="B40" i="6"/>
  <c r="AO42" i="6"/>
  <c r="AH44" i="6"/>
  <c r="CQ49" i="6"/>
  <c r="BV56" i="6"/>
  <c r="T4" i="7"/>
  <c r="AO4" i="7"/>
  <c r="BJ4" i="7"/>
  <c r="BO5" i="7"/>
  <c r="AH7" i="7"/>
  <c r="AM7" i="7"/>
  <c r="BQ7" i="7"/>
  <c r="CL9" i="7"/>
  <c r="AA13" i="7"/>
  <c r="BV13" i="7"/>
  <c r="BQ13" i="7"/>
  <c r="BJ14" i="7"/>
  <c r="CC14" i="7"/>
  <c r="CJ18" i="7"/>
  <c r="Y22" i="7"/>
  <c r="T29" i="7"/>
  <c r="BA30" i="7"/>
  <c r="AV30" i="7"/>
  <c r="AV31" i="7"/>
  <c r="BA31" i="7"/>
  <c r="BA36" i="7"/>
  <c r="AT39" i="7"/>
  <c r="AO39" i="7"/>
  <c r="CC42" i="7"/>
  <c r="BX42" i="7"/>
  <c r="CC44" i="7"/>
  <c r="BH45" i="7"/>
  <c r="CC48" i="7"/>
  <c r="BX48" i="7"/>
  <c r="BV49" i="7"/>
  <c r="BA52" i="7"/>
  <c r="AV52" i="7"/>
  <c r="CC7" i="8"/>
  <c r="BX7" i="8"/>
  <c r="BC11" i="4"/>
  <c r="AA6" i="4"/>
  <c r="T16" i="4"/>
  <c r="BX17" i="4"/>
  <c r="M19" i="4"/>
  <c r="AV20" i="4"/>
  <c r="BQ21" i="4"/>
  <c r="BX22" i="4"/>
  <c r="CC26" i="4"/>
  <c r="AV28" i="4"/>
  <c r="AH32" i="4"/>
  <c r="BQ33" i="4"/>
  <c r="AA35" i="4"/>
  <c r="AV40" i="4"/>
  <c r="CE44" i="4"/>
  <c r="BJ54" i="4"/>
  <c r="Y4" i="4"/>
  <c r="M5" i="4"/>
  <c r="Y5" i="4"/>
  <c r="AT6" i="4"/>
  <c r="E7" i="4"/>
  <c r="K7" i="4" s="1"/>
  <c r="G13" i="4"/>
  <c r="BC13" i="4"/>
  <c r="AT14" i="4"/>
  <c r="E15" i="4"/>
  <c r="K15" i="4" s="1"/>
  <c r="T15" i="4"/>
  <c r="CC15" i="4"/>
  <c r="AA17" i="4"/>
  <c r="BA17" i="4"/>
  <c r="G18" i="4"/>
  <c r="AA20" i="4"/>
  <c r="BA20" i="4"/>
  <c r="BQ25" i="4"/>
  <c r="E27" i="4"/>
  <c r="BA29" i="4"/>
  <c r="BJ31" i="4"/>
  <c r="AM32" i="4"/>
  <c r="CE32" i="4"/>
  <c r="R35" i="4"/>
  <c r="CJ37" i="4"/>
  <c r="BO39" i="4"/>
  <c r="BH42" i="4"/>
  <c r="CJ42" i="4"/>
  <c r="E50" i="4"/>
  <c r="AT56" i="4"/>
  <c r="AO5" i="5"/>
  <c r="BA5" i="5"/>
  <c r="T6" i="5"/>
  <c r="AF6" i="5"/>
  <c r="BO6" i="5"/>
  <c r="B8" i="5"/>
  <c r="AA8" i="5"/>
  <c r="CL9" i="5"/>
  <c r="G10" i="5"/>
  <c r="CE11" i="5"/>
  <c r="B12" i="5"/>
  <c r="G15" i="5"/>
  <c r="AT16" i="5"/>
  <c r="BX16" i="5"/>
  <c r="CL16" i="5"/>
  <c r="BA17" i="5"/>
  <c r="E18" i="5"/>
  <c r="K18" i="5" s="1"/>
  <c r="T18" i="5"/>
  <c r="AF18" i="5"/>
  <c r="AA19" i="5"/>
  <c r="M20" i="5"/>
  <c r="AA20" i="5"/>
  <c r="CL20" i="5"/>
  <c r="CC22" i="5"/>
  <c r="CE23" i="5"/>
  <c r="CE24" i="5"/>
  <c r="AO25" i="5"/>
  <c r="BC26" i="5"/>
  <c r="BQ26" i="5"/>
  <c r="CL26" i="5"/>
  <c r="BQ27" i="5"/>
  <c r="BX29" i="5"/>
  <c r="BX30" i="5"/>
  <c r="T31" i="5"/>
  <c r="BX31" i="5"/>
  <c r="BA32" i="5"/>
  <c r="CE32" i="5"/>
  <c r="E33" i="5"/>
  <c r="K33" i="5" s="1"/>
  <c r="AO36" i="5"/>
  <c r="M37" i="5"/>
  <c r="AO37" i="5"/>
  <c r="BC38" i="5"/>
  <c r="BJ40" i="5"/>
  <c r="BX42" i="5"/>
  <c r="AA44" i="5"/>
  <c r="AF45" i="5"/>
  <c r="AV47" i="5"/>
  <c r="CC48" i="5"/>
  <c r="BC52" i="5"/>
  <c r="Y53" i="5"/>
  <c r="BQ54" i="5"/>
  <c r="B56" i="5"/>
  <c r="AM56" i="5"/>
  <c r="BQ57" i="5"/>
  <c r="CL57" i="5"/>
  <c r="AH6" i="6"/>
  <c r="BO6" i="6"/>
  <c r="AM7" i="6"/>
  <c r="CL7" i="6"/>
  <c r="BO8" i="6"/>
  <c r="BJ8" i="6"/>
  <c r="AF14" i="6"/>
  <c r="CJ15" i="6"/>
  <c r="CE15" i="6"/>
  <c r="M17" i="6"/>
  <c r="AV17" i="6"/>
  <c r="BA17" i="6"/>
  <c r="BA18" i="6"/>
  <c r="BV18" i="6"/>
  <c r="BQ18" i="6"/>
  <c r="CJ19" i="6"/>
  <c r="CE21" i="6"/>
  <c r="CE22" i="6"/>
  <c r="AA24" i="6"/>
  <c r="AO24" i="6"/>
  <c r="AT24" i="6"/>
  <c r="BC24" i="6"/>
  <c r="CE26" i="6"/>
  <c r="BV28" i="6"/>
  <c r="AT29" i="6"/>
  <c r="AO30" i="6"/>
  <c r="BV32" i="6"/>
  <c r="BQ32" i="6"/>
  <c r="B34" i="6"/>
  <c r="AO34" i="6"/>
  <c r="E36" i="6"/>
  <c r="B36" i="6"/>
  <c r="M37" i="6"/>
  <c r="AM38" i="6"/>
  <c r="BH38" i="6"/>
  <c r="BC38" i="6"/>
  <c r="Y39" i="6"/>
  <c r="AT39" i="6"/>
  <c r="AO39" i="6"/>
  <c r="CC39" i="6"/>
  <c r="BC44" i="6"/>
  <c r="CL44" i="6"/>
  <c r="AT46" i="6"/>
  <c r="AO46" i="6"/>
  <c r="BJ46" i="6"/>
  <c r="Y47" i="6"/>
  <c r="AO47" i="6"/>
  <c r="AA49" i="6"/>
  <c r="CC49" i="6"/>
  <c r="AA51" i="6"/>
  <c r="BA51" i="6"/>
  <c r="AV51" i="6"/>
  <c r="CQ51" i="6"/>
  <c r="BJ5" i="7"/>
  <c r="M6" i="7"/>
  <c r="CE6" i="7"/>
  <c r="CJ6" i="7"/>
  <c r="CL7" i="7"/>
  <c r="AV14" i="7"/>
  <c r="AM16" i="7"/>
  <c r="AH16" i="7"/>
  <c r="CE18" i="7"/>
  <c r="CC21" i="7"/>
  <c r="T22" i="7"/>
  <c r="CC22" i="7"/>
  <c r="BX22" i="7"/>
  <c r="AF25" i="7"/>
  <c r="AA25" i="7"/>
  <c r="AM26" i="7"/>
  <c r="AH26" i="7"/>
  <c r="M27" i="7"/>
  <c r="AF27" i="7"/>
  <c r="G27" i="7"/>
  <c r="T31" i="7"/>
  <c r="R35" i="7"/>
  <c r="B41" i="7"/>
  <c r="AV41" i="7"/>
  <c r="BA41" i="7"/>
  <c r="BX44" i="7"/>
  <c r="Y45" i="7"/>
  <c r="G47" i="7"/>
  <c r="BQ49" i="7"/>
  <c r="BH51" i="7"/>
  <c r="BC51" i="7"/>
  <c r="M29" i="4"/>
  <c r="CC13" i="4"/>
  <c r="BX16" i="4"/>
  <c r="BJ27" i="4"/>
  <c r="BV28" i="4"/>
  <c r="AH31" i="4"/>
  <c r="CE34" i="4"/>
  <c r="CE36" i="4"/>
  <c r="BJ39" i="4"/>
  <c r="BJ43" i="4"/>
  <c r="T44" i="4"/>
  <c r="BJ45" i="4"/>
  <c r="BQ47" i="4"/>
  <c r="AV4" i="4"/>
  <c r="AV5" i="4"/>
  <c r="BH11" i="4"/>
  <c r="CE14" i="4"/>
  <c r="M16" i="4"/>
  <c r="B17" i="4"/>
  <c r="CC17" i="4"/>
  <c r="AO24" i="4"/>
  <c r="BQ24" i="4"/>
  <c r="AV26" i="4"/>
  <c r="BQ29" i="4"/>
  <c r="Y31" i="4"/>
  <c r="AM39" i="4"/>
  <c r="BQ40" i="4"/>
  <c r="CJ44" i="4"/>
  <c r="BO45" i="4"/>
  <c r="CE46" i="4"/>
  <c r="AF48" i="4"/>
  <c r="AA49" i="4"/>
  <c r="BO49" i="4"/>
  <c r="BV50" i="4"/>
  <c r="M52" i="4"/>
  <c r="Y57" i="4"/>
  <c r="BA57" i="4"/>
  <c r="BP55" i="5"/>
  <c r="BP58" i="5" s="1"/>
  <c r="CC5" i="5"/>
  <c r="E6" i="5"/>
  <c r="AV7" i="5"/>
  <c r="BH8" i="5"/>
  <c r="CJ14" i="5"/>
  <c r="BA15" i="5"/>
  <c r="BH18" i="5"/>
  <c r="T23" i="5"/>
  <c r="BC23" i="5"/>
  <c r="BV24" i="5"/>
  <c r="B26" i="5"/>
  <c r="CL27" i="5"/>
  <c r="AF28" i="5"/>
  <c r="AF39" i="5"/>
  <c r="AT40" i="5"/>
  <c r="Y41" i="5"/>
  <c r="BA43" i="5"/>
  <c r="B47" i="5"/>
  <c r="AH48" i="5"/>
  <c r="AM52" i="5"/>
  <c r="AG55" i="6"/>
  <c r="CQ14" i="6"/>
  <c r="E23" i="6"/>
  <c r="K23" i="6" s="1"/>
  <c r="BJ25" i="6"/>
  <c r="BO30" i="6"/>
  <c r="BJ30" i="6"/>
  <c r="AM32" i="6"/>
  <c r="CJ34" i="6"/>
  <c r="CJ36" i="6"/>
  <c r="CE36" i="6"/>
  <c r="AH41" i="6"/>
  <c r="R42" i="6"/>
  <c r="BQ43" i="6"/>
  <c r="AT44" i="6"/>
  <c r="E47" i="6"/>
  <c r="K47" i="6" s="1"/>
  <c r="CJ51" i="6"/>
  <c r="B52" i="6"/>
  <c r="BH53" i="6"/>
  <c r="M54" i="6"/>
  <c r="R54" i="6"/>
  <c r="BO56" i="6"/>
  <c r="Y57" i="6"/>
  <c r="AF4" i="7"/>
  <c r="CD55" i="7"/>
  <c r="CD58" i="7" s="1"/>
  <c r="B10" i="7"/>
  <c r="AM13" i="7"/>
  <c r="AH13" i="7"/>
  <c r="E15" i="7"/>
  <c r="AT15" i="7"/>
  <c r="AV18" i="7"/>
  <c r="BA18" i="7"/>
  <c r="CJ21" i="7"/>
  <c r="BA23" i="7"/>
  <c r="AV23" i="7"/>
  <c r="CJ28" i="7"/>
  <c r="CE28" i="7"/>
  <c r="CC29" i="7"/>
  <c r="BX29" i="7"/>
  <c r="Y32" i="7"/>
  <c r="Y43" i="7"/>
  <c r="BO44" i="7"/>
  <c r="BJ44" i="7"/>
  <c r="CE45" i="7"/>
  <c r="CJ45" i="7"/>
  <c r="AH46" i="7"/>
  <c r="AM46" i="7"/>
  <c r="AO49" i="7"/>
  <c r="AT49" i="7"/>
  <c r="R56" i="7"/>
  <c r="M56" i="7"/>
  <c r="BH5" i="4"/>
  <c r="BX8" i="4"/>
  <c r="AO9" i="4"/>
  <c r="CJ9" i="4"/>
  <c r="T10" i="4"/>
  <c r="BX11" i="4"/>
  <c r="CJ11" i="4"/>
  <c r="M13" i="4"/>
  <c r="AV13" i="4"/>
  <c r="G15" i="4"/>
  <c r="BC16" i="4"/>
  <c r="BC20" i="4"/>
  <c r="BX21" i="4"/>
  <c r="B24" i="4"/>
  <c r="AO27" i="4"/>
  <c r="BC28" i="4"/>
  <c r="BC31" i="4"/>
  <c r="AT34" i="4"/>
  <c r="CE35" i="4"/>
  <c r="B38" i="4"/>
  <c r="AV38" i="4"/>
  <c r="BJ41" i="4"/>
  <c r="T42" i="4"/>
  <c r="AV42" i="4"/>
  <c r="CC43" i="4"/>
  <c r="AA44" i="4"/>
  <c r="BX44" i="4"/>
  <c r="BC45" i="4"/>
  <c r="M47" i="4"/>
  <c r="AH48" i="4"/>
  <c r="AM52" i="4"/>
  <c r="E9" i="5"/>
  <c r="CJ18" i="5"/>
  <c r="CL19" i="5"/>
  <c r="CE21" i="5"/>
  <c r="AA26" i="5"/>
  <c r="BJ27" i="5"/>
  <c r="AO30" i="5"/>
  <c r="BQ36" i="5"/>
  <c r="T38" i="5"/>
  <c r="BV39" i="5"/>
  <c r="CE42" i="5"/>
  <c r="B43" i="5"/>
  <c r="AV44" i="5"/>
  <c r="BH44" i="5"/>
  <c r="CJ44" i="5"/>
  <c r="AM51" i="5"/>
  <c r="BQ51" i="5"/>
  <c r="AA52" i="5"/>
  <c r="AO57" i="5"/>
  <c r="T5" i="6"/>
  <c r="BJ5" i="6"/>
  <c r="CE6" i="6"/>
  <c r="M7" i="6"/>
  <c r="CL11" i="6"/>
  <c r="B24" i="6"/>
  <c r="Y24" i="6"/>
  <c r="E24" i="6"/>
  <c r="BH26" i="6"/>
  <c r="BC26" i="6"/>
  <c r="BO27" i="6"/>
  <c r="AF30" i="6"/>
  <c r="BJ31" i="6"/>
  <c r="BO31" i="6"/>
  <c r="AH32" i="6"/>
  <c r="AH33" i="6"/>
  <c r="CE34" i="6"/>
  <c r="T36" i="6"/>
  <c r="Y36" i="6"/>
  <c r="AH37" i="6"/>
  <c r="M42" i="6"/>
  <c r="CL43" i="6"/>
  <c r="AO44" i="6"/>
  <c r="BA45" i="6"/>
  <c r="AV45" i="6"/>
  <c r="AO48" i="6"/>
  <c r="B50" i="6"/>
  <c r="CE51" i="6"/>
  <c r="E52" i="6"/>
  <c r="AT52" i="6"/>
  <c r="AO52" i="6"/>
  <c r="BQ54" i="6"/>
  <c r="BJ56" i="6"/>
  <c r="AM6" i="7"/>
  <c r="AH6" i="7"/>
  <c r="B6" i="7"/>
  <c r="G7" i="7"/>
  <c r="Y7" i="7"/>
  <c r="E7" i="7"/>
  <c r="K7" i="7" s="1"/>
  <c r="AV8" i="7"/>
  <c r="B17" i="7"/>
  <c r="BV18" i="7"/>
  <c r="BJ22" i="7"/>
  <c r="BO22" i="7"/>
  <c r="BX24" i="7"/>
  <c r="BQ27" i="7"/>
  <c r="BO29" i="7"/>
  <c r="BJ29" i="7"/>
  <c r="E30" i="7"/>
  <c r="CL34" i="7"/>
  <c r="CQ34" i="7"/>
  <c r="BV39" i="7"/>
  <c r="BQ39" i="7"/>
  <c r="BQ41" i="7"/>
  <c r="CL46" i="7"/>
  <c r="CQ46" i="7"/>
  <c r="AA51" i="7"/>
  <c r="AF51" i="7"/>
  <c r="M52" i="7"/>
  <c r="R52" i="7"/>
  <c r="B52" i="7"/>
  <c r="BV9" i="8"/>
  <c r="BQ9" i="8"/>
  <c r="CQ6" i="8"/>
  <c r="BH24" i="8"/>
  <c r="E53" i="8"/>
  <c r="K53" i="8" s="1"/>
  <c r="CQ56" i="8"/>
  <c r="Y11" i="9"/>
  <c r="BV12" i="9"/>
  <c r="CC13" i="9"/>
  <c r="BV15" i="9"/>
  <c r="BQ15" i="9"/>
  <c r="AM19" i="9"/>
  <c r="AH19" i="9"/>
  <c r="CQ20" i="9"/>
  <c r="CL20" i="9"/>
  <c r="AF29" i="9"/>
  <c r="AA29" i="9"/>
  <c r="R40" i="9"/>
  <c r="M40" i="9"/>
  <c r="AK41" i="9"/>
  <c r="BA50" i="9"/>
  <c r="AV50" i="9"/>
  <c r="BH56" i="9"/>
  <c r="BC56" i="9"/>
  <c r="CQ7" i="9"/>
  <c r="CL7" i="9"/>
  <c r="BC9" i="9"/>
  <c r="BQ16" i="9"/>
  <c r="M20" i="9"/>
  <c r="AF22" i="9"/>
  <c r="AH23" i="9"/>
  <c r="BQ23" i="9"/>
  <c r="BH25" i="9"/>
  <c r="CE26" i="9"/>
  <c r="CQ34" i="9"/>
  <c r="CL34" i="9"/>
  <c r="BA36" i="9"/>
  <c r="AV36" i="9"/>
  <c r="CJ44" i="9"/>
  <c r="AM54" i="9"/>
  <c r="AH54" i="9"/>
  <c r="BC27" i="7"/>
  <c r="BQ37" i="7"/>
  <c r="AO43" i="7"/>
  <c r="AV44" i="7"/>
  <c r="BJ46" i="7"/>
  <c r="BJ48" i="7"/>
  <c r="AF56" i="7"/>
  <c r="AA57" i="7"/>
  <c r="BJ4" i="8"/>
  <c r="M5" i="8"/>
  <c r="B6" i="8"/>
  <c r="BH7" i="8"/>
  <c r="AH8" i="8"/>
  <c r="BC9" i="8"/>
  <c r="M10" i="8"/>
  <c r="BX10" i="8"/>
  <c r="T11" i="8"/>
  <c r="M12" i="8"/>
  <c r="AH17" i="8"/>
  <c r="M18" i="8"/>
  <c r="T21" i="8"/>
  <c r="T23" i="8"/>
  <c r="CE24" i="8"/>
  <c r="BJ25" i="8"/>
  <c r="M27" i="8"/>
  <c r="AO28" i="8"/>
  <c r="BX30" i="8"/>
  <c r="AV31" i="8"/>
  <c r="BX31" i="8"/>
  <c r="BX33" i="8"/>
  <c r="BX35" i="8"/>
  <c r="CE36" i="8"/>
  <c r="AA38" i="8"/>
  <c r="AV39" i="8"/>
  <c r="AH40" i="8"/>
  <c r="BQ40" i="8"/>
  <c r="T42" i="8"/>
  <c r="BX44" i="8"/>
  <c r="CL44" i="8"/>
  <c r="BX45" i="8"/>
  <c r="AV46" i="8"/>
  <c r="E47" i="8"/>
  <c r="K47" i="8" s="1"/>
  <c r="BX49" i="8"/>
  <c r="T52" i="8"/>
  <c r="AH52" i="8"/>
  <c r="AA56" i="8"/>
  <c r="BQ57" i="8"/>
  <c r="BI55" i="9"/>
  <c r="B5" i="9"/>
  <c r="AH7" i="9"/>
  <c r="AO9" i="9"/>
  <c r="AM12" i="9"/>
  <c r="BA16" i="9"/>
  <c r="AH20" i="9"/>
  <c r="BC20" i="9"/>
  <c r="Y25" i="9"/>
  <c r="CL25" i="9"/>
  <c r="CL27" i="9"/>
  <c r="AO33" i="9"/>
  <c r="BQ35" i="9"/>
  <c r="BV35" i="9"/>
  <c r="CE35" i="9"/>
  <c r="AM36" i="9"/>
  <c r="AH36" i="9"/>
  <c r="BV42" i="9"/>
  <c r="BJ43" i="9"/>
  <c r="BO43" i="9"/>
  <c r="Y48" i="9"/>
  <c r="T48" i="9"/>
  <c r="BV53" i="9"/>
  <c r="CL53" i="9"/>
  <c r="CC54" i="9"/>
  <c r="CL54" i="9"/>
  <c r="AA57" i="9"/>
  <c r="AT57" i="9"/>
  <c r="BO57" i="9"/>
  <c r="BJ57" i="9"/>
  <c r="S55" i="8"/>
  <c r="BW55" i="8"/>
  <c r="BW58" i="8" s="1"/>
  <c r="CE9" i="8"/>
  <c r="AV16" i="8"/>
  <c r="CQ16" i="8"/>
  <c r="BJ17" i="8"/>
  <c r="CL17" i="8"/>
  <c r="AF18" i="8"/>
  <c r="AF19" i="8"/>
  <c r="AV26" i="8"/>
  <c r="AA27" i="8"/>
  <c r="BQ28" i="8"/>
  <c r="BJ35" i="8"/>
  <c r="BV38" i="8"/>
  <c r="CJ39" i="8"/>
  <c r="T40" i="8"/>
  <c r="BA40" i="8"/>
  <c r="CJ41" i="8"/>
  <c r="AH46" i="8"/>
  <c r="Y47" i="8"/>
  <c r="CQ50" i="8"/>
  <c r="AO53" i="8"/>
  <c r="CJ53" i="8"/>
  <c r="BQ54" i="8"/>
  <c r="CE54" i="8"/>
  <c r="AA57" i="8"/>
  <c r="BC57" i="8"/>
  <c r="CC7" i="9"/>
  <c r="BX7" i="9"/>
  <c r="BV10" i="9"/>
  <c r="BQ10" i="9"/>
  <c r="AF16" i="9"/>
  <c r="AA16" i="9"/>
  <c r="Y28" i="9"/>
  <c r="T28" i="9"/>
  <c r="CQ28" i="9"/>
  <c r="CE29" i="9"/>
  <c r="CJ29" i="9"/>
  <c r="BO31" i="9"/>
  <c r="BH37" i="9"/>
  <c r="CC39" i="9"/>
  <c r="BX39" i="9"/>
  <c r="BO40" i="9"/>
  <c r="BH49" i="9"/>
  <c r="CC49" i="9"/>
  <c r="BX49" i="9"/>
  <c r="BX54" i="9"/>
  <c r="AO57" i="9"/>
  <c r="T12" i="6"/>
  <c r="G16" i="6"/>
  <c r="AA26" i="6"/>
  <c r="E29" i="6"/>
  <c r="K29" i="6" s="1"/>
  <c r="AH54" i="6"/>
  <c r="L55" i="7"/>
  <c r="B14" i="7"/>
  <c r="AO21" i="7"/>
  <c r="BH25" i="7"/>
  <c r="R27" i="7"/>
  <c r="AA28" i="7"/>
  <c r="AO28" i="7"/>
  <c r="BC28" i="7"/>
  <c r="E32" i="7"/>
  <c r="T34" i="7"/>
  <c r="BX34" i="7"/>
  <c r="CE35" i="7"/>
  <c r="BO36" i="7"/>
  <c r="CE39" i="7"/>
  <c r="AO41" i="7"/>
  <c r="AV42" i="7"/>
  <c r="CL42" i="7"/>
  <c r="CL43" i="7"/>
  <c r="T44" i="7"/>
  <c r="AA45" i="7"/>
  <c r="AV46" i="7"/>
  <c r="BO47" i="7"/>
  <c r="AV48" i="7"/>
  <c r="AH50" i="7"/>
  <c r="AA53" i="7"/>
  <c r="AO54" i="7"/>
  <c r="CJ54" i="7"/>
  <c r="AH56" i="7"/>
  <c r="AV56" i="7"/>
  <c r="BX56" i="7"/>
  <c r="T4" i="8"/>
  <c r="CL4" i="8"/>
  <c r="BO5" i="8"/>
  <c r="CE5" i="8"/>
  <c r="AA6" i="8"/>
  <c r="CL6" i="8"/>
  <c r="AV9" i="8"/>
  <c r="B11" i="8"/>
  <c r="CE11" i="8"/>
  <c r="AO13" i="8"/>
  <c r="AA15" i="8"/>
  <c r="AM15" i="8"/>
  <c r="BC15" i="8"/>
  <c r="AH16" i="8"/>
  <c r="BJ18" i="8"/>
  <c r="AO20" i="8"/>
  <c r="AH21" i="8"/>
  <c r="AV21" i="8"/>
  <c r="BJ21" i="8"/>
  <c r="CL21" i="8"/>
  <c r="BC24" i="8"/>
  <c r="AV25" i="8"/>
  <c r="E26" i="8"/>
  <c r="R27" i="8"/>
  <c r="CL28" i="8"/>
  <c r="AV29" i="8"/>
  <c r="BX29" i="8"/>
  <c r="T31" i="8"/>
  <c r="AV33" i="8"/>
  <c r="AA34" i="8"/>
  <c r="BC34" i="8"/>
  <c r="AH35" i="8"/>
  <c r="AF37" i="8"/>
  <c r="T39" i="8"/>
  <c r="AH39" i="8"/>
  <c r="AH43" i="8"/>
  <c r="AH44" i="8"/>
  <c r="R45" i="8"/>
  <c r="AO47" i="8"/>
  <c r="AV49" i="8"/>
  <c r="AM51" i="8"/>
  <c r="BO51" i="8"/>
  <c r="BA52" i="8"/>
  <c r="BQ52" i="8"/>
  <c r="AA53" i="8"/>
  <c r="BC54" i="8"/>
  <c r="CL56" i="8"/>
  <c r="M57" i="8"/>
  <c r="AT57" i="8"/>
  <c r="CD55" i="9"/>
  <c r="CD58" i="9" s="1"/>
  <c r="Y7" i="9"/>
  <c r="CJ8" i="9"/>
  <c r="CE8" i="9"/>
  <c r="T12" i="9"/>
  <c r="AM13" i="9"/>
  <c r="B16" i="9"/>
  <c r="CQ19" i="9"/>
  <c r="CL19" i="9"/>
  <c r="AV21" i="9"/>
  <c r="CE21" i="9"/>
  <c r="Y23" i="9"/>
  <c r="T23" i="9"/>
  <c r="AO24" i="9"/>
  <c r="Y26" i="9"/>
  <c r="BJ27" i="9"/>
  <c r="BX28" i="9"/>
  <c r="CC28" i="9"/>
  <c r="CL28" i="9"/>
  <c r="BC30" i="9"/>
  <c r="AV31" i="9"/>
  <c r="BA31" i="9"/>
  <c r="BJ31" i="9"/>
  <c r="BC35" i="9"/>
  <c r="M37" i="9"/>
  <c r="AO37" i="9"/>
  <c r="BC37" i="9"/>
  <c r="CJ43" i="9"/>
  <c r="CE43" i="9"/>
  <c r="BC45" i="9"/>
  <c r="AA49" i="9"/>
  <c r="F49" i="9" s="1"/>
  <c r="BA49" i="9"/>
  <c r="BC51" i="9"/>
  <c r="AA53" i="9"/>
  <c r="AO53" i="9"/>
  <c r="AT53" i="9"/>
  <c r="BO54" i="9"/>
  <c r="BH27" i="7"/>
  <c r="BX27" i="7"/>
  <c r="AO33" i="7"/>
  <c r="CQ36" i="7"/>
  <c r="AT43" i="7"/>
  <c r="CC47" i="7"/>
  <c r="E57" i="7"/>
  <c r="K57" i="7" s="1"/>
  <c r="BC4" i="8"/>
  <c r="CD55" i="8"/>
  <c r="AF5" i="8"/>
  <c r="AF7" i="8"/>
  <c r="R12" i="8"/>
  <c r="Y14" i="8"/>
  <c r="BQ14" i="8"/>
  <c r="CE16" i="8"/>
  <c r="Y17" i="8"/>
  <c r="BA17" i="8"/>
  <c r="CC17" i="8"/>
  <c r="R18" i="8"/>
  <c r="BJ19" i="8"/>
  <c r="BQ22" i="8"/>
  <c r="BX23" i="8"/>
  <c r="AO24" i="8"/>
  <c r="CE25" i="8"/>
  <c r="BH28" i="8"/>
  <c r="T29" i="8"/>
  <c r="BO31" i="8"/>
  <c r="AH32" i="8"/>
  <c r="BJ32" i="8"/>
  <c r="T33" i="8"/>
  <c r="T35" i="8"/>
  <c r="BC36" i="8"/>
  <c r="BQ37" i="8"/>
  <c r="AT38" i="8"/>
  <c r="E41" i="8"/>
  <c r="K41" i="8" s="1"/>
  <c r="AO42" i="8"/>
  <c r="E44" i="8"/>
  <c r="K44" i="8" s="1"/>
  <c r="T44" i="8"/>
  <c r="CL47" i="8"/>
  <c r="AV48" i="8"/>
  <c r="BC51" i="8"/>
  <c r="CE51" i="8"/>
  <c r="Y52" i="8"/>
  <c r="BH53" i="8"/>
  <c r="AO54" i="8"/>
  <c r="BJ56" i="8"/>
  <c r="BX56" i="8"/>
  <c r="AF57" i="8"/>
  <c r="BH57" i="8"/>
  <c r="M8" i="9"/>
  <c r="AT11" i="9"/>
  <c r="CQ12" i="9"/>
  <c r="CC17" i="9"/>
  <c r="BX17" i="9"/>
  <c r="BA19" i="9"/>
  <c r="AV19" i="9"/>
  <c r="BC29" i="9"/>
  <c r="BH29" i="9"/>
  <c r="AA35" i="9"/>
  <c r="BJ38" i="9"/>
  <c r="BO38" i="9"/>
  <c r="BA39" i="9"/>
  <c r="AV39" i="9"/>
  <c r="AV49" i="9"/>
  <c r="BJ54" i="9"/>
  <c r="CE56" i="9"/>
  <c r="BQ57" i="9"/>
  <c r="BA10" i="6"/>
  <c r="AV14" i="6"/>
  <c r="E28" i="6"/>
  <c r="CL31" i="6"/>
  <c r="AA33" i="6"/>
  <c r="AO35" i="6"/>
  <c r="AV47" i="6"/>
  <c r="AV54" i="6"/>
  <c r="BA56" i="6"/>
  <c r="CL57" i="6"/>
  <c r="M4" i="7"/>
  <c r="AA10" i="7"/>
  <c r="AF11" i="7"/>
  <c r="AV16" i="7"/>
  <c r="AA18" i="7"/>
  <c r="AV19" i="7"/>
  <c r="T20" i="7"/>
  <c r="AA23" i="7"/>
  <c r="CJ23" i="7"/>
  <c r="T30" i="7"/>
  <c r="BC31" i="7"/>
  <c r="BC36" i="7"/>
  <c r="BQ36" i="7"/>
  <c r="CE36" i="7"/>
  <c r="BH37" i="7"/>
  <c r="BV37" i="7"/>
  <c r="BJ39" i="7"/>
  <c r="BX39" i="7"/>
  <c r="CC43" i="7"/>
  <c r="BA44" i="7"/>
  <c r="CE44" i="7"/>
  <c r="BO46" i="7"/>
  <c r="BQ47" i="7"/>
  <c r="BO48" i="7"/>
  <c r="M49" i="7"/>
  <c r="BJ51" i="7"/>
  <c r="CL54" i="7"/>
  <c r="BO56" i="7"/>
  <c r="CE4" i="8"/>
  <c r="B12" i="8"/>
  <c r="BQ12" i="8"/>
  <c r="E14" i="8"/>
  <c r="CJ14" i="8"/>
  <c r="BA18" i="8"/>
  <c r="B19" i="8"/>
  <c r="BJ20" i="8"/>
  <c r="CJ22" i="8"/>
  <c r="AO26" i="8"/>
  <c r="AT36" i="8"/>
  <c r="AM48" i="8"/>
  <c r="AF49" i="8"/>
  <c r="AF53" i="8"/>
  <c r="BV54" i="8"/>
  <c r="AV56" i="8"/>
  <c r="S55" i="9"/>
  <c r="B4" i="9"/>
  <c r="R24" i="9"/>
  <c r="E24" i="9"/>
  <c r="K24" i="9" s="1"/>
  <c r="CC25" i="9"/>
  <c r="AO29" i="9"/>
  <c r="AM31" i="9"/>
  <c r="R35" i="9"/>
  <c r="BH36" i="9"/>
  <c r="AM41" i="9"/>
  <c r="M42" i="9"/>
  <c r="R42" i="9"/>
  <c r="BJ46" i="9"/>
  <c r="Y47" i="9"/>
  <c r="AO47" i="9"/>
  <c r="E48" i="9"/>
  <c r="AF49" i="9"/>
  <c r="BJ52" i="9"/>
  <c r="BQ56" i="9"/>
  <c r="CL9" i="6"/>
  <c r="BO10" i="6"/>
  <c r="R11" i="6"/>
  <c r="Y12" i="6"/>
  <c r="E14" i="6"/>
  <c r="K14" i="6" s="1"/>
  <c r="AO17" i="6"/>
  <c r="BC17" i="6"/>
  <c r="T18" i="6"/>
  <c r="BJ18" i="6"/>
  <c r="CL19" i="6"/>
  <c r="T21" i="6"/>
  <c r="BO21" i="6"/>
  <c r="CC21" i="6"/>
  <c r="M24" i="6"/>
  <c r="AH25" i="6"/>
  <c r="AV25" i="6"/>
  <c r="AO31" i="6"/>
  <c r="BJ34" i="6"/>
  <c r="AH43" i="6"/>
  <c r="BQ45" i="6"/>
  <c r="AM48" i="6"/>
  <c r="BH52" i="6"/>
  <c r="AA53" i="6"/>
  <c r="AO53" i="6"/>
  <c r="BH57" i="6"/>
  <c r="BC12" i="7"/>
  <c r="BQ14" i="7"/>
  <c r="T16" i="7"/>
  <c r="BC17" i="7"/>
  <c r="AH21" i="7"/>
  <c r="CL21" i="7"/>
  <c r="CE22" i="7"/>
  <c r="M23" i="7"/>
  <c r="AO23" i="7"/>
  <c r="BV23" i="7"/>
  <c r="CL23" i="7"/>
  <c r="BQ25" i="7"/>
  <c r="T28" i="7"/>
  <c r="Y30" i="7"/>
  <c r="BQ30" i="7"/>
  <c r="BX33" i="7"/>
  <c r="AA35" i="7"/>
  <c r="BC35" i="7"/>
  <c r="M36" i="7"/>
  <c r="BH40" i="7"/>
  <c r="BO43" i="7"/>
  <c r="AV45" i="7"/>
  <c r="CC45" i="7"/>
  <c r="AO46" i="7"/>
  <c r="BC47" i="7"/>
  <c r="CE47" i="7"/>
  <c r="AA48" i="7"/>
  <c r="AO48" i="7"/>
  <c r="CE51" i="7"/>
  <c r="AO52" i="7"/>
  <c r="AH57" i="7"/>
  <c r="R6" i="8"/>
  <c r="CE6" i="8"/>
  <c r="CJ7" i="8"/>
  <c r="AF8" i="8"/>
  <c r="AO10" i="8"/>
  <c r="BX11" i="8"/>
  <c r="CE12" i="8"/>
  <c r="E16" i="8"/>
  <c r="K16" i="8" s="1"/>
  <c r="CE18" i="8"/>
  <c r="E21" i="8"/>
  <c r="K21" i="8" s="1"/>
  <c r="BX24" i="8"/>
  <c r="E27" i="8"/>
  <c r="K27" i="8" s="1"/>
  <c r="AM29" i="8"/>
  <c r="BQ29" i="8"/>
  <c r="BC31" i="8"/>
  <c r="AO33" i="8"/>
  <c r="AV34" i="8"/>
  <c r="BC35" i="8"/>
  <c r="AO37" i="8"/>
  <c r="CJ37" i="8"/>
  <c r="CE38" i="8"/>
  <c r="BH39" i="8"/>
  <c r="CC40" i="8"/>
  <c r="BH41" i="8"/>
  <c r="BJ47" i="8"/>
  <c r="BQ48" i="8"/>
  <c r="BQ49" i="8"/>
  <c r="T50" i="8"/>
  <c r="AV50" i="8"/>
  <c r="BJ50" i="8"/>
  <c r="CE50" i="8"/>
  <c r="CQ52" i="8"/>
  <c r="AA54" i="8"/>
  <c r="BC5" i="9"/>
  <c r="AH6" i="9"/>
  <c r="CC6" i="9"/>
  <c r="CE9" i="9"/>
  <c r="BX10" i="9"/>
  <c r="T14" i="9"/>
  <c r="Y15" i="9"/>
  <c r="E15" i="9"/>
  <c r="CJ21" i="9"/>
  <c r="BC22" i="9"/>
  <c r="M24" i="9"/>
  <c r="AH27" i="9"/>
  <c r="AV28" i="9"/>
  <c r="BA28" i="9"/>
  <c r="AA30" i="9"/>
  <c r="Y31" i="9"/>
  <c r="E31" i="9"/>
  <c r="K31" i="9" s="1"/>
  <c r="AH31" i="9"/>
  <c r="BQ31" i="9"/>
  <c r="BV31" i="9"/>
  <c r="Y32" i="9"/>
  <c r="BQ33" i="9"/>
  <c r="M35" i="9"/>
  <c r="BX36" i="9"/>
  <c r="E40" i="9"/>
  <c r="K40" i="9" s="1"/>
  <c r="AJ41" i="9"/>
  <c r="H41" i="9" s="1"/>
  <c r="CJ42" i="9"/>
  <c r="CE42" i="9"/>
  <c r="AF45" i="9"/>
  <c r="AA45" i="9"/>
  <c r="CJ46" i="9"/>
  <c r="T49" i="9"/>
  <c r="E49" i="9"/>
  <c r="B52" i="9"/>
  <c r="R52" i="9"/>
  <c r="AV52" i="9"/>
  <c r="BA54" i="9"/>
  <c r="AV54" i="9"/>
  <c r="CL57" i="9"/>
  <c r="AT9" i="10"/>
  <c r="AC10" i="10"/>
  <c r="AQ10" i="10"/>
  <c r="BV12" i="10"/>
  <c r="V13" i="10"/>
  <c r="BA24" i="10"/>
  <c r="AV24" i="10"/>
  <c r="Y31" i="10"/>
  <c r="AY36" i="10"/>
  <c r="AX36" i="10" s="1"/>
  <c r="BL39" i="10"/>
  <c r="AM45" i="10"/>
  <c r="BA47" i="10"/>
  <c r="BT50" i="10"/>
  <c r="BS50" i="10" s="1"/>
  <c r="BA10" i="13"/>
  <c r="AX10" i="13"/>
  <c r="CE11" i="13"/>
  <c r="CE11" i="14" s="1"/>
  <c r="CJ11" i="13"/>
  <c r="BH6" i="10"/>
  <c r="BS6" i="10"/>
  <c r="CL8" i="10"/>
  <c r="J9" i="10"/>
  <c r="CL9" i="10"/>
  <c r="AO11" i="10"/>
  <c r="AJ13" i="10"/>
  <c r="BZ13" i="10"/>
  <c r="AH14" i="10"/>
  <c r="BL14" i="10"/>
  <c r="BZ15" i="10"/>
  <c r="B16" i="10"/>
  <c r="AO17" i="10"/>
  <c r="AT17" i="10"/>
  <c r="BO17" i="10"/>
  <c r="BJ17" i="10"/>
  <c r="Y19" i="10"/>
  <c r="T19" i="10"/>
  <c r="CC19" i="10"/>
  <c r="BX19" i="10"/>
  <c r="CC21" i="10"/>
  <c r="BX21" i="10"/>
  <c r="AF22" i="10"/>
  <c r="AM24" i="10"/>
  <c r="AH24" i="10"/>
  <c r="AM25" i="10"/>
  <c r="BQ27" i="10"/>
  <c r="BH29" i="10"/>
  <c r="CC29" i="10"/>
  <c r="BX29" i="10"/>
  <c r="AR30" i="10"/>
  <c r="AQ30" i="10" s="1"/>
  <c r="AQ31" i="10"/>
  <c r="BH34" i="10"/>
  <c r="T35" i="10"/>
  <c r="AX37" i="10"/>
  <c r="Y38" i="10"/>
  <c r="V38" i="10"/>
  <c r="CG40" i="10"/>
  <c r="BJ42" i="10"/>
  <c r="AF43" i="10"/>
  <c r="AA43" i="10"/>
  <c r="E45" i="10"/>
  <c r="K45" i="10" s="1"/>
  <c r="T45" i="10"/>
  <c r="BE45" i="10"/>
  <c r="CL47" i="10"/>
  <c r="BV48" i="10"/>
  <c r="E53" i="10"/>
  <c r="CJ8" i="13"/>
  <c r="BE7" i="10"/>
  <c r="BE8" i="10"/>
  <c r="BE9" i="10"/>
  <c r="CL14" i="10"/>
  <c r="AR15" i="10"/>
  <c r="AQ15" i="10" s="1"/>
  <c r="BH15" i="10"/>
  <c r="BX18" i="10"/>
  <c r="CC18" i="10"/>
  <c r="BJ26" i="10"/>
  <c r="BO26" i="10"/>
  <c r="R27" i="10"/>
  <c r="M27" i="10"/>
  <c r="BC29" i="10"/>
  <c r="BO30" i="10"/>
  <c r="BM30" i="10"/>
  <c r="BL30" i="10" s="1"/>
  <c r="AT31" i="10"/>
  <c r="BO31" i="10"/>
  <c r="BJ31" i="10"/>
  <c r="BH32" i="10"/>
  <c r="BC32" i="10"/>
  <c r="BV37" i="10"/>
  <c r="BQ37" i="10"/>
  <c r="AA38" i="10"/>
  <c r="Y40" i="10"/>
  <c r="T40" i="10"/>
  <c r="AC40" i="10"/>
  <c r="R43" i="10"/>
  <c r="M43" i="10"/>
  <c r="AY48" i="10"/>
  <c r="AX48" i="10" s="1"/>
  <c r="BT48" i="10"/>
  <c r="BS48" i="10"/>
  <c r="AV57" i="10"/>
  <c r="BA57" i="10"/>
  <c r="V4" i="13"/>
  <c r="V4" i="14" s="1"/>
  <c r="J4" i="13"/>
  <c r="AO5" i="10"/>
  <c r="CJ22" i="10"/>
  <c r="CE22" i="10"/>
  <c r="BC25" i="10"/>
  <c r="BH25" i="10"/>
  <c r="BX34" i="10"/>
  <c r="BX35" i="10"/>
  <c r="CN36" i="10"/>
  <c r="BT39" i="10"/>
  <c r="BS39" i="10" s="1"/>
  <c r="R42" i="10"/>
  <c r="M42" i="10"/>
  <c r="AY43" i="10"/>
  <c r="AX43" i="10" s="1"/>
  <c r="CQ47" i="10"/>
  <c r="BE9" i="13"/>
  <c r="BE9" i="14" s="1"/>
  <c r="BH9" i="13"/>
  <c r="AG55" i="9"/>
  <c r="AO25" i="9"/>
  <c r="BQ25" i="9"/>
  <c r="E26" i="9"/>
  <c r="AA26" i="9"/>
  <c r="CL32" i="9"/>
  <c r="AA43" i="9"/>
  <c r="AF48" i="9"/>
  <c r="AA4" i="10"/>
  <c r="BJ7" i="10"/>
  <c r="BV7" i="10"/>
  <c r="CQ7" i="10"/>
  <c r="BJ8" i="10"/>
  <c r="CQ8" i="10"/>
  <c r="AM9" i="10"/>
  <c r="T10" i="10"/>
  <c r="BQ10" i="10"/>
  <c r="CE10" i="10"/>
  <c r="AH11" i="10"/>
  <c r="M13" i="10"/>
  <c r="AX13" i="10"/>
  <c r="BQ13" i="10"/>
  <c r="BV14" i="10"/>
  <c r="B15" i="10"/>
  <c r="AV15" i="10"/>
  <c r="CJ15" i="10"/>
  <c r="CE15" i="10"/>
  <c r="CJ16" i="10"/>
  <c r="M17" i="10"/>
  <c r="R17" i="10"/>
  <c r="E19" i="10"/>
  <c r="K19" i="10" s="1"/>
  <c r="Y21" i="10"/>
  <c r="T21" i="10"/>
  <c r="AT21" i="10"/>
  <c r="AO21" i="10"/>
  <c r="BH22" i="10"/>
  <c r="BC22" i="10"/>
  <c r="CE23" i="10"/>
  <c r="Y24" i="10"/>
  <c r="BV27" i="10"/>
  <c r="J30" i="10"/>
  <c r="AO32" i="10"/>
  <c r="Y35" i="10"/>
  <c r="BO42" i="10"/>
  <c r="BH43" i="10"/>
  <c r="BL43" i="10"/>
  <c r="Y45" i="10"/>
  <c r="BO47" i="10"/>
  <c r="BJ47" i="10"/>
  <c r="CC47" i="10"/>
  <c r="BX47" i="10"/>
  <c r="AH48" i="10"/>
  <c r="AH4" i="9"/>
  <c r="AV5" i="9"/>
  <c r="E7" i="9"/>
  <c r="K7" i="9" s="1"/>
  <c r="BC8" i="9"/>
  <c r="BQ8" i="9"/>
  <c r="BC12" i="9"/>
  <c r="AA15" i="9"/>
  <c r="AA32" i="9"/>
  <c r="R36" i="9"/>
  <c r="AM38" i="9"/>
  <c r="BC38" i="9"/>
  <c r="B39" i="9"/>
  <c r="AA40" i="9"/>
  <c r="AA42" i="9"/>
  <c r="AM42" i="9"/>
  <c r="AM43" i="9"/>
  <c r="BX45" i="9"/>
  <c r="AH48" i="9"/>
  <c r="Y51" i="9"/>
  <c r="T54" i="9"/>
  <c r="AV4" i="10"/>
  <c r="BC5" i="10"/>
  <c r="BC6" i="10"/>
  <c r="BL6" i="10"/>
  <c r="CL7" i="10"/>
  <c r="T8" i="10"/>
  <c r="AJ9" i="10"/>
  <c r="CG9" i="10"/>
  <c r="J10" i="10"/>
  <c r="AT10" i="10"/>
  <c r="BA10" i="10"/>
  <c r="CG10" i="10"/>
  <c r="AJ11" i="10"/>
  <c r="T12" i="10"/>
  <c r="BA12" i="10"/>
  <c r="BS12" i="10"/>
  <c r="CJ12" i="10"/>
  <c r="CN12" i="10"/>
  <c r="BH14" i="10"/>
  <c r="G15" i="10"/>
  <c r="AC15" i="10"/>
  <c r="BV16" i="10"/>
  <c r="CQ16" i="10"/>
  <c r="BO21" i="10"/>
  <c r="BJ21" i="10"/>
  <c r="CC24" i="10"/>
  <c r="AM26" i="10"/>
  <c r="B29" i="10"/>
  <c r="AM30" i="10"/>
  <c r="BC30" i="10"/>
  <c r="CN30" i="10"/>
  <c r="AV34" i="10"/>
  <c r="B35" i="10"/>
  <c r="AF35" i="10"/>
  <c r="AA35" i="10"/>
  <c r="AV35" i="10"/>
  <c r="BX39" i="10"/>
  <c r="Y41" i="10"/>
  <c r="B41" i="10"/>
  <c r="BH41" i="10"/>
  <c r="BC41" i="10"/>
  <c r="BQ42" i="10"/>
  <c r="BV42" i="10"/>
  <c r="BC43" i="10"/>
  <c r="AC44" i="10"/>
  <c r="BL44" i="10"/>
  <c r="AM46" i="10"/>
  <c r="AH46" i="10"/>
  <c r="BA46" i="10"/>
  <c r="AV46" i="10"/>
  <c r="AF47" i="10"/>
  <c r="AA47" i="10"/>
  <c r="AT54" i="10"/>
  <c r="AO54" i="10"/>
  <c r="L55" i="9"/>
  <c r="BB55" i="9"/>
  <c r="AT6" i="9"/>
  <c r="B9" i="9"/>
  <c r="BC10" i="9"/>
  <c r="E11" i="9"/>
  <c r="K11" i="9" s="1"/>
  <c r="BA13" i="9"/>
  <c r="AM14" i="9"/>
  <c r="BV14" i="9"/>
  <c r="CL15" i="9"/>
  <c r="M16" i="9"/>
  <c r="CL22" i="9"/>
  <c r="AV24" i="9"/>
  <c r="M26" i="9"/>
  <c r="AO27" i="9"/>
  <c r="BQ27" i="9"/>
  <c r="BQ28" i="9"/>
  <c r="T29" i="9"/>
  <c r="BX29" i="9"/>
  <c r="AH30" i="9"/>
  <c r="BJ30" i="9"/>
  <c r="CL30" i="9"/>
  <c r="BX32" i="9"/>
  <c r="AH34" i="9"/>
  <c r="AV37" i="9"/>
  <c r="CJ37" i="9"/>
  <c r="T39" i="9"/>
  <c r="CL41" i="9"/>
  <c r="AO42" i="9"/>
  <c r="CQ45" i="9"/>
  <c r="CC47" i="9"/>
  <c r="AM49" i="9"/>
  <c r="R50" i="9"/>
  <c r="BE6" i="10"/>
  <c r="BV6" i="10"/>
  <c r="CA6" i="10"/>
  <c r="BH7" i="10"/>
  <c r="BL7" i="10"/>
  <c r="AM8" i="10"/>
  <c r="BA9" i="10"/>
  <c r="BL9" i="10"/>
  <c r="Y10" i="10"/>
  <c r="V12" i="10"/>
  <c r="R13" i="10"/>
  <c r="BV13" i="10"/>
  <c r="CE13" i="10"/>
  <c r="AM14" i="10"/>
  <c r="BO14" i="10"/>
  <c r="BQ14" i="10"/>
  <c r="AM15" i="10"/>
  <c r="AH15" i="10"/>
  <c r="CG15" i="10"/>
  <c r="CN16" i="10"/>
  <c r="AM17" i="10"/>
  <c r="AH17" i="10"/>
  <c r="BA19" i="10"/>
  <c r="AV19" i="10"/>
  <c r="BV22" i="10"/>
  <c r="BA23" i="10"/>
  <c r="AF27" i="10"/>
  <c r="AA27" i="10"/>
  <c r="BA29" i="10"/>
  <c r="AV29" i="10"/>
  <c r="AJ30" i="10"/>
  <c r="BS31" i="10"/>
  <c r="CQ31" i="10"/>
  <c r="CC34" i="10"/>
  <c r="CC35" i="10"/>
  <c r="AD36" i="10"/>
  <c r="AC36" i="10" s="1"/>
  <c r="BS38" i="10"/>
  <c r="BF39" i="10"/>
  <c r="BE39" i="10" s="1"/>
  <c r="AM42" i="10"/>
  <c r="AH44" i="10"/>
  <c r="AY45" i="10"/>
  <c r="AX45" i="10" s="1"/>
  <c r="O46" i="10"/>
  <c r="AY46" i="10"/>
  <c r="AX46" i="10" s="1"/>
  <c r="BX5" i="13"/>
  <c r="BX5" i="14" s="1"/>
  <c r="CC5" i="13"/>
  <c r="J9" i="13"/>
  <c r="BX9" i="9"/>
  <c r="B24" i="9"/>
  <c r="AT25" i="9"/>
  <c r="BV25" i="9"/>
  <c r="AF26" i="9"/>
  <c r="CQ26" i="9"/>
  <c r="AA27" i="9"/>
  <c r="AV30" i="9"/>
  <c r="AF32" i="9"/>
  <c r="AT32" i="9"/>
  <c r="AH40" i="9"/>
  <c r="CL43" i="9"/>
  <c r="BX52" i="9"/>
  <c r="AT5" i="10"/>
  <c r="BZ7" i="10"/>
  <c r="V8" i="10"/>
  <c r="BH8" i="10"/>
  <c r="Y9" i="10"/>
  <c r="BC9" i="10"/>
  <c r="CQ12" i="10"/>
  <c r="AQ13" i="10"/>
  <c r="CQ14" i="10"/>
  <c r="CC15" i="10"/>
  <c r="T18" i="10"/>
  <c r="AT20" i="10"/>
  <c r="AO20" i="10"/>
  <c r="BV25" i="10"/>
  <c r="AO31" i="10"/>
  <c r="CE35" i="10"/>
  <c r="CJ35" i="10"/>
  <c r="BO36" i="10"/>
  <c r="AR37" i="10"/>
  <c r="AQ37" i="10"/>
  <c r="T38" i="10"/>
  <c r="BE38" i="10"/>
  <c r="BO39" i="10"/>
  <c r="CJ40" i="10"/>
  <c r="CE40" i="10"/>
  <c r="AO42" i="10"/>
  <c r="AT42" i="10"/>
  <c r="P44" i="10"/>
  <c r="BV44" i="10"/>
  <c r="BQ44" i="10"/>
  <c r="P45" i="10"/>
  <c r="O45" i="10" s="1"/>
  <c r="CQ46" i="10"/>
  <c r="CL46" i="10"/>
  <c r="AC47" i="10"/>
  <c r="AA50" i="10"/>
  <c r="BV50" i="10"/>
  <c r="R9" i="13"/>
  <c r="M9" i="13"/>
  <c r="M9" i="14" s="1"/>
  <c r="AM14" i="13"/>
  <c r="BA14" i="13"/>
  <c r="BS14" i="13"/>
  <c r="BS14" i="14" s="1"/>
  <c r="CJ23" i="13"/>
  <c r="CE23" i="13"/>
  <c r="CE23" i="14" s="1"/>
  <c r="AO30" i="13"/>
  <c r="AO30" i="14" s="1"/>
  <c r="Y31" i="13"/>
  <c r="V31" i="13"/>
  <c r="V31" i="14" s="1"/>
  <c r="BQ32" i="13"/>
  <c r="BQ32" i="14" s="1"/>
  <c r="AF34" i="13"/>
  <c r="AF38" i="13"/>
  <c r="Y44" i="13"/>
  <c r="T44" i="13"/>
  <c r="T44" i="14" s="1"/>
  <c r="CC50" i="13"/>
  <c r="BX50" i="13"/>
  <c r="BX50" i="14" s="1"/>
  <c r="AQ49" i="10"/>
  <c r="CO49" i="10"/>
  <c r="CN49" i="10" s="1"/>
  <c r="CN50" i="10"/>
  <c r="BT51" i="10"/>
  <c r="BS51" i="10" s="1"/>
  <c r="BH54" i="10"/>
  <c r="BQ54" i="10"/>
  <c r="J56" i="10"/>
  <c r="G5" i="13"/>
  <c r="BA5" i="13"/>
  <c r="BH10" i="13"/>
  <c r="E12" i="13"/>
  <c r="J12" i="13"/>
  <c r="R14" i="13"/>
  <c r="AT16" i="13"/>
  <c r="AQ16" i="13"/>
  <c r="BA26" i="13"/>
  <c r="AV26" i="13"/>
  <c r="AV26" i="14" s="1"/>
  <c r="BV28" i="13"/>
  <c r="BQ28" i="13"/>
  <c r="BQ28" i="14" s="1"/>
  <c r="BO30" i="13"/>
  <c r="CL31" i="13"/>
  <c r="CL31" i="14" s="1"/>
  <c r="BH32" i="13"/>
  <c r="BC32" i="13"/>
  <c r="BC32" i="14" s="1"/>
  <c r="AA34" i="13"/>
  <c r="AA34" i="14" s="1"/>
  <c r="CQ37" i="13"/>
  <c r="CN37" i="13"/>
  <c r="CN37" i="14" s="1"/>
  <c r="BZ48" i="10"/>
  <c r="CN51" i="10"/>
  <c r="AQ54" i="10"/>
  <c r="BE54" i="10"/>
  <c r="AH5" i="13"/>
  <c r="AH5" i="14" s="1"/>
  <c r="BJ5" i="13"/>
  <c r="BJ5" i="14" s="1"/>
  <c r="BC7" i="13"/>
  <c r="BC7" i="14" s="1"/>
  <c r="AO10" i="13"/>
  <c r="AO10" i="14" s="1"/>
  <c r="BC10" i="13"/>
  <c r="BC10" i="14" s="1"/>
  <c r="AA13" i="13"/>
  <c r="AA13" i="14" s="1"/>
  <c r="BC13" i="13"/>
  <c r="BC13" i="14" s="1"/>
  <c r="M14" i="13"/>
  <c r="M14" i="14" s="1"/>
  <c r="CJ17" i="13"/>
  <c r="CE17" i="13"/>
  <c r="CE17" i="14" s="1"/>
  <c r="BV18" i="13"/>
  <c r="BQ18" i="13"/>
  <c r="BQ18" i="14" s="1"/>
  <c r="AO20" i="13"/>
  <c r="AO20" i="14" s="1"/>
  <c r="AO23" i="13"/>
  <c r="AO23" i="14" s="1"/>
  <c r="AM25" i="13"/>
  <c r="AF28" i="13"/>
  <c r="AA28" i="13"/>
  <c r="AA28" i="14" s="1"/>
  <c r="BV32" i="13"/>
  <c r="BX33" i="13"/>
  <c r="BX33" i="14" s="1"/>
  <c r="BJ34" i="13"/>
  <c r="BJ34" i="14" s="1"/>
  <c r="R35" i="13"/>
  <c r="M35" i="13"/>
  <c r="M35" i="14" s="1"/>
  <c r="BV35" i="13"/>
  <c r="BH39" i="13"/>
  <c r="BE39" i="13"/>
  <c r="BE39" i="14" s="1"/>
  <c r="BQ49" i="13"/>
  <c r="BQ49" i="14" s="1"/>
  <c r="Y51" i="13"/>
  <c r="B51" i="13"/>
  <c r="T51" i="13"/>
  <c r="T51" i="14" s="1"/>
  <c r="AV18" i="10"/>
  <c r="AA20" i="10"/>
  <c r="AA30" i="10"/>
  <c r="BO33" i="10"/>
  <c r="E34" i="10"/>
  <c r="K34" i="10" s="1"/>
  <c r="BO37" i="10"/>
  <c r="CL41" i="10"/>
  <c r="CC48" i="10"/>
  <c r="AH50" i="10"/>
  <c r="AX51" i="10"/>
  <c r="BQ52" i="10"/>
  <c r="AH53" i="10"/>
  <c r="BS54" i="10"/>
  <c r="AX56" i="10"/>
  <c r="BQ56" i="10"/>
  <c r="AE55" i="13"/>
  <c r="B5" i="13"/>
  <c r="AA6" i="13"/>
  <c r="AA6" i="14" s="1"/>
  <c r="AQ6" i="13"/>
  <c r="BS7" i="13"/>
  <c r="BX8" i="13"/>
  <c r="BX8" i="14" s="1"/>
  <c r="BX10" i="13"/>
  <c r="BX10" i="14" s="1"/>
  <c r="BC11" i="13"/>
  <c r="BC11" i="14" s="1"/>
  <c r="R12" i="13"/>
  <c r="BO12" i="13"/>
  <c r="BZ14" i="13"/>
  <c r="BZ14" i="14" s="1"/>
  <c r="AX16" i="13"/>
  <c r="AV19" i="13"/>
  <c r="AV19" i="14" s="1"/>
  <c r="BA19" i="13"/>
  <c r="R22" i="13"/>
  <c r="M22" i="13"/>
  <c r="M22" i="14" s="1"/>
  <c r="AA29" i="13"/>
  <c r="AA29" i="14" s="1"/>
  <c r="BH29" i="13"/>
  <c r="AA31" i="13"/>
  <c r="AA31" i="14" s="1"/>
  <c r="CC31" i="13"/>
  <c r="CQ31" i="13"/>
  <c r="CE34" i="13"/>
  <c r="CE34" i="14" s="1"/>
  <c r="CJ34" i="13"/>
  <c r="BC35" i="13"/>
  <c r="BC35" i="14" s="1"/>
  <c r="BQ35" i="13"/>
  <c r="BQ35" i="14" s="1"/>
  <c r="AH36" i="13"/>
  <c r="AH36" i="14" s="1"/>
  <c r="AM36" i="13"/>
  <c r="R37" i="13"/>
  <c r="AF5" i="13"/>
  <c r="J5" i="13"/>
  <c r="CJ6" i="13"/>
  <c r="BX11" i="13"/>
  <c r="BX11" i="14" s="1"/>
  <c r="BV12" i="13"/>
  <c r="J13" i="13"/>
  <c r="BX15" i="13"/>
  <c r="BX15" i="14" s="1"/>
  <c r="BV17" i="13"/>
  <c r="BQ17" i="13"/>
  <c r="BQ17" i="14" s="1"/>
  <c r="AV18" i="13"/>
  <c r="AV18" i="14" s="1"/>
  <c r="BA18" i="13"/>
  <c r="R28" i="13"/>
  <c r="R29" i="13"/>
  <c r="CJ31" i="13"/>
  <c r="CE31" i="13"/>
  <c r="CE31" i="14" s="1"/>
  <c r="J37" i="13"/>
  <c r="AJ37" i="13"/>
  <c r="AJ37" i="14" s="1"/>
  <c r="AM38" i="13"/>
  <c r="AJ38" i="13"/>
  <c r="AJ38" i="14" s="1"/>
  <c r="CC43" i="13"/>
  <c r="BZ43" i="13"/>
  <c r="J45" i="13"/>
  <c r="V45" i="13"/>
  <c r="BO50" i="13"/>
  <c r="BJ50" i="13"/>
  <c r="BJ50" i="14" s="1"/>
  <c r="CC14" i="10"/>
  <c r="BJ16" i="10"/>
  <c r="CL17" i="10"/>
  <c r="CQ21" i="10"/>
  <c r="CE31" i="10"/>
  <c r="AJ36" i="10"/>
  <c r="BV39" i="10"/>
  <c r="CE39" i="10"/>
  <c r="AC43" i="10"/>
  <c r="BA43" i="10"/>
  <c r="AJ44" i="10"/>
  <c r="V45" i="10"/>
  <c r="BX45" i="10"/>
  <c r="CN45" i="10"/>
  <c r="AJ46" i="10"/>
  <c r="BH49" i="10"/>
  <c r="AM51" i="10"/>
  <c r="BA51" i="10"/>
  <c r="BO52" i="10"/>
  <c r="Y53" i="10"/>
  <c r="BZ53" i="10"/>
  <c r="BV54" i="10"/>
  <c r="CL54" i="10"/>
  <c r="BZ57" i="10"/>
  <c r="CN57" i="10"/>
  <c r="M6" i="13"/>
  <c r="M6" i="14" s="1"/>
  <c r="CE6" i="13"/>
  <c r="CE6" i="14" s="1"/>
  <c r="R8" i="13"/>
  <c r="AF8" i="13"/>
  <c r="BQ9" i="13"/>
  <c r="BQ9" i="14" s="1"/>
  <c r="J10" i="13"/>
  <c r="AV10" i="13"/>
  <c r="AV10" i="14" s="1"/>
  <c r="BH11" i="13"/>
  <c r="CL11" i="13"/>
  <c r="CL11" i="14" s="1"/>
  <c r="AT13" i="13"/>
  <c r="BH13" i="13"/>
  <c r="AH14" i="13"/>
  <c r="AH14" i="14" s="1"/>
  <c r="J15" i="13"/>
  <c r="AT15" i="13"/>
  <c r="E16" i="13"/>
  <c r="AF16" i="13"/>
  <c r="AV17" i="13"/>
  <c r="AV17" i="14" s="1"/>
  <c r="AF23" i="13"/>
  <c r="AA23" i="13"/>
  <c r="AA23" i="14" s="1"/>
  <c r="CE25" i="13"/>
  <c r="CE25" i="14" s="1"/>
  <c r="M29" i="13"/>
  <c r="M29" i="14" s="1"/>
  <c r="Y36" i="13"/>
  <c r="AO38" i="13"/>
  <c r="AO38" i="14" s="1"/>
  <c r="CC45" i="13"/>
  <c r="BX45" i="13"/>
  <c r="BX45" i="14" s="1"/>
  <c r="B50" i="13"/>
  <c r="CJ14" i="10"/>
  <c r="AX15" i="10"/>
  <c r="BA16" i="10"/>
  <c r="BA18" i="10"/>
  <c r="CE19" i="10"/>
  <c r="AF20" i="10"/>
  <c r="AO24" i="10"/>
  <c r="E33" i="10"/>
  <c r="K33" i="10" s="1"/>
  <c r="CL33" i="10"/>
  <c r="T34" i="10"/>
  <c r="CQ36" i="10"/>
  <c r="M37" i="10"/>
  <c r="CC38" i="10"/>
  <c r="CC40" i="10"/>
  <c r="CQ40" i="10"/>
  <c r="BJ41" i="10"/>
  <c r="BC45" i="10"/>
  <c r="BQ51" i="10"/>
  <c r="BQ53" i="10"/>
  <c r="Y56" i="10"/>
  <c r="AO56" i="10"/>
  <c r="BV56" i="10"/>
  <c r="M5" i="13"/>
  <c r="M5" i="14" s="1"/>
  <c r="AA5" i="13"/>
  <c r="AA5" i="14" s="1"/>
  <c r="BC5" i="13"/>
  <c r="BC5" i="14" s="1"/>
  <c r="AV6" i="13"/>
  <c r="AV6" i="14" s="1"/>
  <c r="BQ6" i="13"/>
  <c r="BQ6" i="14" s="1"/>
  <c r="BH7" i="13"/>
  <c r="T8" i="13"/>
  <c r="T8" i="14" s="1"/>
  <c r="BA9" i="13"/>
  <c r="CE9" i="13"/>
  <c r="CE9" i="14" s="1"/>
  <c r="R10" i="13"/>
  <c r="CC10" i="13"/>
  <c r="CJ14" i="13"/>
  <c r="BQ20" i="13"/>
  <c r="BQ20" i="14" s="1"/>
  <c r="BO21" i="13"/>
  <c r="B24" i="13"/>
  <c r="BJ26" i="13"/>
  <c r="BJ26" i="14" s="1"/>
  <c r="CJ27" i="13"/>
  <c r="CE27" i="13"/>
  <c r="CE27" i="14" s="1"/>
  <c r="CE28" i="13"/>
  <c r="CE28" i="14" s="1"/>
  <c r="Y30" i="13"/>
  <c r="E30" i="13"/>
  <c r="AH30" i="13"/>
  <c r="AH30" i="14" s="1"/>
  <c r="BQ31" i="13"/>
  <c r="BQ31" i="14" s="1"/>
  <c r="BO33" i="13"/>
  <c r="AT34" i="13"/>
  <c r="AO34" i="13"/>
  <c r="AO34" i="14" s="1"/>
  <c r="BC34" i="13"/>
  <c r="BC34" i="14" s="1"/>
  <c r="BH34" i="13"/>
  <c r="J35" i="13"/>
  <c r="T36" i="13"/>
  <c r="T36" i="14" s="1"/>
  <c r="Y37" i="13"/>
  <c r="V37" i="13"/>
  <c r="V37" i="14" s="1"/>
  <c r="BJ37" i="13"/>
  <c r="BJ37" i="14" s="1"/>
  <c r="BO37" i="13"/>
  <c r="B38" i="13"/>
  <c r="BQ17" i="10"/>
  <c r="AA19" i="10"/>
  <c r="BC19" i="10"/>
  <c r="BQ24" i="10"/>
  <c r="CQ25" i="10"/>
  <c r="BJ27" i="10"/>
  <c r="AT28" i="10"/>
  <c r="BX28" i="10"/>
  <c r="BQ34" i="10"/>
  <c r="BO35" i="10"/>
  <c r="CJ39" i="10"/>
  <c r="AF40" i="10"/>
  <c r="AO40" i="10"/>
  <c r="BX40" i="10"/>
  <c r="AH41" i="10"/>
  <c r="AV41" i="10"/>
  <c r="CQ41" i="10"/>
  <c r="AT52" i="10"/>
  <c r="J54" i="10"/>
  <c r="CC7" i="13"/>
  <c r="CC8" i="13"/>
  <c r="BV9" i="13"/>
  <c r="T10" i="13"/>
  <c r="T10" i="14" s="1"/>
  <c r="CC11" i="13"/>
  <c r="CQ11" i="13"/>
  <c r="CQ13" i="13"/>
  <c r="CJ16" i="13"/>
  <c r="CE22" i="13"/>
  <c r="CE22" i="14" s="1"/>
  <c r="CJ22" i="13"/>
  <c r="AH32" i="13"/>
  <c r="AH32" i="14" s="1"/>
  <c r="AF35" i="13"/>
  <c r="AA35" i="13"/>
  <c r="AA35" i="14" s="1"/>
  <c r="BO36" i="13"/>
  <c r="BL36" i="13"/>
  <c r="BL36" i="14" s="1"/>
  <c r="BA50" i="13"/>
  <c r="AV50" i="13"/>
  <c r="AV50" i="14" s="1"/>
  <c r="AM39" i="13"/>
  <c r="AV40" i="13"/>
  <c r="AV40" i="14" s="1"/>
  <c r="AO41" i="13"/>
  <c r="AO41" i="14" s="1"/>
  <c r="BC42" i="13"/>
  <c r="BC42" i="14" s="1"/>
  <c r="BH43" i="13"/>
  <c r="AM49" i="13"/>
  <c r="J54" i="13"/>
  <c r="K54" i="13" s="1"/>
  <c r="CE36" i="13"/>
  <c r="CE36" i="14" s="1"/>
  <c r="T40" i="13"/>
  <c r="T40" i="14" s="1"/>
  <c r="AX40" i="13"/>
  <c r="BH41" i="13"/>
  <c r="J43" i="13"/>
  <c r="J44" i="13"/>
  <c r="BH44" i="13"/>
  <c r="AO45" i="13"/>
  <c r="AO45" i="14" s="1"/>
  <c r="BC48" i="13"/>
  <c r="BC48" i="14" s="1"/>
  <c r="CL50" i="13"/>
  <c r="CL50" i="14" s="1"/>
  <c r="BJ51" i="13"/>
  <c r="BJ51" i="14" s="1"/>
  <c r="BX51" i="13"/>
  <c r="BX51" i="14" s="1"/>
  <c r="CE52" i="13"/>
  <c r="CE52" i="14" s="1"/>
  <c r="Y54" i="13"/>
  <c r="BA57" i="13"/>
  <c r="B41" i="13"/>
  <c r="AM57" i="13"/>
  <c r="CL57" i="13"/>
  <c r="CL57" i="14" s="1"/>
  <c r="CC30" i="13"/>
  <c r="BV36" i="13"/>
  <c r="BO38" i="13"/>
  <c r="AH44" i="13"/>
  <c r="AH44" i="14" s="1"/>
  <c r="AV44" i="13"/>
  <c r="AV44" i="14" s="1"/>
  <c r="CJ44" i="13"/>
  <c r="BJ45" i="13"/>
  <c r="BJ45" i="14" s="1"/>
  <c r="AA46" i="13"/>
  <c r="AA46" i="14" s="1"/>
  <c r="BC46" i="13"/>
  <c r="BC46" i="14" s="1"/>
  <c r="CE46" i="13"/>
  <c r="CE46" i="14" s="1"/>
  <c r="AH47" i="13"/>
  <c r="AH47" i="14" s="1"/>
  <c r="Y48" i="13"/>
  <c r="BV48" i="13"/>
  <c r="CL49" i="13"/>
  <c r="CL49" i="14" s="1"/>
  <c r="AH50" i="13"/>
  <c r="AH50" i="14" s="1"/>
  <c r="BA51" i="13"/>
  <c r="BO51" i="13"/>
  <c r="BC52" i="13"/>
  <c r="BC52" i="14" s="1"/>
  <c r="AH53" i="13"/>
  <c r="AH53" i="14" s="1"/>
  <c r="G54" i="13"/>
  <c r="CQ56" i="13"/>
  <c r="AM15" i="13"/>
  <c r="AA16" i="13"/>
  <c r="AA16" i="14" s="1"/>
  <c r="AO16" i="13"/>
  <c r="AO16" i="14" s="1"/>
  <c r="BV16" i="13"/>
  <c r="BC17" i="13"/>
  <c r="BC17" i="14" s="1"/>
  <c r="M18" i="13"/>
  <c r="M18" i="14" s="1"/>
  <c r="AH18" i="13"/>
  <c r="AH18" i="14" s="1"/>
  <c r="AH19" i="13"/>
  <c r="AH19" i="14" s="1"/>
  <c r="BJ20" i="13"/>
  <c r="BJ20" i="14" s="1"/>
  <c r="B21" i="13"/>
  <c r="BC21" i="13"/>
  <c r="BC21" i="14" s="1"/>
  <c r="CL21" i="13"/>
  <c r="CL21" i="14" s="1"/>
  <c r="BQ22" i="13"/>
  <c r="BQ22" i="14" s="1"/>
  <c r="AV23" i="13"/>
  <c r="AV23" i="14" s="1"/>
  <c r="BX25" i="13"/>
  <c r="BX25" i="14" s="1"/>
  <c r="CE26" i="13"/>
  <c r="CE26" i="14" s="1"/>
  <c r="BQ27" i="13"/>
  <c r="BQ27" i="14" s="1"/>
  <c r="CE32" i="13"/>
  <c r="CE32" i="14" s="1"/>
  <c r="AA36" i="13"/>
  <c r="AA36" i="14" s="1"/>
  <c r="CC36" i="13"/>
  <c r="CL36" i="13"/>
  <c r="CL36" i="14" s="1"/>
  <c r="BX37" i="13"/>
  <c r="BX37" i="14" s="1"/>
  <c r="M38" i="13"/>
  <c r="M38" i="14" s="1"/>
  <c r="BJ38" i="13"/>
  <c r="BJ38" i="14" s="1"/>
  <c r="CQ38" i="13"/>
  <c r="AO39" i="13"/>
  <c r="AO39" i="14" s="1"/>
  <c r="BQ40" i="13"/>
  <c r="BQ40" i="14" s="1"/>
  <c r="CE40" i="13"/>
  <c r="CE40" i="14" s="1"/>
  <c r="AT42" i="13"/>
  <c r="BJ43" i="13"/>
  <c r="BJ43" i="14" s="1"/>
  <c r="BX44" i="13"/>
  <c r="BX44" i="14" s="1"/>
  <c r="AV45" i="13"/>
  <c r="AV45" i="14" s="1"/>
  <c r="M48" i="13"/>
  <c r="M48" i="14" s="1"/>
  <c r="BH48" i="13"/>
  <c r="AO49" i="13"/>
  <c r="AO49" i="14" s="1"/>
  <c r="BO49" i="13"/>
  <c r="T50" i="13"/>
  <c r="T50" i="14" s="1"/>
  <c r="CJ52" i="13"/>
  <c r="BJ54" i="13"/>
  <c r="BJ54" i="14" s="1"/>
  <c r="AM56" i="13"/>
  <c r="CC56" i="13"/>
  <c r="T11" i="13"/>
  <c r="T11" i="14" s="1"/>
  <c r="CJ12" i="13"/>
  <c r="AH13" i="13"/>
  <c r="AH13" i="14" s="1"/>
  <c r="BJ13" i="13"/>
  <c r="BJ13" i="14" s="1"/>
  <c r="J14" i="13"/>
  <c r="BX14" i="13"/>
  <c r="BX14" i="14" s="1"/>
  <c r="BO15" i="13"/>
  <c r="AH22" i="13"/>
  <c r="AH22" i="14" s="1"/>
  <c r="BA24" i="13"/>
  <c r="CL24" i="13"/>
  <c r="CL24" i="14" s="1"/>
  <c r="Y25" i="13"/>
  <c r="CL25" i="13"/>
  <c r="CL25" i="14" s="1"/>
  <c r="BJ30" i="13"/>
  <c r="BJ30" i="14" s="1"/>
  <c r="BX30" i="13"/>
  <c r="BX30" i="14" s="1"/>
  <c r="AV31" i="13"/>
  <c r="AV31" i="14" s="1"/>
  <c r="M32" i="13"/>
  <c r="M32" i="14" s="1"/>
  <c r="J33" i="13"/>
  <c r="BQ33" i="13"/>
  <c r="BQ33" i="14" s="1"/>
  <c r="AO36" i="13"/>
  <c r="AO36" i="14" s="1"/>
  <c r="BJ36" i="13"/>
  <c r="BJ36" i="14" s="1"/>
  <c r="CL37" i="13"/>
  <c r="CL37" i="14" s="1"/>
  <c r="AT38" i="13"/>
  <c r="CJ38" i="13"/>
  <c r="BC39" i="13"/>
  <c r="BC39" i="14" s="1"/>
  <c r="M40" i="13"/>
  <c r="M40" i="14" s="1"/>
  <c r="Y40" i="13"/>
  <c r="BH40" i="13"/>
  <c r="AH41" i="13"/>
  <c r="AH41" i="14" s="1"/>
  <c r="AV41" i="13"/>
  <c r="AV41" i="14" s="1"/>
  <c r="CJ41" i="13"/>
  <c r="AH42" i="13"/>
  <c r="AH42" i="14" s="1"/>
  <c r="BX43" i="13"/>
  <c r="BX43" i="14" s="1"/>
  <c r="BQ44" i="13"/>
  <c r="BQ44" i="14" s="1"/>
  <c r="CL44" i="13"/>
  <c r="CL44" i="14" s="1"/>
  <c r="T45" i="13"/>
  <c r="T45" i="14" s="1"/>
  <c r="AH45" i="13"/>
  <c r="AH45" i="14" s="1"/>
  <c r="CL47" i="13"/>
  <c r="CL47" i="14" s="1"/>
  <c r="AT48" i="13"/>
  <c r="BO48" i="13"/>
  <c r="AA49" i="13"/>
  <c r="AA49" i="14" s="1"/>
  <c r="BJ49" i="13"/>
  <c r="BJ49" i="14" s="1"/>
  <c r="BQ50" i="13"/>
  <c r="BQ50" i="14" s="1"/>
  <c r="AO51" i="13"/>
  <c r="AO51" i="14" s="1"/>
  <c r="BQ51" i="13"/>
  <c r="BQ51" i="14" s="1"/>
  <c r="M52" i="13"/>
  <c r="M52" i="14" s="1"/>
  <c r="AA52" i="13"/>
  <c r="AA52" i="14" s="1"/>
  <c r="BQ53" i="13"/>
  <c r="BQ53" i="14" s="1"/>
  <c r="BX57" i="13"/>
  <c r="BX57" i="14" s="1"/>
  <c r="CQ57" i="13"/>
  <c r="BH15" i="13"/>
  <c r="BQ15" i="13"/>
  <c r="BQ15" i="14" s="1"/>
  <c r="BH16" i="13"/>
  <c r="AM18" i="13"/>
  <c r="AM19" i="13"/>
  <c r="T21" i="13"/>
  <c r="T21" i="14" s="1"/>
  <c r="BJ25" i="13"/>
  <c r="BJ25" i="14" s="1"/>
  <c r="CJ26" i="13"/>
  <c r="J32" i="13"/>
  <c r="BX36" i="13"/>
  <c r="BX36" i="14" s="1"/>
  <c r="BH37" i="13"/>
  <c r="BO40" i="13"/>
  <c r="BX40" i="13"/>
  <c r="BX40" i="14" s="1"/>
  <c r="CQ40" i="13"/>
  <c r="AM44" i="13"/>
  <c r="BA45" i="13"/>
  <c r="AT46" i="13"/>
  <c r="AM47" i="13"/>
  <c r="R48" i="13"/>
  <c r="CC49" i="13"/>
  <c r="AF53" i="13"/>
  <c r="E54" i="13"/>
  <c r="BL54" i="13"/>
  <c r="BX54" i="13"/>
  <c r="BX54" i="14" s="1"/>
  <c r="BL57" i="13"/>
  <c r="BL57" i="14" s="1"/>
  <c r="J21" i="14"/>
  <c r="J22" i="14"/>
  <c r="J26" i="14"/>
  <c r="J29" i="14"/>
  <c r="J18" i="14"/>
  <c r="J23" i="14"/>
  <c r="S55" i="13"/>
  <c r="S58" i="13" s="1"/>
  <c r="Y4" i="13"/>
  <c r="AN55" i="13"/>
  <c r="AN58" i="13" s="1"/>
  <c r="BW55" i="13"/>
  <c r="BW58" i="13" s="1"/>
  <c r="CC4" i="13"/>
  <c r="E6" i="13"/>
  <c r="B7" i="13"/>
  <c r="CJ7" i="13"/>
  <c r="B11" i="13"/>
  <c r="AA11" i="13"/>
  <c r="BA15" i="13"/>
  <c r="AV15" i="13"/>
  <c r="AV15" i="14" s="1"/>
  <c r="BJ17" i="13"/>
  <c r="BJ17" i="14" s="1"/>
  <c r="BO17" i="13"/>
  <c r="BC18" i="13"/>
  <c r="BC18" i="14" s="1"/>
  <c r="AT19" i="13"/>
  <c r="CJ21" i="13"/>
  <c r="CE21" i="13"/>
  <c r="CE21" i="14" s="1"/>
  <c r="R24" i="13"/>
  <c r="M24" i="13"/>
  <c r="M24" i="14" s="1"/>
  <c r="B27" i="13"/>
  <c r="E27" i="13"/>
  <c r="K27" i="13" s="1"/>
  <c r="R27" i="13"/>
  <c r="CG30" i="13"/>
  <c r="CJ30" i="13"/>
  <c r="AT31" i="13"/>
  <c r="AO31" i="13"/>
  <c r="AO31" i="14" s="1"/>
  <c r="BB55" i="13"/>
  <c r="BB58" i="13" s="1"/>
  <c r="BX4" i="13"/>
  <c r="BX4" i="14" s="1"/>
  <c r="CI55" i="13"/>
  <c r="CI55" i="14" s="1"/>
  <c r="CJ55" i="14" s="1"/>
  <c r="Y5" i="13"/>
  <c r="BO5" i="13"/>
  <c r="AM6" i="13"/>
  <c r="BJ6" i="13"/>
  <c r="BJ6" i="14" s="1"/>
  <c r="CQ6" i="13"/>
  <c r="AT7" i="13"/>
  <c r="AA8" i="13"/>
  <c r="AA8" i="14" s="1"/>
  <c r="BJ8" i="13"/>
  <c r="BJ8" i="14" s="1"/>
  <c r="CE8" i="13"/>
  <c r="CE8" i="14" s="1"/>
  <c r="B9" i="13"/>
  <c r="AH9" i="13"/>
  <c r="AH9" i="14" s="1"/>
  <c r="BC9" i="13"/>
  <c r="BC9" i="14" s="1"/>
  <c r="BJ10" i="13"/>
  <c r="BJ10" i="14" s="1"/>
  <c r="G11" i="13"/>
  <c r="AO12" i="13"/>
  <c r="AO12" i="14" s="1"/>
  <c r="M13" i="13"/>
  <c r="M13" i="14" s="1"/>
  <c r="E13" i="13"/>
  <c r="K13" i="13" s="1"/>
  <c r="AA18" i="13"/>
  <c r="AA18" i="14" s="1"/>
  <c r="AO19" i="13"/>
  <c r="AO19" i="14" s="1"/>
  <c r="CQ20" i="13"/>
  <c r="CL20" i="13"/>
  <c r="CL20" i="14" s="1"/>
  <c r="CC23" i="13"/>
  <c r="BX23" i="13"/>
  <c r="BX23" i="14" s="1"/>
  <c r="CE24" i="13"/>
  <c r="CE24" i="14" s="1"/>
  <c r="CJ24" i="13"/>
  <c r="M25" i="13"/>
  <c r="M25" i="14" s="1"/>
  <c r="B25" i="13"/>
  <c r="R25" i="13"/>
  <c r="E25" i="13"/>
  <c r="K25" i="13" s="1"/>
  <c r="BA28" i="13"/>
  <c r="AF4" i="13"/>
  <c r="AS55" i="13"/>
  <c r="AQ4" i="13"/>
  <c r="BC4" i="13"/>
  <c r="BC4" i="14" s="1"/>
  <c r="BN55" i="13"/>
  <c r="BN55" i="14" s="1"/>
  <c r="BO55" i="14" s="1"/>
  <c r="CJ4" i="13"/>
  <c r="AJ5" i="13"/>
  <c r="AV5" i="13"/>
  <c r="AV5" i="14" s="1"/>
  <c r="BQ5" i="13"/>
  <c r="BQ5" i="14" s="1"/>
  <c r="G6" i="13"/>
  <c r="AO6" i="13"/>
  <c r="AO6" i="14" s="1"/>
  <c r="BA6" i="13"/>
  <c r="M7" i="13"/>
  <c r="M7" i="14" s="1"/>
  <c r="AA7" i="13"/>
  <c r="AA7" i="14" s="1"/>
  <c r="AV7" i="13"/>
  <c r="AV7" i="14" s="1"/>
  <c r="CL7" i="13"/>
  <c r="CL7" i="14" s="1"/>
  <c r="AO8" i="13"/>
  <c r="AO8" i="14" s="1"/>
  <c r="B10" i="13"/>
  <c r="AA10" i="13"/>
  <c r="AA10" i="14" s="1"/>
  <c r="BE11" i="13"/>
  <c r="BQ11" i="13"/>
  <c r="BQ11" i="14" s="1"/>
  <c r="AC12" i="13"/>
  <c r="CQ12" i="13"/>
  <c r="Y15" i="13"/>
  <c r="CC15" i="13"/>
  <c r="BS16" i="13"/>
  <c r="BS16" i="14" s="1"/>
  <c r="CE16" i="13"/>
  <c r="CE16" i="14" s="1"/>
  <c r="T17" i="13"/>
  <c r="T17" i="14" s="1"/>
  <c r="AH17" i="13"/>
  <c r="AH17" i="14" s="1"/>
  <c r="B18" i="13"/>
  <c r="AO18" i="13"/>
  <c r="AO18" i="14" s="1"/>
  <c r="BH18" i="13"/>
  <c r="E19" i="13"/>
  <c r="K19" i="13" s="1"/>
  <c r="R19" i="13"/>
  <c r="BJ19" i="13"/>
  <c r="BJ19" i="14" s="1"/>
  <c r="BX19" i="13"/>
  <c r="BX19" i="14" s="1"/>
  <c r="CL19" i="13"/>
  <c r="CL19" i="14" s="1"/>
  <c r="BQ21" i="13"/>
  <c r="BQ21" i="14" s="1"/>
  <c r="CL22" i="13"/>
  <c r="CL22" i="14" s="1"/>
  <c r="H24" i="13"/>
  <c r="H25" i="13"/>
  <c r="AV28" i="13"/>
  <c r="AV28" i="14" s="1"/>
  <c r="BA29" i="13"/>
  <c r="AV29" i="13"/>
  <c r="AV29" i="14" s="1"/>
  <c r="Y12" i="13"/>
  <c r="B12" i="13"/>
  <c r="AF15" i="13"/>
  <c r="AA15" i="13"/>
  <c r="AA15" i="14" s="1"/>
  <c r="CJ15" i="13"/>
  <c r="CE15" i="13"/>
  <c r="CE15" i="14" s="1"/>
  <c r="T16" i="13"/>
  <c r="T16" i="14" s="1"/>
  <c r="Y16" i="13"/>
  <c r="AM16" i="13"/>
  <c r="AH16" i="13"/>
  <c r="AH16" i="14" s="1"/>
  <c r="CC20" i="13"/>
  <c r="AO21" i="13"/>
  <c r="AO21" i="14" s="1"/>
  <c r="AF22" i="13"/>
  <c r="BX22" i="13"/>
  <c r="BX22" i="14" s="1"/>
  <c r="CC22" i="13"/>
  <c r="BH24" i="13"/>
  <c r="AT27" i="13"/>
  <c r="AO27" i="13"/>
  <c r="AO27" i="14" s="1"/>
  <c r="CQ27" i="13"/>
  <c r="CL27" i="13"/>
  <c r="CL27" i="14" s="1"/>
  <c r="AU55" i="13"/>
  <c r="AU58" i="13" s="1"/>
  <c r="BA4" i="13"/>
  <c r="BP55" i="13"/>
  <c r="BP58" i="13" s="1"/>
  <c r="AM5" i="13"/>
  <c r="CJ5" i="13"/>
  <c r="T6" i="13"/>
  <c r="T6" i="14" s="1"/>
  <c r="BX6" i="13"/>
  <c r="BX6" i="14" s="1"/>
  <c r="R7" i="13"/>
  <c r="BO7" i="13"/>
  <c r="CE7" i="13"/>
  <c r="CE7" i="14" s="1"/>
  <c r="E9" i="13"/>
  <c r="G9" i="13"/>
  <c r="AA9" i="13"/>
  <c r="AA9" i="14" s="1"/>
  <c r="BO9" i="13"/>
  <c r="G10" i="13"/>
  <c r="BO10" i="13"/>
  <c r="CL10" i="13"/>
  <c r="CL10" i="14" s="1"/>
  <c r="AF12" i="13"/>
  <c r="BQ13" i="13"/>
  <c r="BQ13" i="14" s="1"/>
  <c r="AO14" i="13"/>
  <c r="AO14" i="14" s="1"/>
  <c r="AT14" i="13"/>
  <c r="BH14" i="13"/>
  <c r="BC14" i="13"/>
  <c r="BC14" i="14" s="1"/>
  <c r="CQ19" i="13"/>
  <c r="Y20" i="13"/>
  <c r="B20" i="13"/>
  <c r="BA20" i="13"/>
  <c r="BX20" i="13"/>
  <c r="BX20" i="14" s="1"/>
  <c r="BC24" i="13"/>
  <c r="BC24" i="14" s="1"/>
  <c r="R26" i="13"/>
  <c r="M26" i="13"/>
  <c r="M26" i="14" s="1"/>
  <c r="E26" i="13"/>
  <c r="K26" i="13" s="1"/>
  <c r="B26" i="13"/>
  <c r="B4" i="13"/>
  <c r="L55" i="13"/>
  <c r="M4" i="13"/>
  <c r="M4" i="14" s="1"/>
  <c r="E4" i="13"/>
  <c r="Z55" i="13"/>
  <c r="Z58" i="13" s="1"/>
  <c r="BG55" i="13"/>
  <c r="BG55" i="14" s="1"/>
  <c r="BH55" i="14" s="1"/>
  <c r="CD55" i="13"/>
  <c r="CD58" i="13" s="1"/>
  <c r="T5" i="13"/>
  <c r="T5" i="14" s="1"/>
  <c r="AO5" i="13"/>
  <c r="AO5" i="14" s="1"/>
  <c r="BV5" i="13"/>
  <c r="J6" i="13"/>
  <c r="AH6" i="13"/>
  <c r="AH6" i="14" s="1"/>
  <c r="CL6" i="13"/>
  <c r="CL6" i="14" s="1"/>
  <c r="T7" i="13"/>
  <c r="T7" i="14" s="1"/>
  <c r="BA7" i="13"/>
  <c r="BC8" i="13"/>
  <c r="BC8" i="14" s="1"/>
  <c r="AF10" i="13"/>
  <c r="AH11" i="13"/>
  <c r="AH11" i="14" s="1"/>
  <c r="AV11" i="13"/>
  <c r="AV11" i="14" s="1"/>
  <c r="T12" i="13"/>
  <c r="T12" i="14" s="1"/>
  <c r="AH12" i="13"/>
  <c r="AH12" i="14" s="1"/>
  <c r="AM12" i="13"/>
  <c r="Y14" i="13"/>
  <c r="B14" i="13"/>
  <c r="J16" i="13"/>
  <c r="K16" i="13" s="1"/>
  <c r="BJ16" i="13"/>
  <c r="BJ16" i="14" s="1"/>
  <c r="BX16" i="13"/>
  <c r="BX16" i="14" s="1"/>
  <c r="CC16" i="13"/>
  <c r="B19" i="13"/>
  <c r="E20" i="13"/>
  <c r="K20" i="13" s="1"/>
  <c r="T20" i="13"/>
  <c r="T20" i="14" s="1"/>
  <c r="AH20" i="13"/>
  <c r="AH20" i="14" s="1"/>
  <c r="AV20" i="13"/>
  <c r="AV20" i="14" s="1"/>
  <c r="E21" i="13"/>
  <c r="K21" i="13" s="1"/>
  <c r="AT21" i="13"/>
  <c r="AV22" i="13"/>
  <c r="AV22" i="14" s="1"/>
  <c r="BJ23" i="13"/>
  <c r="BJ23" i="14" s="1"/>
  <c r="BO23" i="13"/>
  <c r="E24" i="13"/>
  <c r="K24" i="13" s="1"/>
  <c r="AF27" i="13"/>
  <c r="AA27" i="13"/>
  <c r="AA27" i="14" s="1"/>
  <c r="CC27" i="13"/>
  <c r="BX27" i="13"/>
  <c r="BX27" i="14" s="1"/>
  <c r="CL28" i="13"/>
  <c r="CL28" i="14" s="1"/>
  <c r="CQ28" i="13"/>
  <c r="O55" i="13"/>
  <c r="O58" i="13" s="1"/>
  <c r="AL55" i="13"/>
  <c r="AL55" i="14" s="1"/>
  <c r="AM55" i="14" s="1"/>
  <c r="BH4" i="13"/>
  <c r="BU55" i="13"/>
  <c r="BU55" i="14" s="1"/>
  <c r="BV55" i="14" s="1"/>
  <c r="BS4" i="13"/>
  <c r="BS4" i="14" s="1"/>
  <c r="CP55" i="13"/>
  <c r="CP55" i="14" s="1"/>
  <c r="CQ55" i="14" s="1"/>
  <c r="CE5" i="13"/>
  <c r="CE5" i="14" s="1"/>
  <c r="Y6" i="13"/>
  <c r="CC6" i="13"/>
  <c r="BJ7" i="13"/>
  <c r="BJ7" i="14" s="1"/>
  <c r="B8" i="13"/>
  <c r="J8" i="13"/>
  <c r="BQ8" i="13"/>
  <c r="BQ8" i="14" s="1"/>
  <c r="CL8" i="13"/>
  <c r="CL8" i="14" s="1"/>
  <c r="AT9" i="13"/>
  <c r="BJ9" i="13"/>
  <c r="BJ9" i="14" s="1"/>
  <c r="BX9" i="13"/>
  <c r="BX9" i="14" s="1"/>
  <c r="AT10" i="13"/>
  <c r="AV13" i="13"/>
  <c r="AV13" i="14" s="1"/>
  <c r="BV13" i="13"/>
  <c r="CE14" i="13"/>
  <c r="CE14" i="14" s="1"/>
  <c r="B15" i="13"/>
  <c r="G18" i="13"/>
  <c r="Y18" i="13"/>
  <c r="CE20" i="13"/>
  <c r="CE20" i="14" s="1"/>
  <c r="AA21" i="13"/>
  <c r="AA21" i="14" s="1"/>
  <c r="Y23" i="13"/>
  <c r="B23" i="13"/>
  <c r="AM23" i="13"/>
  <c r="AA24" i="13"/>
  <c r="AA24" i="14" s="1"/>
  <c r="BO27" i="13"/>
  <c r="BJ27" i="13"/>
  <c r="BJ27" i="14" s="1"/>
  <c r="G28" i="13"/>
  <c r="B29" i="13"/>
  <c r="AH29" i="13"/>
  <c r="AH29" i="14" s="1"/>
  <c r="AM29" i="13"/>
  <c r="R4" i="13"/>
  <c r="AM4" i="13"/>
  <c r="BV4" i="13"/>
  <c r="CQ4" i="13"/>
  <c r="BH5" i="13"/>
  <c r="B6" i="13"/>
  <c r="J7" i="13"/>
  <c r="K7" i="13" s="1"/>
  <c r="AM7" i="13"/>
  <c r="BX7" i="13"/>
  <c r="BX7" i="14" s="1"/>
  <c r="M8" i="13"/>
  <c r="M8" i="14" s="1"/>
  <c r="AV8" i="13"/>
  <c r="AV8" i="14" s="1"/>
  <c r="BH8" i="13"/>
  <c r="AF9" i="13"/>
  <c r="AO9" i="13"/>
  <c r="AO9" i="14" s="1"/>
  <c r="CQ10" i="13"/>
  <c r="AM11" i="13"/>
  <c r="BJ12" i="13"/>
  <c r="BJ12" i="14" s="1"/>
  <c r="CC12" i="13"/>
  <c r="BX12" i="13"/>
  <c r="BX12" i="14" s="1"/>
  <c r="CL13" i="13"/>
  <c r="CL13" i="14" s="1"/>
  <c r="AV14" i="13"/>
  <c r="AV14" i="14" s="1"/>
  <c r="T15" i="13"/>
  <c r="T15" i="14" s="1"/>
  <c r="E15" i="13"/>
  <c r="K15" i="13" s="1"/>
  <c r="AH15" i="13"/>
  <c r="AH15" i="14" s="1"/>
  <c r="CL15" i="13"/>
  <c r="CL15" i="14" s="1"/>
  <c r="BC16" i="13"/>
  <c r="BC16" i="14" s="1"/>
  <c r="B17" i="13"/>
  <c r="M17" i="13"/>
  <c r="M17" i="14" s="1"/>
  <c r="E17" i="13"/>
  <c r="K17" i="13" s="1"/>
  <c r="BX17" i="13"/>
  <c r="BX17" i="14" s="1"/>
  <c r="CQ17" i="13"/>
  <c r="CL17" i="13"/>
  <c r="CL17" i="14" s="1"/>
  <c r="CE18" i="13"/>
  <c r="CE18" i="14" s="1"/>
  <c r="BH19" i="13"/>
  <c r="BC19" i="13"/>
  <c r="BC19" i="14" s="1"/>
  <c r="BC20" i="13"/>
  <c r="BC20" i="14" s="1"/>
  <c r="R21" i="13"/>
  <c r="B22" i="13"/>
  <c r="H22" i="13"/>
  <c r="T23" i="13"/>
  <c r="T23" i="14" s="1"/>
  <c r="AH23" i="13"/>
  <c r="AH23" i="14" s="1"/>
  <c r="BQ23" i="13"/>
  <c r="BQ23" i="14" s="1"/>
  <c r="BV23" i="13"/>
  <c r="BO28" i="13"/>
  <c r="BJ28" i="13"/>
  <c r="BJ28" i="14" s="1"/>
  <c r="E29" i="13"/>
  <c r="K29" i="13" s="1"/>
  <c r="BC30" i="13"/>
  <c r="BC30" i="14" s="1"/>
  <c r="BH30" i="13"/>
  <c r="T26" i="13"/>
  <c r="T26" i="14" s="1"/>
  <c r="AH27" i="13"/>
  <c r="AH27" i="14" s="1"/>
  <c r="AV30" i="13"/>
  <c r="AV30" i="14" s="1"/>
  <c r="BA30" i="13"/>
  <c r="CL32" i="13"/>
  <c r="CL32" i="14" s="1"/>
  <c r="CQ32" i="13"/>
  <c r="AH33" i="13"/>
  <c r="AH33" i="14" s="1"/>
  <c r="B33" i="13"/>
  <c r="AM33" i="13"/>
  <c r="Y34" i="13"/>
  <c r="B34" i="13"/>
  <c r="T34" i="13"/>
  <c r="T34" i="14" s="1"/>
  <c r="E34" i="13"/>
  <c r="K34" i="13" s="1"/>
  <c r="AV34" i="13"/>
  <c r="AV34" i="14" s="1"/>
  <c r="CC34" i="13"/>
  <c r="BX34" i="13"/>
  <c r="BX34" i="14" s="1"/>
  <c r="BA35" i="13"/>
  <c r="AV35" i="13"/>
  <c r="AV35" i="14" s="1"/>
  <c r="CJ36" i="13"/>
  <c r="CG36" i="13"/>
  <c r="CG36" i="14" s="1"/>
  <c r="CQ41" i="13"/>
  <c r="CL41" i="13"/>
  <c r="CL41" i="14" s="1"/>
  <c r="G43" i="13"/>
  <c r="BA43" i="13"/>
  <c r="AV43" i="13"/>
  <c r="AV43" i="14" s="1"/>
  <c r="M47" i="13"/>
  <c r="M47" i="14" s="1"/>
  <c r="E47" i="13"/>
  <c r="K47" i="13" s="1"/>
  <c r="R47" i="13"/>
  <c r="B47" i="13"/>
  <c r="BA53" i="13"/>
  <c r="AV53" i="13"/>
  <c r="AV53" i="14" s="1"/>
  <c r="H29" i="13"/>
  <c r="AO29" i="13"/>
  <c r="AO29" i="14" s="1"/>
  <c r="AF32" i="13"/>
  <c r="AA32" i="13"/>
  <c r="AA32" i="14" s="1"/>
  <c r="AT32" i="13"/>
  <c r="AO32" i="13"/>
  <c r="AO32" i="14" s="1"/>
  <c r="BA37" i="13"/>
  <c r="AV37" i="13"/>
  <c r="AV37" i="14" s="1"/>
  <c r="BV38" i="13"/>
  <c r="BS38" i="13"/>
  <c r="BS38" i="14" s="1"/>
  <c r="BH47" i="13"/>
  <c r="BC47" i="13"/>
  <c r="BC47" i="14" s="1"/>
  <c r="BH25" i="13"/>
  <c r="BC25" i="13"/>
  <c r="BC25" i="14" s="1"/>
  <c r="BQ25" i="13"/>
  <c r="BQ25" i="14" s="1"/>
  <c r="T28" i="13"/>
  <c r="T28" i="14" s="1"/>
  <c r="AH28" i="13"/>
  <c r="AH28" i="14" s="1"/>
  <c r="T29" i="13"/>
  <c r="T29" i="14" s="1"/>
  <c r="AT29" i="13"/>
  <c r="CL29" i="13"/>
  <c r="CL29" i="14" s="1"/>
  <c r="CQ29" i="13"/>
  <c r="J30" i="13"/>
  <c r="BV30" i="13"/>
  <c r="BQ30" i="13"/>
  <c r="BQ30" i="14" s="1"/>
  <c r="J36" i="13"/>
  <c r="AF36" i="13"/>
  <c r="AC36" i="13"/>
  <c r="AC36" i="14" s="1"/>
  <c r="AF39" i="13"/>
  <c r="AA39" i="13"/>
  <c r="AA39" i="14" s="1"/>
  <c r="E39" i="13"/>
  <c r="BA32" i="13"/>
  <c r="CL35" i="13"/>
  <c r="CL35" i="14" s="1"/>
  <c r="CQ35" i="13"/>
  <c r="AT40" i="13"/>
  <c r="AO40" i="13"/>
  <c r="AO40" i="14" s="1"/>
  <c r="BJ41" i="13"/>
  <c r="BJ41" i="14" s="1"/>
  <c r="BO41" i="13"/>
  <c r="AV48" i="13"/>
  <c r="AV48" i="14" s="1"/>
  <c r="BA48" i="13"/>
  <c r="AF57" i="13"/>
  <c r="G57" i="13"/>
  <c r="AA57" i="13"/>
  <c r="AA57" i="14" s="1"/>
  <c r="D15" i="13"/>
  <c r="B16" i="13"/>
  <c r="BQ19" i="13"/>
  <c r="BQ19" i="14" s="1"/>
  <c r="E22" i="13"/>
  <c r="K22" i="13" s="1"/>
  <c r="BQ24" i="13"/>
  <c r="BQ24" i="14" s="1"/>
  <c r="AO25" i="13"/>
  <c r="AO25" i="14" s="1"/>
  <c r="BV25" i="13"/>
  <c r="BC26" i="13"/>
  <c r="BC26" i="14" s="1"/>
  <c r="B28" i="13"/>
  <c r="BX28" i="13"/>
  <c r="BX28" i="14" s="1"/>
  <c r="BJ29" i="13"/>
  <c r="BJ29" i="14" s="1"/>
  <c r="BX29" i="13"/>
  <c r="BX29" i="14" s="1"/>
  <c r="B30" i="13"/>
  <c r="AA30" i="13"/>
  <c r="AA30" i="14" s="1"/>
  <c r="AF30" i="13"/>
  <c r="J31" i="13"/>
  <c r="K31" i="13" s="1"/>
  <c r="BE31" i="13"/>
  <c r="BE31" i="14" s="1"/>
  <c r="BH31" i="13"/>
  <c r="AV32" i="13"/>
  <c r="AV32" i="14" s="1"/>
  <c r="BV40" i="13"/>
  <c r="BS40" i="13"/>
  <c r="BS40" i="14" s="1"/>
  <c r="AO47" i="13"/>
  <c r="AO47" i="14" s="1"/>
  <c r="AT47" i="13"/>
  <c r="X55" i="13"/>
  <c r="X55" i="14" s="1"/>
  <c r="Y55" i="14" s="1"/>
  <c r="AG55" i="13"/>
  <c r="AG58" i="13" s="1"/>
  <c r="AZ55" i="13"/>
  <c r="BI55" i="13"/>
  <c r="BI58" i="13" s="1"/>
  <c r="CB55" i="13"/>
  <c r="CB55" i="14" s="1"/>
  <c r="CC55" i="14" s="1"/>
  <c r="CK55" i="13"/>
  <c r="CK58" i="13" s="1"/>
  <c r="CQ9" i="13"/>
  <c r="E10" i="13"/>
  <c r="M10" i="13"/>
  <c r="M10" i="14" s="1"/>
  <c r="AH10" i="13"/>
  <c r="AH10" i="14" s="1"/>
  <c r="BJ11" i="13"/>
  <c r="BJ11" i="14" s="1"/>
  <c r="M12" i="13"/>
  <c r="M12" i="14" s="1"/>
  <c r="BA12" i="13"/>
  <c r="BQ12" i="13"/>
  <c r="BQ12" i="14" s="1"/>
  <c r="CL12" i="13"/>
  <c r="CL12" i="14" s="1"/>
  <c r="AO13" i="13"/>
  <c r="AO13" i="14" s="1"/>
  <c r="BX13" i="13"/>
  <c r="BX13" i="14" s="1"/>
  <c r="BJ15" i="13"/>
  <c r="BJ15" i="14" s="1"/>
  <c r="M16" i="13"/>
  <c r="M16" i="14" s="1"/>
  <c r="CQ16" i="13"/>
  <c r="AA17" i="13"/>
  <c r="AA17" i="14" s="1"/>
  <c r="AO17" i="13"/>
  <c r="AO17" i="14" s="1"/>
  <c r="M20" i="13"/>
  <c r="M20" i="14" s="1"/>
  <c r="AA20" i="13"/>
  <c r="AA20" i="14" s="1"/>
  <c r="AH21" i="13"/>
  <c r="AH21" i="14" s="1"/>
  <c r="BC22" i="13"/>
  <c r="BC22" i="14" s="1"/>
  <c r="CL23" i="13"/>
  <c r="CL23" i="14" s="1"/>
  <c r="T24" i="13"/>
  <c r="T24" i="14" s="1"/>
  <c r="AF26" i="13"/>
  <c r="AM28" i="13"/>
  <c r="CL30" i="13"/>
  <c r="CL30" i="14" s="1"/>
  <c r="R31" i="13"/>
  <c r="B31" i="13"/>
  <c r="AM31" i="13"/>
  <c r="BJ31" i="13"/>
  <c r="BJ31" i="14" s="1"/>
  <c r="BO31" i="13"/>
  <c r="Y32" i="13"/>
  <c r="B32" i="13"/>
  <c r="T32" i="13"/>
  <c r="T32" i="14" s="1"/>
  <c r="E32" i="13"/>
  <c r="CQ33" i="13"/>
  <c r="J34" i="13"/>
  <c r="CQ39" i="13"/>
  <c r="CL39" i="13"/>
  <c r="CL39" i="14" s="1"/>
  <c r="D44" i="13"/>
  <c r="BO44" i="13"/>
  <c r="V46" i="13"/>
  <c r="J46" i="13"/>
  <c r="CJ48" i="13"/>
  <c r="CE48" i="13"/>
  <c r="CE48" i="14" s="1"/>
  <c r="AH4" i="13"/>
  <c r="AH4" i="14" s="1"/>
  <c r="BJ4" i="13"/>
  <c r="BJ4" i="14" s="1"/>
  <c r="CL4" i="13"/>
  <c r="CL4" i="14" s="1"/>
  <c r="E5" i="13"/>
  <c r="AV9" i="13"/>
  <c r="AV9" i="14" s="1"/>
  <c r="CL9" i="13"/>
  <c r="CL9" i="14" s="1"/>
  <c r="CE10" i="13"/>
  <c r="CE10" i="14" s="1"/>
  <c r="D11" i="13"/>
  <c r="D12" i="13"/>
  <c r="AV12" i="13"/>
  <c r="AV12" i="14" s="1"/>
  <c r="T13" i="13"/>
  <c r="T13" i="14" s="1"/>
  <c r="AF14" i="13"/>
  <c r="BQ14" i="13"/>
  <c r="BQ14" i="14" s="1"/>
  <c r="G15" i="13"/>
  <c r="AO15" i="13"/>
  <c r="AO15" i="14" s="1"/>
  <c r="AV16" i="13"/>
  <c r="AV16" i="14" s="1"/>
  <c r="CL16" i="13"/>
  <c r="CL16" i="14" s="1"/>
  <c r="BJ18" i="13"/>
  <c r="BJ18" i="14" s="1"/>
  <c r="BX18" i="13"/>
  <c r="BX18" i="14" s="1"/>
  <c r="CL18" i="13"/>
  <c r="CL18" i="14" s="1"/>
  <c r="T19" i="13"/>
  <c r="T19" i="14" s="1"/>
  <c r="BV19" i="13"/>
  <c r="AV21" i="13"/>
  <c r="AV21" i="14" s="1"/>
  <c r="BJ21" i="13"/>
  <c r="BJ21" i="14" s="1"/>
  <c r="BX21" i="13"/>
  <c r="BX21" i="14" s="1"/>
  <c r="AO22" i="13"/>
  <c r="AO22" i="14" s="1"/>
  <c r="E23" i="13"/>
  <c r="K23" i="13" s="1"/>
  <c r="AH24" i="13"/>
  <c r="AH24" i="14" s="1"/>
  <c r="AV24" i="13"/>
  <c r="AV24" i="14" s="1"/>
  <c r="BJ24" i="13"/>
  <c r="BJ24" i="14" s="1"/>
  <c r="T25" i="13"/>
  <c r="T25" i="14" s="1"/>
  <c r="AH25" i="13"/>
  <c r="AH25" i="14" s="1"/>
  <c r="AV25" i="13"/>
  <c r="AV25" i="14" s="1"/>
  <c r="H26" i="13"/>
  <c r="AH26" i="13"/>
  <c r="AH26" i="14" s="1"/>
  <c r="BH26" i="13"/>
  <c r="E28" i="13"/>
  <c r="K28" i="13" s="1"/>
  <c r="M28" i="13"/>
  <c r="M28" i="14" s="1"/>
  <c r="AT28" i="13"/>
  <c r="AO28" i="13"/>
  <c r="AO28" i="14" s="1"/>
  <c r="BC28" i="13"/>
  <c r="BC28" i="14" s="1"/>
  <c r="M31" i="13"/>
  <c r="M31" i="14" s="1"/>
  <c r="AH31" i="13"/>
  <c r="AH31" i="14" s="1"/>
  <c r="CL33" i="13"/>
  <c r="CL33" i="14" s="1"/>
  <c r="BH36" i="13"/>
  <c r="BC36" i="13"/>
  <c r="BC36" i="14" s="1"/>
  <c r="J38" i="13"/>
  <c r="BL47" i="13"/>
  <c r="J47" i="13"/>
  <c r="BH54" i="13"/>
  <c r="BC54" i="13"/>
  <c r="BC54" i="14" s="1"/>
  <c r="AH35" i="13"/>
  <c r="AH35" i="14" s="1"/>
  <c r="J39" i="13"/>
  <c r="BX39" i="13"/>
  <c r="BX39" i="14" s="1"/>
  <c r="Y46" i="13"/>
  <c r="CL46" i="13"/>
  <c r="CL46" i="14" s="1"/>
  <c r="B35" i="13"/>
  <c r="AT35" i="13"/>
  <c r="B37" i="13"/>
  <c r="M37" i="13"/>
  <c r="M37" i="14" s="1"/>
  <c r="AT37" i="13"/>
  <c r="BC37" i="13"/>
  <c r="BC37" i="14" s="1"/>
  <c r="E38" i="13"/>
  <c r="AA38" i="13"/>
  <c r="AA38" i="14" s="1"/>
  <c r="AV38" i="13"/>
  <c r="AV38" i="14" s="1"/>
  <c r="CE38" i="13"/>
  <c r="CE38" i="14" s="1"/>
  <c r="B39" i="13"/>
  <c r="Y39" i="13"/>
  <c r="AH39" i="13"/>
  <c r="AH39" i="14" s="1"/>
  <c r="CJ39" i="13"/>
  <c r="BQ42" i="13"/>
  <c r="BQ42" i="14" s="1"/>
  <c r="CE42" i="13"/>
  <c r="CE42" i="14" s="1"/>
  <c r="B43" i="13"/>
  <c r="M43" i="13"/>
  <c r="M43" i="14" s="1"/>
  <c r="AT43" i="13"/>
  <c r="BC43" i="13"/>
  <c r="BC43" i="14" s="1"/>
  <c r="E46" i="13"/>
  <c r="K46" i="13" s="1"/>
  <c r="BQ46" i="13"/>
  <c r="BQ46" i="14" s="1"/>
  <c r="AA47" i="13"/>
  <c r="AA47" i="14" s="1"/>
  <c r="AT49" i="13"/>
  <c r="AM52" i="13"/>
  <c r="CQ53" i="13"/>
  <c r="CN53" i="13"/>
  <c r="CN53" i="14" s="1"/>
  <c r="BE57" i="13"/>
  <c r="J57" i="13"/>
  <c r="BJ32" i="13"/>
  <c r="BJ32" i="14" s="1"/>
  <c r="AM35" i="13"/>
  <c r="BQ37" i="13"/>
  <c r="BQ37" i="14" s="1"/>
  <c r="BA38" i="13"/>
  <c r="AV39" i="13"/>
  <c r="AV39" i="14" s="1"/>
  <c r="CC39" i="13"/>
  <c r="G42" i="13"/>
  <c r="T42" i="13"/>
  <c r="T42" i="14" s="1"/>
  <c r="BQ43" i="13"/>
  <c r="BQ43" i="14" s="1"/>
  <c r="CL45" i="13"/>
  <c r="CL45" i="14" s="1"/>
  <c r="CQ45" i="13"/>
  <c r="CQ46" i="13"/>
  <c r="J51" i="13"/>
  <c r="AC51" i="13"/>
  <c r="CJ53" i="13"/>
  <c r="M33" i="13"/>
  <c r="M33" i="14" s="1"/>
  <c r="E33" i="13"/>
  <c r="BJ33" i="13"/>
  <c r="BJ33" i="14" s="1"/>
  <c r="CE33" i="13"/>
  <c r="CE33" i="14" s="1"/>
  <c r="E35" i="13"/>
  <c r="K35" i="13" s="1"/>
  <c r="AT36" i="13"/>
  <c r="AA37" i="13"/>
  <c r="AA37" i="14" s="1"/>
  <c r="AF40" i="13"/>
  <c r="CJ40" i="13"/>
  <c r="M41" i="13"/>
  <c r="M41" i="14" s="1"/>
  <c r="AO44" i="13"/>
  <c r="AO44" i="14" s="1"/>
  <c r="B45" i="13"/>
  <c r="AF47" i="13"/>
  <c r="BQ47" i="13"/>
  <c r="BQ47" i="14" s="1"/>
  <c r="BV47" i="13"/>
  <c r="CE47" i="13"/>
  <c r="CE47" i="14" s="1"/>
  <c r="BE52" i="13"/>
  <c r="BE52" i="14" s="1"/>
  <c r="BH52" i="13"/>
  <c r="CC52" i="13"/>
  <c r="BX52" i="13"/>
  <c r="BX52" i="14" s="1"/>
  <c r="Y53" i="13"/>
  <c r="T53" i="13"/>
  <c r="T53" i="14" s="1"/>
  <c r="CE53" i="13"/>
  <c r="CE53" i="14" s="1"/>
  <c r="AO33" i="13"/>
  <c r="AO33" i="14" s="1"/>
  <c r="AO35" i="13"/>
  <c r="AO35" i="14" s="1"/>
  <c r="BJ35" i="13"/>
  <c r="BJ35" i="14" s="1"/>
  <c r="G37" i="13"/>
  <c r="AM37" i="13"/>
  <c r="CJ37" i="13"/>
  <c r="T38" i="13"/>
  <c r="BC38" i="13"/>
  <c r="BC38" i="14" s="1"/>
  <c r="BX38" i="13"/>
  <c r="BX38" i="14" s="1"/>
  <c r="R39" i="13"/>
  <c r="BO39" i="13"/>
  <c r="CE39" i="13"/>
  <c r="CE39" i="14" s="1"/>
  <c r="E41" i="13"/>
  <c r="K41" i="13" s="1"/>
  <c r="AA41" i="13"/>
  <c r="AA41" i="14" s="1"/>
  <c r="Y42" i="13"/>
  <c r="D42" i="13"/>
  <c r="BJ42" i="13"/>
  <c r="BJ42" i="14" s="1"/>
  <c r="BX42" i="13"/>
  <c r="BX42" i="14" s="1"/>
  <c r="AM43" i="13"/>
  <c r="CJ43" i="13"/>
  <c r="AF44" i="13"/>
  <c r="AA45" i="13"/>
  <c r="AA45" i="14" s="1"/>
  <c r="BH45" i="13"/>
  <c r="M46" i="13"/>
  <c r="M46" i="14" s="1"/>
  <c r="AV46" i="13"/>
  <c r="AV46" i="14" s="1"/>
  <c r="BJ46" i="13"/>
  <c r="BJ46" i="14" s="1"/>
  <c r="BO46" i="13"/>
  <c r="B48" i="13"/>
  <c r="AO48" i="13"/>
  <c r="AO48" i="14" s="1"/>
  <c r="BJ48" i="13"/>
  <c r="BJ48" i="14" s="1"/>
  <c r="BA49" i="13"/>
  <c r="J50" i="13"/>
  <c r="V50" i="13"/>
  <c r="J52" i="13"/>
  <c r="BJ52" i="13"/>
  <c r="BJ52" i="14" s="1"/>
  <c r="BO52" i="13"/>
  <c r="BX31" i="13"/>
  <c r="BX31" i="14" s="1"/>
  <c r="BO32" i="13"/>
  <c r="R33" i="13"/>
  <c r="AH34" i="13"/>
  <c r="AH34" i="14" s="1"/>
  <c r="CL34" i="13"/>
  <c r="CL34" i="14" s="1"/>
  <c r="B36" i="13"/>
  <c r="M36" i="13"/>
  <c r="M36" i="14" s="1"/>
  <c r="E36" i="13"/>
  <c r="BQ36" i="13"/>
  <c r="BQ36" i="14" s="1"/>
  <c r="T37" i="13"/>
  <c r="T37" i="14" s="1"/>
  <c r="AO37" i="13"/>
  <c r="AO37" i="14" s="1"/>
  <c r="BV37" i="13"/>
  <c r="CE37" i="13"/>
  <c r="CE37" i="14" s="1"/>
  <c r="AH38" i="13"/>
  <c r="AH38" i="14" s="1"/>
  <c r="CL38" i="13"/>
  <c r="CL38" i="14" s="1"/>
  <c r="T39" i="13"/>
  <c r="T39" i="14" s="1"/>
  <c r="BA39" i="13"/>
  <c r="AH40" i="13"/>
  <c r="BC40" i="13"/>
  <c r="BC40" i="14" s="1"/>
  <c r="H41" i="13"/>
  <c r="BC41" i="13"/>
  <c r="BC41" i="14" s="1"/>
  <c r="B42" i="13"/>
  <c r="T43" i="13"/>
  <c r="T43" i="14" s="1"/>
  <c r="AO43" i="13"/>
  <c r="AO43" i="14" s="1"/>
  <c r="BV43" i="13"/>
  <c r="CE43" i="13"/>
  <c r="CE43" i="14" s="1"/>
  <c r="AT44" i="13"/>
  <c r="BC44" i="13"/>
  <c r="BC44" i="14" s="1"/>
  <c r="BC45" i="13"/>
  <c r="BC45" i="14" s="1"/>
  <c r="BV45" i="13"/>
  <c r="B46" i="13"/>
  <c r="AO46" i="13"/>
  <c r="AO46" i="14" s="1"/>
  <c r="T47" i="13"/>
  <c r="T47" i="14" s="1"/>
  <c r="BA47" i="13"/>
  <c r="CQ48" i="13"/>
  <c r="CL48" i="13"/>
  <c r="CL48" i="14" s="1"/>
  <c r="CG49" i="13"/>
  <c r="CJ49" i="13"/>
  <c r="CE50" i="13"/>
  <c r="CE50" i="14" s="1"/>
  <c r="CJ50" i="13"/>
  <c r="E14" i="13"/>
  <c r="BQ26" i="13"/>
  <c r="BQ26" i="14" s="1"/>
  <c r="T27" i="13"/>
  <c r="T27" i="14" s="1"/>
  <c r="BC29" i="13"/>
  <c r="BC29" i="14" s="1"/>
  <c r="AT30" i="13"/>
  <c r="CE30" i="13"/>
  <c r="CE30" i="14" s="1"/>
  <c r="BX32" i="13"/>
  <c r="BX32" i="14" s="1"/>
  <c r="BC33" i="13"/>
  <c r="BC33" i="14" s="1"/>
  <c r="CJ33" i="13"/>
  <c r="M34" i="13"/>
  <c r="M34" i="14" s="1"/>
  <c r="BQ34" i="13"/>
  <c r="BQ34" i="14" s="1"/>
  <c r="AV36" i="13"/>
  <c r="AV36" i="14" s="1"/>
  <c r="Y38" i="13"/>
  <c r="BQ38" i="13"/>
  <c r="BQ38" i="14" s="1"/>
  <c r="CC38" i="13"/>
  <c r="V39" i="13"/>
  <c r="V39" i="14" s="1"/>
  <c r="BJ39" i="13"/>
  <c r="BJ39" i="14" s="1"/>
  <c r="B40" i="13"/>
  <c r="J40" i="13"/>
  <c r="K40" i="13" s="1"/>
  <c r="CL40" i="13"/>
  <c r="CL40" i="14" s="1"/>
  <c r="AF41" i="13"/>
  <c r="BQ41" i="13"/>
  <c r="BQ41" i="14" s="1"/>
  <c r="CE41" i="13"/>
  <c r="CE41" i="14" s="1"/>
  <c r="M42" i="13"/>
  <c r="M42" i="14" s="1"/>
  <c r="AA42" i="13"/>
  <c r="AA42" i="14" s="1"/>
  <c r="CC42" i="13"/>
  <c r="B44" i="13"/>
  <c r="M44" i="13"/>
  <c r="M44" i="14" s="1"/>
  <c r="E45" i="13"/>
  <c r="K45" i="13" s="1"/>
  <c r="AF45" i="13"/>
  <c r="BQ45" i="13"/>
  <c r="BQ45" i="14" s="1"/>
  <c r="R46" i="13"/>
  <c r="AV47" i="13"/>
  <c r="AV47" i="14" s="1"/>
  <c r="CJ47" i="13"/>
  <c r="AC48" i="13"/>
  <c r="J48" i="13"/>
  <c r="AF49" i="13"/>
  <c r="R50" i="13"/>
  <c r="E50" i="13"/>
  <c r="K50" i="13" s="1"/>
  <c r="T52" i="13"/>
  <c r="T52" i="14" s="1"/>
  <c r="B53" i="13"/>
  <c r="J53" i="13"/>
  <c r="BH53" i="13"/>
  <c r="BE53" i="13"/>
  <c r="BE53" i="14" s="1"/>
  <c r="M56" i="13"/>
  <c r="M56" i="14" s="1"/>
  <c r="E56" i="13"/>
  <c r="R56" i="13"/>
  <c r="B56" i="13"/>
  <c r="B49" i="13"/>
  <c r="M49" i="13"/>
  <c r="M49" i="14" s="1"/>
  <c r="E49" i="13"/>
  <c r="R51" i="13"/>
  <c r="E51" i="13"/>
  <c r="K51" i="13" s="1"/>
  <c r="K52" i="13"/>
  <c r="Y52" i="13"/>
  <c r="B52" i="13"/>
  <c r="AC52" i="13"/>
  <c r="AC52" i="14" s="1"/>
  <c r="BQ52" i="13"/>
  <c r="BQ52" i="14" s="1"/>
  <c r="AF56" i="13"/>
  <c r="AA56" i="13"/>
  <c r="AA56" i="14" s="1"/>
  <c r="BC56" i="13"/>
  <c r="BC56" i="14" s="1"/>
  <c r="BQ56" i="13"/>
  <c r="BQ56" i="14" s="1"/>
  <c r="BV56" i="13"/>
  <c r="BH57" i="13"/>
  <c r="BC57" i="13"/>
  <c r="BC57" i="14" s="1"/>
  <c r="E53" i="13"/>
  <c r="AO53" i="13"/>
  <c r="AO53" i="14" s="1"/>
  <c r="BC53" i="13"/>
  <c r="BC53" i="14" s="1"/>
  <c r="AV54" i="13"/>
  <c r="AV54" i="14" s="1"/>
  <c r="AO57" i="13"/>
  <c r="AO57" i="14" s="1"/>
  <c r="AT57" i="13"/>
  <c r="BC49" i="13"/>
  <c r="BC49" i="14" s="1"/>
  <c r="BH49" i="13"/>
  <c r="CL51" i="13"/>
  <c r="CL51" i="14" s="1"/>
  <c r="CQ51" i="13"/>
  <c r="R53" i="13"/>
  <c r="AT53" i="13"/>
  <c r="BA54" i="13"/>
  <c r="Q59" i="13"/>
  <c r="R58" i="13"/>
  <c r="J56" i="13"/>
  <c r="BH56" i="13"/>
  <c r="M57" i="13"/>
  <c r="M57" i="14" s="1"/>
  <c r="Y56" i="13"/>
  <c r="T56" i="13"/>
  <c r="T56" i="14" s="1"/>
  <c r="AV56" i="13"/>
  <c r="AV56" i="14" s="1"/>
  <c r="CN56" i="13"/>
  <c r="AO54" i="13"/>
  <c r="AO54" i="14" s="1"/>
  <c r="J49" i="13"/>
  <c r="Y49" i="13"/>
  <c r="BV49" i="13"/>
  <c r="AA50" i="13"/>
  <c r="AA50" i="14" s="1"/>
  <c r="AF50" i="13"/>
  <c r="AT50" i="13"/>
  <c r="AO50" i="13"/>
  <c r="AO50" i="14" s="1"/>
  <c r="AH51" i="13"/>
  <c r="AH51" i="14" s="1"/>
  <c r="AM51" i="13"/>
  <c r="BV53" i="13"/>
  <c r="E57" i="13"/>
  <c r="Y57" i="13"/>
  <c r="B57" i="13"/>
  <c r="CJ57" i="13"/>
  <c r="CE57" i="13"/>
  <c r="CE57" i="14" s="1"/>
  <c r="E37" i="13"/>
  <c r="E43" i="13"/>
  <c r="CQ43" i="13"/>
  <c r="E44" i="13"/>
  <c r="K44" i="13" s="1"/>
  <c r="CE45" i="13"/>
  <c r="CE45" i="14" s="1"/>
  <c r="AH46" i="13"/>
  <c r="AH46" i="14" s="1"/>
  <c r="BX46" i="13"/>
  <c r="BX46" i="14" s="1"/>
  <c r="BJ47" i="13"/>
  <c r="BJ47" i="14" s="1"/>
  <c r="AV51" i="13"/>
  <c r="AV51" i="14" s="1"/>
  <c r="AO52" i="13"/>
  <c r="AO52" i="14" s="1"/>
  <c r="CC53" i="13"/>
  <c r="BX53" i="13"/>
  <c r="BX53" i="14" s="1"/>
  <c r="T54" i="13"/>
  <c r="T54" i="14" s="1"/>
  <c r="BQ54" i="13"/>
  <c r="BQ54" i="14" s="1"/>
  <c r="CJ56" i="13"/>
  <c r="CE56" i="13"/>
  <c r="CE56" i="14" s="1"/>
  <c r="T57" i="13"/>
  <c r="T57" i="14" s="1"/>
  <c r="BQ57" i="13"/>
  <c r="BQ57" i="14" s="1"/>
  <c r="AM48" i="13"/>
  <c r="D52" i="13"/>
  <c r="CL52" i="13"/>
  <c r="CL52" i="14" s="1"/>
  <c r="M54" i="13"/>
  <c r="M54" i="14" s="1"/>
  <c r="AF54" i="13"/>
  <c r="BX56" i="13"/>
  <c r="BX56" i="14" s="1"/>
  <c r="E48" i="13"/>
  <c r="AH48" i="13"/>
  <c r="AH48" i="14" s="1"/>
  <c r="BX48" i="13"/>
  <c r="BX48" i="14" s="1"/>
  <c r="BC50" i="13"/>
  <c r="BC50" i="14" s="1"/>
  <c r="BA52" i="13"/>
  <c r="AA54" i="13"/>
  <c r="AA54" i="14" s="1"/>
  <c r="CE54" i="13"/>
  <c r="CE54" i="14" s="1"/>
  <c r="AT56" i="13"/>
  <c r="BV57" i="13"/>
  <c r="AK5" i="10"/>
  <c r="AJ5" i="10" s="1"/>
  <c r="AQ4" i="10"/>
  <c r="AJ4" i="10"/>
  <c r="CU4" i="10"/>
  <c r="AE4" i="10" s="1"/>
  <c r="J4" i="10" s="1"/>
  <c r="W5" i="10"/>
  <c r="V5" i="10" s="1"/>
  <c r="AA6" i="10"/>
  <c r="E6" i="10"/>
  <c r="B6" i="10"/>
  <c r="AF6" i="10"/>
  <c r="AV7" i="10"/>
  <c r="D14" i="10"/>
  <c r="H17" i="10"/>
  <c r="BI55" i="10"/>
  <c r="BO4" i="10"/>
  <c r="BU55" i="10"/>
  <c r="BS4" i="10"/>
  <c r="AD5" i="10"/>
  <c r="AC5" i="10" s="1"/>
  <c r="AR6" i="10"/>
  <c r="AQ6" i="10" s="1"/>
  <c r="AH7" i="10"/>
  <c r="L55" i="10"/>
  <c r="R4" i="10"/>
  <c r="B4" i="10"/>
  <c r="AL55" i="10"/>
  <c r="T5" i="10"/>
  <c r="CH5" i="10"/>
  <c r="CG5" i="10" s="1"/>
  <c r="O6" i="10"/>
  <c r="O7" i="10"/>
  <c r="R7" i="10"/>
  <c r="J7" i="10"/>
  <c r="P7" i="10"/>
  <c r="BX9" i="10"/>
  <c r="R16" i="10"/>
  <c r="P16" i="10"/>
  <c r="O16" i="10" s="1"/>
  <c r="J16" i="10"/>
  <c r="CK55" i="10"/>
  <c r="CQ4" i="10"/>
  <c r="Y5" i="10"/>
  <c r="CJ5" i="10"/>
  <c r="R6" i="10"/>
  <c r="AM6" i="10"/>
  <c r="T7" i="10"/>
  <c r="E7" i="10"/>
  <c r="Y7" i="10"/>
  <c r="AM7" i="10"/>
  <c r="AK7" i="10"/>
  <c r="AJ7" i="10" s="1"/>
  <c r="O8" i="10"/>
  <c r="BX8" i="10"/>
  <c r="B8" i="10"/>
  <c r="CC8" i="10"/>
  <c r="W16" i="10"/>
  <c r="V16" i="10" s="1"/>
  <c r="Y16" i="10"/>
  <c r="H18" i="10"/>
  <c r="M4" i="10"/>
  <c r="AZ55" i="10"/>
  <c r="AX4" i="10"/>
  <c r="CL5" i="10"/>
  <c r="CQ5" i="10"/>
  <c r="S55" i="10"/>
  <c r="Y4" i="10"/>
  <c r="BA4" i="10"/>
  <c r="CB55" i="10"/>
  <c r="CA4" i="10"/>
  <c r="J5" i="10"/>
  <c r="AX5" i="10"/>
  <c r="CA5" i="10"/>
  <c r="BZ5" i="10" s="1"/>
  <c r="AJ6" i="10"/>
  <c r="B7" i="10"/>
  <c r="D7" i="10"/>
  <c r="AF7" i="10"/>
  <c r="BM8" i="10"/>
  <c r="BL8" i="10" s="1"/>
  <c r="AM4" i="10"/>
  <c r="AS55" i="10"/>
  <c r="BB55" i="10"/>
  <c r="BC4" i="10"/>
  <c r="O4" i="10"/>
  <c r="B5" i="10"/>
  <c r="BQ5" i="10"/>
  <c r="BV5" i="10"/>
  <c r="J6" i="10"/>
  <c r="W6" i="10"/>
  <c r="V6" i="10" s="1"/>
  <c r="AY6" i="10"/>
  <c r="AX6" i="10" s="1"/>
  <c r="BA6" i="10"/>
  <c r="CG6" i="10"/>
  <c r="E4" i="10"/>
  <c r="AH4" i="10"/>
  <c r="CD55" i="10"/>
  <c r="CE4" i="10"/>
  <c r="W4" i="10"/>
  <c r="P5" i="10"/>
  <c r="AM5" i="10"/>
  <c r="Y6" i="10"/>
  <c r="AO6" i="10"/>
  <c r="AR7" i="10"/>
  <c r="AQ7" i="10" s="1"/>
  <c r="AT7" i="10"/>
  <c r="F14" i="10"/>
  <c r="AK37" i="10"/>
  <c r="AJ37" i="10" s="1"/>
  <c r="AM37" i="10"/>
  <c r="Z55" i="10"/>
  <c r="BG55" i="10"/>
  <c r="BP55" i="10"/>
  <c r="CP55" i="10"/>
  <c r="BO5" i="10"/>
  <c r="BX5" i="10"/>
  <c r="J8" i="10"/>
  <c r="AA8" i="10"/>
  <c r="BT8" i="10"/>
  <c r="R9" i="10"/>
  <c r="AA9" i="10"/>
  <c r="BF10" i="10"/>
  <c r="BE10" i="10" s="1"/>
  <c r="CA10" i="10"/>
  <c r="BZ10" i="10"/>
  <c r="BF11" i="10"/>
  <c r="BE11" i="10" s="1"/>
  <c r="D11" i="10"/>
  <c r="E12" i="10"/>
  <c r="AA12" i="10"/>
  <c r="AK12" i="10"/>
  <c r="AJ12" i="10" s="1"/>
  <c r="BH12" i="10"/>
  <c r="CL13" i="10"/>
  <c r="G14" i="10"/>
  <c r="AF15" i="10"/>
  <c r="AK15" i="10"/>
  <c r="AJ15" i="10" s="1"/>
  <c r="BJ15" i="10"/>
  <c r="BX15" i="10"/>
  <c r="BF16" i="10"/>
  <c r="BE16" i="10" s="1"/>
  <c r="AV17" i="10"/>
  <c r="I18" i="10"/>
  <c r="BC18" i="10"/>
  <c r="R19" i="10"/>
  <c r="B19" i="10"/>
  <c r="K25" i="10"/>
  <c r="B25" i="10"/>
  <c r="Y25" i="10"/>
  <c r="AT30" i="10"/>
  <c r="AO30" i="10"/>
  <c r="BX32" i="10"/>
  <c r="CC32" i="10"/>
  <c r="B33" i="10"/>
  <c r="P37" i="10"/>
  <c r="AY39" i="10"/>
  <c r="AX39" i="10" s="1"/>
  <c r="BA39" i="10"/>
  <c r="CA9" i="10"/>
  <c r="BZ9" i="10" s="1"/>
  <c r="CJ9" i="10"/>
  <c r="B11" i="10"/>
  <c r="G11" i="10"/>
  <c r="W11" i="10"/>
  <c r="V11" i="10"/>
  <c r="AF11" i="10"/>
  <c r="AX11" i="10"/>
  <c r="B13" i="10"/>
  <c r="BJ13" i="10"/>
  <c r="AQ14" i="10"/>
  <c r="BL15" i="10"/>
  <c r="BM15" i="10"/>
  <c r="BJ19" i="10"/>
  <c r="I20" i="10"/>
  <c r="H20" i="10"/>
  <c r="I22" i="10"/>
  <c r="E24" i="10"/>
  <c r="K24" i="10" s="1"/>
  <c r="CC25" i="10"/>
  <c r="AA26" i="10"/>
  <c r="AF26" i="10"/>
  <c r="B28" i="10"/>
  <c r="R28" i="10"/>
  <c r="BO32" i="10"/>
  <c r="BJ32" i="10"/>
  <c r="AF36" i="10"/>
  <c r="E36" i="10"/>
  <c r="K36" i="10" s="1"/>
  <c r="BQ36" i="10"/>
  <c r="BV36" i="10"/>
  <c r="AT37" i="10"/>
  <c r="AJ38" i="10"/>
  <c r="AM38" i="10"/>
  <c r="T39" i="10"/>
  <c r="AK39" i="10"/>
  <c r="AJ39" i="10" s="1"/>
  <c r="AM39" i="10"/>
  <c r="BC39" i="10"/>
  <c r="BH39" i="10"/>
  <c r="BZ6" i="10"/>
  <c r="BS7" i="10"/>
  <c r="M8" i="10"/>
  <c r="E8" i="10"/>
  <c r="K8" i="10" s="1"/>
  <c r="AC8" i="10"/>
  <c r="AV8" i="10"/>
  <c r="CE8" i="10"/>
  <c r="CO8" i="10"/>
  <c r="CN8" i="10" s="1"/>
  <c r="T9" i="10"/>
  <c r="AF9" i="10"/>
  <c r="AO9" i="10"/>
  <c r="AX9" i="10"/>
  <c r="BQ9" i="10"/>
  <c r="CC9" i="10"/>
  <c r="B10" i="10"/>
  <c r="W10" i="10"/>
  <c r="AF10" i="10"/>
  <c r="AY10" i="10"/>
  <c r="AX10" i="10" s="1"/>
  <c r="BH10" i="10"/>
  <c r="CL10" i="10"/>
  <c r="M11" i="10"/>
  <c r="BS11" i="10"/>
  <c r="J12" i="10"/>
  <c r="AO12" i="10"/>
  <c r="AY12" i="10"/>
  <c r="AX12" i="10" s="1"/>
  <c r="BJ12" i="10"/>
  <c r="P13" i="10"/>
  <c r="O13" i="10" s="1"/>
  <c r="Y13" i="10"/>
  <c r="AH13" i="10"/>
  <c r="BX13" i="10"/>
  <c r="R14" i="10"/>
  <c r="B14" i="10"/>
  <c r="AT14" i="10"/>
  <c r="M15" i="10"/>
  <c r="BO15" i="10"/>
  <c r="W15" i="10"/>
  <c r="V15" i="10" s="1"/>
  <c r="AO16" i="10"/>
  <c r="BS16" i="10"/>
  <c r="AA17" i="10"/>
  <c r="BX17" i="10"/>
  <c r="AH18" i="10"/>
  <c r="CE18" i="10"/>
  <c r="AM21" i="10"/>
  <c r="AH21" i="10"/>
  <c r="R22" i="10"/>
  <c r="E22" i="10"/>
  <c r="K22" i="10" s="1"/>
  <c r="B23" i="10"/>
  <c r="V24" i="10"/>
  <c r="BJ25" i="10"/>
  <c r="BO25" i="10"/>
  <c r="BX25" i="10"/>
  <c r="R26" i="10"/>
  <c r="E26" i="10"/>
  <c r="K26" i="10" s="1"/>
  <c r="CE26" i="10"/>
  <c r="CJ26" i="10"/>
  <c r="AH27" i="10"/>
  <c r="CL27" i="10"/>
  <c r="M28" i="10"/>
  <c r="CE28" i="10"/>
  <c r="BJ29" i="10"/>
  <c r="CL29" i="10"/>
  <c r="CQ29" i="10"/>
  <c r="CA31" i="10"/>
  <c r="BZ31" i="10" s="1"/>
  <c r="J31" i="10"/>
  <c r="P31" i="10"/>
  <c r="O31" i="10"/>
  <c r="R31" i="10"/>
  <c r="M34" i="10"/>
  <c r="AT34" i="10"/>
  <c r="AO34" i="10"/>
  <c r="AA36" i="10"/>
  <c r="AO37" i="10"/>
  <c r="AT39" i="10"/>
  <c r="AO39" i="10"/>
  <c r="BJ10" i="10"/>
  <c r="BS10" i="10"/>
  <c r="BM12" i="10"/>
  <c r="BL12" i="10" s="1"/>
  <c r="BL13" i="10"/>
  <c r="AV14" i="10"/>
  <c r="AK16" i="10"/>
  <c r="AJ16" i="10" s="1"/>
  <c r="H19" i="10"/>
  <c r="CL19" i="10"/>
  <c r="E20" i="10"/>
  <c r="K20" i="10" s="1"/>
  <c r="R20" i="10"/>
  <c r="BH20" i="10"/>
  <c r="BQ26" i="10"/>
  <c r="BV26" i="10"/>
  <c r="T27" i="10"/>
  <c r="Y27" i="10"/>
  <c r="B27" i="10"/>
  <c r="BX27" i="10"/>
  <c r="CC27" i="10"/>
  <c r="G28" i="10"/>
  <c r="AF28" i="10"/>
  <c r="AA28" i="10"/>
  <c r="T30" i="10"/>
  <c r="Y30" i="10"/>
  <c r="AF33" i="10"/>
  <c r="AA33" i="10"/>
  <c r="CJ34" i="10"/>
  <c r="CE34" i="10"/>
  <c r="B9" i="10"/>
  <c r="W9" i="10"/>
  <c r="BJ9" i="10"/>
  <c r="BS9" i="10"/>
  <c r="CE9" i="10"/>
  <c r="BV10" i="10"/>
  <c r="E11" i="10"/>
  <c r="K11" i="10" s="1"/>
  <c r="O11" i="10"/>
  <c r="AA11" i="10"/>
  <c r="BO12" i="10"/>
  <c r="E13" i="10"/>
  <c r="K13" i="10" s="1"/>
  <c r="BO13" i="10"/>
  <c r="AY14" i="10"/>
  <c r="AX14" i="10" s="1"/>
  <c r="BQ15" i="10"/>
  <c r="BX16" i="10"/>
  <c r="B17" i="10"/>
  <c r="B18" i="10"/>
  <c r="I19" i="10"/>
  <c r="M20" i="10"/>
  <c r="BC20" i="10"/>
  <c r="H22" i="10"/>
  <c r="CL23" i="10"/>
  <c r="O26" i="10"/>
  <c r="H26" i="10" s="1"/>
  <c r="I26" i="10"/>
  <c r="H28" i="10"/>
  <c r="R29" i="10"/>
  <c r="E29" i="10"/>
  <c r="K29" i="10" s="1"/>
  <c r="BC31" i="10"/>
  <c r="H34" i="10"/>
  <c r="B34" i="10"/>
  <c r="AF34" i="10"/>
  <c r="J38" i="10"/>
  <c r="P38" i="10"/>
  <c r="O38" i="10" s="1"/>
  <c r="CL39" i="10"/>
  <c r="CQ39" i="10"/>
  <c r="AU55" i="10"/>
  <c r="BV4" i="10"/>
  <c r="BA5" i="10"/>
  <c r="BL5" i="10"/>
  <c r="AC6" i="10"/>
  <c r="CL6" i="10"/>
  <c r="V7" i="10"/>
  <c r="CE7" i="10"/>
  <c r="Y8" i="10"/>
  <c r="AH8" i="10"/>
  <c r="BQ8" i="10"/>
  <c r="BZ8" i="10"/>
  <c r="CG8" i="10"/>
  <c r="M9" i="10"/>
  <c r="AH9" i="10"/>
  <c r="BV9" i="10"/>
  <c r="E10" i="10"/>
  <c r="O10" i="10"/>
  <c r="AA10" i="10"/>
  <c r="G10" i="10"/>
  <c r="BC10" i="10"/>
  <c r="R11" i="10"/>
  <c r="BC11" i="10"/>
  <c r="BX11" i="10"/>
  <c r="B12" i="10"/>
  <c r="BC12" i="10"/>
  <c r="T13" i="10"/>
  <c r="G13" i="10"/>
  <c r="BE13" i="10"/>
  <c r="BA14" i="10"/>
  <c r="Y15" i="10"/>
  <c r="AF16" i="10"/>
  <c r="BM16" i="10"/>
  <c r="BL16" i="10" s="1"/>
  <c r="CA16" i="10"/>
  <c r="BZ16" i="10" s="1"/>
  <c r="CL16" i="10"/>
  <c r="BC17" i="10"/>
  <c r="BJ18" i="10"/>
  <c r="CQ19" i="10"/>
  <c r="BC21" i="10"/>
  <c r="BH21" i="10"/>
  <c r="B22" i="10"/>
  <c r="AH22" i="10"/>
  <c r="AM22" i="10"/>
  <c r="CL24" i="10"/>
  <c r="CE25" i="10"/>
  <c r="B26" i="10"/>
  <c r="AH26" i="10"/>
  <c r="I27" i="10"/>
  <c r="AO27" i="10"/>
  <c r="I28" i="10"/>
  <c r="AV28" i="10"/>
  <c r="BO28" i="10"/>
  <c r="BJ28" i="10"/>
  <c r="AA29" i="10"/>
  <c r="AT29" i="10"/>
  <c r="AO29" i="10"/>
  <c r="W30" i="10"/>
  <c r="V30" i="10" s="1"/>
  <c r="BS30" i="10"/>
  <c r="CL30" i="10"/>
  <c r="CQ30" i="10"/>
  <c r="AM31" i="10"/>
  <c r="BQ31" i="10"/>
  <c r="BV31" i="10"/>
  <c r="AA37" i="10"/>
  <c r="BE37" i="10"/>
  <c r="BT37" i="10"/>
  <c r="BS37" i="10" s="1"/>
  <c r="CG37" i="10"/>
  <c r="CJ37" i="10"/>
  <c r="AN55" i="10"/>
  <c r="BN55" i="10"/>
  <c r="BW55" i="10"/>
  <c r="E5" i="10"/>
  <c r="BE5" i="10"/>
  <c r="CN5" i="10"/>
  <c r="CG7" i="10"/>
  <c r="CN7" i="10"/>
  <c r="D9" i="10"/>
  <c r="R10" i="10"/>
  <c r="CA11" i="10"/>
  <c r="BZ11" i="10" s="1"/>
  <c r="BX12" i="10"/>
  <c r="P12" i="10"/>
  <c r="J13" i="10"/>
  <c r="AV13" i="10"/>
  <c r="E14" i="10"/>
  <c r="E15" i="10"/>
  <c r="BE15" i="10"/>
  <c r="BV15" i="10"/>
  <c r="AM16" i="10"/>
  <c r="CC16" i="10"/>
  <c r="G17" i="10"/>
  <c r="G18" i="10"/>
  <c r="BQ19" i="10"/>
  <c r="B20" i="10"/>
  <c r="CC20" i="10"/>
  <c r="R21" i="10"/>
  <c r="M21" i="10"/>
  <c r="E21" i="10"/>
  <c r="K21" i="10" s="1"/>
  <c r="V23" i="10"/>
  <c r="H23" i="10" s="1"/>
  <c r="I23" i="10"/>
  <c r="BX23" i="10"/>
  <c r="CQ23" i="10"/>
  <c r="H24" i="10"/>
  <c r="H25" i="10"/>
  <c r="AO25" i="10"/>
  <c r="CL26" i="10"/>
  <c r="BH27" i="10"/>
  <c r="BC27" i="10"/>
  <c r="E28" i="10"/>
  <c r="K28" i="10" s="1"/>
  <c r="M29" i="10"/>
  <c r="BE31" i="10"/>
  <c r="CA36" i="10"/>
  <c r="BZ36" i="10"/>
  <c r="CC36" i="10"/>
  <c r="BA37" i="10"/>
  <c r="CL37" i="10"/>
  <c r="CQ37" i="10"/>
  <c r="AF38" i="10"/>
  <c r="AD38" i="10"/>
  <c r="AC38" i="10" s="1"/>
  <c r="AG55" i="10"/>
  <c r="AO4" i="10"/>
  <c r="BF4" i="10"/>
  <c r="BX4" i="10"/>
  <c r="CG4" i="10"/>
  <c r="CO4" i="10"/>
  <c r="CN4" i="10" s="1"/>
  <c r="M5" i="10"/>
  <c r="CE6" i="10"/>
  <c r="BX7" i="10"/>
  <c r="R8" i="10"/>
  <c r="AJ8" i="10"/>
  <c r="E9" i="10"/>
  <c r="K9" i="10" s="1"/>
  <c r="O9" i="10"/>
  <c r="BO10" i="10"/>
  <c r="J11" i="10"/>
  <c r="CC11" i="10"/>
  <c r="BE12" i="10"/>
  <c r="BT13" i="10"/>
  <c r="BS13" i="10" s="1"/>
  <c r="AD14" i="10"/>
  <c r="AC14" i="10" s="1"/>
  <c r="BC14" i="10"/>
  <c r="J14" i="10"/>
  <c r="P14" i="10"/>
  <c r="J15" i="10"/>
  <c r="T16" i="10"/>
  <c r="E18" i="10"/>
  <c r="K18" i="10" s="1"/>
  <c r="AH19" i="10"/>
  <c r="F19" i="10" s="1"/>
  <c r="T20" i="10"/>
  <c r="Y20" i="10"/>
  <c r="AM20" i="10"/>
  <c r="AH20" i="10"/>
  <c r="BX20" i="10"/>
  <c r="M23" i="10"/>
  <c r="E23" i="10"/>
  <c r="K23" i="10" s="1"/>
  <c r="R23" i="10"/>
  <c r="B24" i="10"/>
  <c r="I25" i="10"/>
  <c r="H29" i="10"/>
  <c r="V31" i="10"/>
  <c r="AJ31" i="10"/>
  <c r="BH31" i="10"/>
  <c r="M32" i="10"/>
  <c r="CL32" i="10"/>
  <c r="CQ32" i="10"/>
  <c r="BA33" i="10"/>
  <c r="AV33" i="10"/>
  <c r="AT36" i="10"/>
  <c r="AO36" i="10"/>
  <c r="BM36" i="10"/>
  <c r="BL36" i="10" s="1"/>
  <c r="CE36" i="10"/>
  <c r="CJ36" i="10"/>
  <c r="AV37" i="10"/>
  <c r="CE21" i="10"/>
  <c r="BJ22" i="10"/>
  <c r="AO23" i="10"/>
  <c r="T24" i="10"/>
  <c r="BX24" i="10"/>
  <c r="D28" i="10"/>
  <c r="BC28" i="10"/>
  <c r="AH29" i="10"/>
  <c r="BQ30" i="10"/>
  <c r="CJ30" i="10"/>
  <c r="CE30" i="10"/>
  <c r="BM31" i="10"/>
  <c r="BL31" i="10" s="1"/>
  <c r="AM32" i="10"/>
  <c r="AH32" i="10"/>
  <c r="AH33" i="10"/>
  <c r="BX33" i="10"/>
  <c r="BC35" i="10"/>
  <c r="CO38" i="10"/>
  <c r="CN38" i="10" s="1"/>
  <c r="Y39" i="10"/>
  <c r="V39" i="10"/>
  <c r="AY40" i="10"/>
  <c r="AX40" i="10" s="1"/>
  <c r="BA40" i="10"/>
  <c r="AO41" i="10"/>
  <c r="AT41" i="10"/>
  <c r="BO38" i="10"/>
  <c r="BJ38" i="10"/>
  <c r="R18" i="10"/>
  <c r="I29" i="10"/>
  <c r="BA30" i="10"/>
  <c r="AY30" i="10"/>
  <c r="AX30" i="10" s="1"/>
  <c r="CG31" i="10"/>
  <c r="CJ31" i="10"/>
  <c r="AO33" i="10"/>
  <c r="BV33" i="10"/>
  <c r="D35" i="10"/>
  <c r="AM35" i="10"/>
  <c r="CL35" i="10"/>
  <c r="CQ35" i="10"/>
  <c r="O36" i="10"/>
  <c r="BX37" i="10"/>
  <c r="CC37" i="10"/>
  <c r="CC39" i="10"/>
  <c r="CA39" i="10"/>
  <c r="BZ39" i="10" s="1"/>
  <c r="BJ11" i="10"/>
  <c r="AV12" i="10"/>
  <c r="BC13" i="10"/>
  <c r="AO14" i="10"/>
  <c r="BE14" i="10"/>
  <c r="O15" i="10"/>
  <c r="BC15" i="10"/>
  <c r="BS15" i="10"/>
  <c r="E16" i="10"/>
  <c r="M16" i="10"/>
  <c r="AC16" i="10"/>
  <c r="BQ16" i="10"/>
  <c r="CG16" i="10"/>
  <c r="BQ20" i="10"/>
  <c r="AV21" i="10"/>
  <c r="CL21" i="10"/>
  <c r="AA22" i="10"/>
  <c r="BQ22" i="10"/>
  <c r="CL22" i="10"/>
  <c r="AV23" i="10"/>
  <c r="BQ23" i="10"/>
  <c r="AA24" i="10"/>
  <c r="CE24" i="10"/>
  <c r="AO28" i="10"/>
  <c r="M30" i="10"/>
  <c r="E30" i="10"/>
  <c r="K30" i="10" s="1"/>
  <c r="CA30" i="10"/>
  <c r="BZ30" i="10" s="1"/>
  <c r="BX31" i="10"/>
  <c r="CC31" i="10"/>
  <c r="CL31" i="10"/>
  <c r="BQ33" i="10"/>
  <c r="BO34" i="10"/>
  <c r="BJ34" i="10"/>
  <c r="R36" i="10"/>
  <c r="W36" i="10"/>
  <c r="V36" i="10" s="1"/>
  <c r="AT40" i="10"/>
  <c r="AR40" i="10"/>
  <c r="AQ40" i="10" s="1"/>
  <c r="CI55" i="10"/>
  <c r="E17" i="10"/>
  <c r="K17" i="10" s="1"/>
  <c r="AV20" i="10"/>
  <c r="CL20" i="10"/>
  <c r="I21" i="10"/>
  <c r="AA21" i="10"/>
  <c r="BQ21" i="10"/>
  <c r="AV22" i="10"/>
  <c r="G23" i="10"/>
  <c r="BJ24" i="10"/>
  <c r="M25" i="10"/>
  <c r="AH25" i="10"/>
  <c r="BQ25" i="10"/>
  <c r="CL25" i="10"/>
  <c r="T26" i="10"/>
  <c r="AO26" i="10"/>
  <c r="BX26" i="10"/>
  <c r="T28" i="10"/>
  <c r="CL28" i="10"/>
  <c r="T29" i="10"/>
  <c r="BQ29" i="10"/>
  <c r="CE29" i="10"/>
  <c r="B30" i="10"/>
  <c r="P30" i="10"/>
  <c r="O30" i="10" s="1"/>
  <c r="AH30" i="10"/>
  <c r="CC30" i="10"/>
  <c r="CO31" i="10"/>
  <c r="CN31" i="10" s="1"/>
  <c r="J32" i="10"/>
  <c r="W32" i="10"/>
  <c r="V32" i="10" s="1"/>
  <c r="BQ32" i="10"/>
  <c r="P33" i="10"/>
  <c r="I33" i="10" s="1"/>
  <c r="R35" i="10"/>
  <c r="E35" i="10"/>
  <c r="K35" i="10" s="1"/>
  <c r="M35" i="10"/>
  <c r="BV35" i="10"/>
  <c r="BQ35" i="10"/>
  <c r="Y36" i="10"/>
  <c r="BM37" i="10"/>
  <c r="BL37" i="10" s="1"/>
  <c r="BV38" i="10"/>
  <c r="BQ38" i="10"/>
  <c r="R39" i="10"/>
  <c r="B39" i="10"/>
  <c r="E39" i="10"/>
  <c r="M39" i="10"/>
  <c r="J39" i="10"/>
  <c r="P39" i="10"/>
  <c r="O39" i="10" s="1"/>
  <c r="AM40" i="10"/>
  <c r="AK40" i="10"/>
  <c r="AJ40" i="10" s="1"/>
  <c r="P40" i="10"/>
  <c r="J40" i="10"/>
  <c r="BX42" i="10"/>
  <c r="G43" i="10"/>
  <c r="CL43" i="10"/>
  <c r="CQ43" i="10"/>
  <c r="CG44" i="10"/>
  <c r="CH44" i="10"/>
  <c r="BQ46" i="10"/>
  <c r="BV46" i="10"/>
  <c r="CE46" i="10"/>
  <c r="CJ46" i="10"/>
  <c r="M50" i="10"/>
  <c r="R50" i="10"/>
  <c r="E50" i="10"/>
  <c r="B50" i="10"/>
  <c r="W50" i="10"/>
  <c r="V50" i="10" s="1"/>
  <c r="AD52" i="10"/>
  <c r="AC52" i="10" s="1"/>
  <c r="CH39" i="10"/>
  <c r="CG39" i="10" s="1"/>
  <c r="BC42" i="10"/>
  <c r="CA43" i="10"/>
  <c r="AY44" i="10"/>
  <c r="AO45" i="10"/>
  <c r="BE46" i="10"/>
  <c r="P47" i="10"/>
  <c r="O47" i="10"/>
  <c r="J47" i="10"/>
  <c r="M49" i="10"/>
  <c r="E49" i="10"/>
  <c r="B49" i="10"/>
  <c r="CE50" i="10"/>
  <c r="CJ50" i="10"/>
  <c r="AD50" i="10"/>
  <c r="AC50" i="10" s="1"/>
  <c r="BC40" i="10"/>
  <c r="M41" i="10"/>
  <c r="E41" i="10"/>
  <c r="K41" i="10" s="1"/>
  <c r="T42" i="10"/>
  <c r="Y44" i="10"/>
  <c r="T44" i="10"/>
  <c r="J45" i="10"/>
  <c r="AC45" i="10"/>
  <c r="CL45" i="10"/>
  <c r="CQ45" i="10"/>
  <c r="V46" i="10"/>
  <c r="T47" i="10"/>
  <c r="Y47" i="10"/>
  <c r="B48" i="10"/>
  <c r="AY49" i="10"/>
  <c r="AX49" i="10" s="1"/>
  <c r="AK50" i="10"/>
  <c r="AJ50" i="10" s="1"/>
  <c r="AM50" i="10"/>
  <c r="G37" i="10"/>
  <c r="CU37" i="10"/>
  <c r="AE37" i="10" s="1"/>
  <c r="J37" i="10" s="1"/>
  <c r="R38" i="10"/>
  <c r="B38" i="10"/>
  <c r="AY38" i="10"/>
  <c r="AX38" i="10" s="1"/>
  <c r="BQ39" i="10"/>
  <c r="R40" i="10"/>
  <c r="B40" i="10"/>
  <c r="BF40" i="10"/>
  <c r="BE40" i="10" s="1"/>
  <c r="BQ40" i="10"/>
  <c r="H41" i="10"/>
  <c r="BX41" i="10"/>
  <c r="I42" i="10"/>
  <c r="W43" i="10"/>
  <c r="V43" i="10" s="1"/>
  <c r="AV43" i="10"/>
  <c r="CE43" i="10"/>
  <c r="CJ43" i="10"/>
  <c r="BC44" i="10"/>
  <c r="BH44" i="10"/>
  <c r="AT45" i="10"/>
  <c r="CA45" i="10"/>
  <c r="BZ45" i="10" s="1"/>
  <c r="CG47" i="10"/>
  <c r="CE48" i="10"/>
  <c r="CJ48" i="10"/>
  <c r="Y48" i="10"/>
  <c r="W48" i="10"/>
  <c r="V48" i="10" s="1"/>
  <c r="BH51" i="10"/>
  <c r="BC51" i="10"/>
  <c r="B51" i="10"/>
  <c r="D43" i="10"/>
  <c r="BS43" i="10"/>
  <c r="AM49" i="10"/>
  <c r="AJ49" i="10"/>
  <c r="CJ49" i="10"/>
  <c r="CE49" i="10"/>
  <c r="BZ51" i="10"/>
  <c r="CC51" i="10"/>
  <c r="B32" i="10"/>
  <c r="T32" i="10"/>
  <c r="AJ32" i="10"/>
  <c r="CE33" i="10"/>
  <c r="H35" i="10"/>
  <c r="AM36" i="10"/>
  <c r="BJ36" i="10"/>
  <c r="BS36" i="10"/>
  <c r="CL36" i="10"/>
  <c r="B37" i="10"/>
  <c r="CL38" i="10"/>
  <c r="G39" i="10"/>
  <c r="AQ39" i="10"/>
  <c r="BJ39" i="10"/>
  <c r="AV42" i="10"/>
  <c r="CE42" i="10"/>
  <c r="AJ43" i="10"/>
  <c r="BV43" i="10"/>
  <c r="CJ45" i="10"/>
  <c r="AD48" i="10"/>
  <c r="AC48" i="10" s="1"/>
  <c r="AA49" i="10"/>
  <c r="BC49" i="10"/>
  <c r="BA50" i="10"/>
  <c r="AV50" i="10"/>
  <c r="P51" i="10"/>
  <c r="O51" i="10" s="1"/>
  <c r="J51" i="10"/>
  <c r="BJ30" i="10"/>
  <c r="B31" i="10"/>
  <c r="T31" i="10"/>
  <c r="BA31" i="10"/>
  <c r="AV32" i="10"/>
  <c r="BC34" i="10"/>
  <c r="I35" i="10"/>
  <c r="B36" i="10"/>
  <c r="AH37" i="10"/>
  <c r="E38" i="10"/>
  <c r="AH38" i="10"/>
  <c r="AQ38" i="10"/>
  <c r="BC38" i="10"/>
  <c r="O40" i="10"/>
  <c r="BJ40" i="10"/>
  <c r="BQ41" i="10"/>
  <c r="AM43" i="10"/>
  <c r="M44" i="10"/>
  <c r="E44" i="10"/>
  <c r="K44" i="10" s="1"/>
  <c r="AV45" i="10"/>
  <c r="BS45" i="10"/>
  <c r="CE45" i="10"/>
  <c r="AF46" i="10"/>
  <c r="BM46" i="10"/>
  <c r="BL46" i="10" s="1"/>
  <c r="BZ46" i="10"/>
  <c r="AX47" i="10"/>
  <c r="G48" i="10"/>
  <c r="AV48" i="10"/>
  <c r="R51" i="10"/>
  <c r="J52" i="10"/>
  <c r="P52" i="10"/>
  <c r="R52" i="10"/>
  <c r="O53" i="10"/>
  <c r="J53" i="10"/>
  <c r="K53" i="10" s="1"/>
  <c r="E27" i="10"/>
  <c r="K27" i="10" s="1"/>
  <c r="M31" i="10"/>
  <c r="E31" i="10"/>
  <c r="AC31" i="10"/>
  <c r="AV31" i="10"/>
  <c r="E32" i="10"/>
  <c r="M33" i="10"/>
  <c r="BC33" i="10"/>
  <c r="AH34" i="10"/>
  <c r="CL34" i="10"/>
  <c r="AO35" i="10"/>
  <c r="BJ35" i="10"/>
  <c r="M36" i="10"/>
  <c r="G36" i="10"/>
  <c r="BC36" i="10"/>
  <c r="Y37" i="10"/>
  <c r="BH37" i="10"/>
  <c r="CO37" i="10"/>
  <c r="CN37" i="10" s="1"/>
  <c r="AT38" i="10"/>
  <c r="CE38" i="10"/>
  <c r="AA39" i="10"/>
  <c r="E40" i="10"/>
  <c r="T41" i="10"/>
  <c r="AA42" i="10"/>
  <c r="BA42" i="10"/>
  <c r="J43" i="10"/>
  <c r="K43" i="10" s="1"/>
  <c r="AO43" i="10"/>
  <c r="AA44" i="10"/>
  <c r="CE44" i="10"/>
  <c r="B45" i="10"/>
  <c r="AJ45" i="10"/>
  <c r="J46" i="10"/>
  <c r="R47" i="10"/>
  <c r="B47" i="10"/>
  <c r="E47" i="10"/>
  <c r="K47" i="10" s="1"/>
  <c r="J50" i="10"/>
  <c r="R53" i="10"/>
  <c r="AR53" i="10"/>
  <c r="AQ53" i="10" s="1"/>
  <c r="AA45" i="10"/>
  <c r="M46" i="10"/>
  <c r="E46" i="10"/>
  <c r="K46" i="10" s="1"/>
  <c r="BX46" i="10"/>
  <c r="BH47" i="10"/>
  <c r="CE47" i="10"/>
  <c r="AR48" i="10"/>
  <c r="AQ48" i="10" s="1"/>
  <c r="AV49" i="10"/>
  <c r="BA49" i="10"/>
  <c r="AF50" i="10"/>
  <c r="CA50" i="10"/>
  <c r="BZ50" i="10" s="1"/>
  <c r="CL51" i="10"/>
  <c r="CQ51" i="10"/>
  <c r="BC52" i="10"/>
  <c r="BH52" i="10"/>
  <c r="AT53" i="10"/>
  <c r="BO56" i="10"/>
  <c r="BJ56" i="10"/>
  <c r="BV57" i="10"/>
  <c r="AM54" i="10"/>
  <c r="AH54" i="10"/>
  <c r="BQ57" i="10"/>
  <c r="BM54" i="10"/>
  <c r="BL54" i="10" s="1"/>
  <c r="AF45" i="10"/>
  <c r="R46" i="10"/>
  <c r="CH49" i="10"/>
  <c r="CG49" i="10" s="1"/>
  <c r="P50" i="10"/>
  <c r="O50" i="10" s="1"/>
  <c r="E57" i="10"/>
  <c r="R57" i="10"/>
  <c r="B57" i="10"/>
  <c r="BC57" i="10"/>
  <c r="BH57" i="10"/>
  <c r="AV40" i="10"/>
  <c r="BL40" i="10"/>
  <c r="B43" i="10"/>
  <c r="AH43" i="10"/>
  <c r="BQ43" i="10"/>
  <c r="V44" i="10"/>
  <c r="AV44" i="10"/>
  <c r="CN44" i="10"/>
  <c r="BQ45" i="10"/>
  <c r="BC46" i="10"/>
  <c r="CH46" i="10"/>
  <c r="BC47" i="10"/>
  <c r="M48" i="10"/>
  <c r="AF48" i="10"/>
  <c r="AM48" i="10"/>
  <c r="BH48" i="10"/>
  <c r="Y52" i="10"/>
  <c r="G52" i="10"/>
  <c r="B52" i="10"/>
  <c r="M57" i="10"/>
  <c r="E37" i="10"/>
  <c r="E42" i="10"/>
  <c r="K42" i="10" s="1"/>
  <c r="AR43" i="10"/>
  <c r="AQ43" i="10" s="1"/>
  <c r="BO43" i="10"/>
  <c r="O44" i="10"/>
  <c r="AO44" i="10"/>
  <c r="BE44" i="10"/>
  <c r="BX44" i="10"/>
  <c r="AH45" i="10"/>
  <c r="AR45" i="10"/>
  <c r="B46" i="10"/>
  <c r="T46" i="10"/>
  <c r="AD46" i="10"/>
  <c r="AC46" i="10" s="1"/>
  <c r="AM47" i="10"/>
  <c r="AH47" i="10"/>
  <c r="AQ47" i="10"/>
  <c r="BZ47" i="10"/>
  <c r="CO47" i="10"/>
  <c r="CN47" i="10" s="1"/>
  <c r="AO48" i="10"/>
  <c r="AT48" i="10"/>
  <c r="BC48" i="10"/>
  <c r="T49" i="10"/>
  <c r="AT49" i="10"/>
  <c r="BO49" i="10"/>
  <c r="BJ49" i="10"/>
  <c r="BX50" i="10"/>
  <c r="CL50" i="10"/>
  <c r="AJ51" i="10"/>
  <c r="BJ51" i="10"/>
  <c r="T52" i="10"/>
  <c r="AY52" i="10"/>
  <c r="AX52" i="10" s="1"/>
  <c r="BA52" i="10"/>
  <c r="AA53" i="10"/>
  <c r="AF53" i="10"/>
  <c r="J48" i="10"/>
  <c r="K48" i="10" s="1"/>
  <c r="G51" i="10"/>
  <c r="AA51" i="10"/>
  <c r="F51" i="10" s="1"/>
  <c r="AF51" i="10"/>
  <c r="CH52" i="10"/>
  <c r="CG52" i="10" s="1"/>
  <c r="G53" i="10"/>
  <c r="M53" i="10"/>
  <c r="BA53" i="10"/>
  <c r="AY53" i="10"/>
  <c r="AX53" i="10" s="1"/>
  <c r="CL53" i="10"/>
  <c r="CQ53" i="10"/>
  <c r="E56" i="10"/>
  <c r="K56" i="10" s="1"/>
  <c r="R56" i="10"/>
  <c r="B56" i="10"/>
  <c r="AF56" i="10"/>
  <c r="AA56" i="10"/>
  <c r="CN56" i="10"/>
  <c r="O48" i="10"/>
  <c r="CC49" i="10"/>
  <c r="AY50" i="10"/>
  <c r="AX50" i="10"/>
  <c r="E51" i="10"/>
  <c r="AQ51" i="10"/>
  <c r="CE51" i="10"/>
  <c r="W52" i="10"/>
  <c r="V52" i="10" s="1"/>
  <c r="BH53" i="10"/>
  <c r="M56" i="10"/>
  <c r="CJ56" i="10"/>
  <c r="AQ57" i="10"/>
  <c r="AV47" i="10"/>
  <c r="BQ48" i="10"/>
  <c r="CQ48" i="10"/>
  <c r="AO49" i="10"/>
  <c r="BE49" i="10"/>
  <c r="T50" i="10"/>
  <c r="Y50" i="10"/>
  <c r="AO50" i="10"/>
  <c r="AT51" i="10"/>
  <c r="CH51" i="10"/>
  <c r="CG51" i="10" s="1"/>
  <c r="W51" i="10"/>
  <c r="V51" i="10" s="1"/>
  <c r="AF52" i="10"/>
  <c r="W53" i="10"/>
  <c r="V53" i="10" s="1"/>
  <c r="T54" i="10"/>
  <c r="E54" i="10"/>
  <c r="K54" i="10" s="1"/>
  <c r="Y54" i="10"/>
  <c r="B54" i="10"/>
  <c r="CE56" i="10"/>
  <c r="AT57" i="10"/>
  <c r="AO47" i="10"/>
  <c r="BE47" i="10"/>
  <c r="BO48" i="10"/>
  <c r="BX49" i="10"/>
  <c r="BL50" i="10"/>
  <c r="CJ51" i="10"/>
  <c r="BX54" i="10"/>
  <c r="AR56" i="10"/>
  <c r="AQ56" i="10" s="1"/>
  <c r="J57" i="10"/>
  <c r="R83" i="10"/>
  <c r="CS49" i="10" s="1"/>
  <c r="Q49" i="10" s="1"/>
  <c r="R49" i="10" s="1"/>
  <c r="BO53" i="10"/>
  <c r="CE53" i="10"/>
  <c r="AD54" i="10"/>
  <c r="AC54" i="10" s="1"/>
  <c r="BM57" i="10"/>
  <c r="BL57" i="10" s="1"/>
  <c r="AF83" i="10"/>
  <c r="CU49" i="10" s="1"/>
  <c r="AE49" i="10" s="1"/>
  <c r="BA54" i="10"/>
  <c r="CE54" i="10"/>
  <c r="CJ54" i="10"/>
  <c r="BM56" i="10"/>
  <c r="BL56" i="10" s="1"/>
  <c r="CJ57" i="10"/>
  <c r="CE57" i="10"/>
  <c r="AO51" i="10"/>
  <c r="M52" i="10"/>
  <c r="AV52" i="10"/>
  <c r="CC52" i="10"/>
  <c r="CN52" i="10"/>
  <c r="B53" i="10"/>
  <c r="T53" i="10"/>
  <c r="CO53" i="10"/>
  <c r="CN53" i="10" s="1"/>
  <c r="AA54" i="10"/>
  <c r="AF54" i="10"/>
  <c r="AV54" i="10"/>
  <c r="BA56" i="10"/>
  <c r="CQ56" i="10"/>
  <c r="AF57" i="10"/>
  <c r="BJ57" i="10"/>
  <c r="BO57" i="10"/>
  <c r="BQ50" i="10"/>
  <c r="CG50" i="10"/>
  <c r="E52" i="10"/>
  <c r="AO52" i="10"/>
  <c r="BE52" i="10"/>
  <c r="BX52" i="10"/>
  <c r="BT53" i="10"/>
  <c r="BS53" i="10" s="1"/>
  <c r="CC53" i="10"/>
  <c r="O54" i="10"/>
  <c r="CH54" i="10"/>
  <c r="CG54" i="10" s="1"/>
  <c r="BC56" i="10"/>
  <c r="AA57" i="10"/>
  <c r="AX57" i="10"/>
  <c r="Y83" i="10"/>
  <c r="CT49" i="10" s="1"/>
  <c r="X49" i="10" s="1"/>
  <c r="X55" i="10" s="1"/>
  <c r="BJ53" i="10"/>
  <c r="BC54" i="10"/>
  <c r="AH56" i="10"/>
  <c r="CL56" i="10"/>
  <c r="AH57" i="10"/>
  <c r="CL57" i="10"/>
  <c r="AJ54" i="10"/>
  <c r="CN54" i="10"/>
  <c r="O56" i="10"/>
  <c r="W56" i="10"/>
  <c r="V56" i="10" s="1"/>
  <c r="BS56" i="10"/>
  <c r="O57" i="10"/>
  <c r="BS57" i="10"/>
  <c r="M54" i="10"/>
  <c r="AV56" i="10"/>
  <c r="AE55" i="9"/>
  <c r="AD4" i="9"/>
  <c r="AC4" i="9" s="1"/>
  <c r="J4" i="9"/>
  <c r="AL55" i="9"/>
  <c r="AK4" i="9"/>
  <c r="H6" i="9"/>
  <c r="G5" i="9"/>
  <c r="M5" i="9"/>
  <c r="H10" i="9"/>
  <c r="AF4" i="9"/>
  <c r="AN55" i="9"/>
  <c r="BF55" i="9"/>
  <c r="BF58" i="9" s="1"/>
  <c r="BP55" i="9"/>
  <c r="BV58" i="9" s="1"/>
  <c r="CH55" i="9"/>
  <c r="CH58" i="9" s="1"/>
  <c r="R5" i="9"/>
  <c r="AA5" i="9"/>
  <c r="AT5" i="9"/>
  <c r="CJ5" i="9"/>
  <c r="B6" i="9"/>
  <c r="BX6" i="9"/>
  <c r="BC7" i="9"/>
  <c r="R9" i="9"/>
  <c r="CJ11" i="9"/>
  <c r="E12" i="9"/>
  <c r="K12" i="9" s="1"/>
  <c r="M14" i="9"/>
  <c r="AJ15" i="9"/>
  <c r="AV15" i="9"/>
  <c r="G16" i="9"/>
  <c r="AO19" i="9"/>
  <c r="AT19" i="9"/>
  <c r="I20" i="9"/>
  <c r="B21" i="9"/>
  <c r="I22" i="9"/>
  <c r="H28" i="9"/>
  <c r="R55" i="9"/>
  <c r="Q58" i="9"/>
  <c r="Y4" i="9"/>
  <c r="AX4" i="9"/>
  <c r="AX55" i="9" s="1"/>
  <c r="AX58" i="9" s="1"/>
  <c r="BH4" i="9"/>
  <c r="BZ4" i="9"/>
  <c r="BZ55" i="9" s="1"/>
  <c r="BZ58" i="9" s="1"/>
  <c r="CJ4" i="9"/>
  <c r="J5" i="9"/>
  <c r="AK5" i="9"/>
  <c r="AJ5" i="9" s="1"/>
  <c r="H5" i="9" s="1"/>
  <c r="CL5" i="9"/>
  <c r="M6" i="9"/>
  <c r="M7" i="9"/>
  <c r="E8" i="9"/>
  <c r="K8" i="9" s="1"/>
  <c r="H8" i="9"/>
  <c r="AD9" i="9"/>
  <c r="I9" i="9" s="1"/>
  <c r="B10" i="9"/>
  <c r="M10" i="9"/>
  <c r="E10" i="9"/>
  <c r="K10" i="9" s="1"/>
  <c r="BO10" i="9"/>
  <c r="B11" i="9"/>
  <c r="V11" i="9"/>
  <c r="D11" i="9"/>
  <c r="P12" i="9"/>
  <c r="BA14" i="9"/>
  <c r="BX14" i="9"/>
  <c r="CC14" i="9"/>
  <c r="I15" i="9"/>
  <c r="O15" i="9"/>
  <c r="H15" i="9" s="1"/>
  <c r="Y18" i="9"/>
  <c r="BJ18" i="9"/>
  <c r="BO18" i="9"/>
  <c r="O19" i="9"/>
  <c r="H19" i="9" s="1"/>
  <c r="AO20" i="9"/>
  <c r="AT20" i="9"/>
  <c r="CE20" i="9"/>
  <c r="CJ20" i="9"/>
  <c r="Y21" i="9"/>
  <c r="T21" i="9"/>
  <c r="CJ22" i="9"/>
  <c r="CE22" i="9"/>
  <c r="BI58" i="9"/>
  <c r="BO55" i="9"/>
  <c r="CK55" i="9"/>
  <c r="CK58" i="9" s="1"/>
  <c r="E6" i="9"/>
  <c r="K6" i="9" s="1"/>
  <c r="BJ8" i="9"/>
  <c r="H14" i="9"/>
  <c r="AM15" i="9"/>
  <c r="J15" i="9"/>
  <c r="K15" i="9" s="1"/>
  <c r="BX15" i="9"/>
  <c r="AA17" i="9"/>
  <c r="AF17" i="9"/>
  <c r="AT17" i="9"/>
  <c r="AO17" i="9"/>
  <c r="CE17" i="9"/>
  <c r="CJ17" i="9"/>
  <c r="BJ19" i="9"/>
  <c r="BO19" i="9"/>
  <c r="CE23" i="9"/>
  <c r="BV24" i="9"/>
  <c r="BQ24" i="9"/>
  <c r="AQ4" i="9"/>
  <c r="AQ55" i="9" s="1"/>
  <c r="AQ58" i="9" s="1"/>
  <c r="BS55" i="9"/>
  <c r="BS58" i="9" s="1"/>
  <c r="G11" i="9"/>
  <c r="AV11" i="9"/>
  <c r="AD12" i="9"/>
  <c r="AC12" i="9" s="1"/>
  <c r="D13" i="9"/>
  <c r="AF13" i="9"/>
  <c r="BH13" i="9"/>
  <c r="CE13" i="9"/>
  <c r="CJ13" i="9"/>
  <c r="CE18" i="9"/>
  <c r="CJ18" i="9"/>
  <c r="BJ21" i="9"/>
  <c r="BO21" i="9"/>
  <c r="M22" i="9"/>
  <c r="E22" i="9"/>
  <c r="K22" i="9" s="1"/>
  <c r="R22" i="9"/>
  <c r="AA4" i="9"/>
  <c r="BB58" i="9"/>
  <c r="BH55" i="9"/>
  <c r="CN55" i="9"/>
  <c r="CN58" i="9" s="1"/>
  <c r="E5" i="9"/>
  <c r="CE5" i="9"/>
  <c r="BQ6" i="9"/>
  <c r="CL6" i="9"/>
  <c r="I7" i="9"/>
  <c r="AA7" i="9"/>
  <c r="AV7" i="9"/>
  <c r="BQ7" i="9"/>
  <c r="AO8" i="9"/>
  <c r="AA10" i="9"/>
  <c r="AV10" i="9"/>
  <c r="H11" i="9"/>
  <c r="CE11" i="9"/>
  <c r="AF12" i="9"/>
  <c r="AO12" i="9"/>
  <c r="M13" i="9"/>
  <c r="AA13" i="9"/>
  <c r="BC13" i="9"/>
  <c r="G15" i="9"/>
  <c r="CC15" i="9"/>
  <c r="BH16" i="9"/>
  <c r="T19" i="9"/>
  <c r="Y19" i="9"/>
  <c r="BA20" i="9"/>
  <c r="BO20" i="9"/>
  <c r="E21" i="9"/>
  <c r="K21" i="9" s="1"/>
  <c r="M21" i="9"/>
  <c r="H22" i="9"/>
  <c r="B23" i="9"/>
  <c r="R23" i="9"/>
  <c r="E23" i="9"/>
  <c r="K23" i="9" s="1"/>
  <c r="CJ23" i="9"/>
  <c r="E4" i="9"/>
  <c r="AT4" i="9"/>
  <c r="BL55" i="9"/>
  <c r="BL58" i="9" s="1"/>
  <c r="BV4" i="9"/>
  <c r="CO55" i="9"/>
  <c r="CO58" i="9" s="1"/>
  <c r="AF5" i="9"/>
  <c r="AO5" i="9"/>
  <c r="D5" i="9"/>
  <c r="CQ5" i="9"/>
  <c r="AA6" i="9"/>
  <c r="CE7" i="9"/>
  <c r="BO8" i="9"/>
  <c r="BX8" i="9"/>
  <c r="J9" i="9"/>
  <c r="AH9" i="9"/>
  <c r="CL9" i="9"/>
  <c r="AM10" i="9"/>
  <c r="BJ10" i="9"/>
  <c r="CE10" i="9"/>
  <c r="AM11" i="9"/>
  <c r="BV11" i="9"/>
  <c r="BO12" i="9"/>
  <c r="B13" i="9"/>
  <c r="BC15" i="9"/>
  <c r="E16" i="9"/>
  <c r="K16" i="9" s="1"/>
  <c r="BC16" i="9"/>
  <c r="B18" i="9"/>
  <c r="AA18" i="9"/>
  <c r="AO18" i="9"/>
  <c r="AT18" i="9"/>
  <c r="BQ18" i="9"/>
  <c r="BV19" i="9"/>
  <c r="CJ19" i="9"/>
  <c r="CE19" i="9"/>
  <c r="AV20" i="9"/>
  <c r="BJ20" i="9"/>
  <c r="M23" i="9"/>
  <c r="CQ23" i="9"/>
  <c r="CL23" i="9"/>
  <c r="CL24" i="9"/>
  <c r="CQ24" i="9"/>
  <c r="M4" i="9"/>
  <c r="AU55" i="9"/>
  <c r="BC4" i="9"/>
  <c r="BM55" i="9"/>
  <c r="BM58" i="9" s="1"/>
  <c r="BW55" i="9"/>
  <c r="CQ4" i="9"/>
  <c r="AO6" i="9"/>
  <c r="CE6" i="9"/>
  <c r="T7" i="9"/>
  <c r="BJ7" i="9"/>
  <c r="B8" i="9"/>
  <c r="AH8" i="9"/>
  <c r="CL8" i="9"/>
  <c r="E9" i="9"/>
  <c r="Y9" i="9"/>
  <c r="AV9" i="9"/>
  <c r="BQ9" i="9"/>
  <c r="T10" i="9"/>
  <c r="BA10" i="9"/>
  <c r="AH12" i="9"/>
  <c r="BC14" i="9"/>
  <c r="CE14" i="9"/>
  <c r="R15" i="9"/>
  <c r="B15" i="9"/>
  <c r="T16" i="9"/>
  <c r="AV17" i="9"/>
  <c r="BJ17" i="9"/>
  <c r="BO17" i="9"/>
  <c r="CL17" i="9"/>
  <c r="G18" i="9"/>
  <c r="M18" i="9"/>
  <c r="CQ18" i="9"/>
  <c r="BQ19" i="9"/>
  <c r="AO21" i="9"/>
  <c r="T22" i="9"/>
  <c r="AM22" i="9"/>
  <c r="AH22" i="9"/>
  <c r="O4" i="9"/>
  <c r="W4" i="9"/>
  <c r="AM4" i="9"/>
  <c r="AV4" i="9"/>
  <c r="BE4" i="9"/>
  <c r="BE55" i="9" s="1"/>
  <c r="BE58" i="9" s="1"/>
  <c r="BO4" i="9"/>
  <c r="BX4" i="9"/>
  <c r="CG4" i="9"/>
  <c r="CG55" i="9" s="1"/>
  <c r="CG58" i="9" s="1"/>
  <c r="AH5" i="9"/>
  <c r="BX5" i="9"/>
  <c r="T6" i="9"/>
  <c r="BA6" i="9"/>
  <c r="BJ6" i="9"/>
  <c r="B7" i="9"/>
  <c r="AF7" i="9"/>
  <c r="AA9" i="9"/>
  <c r="AM9" i="9"/>
  <c r="CQ9" i="9"/>
  <c r="T11" i="9"/>
  <c r="AO11" i="9"/>
  <c r="BX11" i="9"/>
  <c r="B12" i="9"/>
  <c r="D12" i="9"/>
  <c r="M12" i="9"/>
  <c r="BQ12" i="9"/>
  <c r="CL12" i="9"/>
  <c r="G13" i="9"/>
  <c r="AH13" i="9"/>
  <c r="BJ13" i="9"/>
  <c r="CL13" i="9"/>
  <c r="R14" i="9"/>
  <c r="B14" i="9"/>
  <c r="M15" i="9"/>
  <c r="CE15" i="9"/>
  <c r="BJ16" i="9"/>
  <c r="BO16" i="9"/>
  <c r="CC16" i="9"/>
  <c r="BX16" i="9"/>
  <c r="G17" i="9"/>
  <c r="E17" i="9"/>
  <c r="K17" i="9" s="1"/>
  <c r="CL18" i="9"/>
  <c r="B19" i="9"/>
  <c r="AA19" i="9"/>
  <c r="B20" i="9"/>
  <c r="G20" i="9"/>
  <c r="Y20" i="9"/>
  <c r="E20" i="9"/>
  <c r="K20" i="9" s="1"/>
  <c r="B22" i="9"/>
  <c r="BJ23" i="9"/>
  <c r="E13" i="9"/>
  <c r="K13" i="9" s="1"/>
  <c r="I21" i="9"/>
  <c r="CL21" i="9"/>
  <c r="BX22" i="9"/>
  <c r="V24" i="9"/>
  <c r="H24" i="9" s="1"/>
  <c r="AV27" i="9"/>
  <c r="H29" i="9"/>
  <c r="BJ29" i="9"/>
  <c r="H31" i="9"/>
  <c r="AO31" i="9"/>
  <c r="AT31" i="9"/>
  <c r="AC32" i="9"/>
  <c r="H32" i="9" s="1"/>
  <c r="AD32" i="9"/>
  <c r="Y35" i="9"/>
  <c r="T35" i="9"/>
  <c r="B35" i="9"/>
  <c r="E35" i="9"/>
  <c r="K35" i="9" s="1"/>
  <c r="CC35" i="9"/>
  <c r="BX35" i="9"/>
  <c r="BJ24" i="9"/>
  <c r="AT26" i="9"/>
  <c r="E28" i="9"/>
  <c r="K28" i="9" s="1"/>
  <c r="AA28" i="9"/>
  <c r="I29" i="9"/>
  <c r="I30" i="9"/>
  <c r="I31" i="9"/>
  <c r="BC31" i="9"/>
  <c r="AV33" i="9"/>
  <c r="BA33" i="9"/>
  <c r="CE34" i="9"/>
  <c r="CJ34" i="9"/>
  <c r="BX24" i="9"/>
  <c r="T25" i="9"/>
  <c r="BC25" i="9"/>
  <c r="BX25" i="9"/>
  <c r="G26" i="9"/>
  <c r="J26" i="9"/>
  <c r="K26" i="9" s="1"/>
  <c r="AC26" i="9"/>
  <c r="AO26" i="9"/>
  <c r="BQ26" i="9"/>
  <c r="BV26" i="9"/>
  <c r="BQ30" i="9"/>
  <c r="V32" i="9"/>
  <c r="AM32" i="9"/>
  <c r="B32" i="9"/>
  <c r="BA32" i="9"/>
  <c r="AF33" i="9"/>
  <c r="B33" i="9"/>
  <c r="CL33" i="9"/>
  <c r="AO35" i="9"/>
  <c r="AT35" i="9"/>
  <c r="O27" i="9"/>
  <c r="H27" i="9" s="1"/>
  <c r="BX27" i="9"/>
  <c r="CL29" i="9"/>
  <c r="CJ31" i="9"/>
  <c r="AT34" i="9"/>
  <c r="AO34" i="9"/>
  <c r="R27" i="9"/>
  <c r="BC28" i="9"/>
  <c r="M30" i="9"/>
  <c r="E30" i="9"/>
  <c r="K30" i="9" s="1"/>
  <c r="CE31" i="9"/>
  <c r="AA23" i="9"/>
  <c r="E25" i="9"/>
  <c r="K25" i="9" s="1"/>
  <c r="T27" i="9"/>
  <c r="CC27" i="9"/>
  <c r="R29" i="9"/>
  <c r="B29" i="9"/>
  <c r="AH29" i="9"/>
  <c r="BQ29" i="9"/>
  <c r="CQ29" i="9"/>
  <c r="H30" i="9"/>
  <c r="B31" i="9"/>
  <c r="R31" i="9"/>
  <c r="I33" i="9"/>
  <c r="CE33" i="9"/>
  <c r="I34" i="9"/>
  <c r="O34" i="9"/>
  <c r="H34" i="9" s="1"/>
  <c r="BJ34" i="9"/>
  <c r="BO34" i="9"/>
  <c r="AJ12" i="9"/>
  <c r="T13" i="9"/>
  <c r="AV13" i="9"/>
  <c r="BX13" i="9"/>
  <c r="AO14" i="9"/>
  <c r="BQ14" i="9"/>
  <c r="O16" i="9"/>
  <c r="H16" i="9" s="1"/>
  <c r="AV16" i="9"/>
  <c r="CL16" i="9"/>
  <c r="R17" i="9"/>
  <c r="B17" i="9"/>
  <c r="BX20" i="9"/>
  <c r="AH21" i="9"/>
  <c r="AA22" i="9"/>
  <c r="AV22" i="9"/>
  <c r="B25" i="9"/>
  <c r="AV25" i="9"/>
  <c r="W26" i="9"/>
  <c r="B28" i="9"/>
  <c r="AH28" i="9"/>
  <c r="BH28" i="9"/>
  <c r="B30" i="9"/>
  <c r="R30" i="9"/>
  <c r="I32" i="9"/>
  <c r="J33" i="9"/>
  <c r="R33" i="9"/>
  <c r="BC17" i="9"/>
  <c r="AH18" i="9"/>
  <c r="M19" i="9"/>
  <c r="E19" i="9"/>
  <c r="K19" i="9" s="1"/>
  <c r="H21" i="9"/>
  <c r="BX21" i="9"/>
  <c r="I23" i="9"/>
  <c r="AF23" i="9"/>
  <c r="AO23" i="9"/>
  <c r="BC23" i="9"/>
  <c r="G24" i="9"/>
  <c r="AH24" i="9"/>
  <c r="O25" i="9"/>
  <c r="H25" i="9" s="1"/>
  <c r="AA25" i="9"/>
  <c r="CE25" i="9"/>
  <c r="AV26" i="9"/>
  <c r="J27" i="9"/>
  <c r="Y27" i="9"/>
  <c r="M28" i="9"/>
  <c r="CE28" i="9"/>
  <c r="M29" i="9"/>
  <c r="AM29" i="9"/>
  <c r="AO30" i="9"/>
  <c r="BX30" i="9"/>
  <c r="M31" i="9"/>
  <c r="E32" i="9"/>
  <c r="J32" i="9"/>
  <c r="BC32" i="9"/>
  <c r="BQ32" i="9"/>
  <c r="BV32" i="9"/>
  <c r="I36" i="9"/>
  <c r="R32" i="9"/>
  <c r="M33" i="9"/>
  <c r="J36" i="9"/>
  <c r="B38" i="9"/>
  <c r="BQ40" i="9"/>
  <c r="BV40" i="9"/>
  <c r="CL44" i="9"/>
  <c r="CQ44" i="9"/>
  <c r="AF46" i="9"/>
  <c r="AA46" i="9"/>
  <c r="AK50" i="9"/>
  <c r="AJ50" i="9" s="1"/>
  <c r="B51" i="9"/>
  <c r="I52" i="9"/>
  <c r="O52" i="9"/>
  <c r="H35" i="9"/>
  <c r="V36" i="9"/>
  <c r="G37" i="9"/>
  <c r="Y38" i="9"/>
  <c r="T38" i="9"/>
  <c r="BQ38" i="9"/>
  <c r="BV38" i="9"/>
  <c r="AV42" i="9"/>
  <c r="BA42" i="9"/>
  <c r="BJ44" i="9"/>
  <c r="BO44" i="9"/>
  <c r="I47" i="9"/>
  <c r="CJ48" i="9"/>
  <c r="CE48" i="9"/>
  <c r="AC49" i="9"/>
  <c r="H49" i="9" s="1"/>
  <c r="AD49" i="9"/>
  <c r="G34" i="9"/>
  <c r="BJ36" i="9"/>
  <c r="BO36" i="9"/>
  <c r="B37" i="9"/>
  <c r="P37" i="9"/>
  <c r="O37" i="9" s="1"/>
  <c r="AD37" i="9"/>
  <c r="AC37" i="9" s="1"/>
  <c r="BX46" i="9"/>
  <c r="CC46" i="9"/>
  <c r="AK48" i="9"/>
  <c r="AJ48" i="9" s="1"/>
  <c r="H48" i="9" s="1"/>
  <c r="BH48" i="9"/>
  <c r="V50" i="9"/>
  <c r="W50" i="9"/>
  <c r="CL36" i="9"/>
  <c r="CQ36" i="9"/>
  <c r="AH39" i="9"/>
  <c r="AA41" i="9"/>
  <c r="AT41" i="9"/>
  <c r="AO41" i="9"/>
  <c r="BQ41" i="9"/>
  <c r="AV46" i="9"/>
  <c r="BA46" i="9"/>
  <c r="CQ47" i="9"/>
  <c r="CL47" i="9"/>
  <c r="AM48" i="9"/>
  <c r="BC48" i="9"/>
  <c r="Y50" i="9"/>
  <c r="BJ51" i="9"/>
  <c r="BO51" i="9"/>
  <c r="I53" i="9"/>
  <c r="AA36" i="9"/>
  <c r="R37" i="9"/>
  <c r="BQ37" i="9"/>
  <c r="BV37" i="9"/>
  <c r="CL38" i="9"/>
  <c r="CQ38" i="9"/>
  <c r="AJ40" i="9"/>
  <c r="CE41" i="9"/>
  <c r="CJ41" i="9"/>
  <c r="AV43" i="9"/>
  <c r="CC43" i="9"/>
  <c r="BX43" i="9"/>
  <c r="BO47" i="9"/>
  <c r="J48" i="9"/>
  <c r="K48" i="9" s="1"/>
  <c r="AV51" i="9"/>
  <c r="AF34" i="9"/>
  <c r="G36" i="9"/>
  <c r="AH37" i="9"/>
  <c r="M38" i="9"/>
  <c r="E38" i="9"/>
  <c r="K38" i="9" s="1"/>
  <c r="AV38" i="9"/>
  <c r="BA38" i="9"/>
  <c r="AM39" i="9"/>
  <c r="BJ39" i="9"/>
  <c r="BO39" i="9"/>
  <c r="B40" i="9"/>
  <c r="I40" i="9"/>
  <c r="AM40" i="9"/>
  <c r="I41" i="9"/>
  <c r="G41" i="9"/>
  <c r="E41" i="9"/>
  <c r="K41" i="9" s="1"/>
  <c r="Y41" i="9"/>
  <c r="AF41" i="9"/>
  <c r="Y42" i="9"/>
  <c r="B42" i="9"/>
  <c r="T42" i="9"/>
  <c r="G43" i="9"/>
  <c r="M43" i="9"/>
  <c r="Y43" i="9"/>
  <c r="V43" i="9"/>
  <c r="H43" i="9" s="1"/>
  <c r="BJ47" i="9"/>
  <c r="AH51" i="9"/>
  <c r="AM51" i="9"/>
  <c r="Y53" i="9"/>
  <c r="T53" i="9"/>
  <c r="B53" i="9"/>
  <c r="I56" i="9"/>
  <c r="O56" i="9"/>
  <c r="H56" i="9" s="1"/>
  <c r="B26" i="9"/>
  <c r="AH26" i="9"/>
  <c r="BJ26" i="9"/>
  <c r="CL26" i="9"/>
  <c r="E27" i="9"/>
  <c r="K27" i="9" s="1"/>
  <c r="M27" i="9"/>
  <c r="AA31" i="9"/>
  <c r="BX31" i="9"/>
  <c r="CE32" i="9"/>
  <c r="T33" i="9"/>
  <c r="BJ33" i="9"/>
  <c r="AF36" i="9"/>
  <c r="AO36" i="9"/>
  <c r="AA38" i="9"/>
  <c r="BX38" i="9"/>
  <c r="AC40" i="9"/>
  <c r="AO40" i="9"/>
  <c r="BX40" i="9"/>
  <c r="BJ41" i="9"/>
  <c r="BO41" i="9"/>
  <c r="B44" i="9"/>
  <c r="R44" i="9"/>
  <c r="E44" i="9"/>
  <c r="K44" i="9" s="1"/>
  <c r="M44" i="9"/>
  <c r="AT44" i="9"/>
  <c r="AO44" i="9"/>
  <c r="G49" i="9"/>
  <c r="AH56" i="9"/>
  <c r="AM56" i="9"/>
  <c r="E56" i="9"/>
  <c r="BJ32" i="9"/>
  <c r="B34" i="9"/>
  <c r="R34" i="9"/>
  <c r="BC34" i="9"/>
  <c r="G35" i="9"/>
  <c r="T36" i="9"/>
  <c r="BQ36" i="9"/>
  <c r="X37" i="9"/>
  <c r="X55" i="9" s="1"/>
  <c r="AM37" i="9"/>
  <c r="R39" i="9"/>
  <c r="M39" i="9"/>
  <c r="E39" i="9"/>
  <c r="K39" i="9" s="1"/>
  <c r="AO39" i="9"/>
  <c r="CL39" i="9"/>
  <c r="CQ39" i="9"/>
  <c r="T40" i="9"/>
  <c r="Y40" i="9"/>
  <c r="BO42" i="9"/>
  <c r="BJ42" i="9"/>
  <c r="I43" i="9"/>
  <c r="R45" i="9"/>
  <c r="B45" i="9"/>
  <c r="AH47" i="9"/>
  <c r="I38" i="9"/>
  <c r="I39" i="9"/>
  <c r="AJ39" i="9"/>
  <c r="G42" i="9"/>
  <c r="BQ42" i="9"/>
  <c r="BQ43" i="9"/>
  <c r="AH44" i="9"/>
  <c r="AM44" i="9"/>
  <c r="I45" i="9"/>
  <c r="T46" i="9"/>
  <c r="Y46" i="9"/>
  <c r="CC51" i="9"/>
  <c r="BX51" i="9"/>
  <c r="E52" i="9"/>
  <c r="AF52" i="9"/>
  <c r="CQ52" i="9"/>
  <c r="CL52" i="9"/>
  <c r="B54" i="9"/>
  <c r="BH57" i="9"/>
  <c r="BC57" i="9"/>
  <c r="CJ57" i="9"/>
  <c r="CE57" i="9"/>
  <c r="R48" i="9"/>
  <c r="B48" i="9"/>
  <c r="J49" i="9"/>
  <c r="K49" i="9" s="1"/>
  <c r="Y49" i="9"/>
  <c r="G50" i="9"/>
  <c r="AF50" i="9"/>
  <c r="B50" i="9"/>
  <c r="AK51" i="9"/>
  <c r="AJ51" i="9" s="1"/>
  <c r="AF40" i="9"/>
  <c r="BX42" i="9"/>
  <c r="AT45" i="9"/>
  <c r="AA47" i="9"/>
  <c r="B47" i="9"/>
  <c r="AF47" i="9"/>
  <c r="E47" i="9"/>
  <c r="K47" i="9" s="1"/>
  <c r="BJ49" i="9"/>
  <c r="CJ53" i="9"/>
  <c r="CE53" i="9"/>
  <c r="AS58" i="9"/>
  <c r="AT55" i="9"/>
  <c r="Y57" i="9"/>
  <c r="T57" i="9"/>
  <c r="BJ35" i="9"/>
  <c r="CL35" i="9"/>
  <c r="E36" i="9"/>
  <c r="M36" i="9"/>
  <c r="AC36" i="9"/>
  <c r="BC36" i="9"/>
  <c r="CE36" i="9"/>
  <c r="T37" i="9"/>
  <c r="AJ37" i="9"/>
  <c r="CE37" i="9"/>
  <c r="V38" i="9"/>
  <c r="G40" i="9"/>
  <c r="O40" i="9"/>
  <c r="CL40" i="9"/>
  <c r="AH41" i="9"/>
  <c r="AO43" i="9"/>
  <c r="H44" i="9"/>
  <c r="AO45" i="9"/>
  <c r="BV45" i="9"/>
  <c r="M47" i="9"/>
  <c r="BH47" i="9"/>
  <c r="M48" i="9"/>
  <c r="BA48" i="9"/>
  <c r="I49" i="9"/>
  <c r="AO49" i="9"/>
  <c r="AT49" i="9"/>
  <c r="CL49" i="9"/>
  <c r="CQ49" i="9"/>
  <c r="M51" i="9"/>
  <c r="V52" i="9"/>
  <c r="J52" i="9"/>
  <c r="AT52" i="9"/>
  <c r="AO52" i="9"/>
  <c r="E33" i="9"/>
  <c r="E37" i="9"/>
  <c r="O38" i="9"/>
  <c r="AO38" i="9"/>
  <c r="CE38" i="9"/>
  <c r="O39" i="9"/>
  <c r="H39" i="9" s="1"/>
  <c r="AA39" i="9"/>
  <c r="AK39" i="9"/>
  <c r="BJ40" i="9"/>
  <c r="BC41" i="9"/>
  <c r="BC42" i="9"/>
  <c r="CC42" i="9"/>
  <c r="CL42" i="9"/>
  <c r="R43" i="9"/>
  <c r="B43" i="9"/>
  <c r="BC43" i="9"/>
  <c r="I44" i="9"/>
  <c r="BQ44" i="9"/>
  <c r="AC45" i="9"/>
  <c r="H45" i="9" s="1"/>
  <c r="BQ45" i="9"/>
  <c r="B46" i="9"/>
  <c r="BC46" i="9"/>
  <c r="CE46" i="9"/>
  <c r="CE47" i="9"/>
  <c r="CJ47" i="9"/>
  <c r="AV48" i="9"/>
  <c r="BX48" i="9"/>
  <c r="CC48" i="9"/>
  <c r="M52" i="9"/>
  <c r="Y52" i="9"/>
  <c r="BC53" i="9"/>
  <c r="BH58" i="9"/>
  <c r="BG59" i="9"/>
  <c r="B57" i="9"/>
  <c r="CE52" i="9"/>
  <c r="H53" i="9"/>
  <c r="CP58" i="9"/>
  <c r="AC56" i="9"/>
  <c r="J56" i="9"/>
  <c r="AD56" i="9"/>
  <c r="M57" i="9"/>
  <c r="E57" i="9"/>
  <c r="K57" i="9" s="1"/>
  <c r="BX57" i="9"/>
  <c r="CC57" i="9"/>
  <c r="AA54" i="9"/>
  <c r="CJ55" i="9"/>
  <c r="T50" i="9"/>
  <c r="BJ50" i="9"/>
  <c r="P51" i="9"/>
  <c r="AA51" i="9"/>
  <c r="AV53" i="9"/>
  <c r="BA53" i="9"/>
  <c r="E54" i="9"/>
  <c r="K54" i="9" s="1"/>
  <c r="BC54" i="9"/>
  <c r="BO58" i="9"/>
  <c r="BN59" i="9"/>
  <c r="B56" i="9"/>
  <c r="BJ56" i="9"/>
  <c r="AH43" i="9"/>
  <c r="AA44" i="9"/>
  <c r="BC44" i="9"/>
  <c r="CE44" i="9"/>
  <c r="AH45" i="9"/>
  <c r="BJ45" i="9"/>
  <c r="CL45" i="9"/>
  <c r="E46" i="9"/>
  <c r="K46" i="9" s="1"/>
  <c r="M46" i="9"/>
  <c r="AO46" i="9"/>
  <c r="BQ46" i="9"/>
  <c r="BX47" i="9"/>
  <c r="AO48" i="9"/>
  <c r="B49" i="9"/>
  <c r="AC50" i="9"/>
  <c r="H50" i="9" s="1"/>
  <c r="CL51" i="9"/>
  <c r="BC52" i="9"/>
  <c r="BX53" i="9"/>
  <c r="CC53" i="9"/>
  <c r="I54" i="9"/>
  <c r="AF54" i="9"/>
  <c r="CE54" i="9"/>
  <c r="AZ59" i="9"/>
  <c r="CE49" i="9"/>
  <c r="E50" i="9"/>
  <c r="K50" i="9" s="1"/>
  <c r="M50" i="9"/>
  <c r="AO50" i="9"/>
  <c r="BO50" i="9"/>
  <c r="BX50" i="9"/>
  <c r="CL50" i="9"/>
  <c r="AC51" i="9"/>
  <c r="AO51" i="9"/>
  <c r="BQ52" i="9"/>
  <c r="M53" i="9"/>
  <c r="E53" i="9"/>
  <c r="K53" i="9" s="1"/>
  <c r="G54" i="9"/>
  <c r="BH54" i="9"/>
  <c r="BA55" i="9"/>
  <c r="AA56" i="9"/>
  <c r="F56" i="9" s="1"/>
  <c r="AO56" i="9"/>
  <c r="BO56" i="9"/>
  <c r="CL56" i="9"/>
  <c r="AV57" i="9"/>
  <c r="BA57" i="9"/>
  <c r="CJ58" i="9"/>
  <c r="CC58" i="9"/>
  <c r="BU59" i="9"/>
  <c r="R54" i="9"/>
  <c r="R56" i="9"/>
  <c r="T51" i="9"/>
  <c r="T52" i="9"/>
  <c r="AJ56" i="9"/>
  <c r="E51" i="9"/>
  <c r="K51" i="9" s="1"/>
  <c r="AE55" i="8"/>
  <c r="AD4" i="8"/>
  <c r="AC4" i="8" s="1"/>
  <c r="D6" i="8"/>
  <c r="G6" i="8"/>
  <c r="H7" i="8"/>
  <c r="G10" i="8"/>
  <c r="D10" i="8"/>
  <c r="H17" i="8"/>
  <c r="O4" i="8"/>
  <c r="J4" i="8"/>
  <c r="K4" i="8" s="1"/>
  <c r="H6" i="8"/>
  <c r="G8" i="8"/>
  <c r="H8" i="8"/>
  <c r="F4" i="8"/>
  <c r="D5" i="8"/>
  <c r="G5" i="8"/>
  <c r="D7" i="8"/>
  <c r="G7" i="8"/>
  <c r="B4" i="8"/>
  <c r="R4" i="8"/>
  <c r="Z55" i="8"/>
  <c r="AY55" i="8"/>
  <c r="AY58" i="8" s="1"/>
  <c r="BI55" i="8"/>
  <c r="CA55" i="8"/>
  <c r="CA58" i="8" s="1"/>
  <c r="CK55" i="8"/>
  <c r="AC5" i="8"/>
  <c r="AK5" i="8"/>
  <c r="AT5" i="8"/>
  <c r="BV5" i="8"/>
  <c r="AM7" i="8"/>
  <c r="BO7" i="8"/>
  <c r="CQ7" i="8"/>
  <c r="I8" i="8"/>
  <c r="T8" i="8"/>
  <c r="J9" i="8"/>
  <c r="AD9" i="8"/>
  <c r="AC9" i="8" s="1"/>
  <c r="H9" i="8" s="1"/>
  <c r="AF10" i="8"/>
  <c r="BH10" i="8"/>
  <c r="Y12" i="8"/>
  <c r="I13" i="8"/>
  <c r="B14" i="8"/>
  <c r="W15" i="8"/>
  <c r="V15" i="8" s="1"/>
  <c r="H15" i="8" s="1"/>
  <c r="W16" i="8"/>
  <c r="V16" i="8" s="1"/>
  <c r="CJ17" i="8"/>
  <c r="CE17" i="8"/>
  <c r="H19" i="8"/>
  <c r="AO21" i="8"/>
  <c r="AT21" i="8"/>
  <c r="BC21" i="8"/>
  <c r="AM22" i="8"/>
  <c r="AH22" i="8"/>
  <c r="CQ22" i="8"/>
  <c r="CL22" i="8"/>
  <c r="I24" i="8"/>
  <c r="O25" i="8"/>
  <c r="H25" i="8" s="1"/>
  <c r="H31" i="8"/>
  <c r="CC34" i="8"/>
  <c r="BX34" i="8"/>
  <c r="AQ4" i="8"/>
  <c r="AQ55" i="8" s="1"/>
  <c r="AQ58" i="8" s="1"/>
  <c r="BA4" i="8"/>
  <c r="BS55" i="8"/>
  <c r="BS58" i="8" s="1"/>
  <c r="CC4" i="8"/>
  <c r="E5" i="8"/>
  <c r="Y6" i="8"/>
  <c r="BA6" i="8"/>
  <c r="CC6" i="8"/>
  <c r="E7" i="8"/>
  <c r="K7" i="8" s="1"/>
  <c r="B8" i="8"/>
  <c r="BV8" i="8"/>
  <c r="B9" i="8"/>
  <c r="E10" i="8"/>
  <c r="K10" i="8" s="1"/>
  <c r="V10" i="8"/>
  <c r="BA11" i="8"/>
  <c r="AJ12" i="8"/>
  <c r="BX14" i="8"/>
  <c r="E15" i="8"/>
  <c r="K15" i="8" s="1"/>
  <c r="R20" i="8"/>
  <c r="BC20" i="8"/>
  <c r="BH20" i="8"/>
  <c r="BV20" i="8"/>
  <c r="BQ20" i="8"/>
  <c r="BX22" i="8"/>
  <c r="CE23" i="8"/>
  <c r="CJ23" i="8"/>
  <c r="D38" i="8"/>
  <c r="BA38" i="8"/>
  <c r="AV38" i="8"/>
  <c r="AJ4" i="8"/>
  <c r="BB58" i="8"/>
  <c r="BH55" i="8"/>
  <c r="CD58" i="8"/>
  <c r="CJ55" i="8"/>
  <c r="AM5" i="8"/>
  <c r="AV5" i="8"/>
  <c r="BX5" i="8"/>
  <c r="AO7" i="8"/>
  <c r="BQ7" i="8"/>
  <c r="BX8" i="8"/>
  <c r="AF9" i="8"/>
  <c r="CL9" i="8"/>
  <c r="P10" i="8"/>
  <c r="I10" i="8" s="1"/>
  <c r="Y10" i="8"/>
  <c r="AH10" i="8"/>
  <c r="BJ10" i="8"/>
  <c r="E12" i="8"/>
  <c r="O12" i="8"/>
  <c r="AA12" i="8"/>
  <c r="AV12" i="8"/>
  <c r="AH14" i="8"/>
  <c r="BC14" i="8"/>
  <c r="I15" i="8"/>
  <c r="P16" i="8"/>
  <c r="Y16" i="8"/>
  <c r="BQ16" i="8"/>
  <c r="H18" i="8"/>
  <c r="BH18" i="8"/>
  <c r="BC18" i="8"/>
  <c r="T19" i="8"/>
  <c r="AM19" i="8"/>
  <c r="AH19" i="8"/>
  <c r="CC19" i="8"/>
  <c r="BX19" i="8"/>
  <c r="CQ19" i="8"/>
  <c r="CL19" i="8"/>
  <c r="I22" i="8"/>
  <c r="T22" i="8"/>
  <c r="E22" i="8"/>
  <c r="K22" i="8" s="1"/>
  <c r="Y22" i="8"/>
  <c r="B22" i="8"/>
  <c r="BH27" i="8"/>
  <c r="BC27" i="8"/>
  <c r="AF28" i="8"/>
  <c r="AA28" i="8"/>
  <c r="BL55" i="8"/>
  <c r="BL58" i="8" s="1"/>
  <c r="CN55" i="8"/>
  <c r="CN58" i="8" s="1"/>
  <c r="BC13" i="8"/>
  <c r="P14" i="8"/>
  <c r="I14" i="8" s="1"/>
  <c r="BQ15" i="8"/>
  <c r="G16" i="8"/>
  <c r="AJ16" i="8"/>
  <c r="CC20" i="8"/>
  <c r="BX20" i="8"/>
  <c r="G23" i="8"/>
  <c r="AF23" i="8"/>
  <c r="M26" i="8"/>
  <c r="M28" i="8"/>
  <c r="BS28" i="8"/>
  <c r="I28" i="8"/>
  <c r="CQ37" i="8"/>
  <c r="CL37" i="8"/>
  <c r="B37" i="8"/>
  <c r="AO5" i="8"/>
  <c r="BQ5" i="8"/>
  <c r="AH7" i="8"/>
  <c r="BJ7" i="8"/>
  <c r="CL7" i="8"/>
  <c r="E9" i="8"/>
  <c r="AH9" i="8"/>
  <c r="R10" i="8"/>
  <c r="AA10" i="8"/>
  <c r="AH11" i="8"/>
  <c r="CL11" i="8"/>
  <c r="BJ12" i="8"/>
  <c r="B13" i="8"/>
  <c r="R13" i="8"/>
  <c r="R14" i="8"/>
  <c r="AA14" i="8"/>
  <c r="R16" i="8"/>
  <c r="AM16" i="8"/>
  <c r="AF17" i="8"/>
  <c r="AA17" i="8"/>
  <c r="I19" i="8"/>
  <c r="B20" i="8"/>
  <c r="CL20" i="8"/>
  <c r="R21" i="8"/>
  <c r="BO23" i="8"/>
  <c r="BC26" i="8"/>
  <c r="BH26" i="8"/>
  <c r="AM28" i="8"/>
  <c r="H35" i="8"/>
  <c r="R37" i="8"/>
  <c r="P37" i="8"/>
  <c r="O37" i="8" s="1"/>
  <c r="G4" i="8"/>
  <c r="AM4" i="8"/>
  <c r="BE55" i="8"/>
  <c r="BE58" i="8" s="1"/>
  <c r="CG55" i="8"/>
  <c r="CG58" i="8" s="1"/>
  <c r="AH5" i="8"/>
  <c r="T6" i="8"/>
  <c r="AV6" i="8"/>
  <c r="BX6" i="8"/>
  <c r="BQ8" i="8"/>
  <c r="CL8" i="8"/>
  <c r="CQ9" i="8"/>
  <c r="BC10" i="8"/>
  <c r="CJ10" i="8"/>
  <c r="AV11" i="8"/>
  <c r="BQ11" i="8"/>
  <c r="J12" i="8"/>
  <c r="BA12" i="8"/>
  <c r="M13" i="8"/>
  <c r="CL13" i="8"/>
  <c r="G14" i="8"/>
  <c r="AV14" i="8"/>
  <c r="AV15" i="8"/>
  <c r="B17" i="8"/>
  <c r="I18" i="8"/>
  <c r="AM18" i="8"/>
  <c r="G18" i="8"/>
  <c r="AA22" i="8"/>
  <c r="BH22" i="8"/>
  <c r="BC22" i="8"/>
  <c r="E23" i="8"/>
  <c r="K23" i="8" s="1"/>
  <c r="BJ23" i="8"/>
  <c r="AD26" i="8"/>
  <c r="AC26" i="8" s="1"/>
  <c r="H26" i="8" s="1"/>
  <c r="CQ26" i="8"/>
  <c r="AT27" i="8"/>
  <c r="AF4" i="8"/>
  <c r="AN55" i="8"/>
  <c r="BF55" i="8"/>
  <c r="BF58" i="8" s="1"/>
  <c r="BP55" i="8"/>
  <c r="BP58" i="8" s="1"/>
  <c r="BX4" i="8"/>
  <c r="CH55" i="8"/>
  <c r="CH58" i="8" s="1"/>
  <c r="B5" i="8"/>
  <c r="J5" i="8"/>
  <c r="AA5" i="8"/>
  <c r="BJ5" i="8"/>
  <c r="CL5" i="8"/>
  <c r="E6" i="8"/>
  <c r="K6" i="8" s="1"/>
  <c r="M6" i="8"/>
  <c r="B7" i="8"/>
  <c r="AA7" i="8"/>
  <c r="BC7" i="8"/>
  <c r="CE7" i="8"/>
  <c r="AA8" i="8"/>
  <c r="CC8" i="8"/>
  <c r="D9" i="8"/>
  <c r="BO9" i="8"/>
  <c r="BX9" i="8"/>
  <c r="B10" i="8"/>
  <c r="T10" i="8"/>
  <c r="AC10" i="8"/>
  <c r="E11" i="8"/>
  <c r="K11" i="8" s="1"/>
  <c r="H11" i="8"/>
  <c r="AM11" i="8"/>
  <c r="CQ11" i="8"/>
  <c r="AM12" i="8"/>
  <c r="BX12" i="8"/>
  <c r="E13" i="8"/>
  <c r="K13" i="8" s="1"/>
  <c r="BH13" i="8"/>
  <c r="BQ13" i="8"/>
  <c r="J14" i="8"/>
  <c r="T14" i="8"/>
  <c r="CE14" i="8"/>
  <c r="R15" i="8"/>
  <c r="B15" i="8"/>
  <c r="T15" i="8"/>
  <c r="BV15" i="8"/>
  <c r="CE15" i="8"/>
  <c r="AO16" i="8"/>
  <c r="BH17" i="8"/>
  <c r="BC17" i="8"/>
  <c r="R19" i="8"/>
  <c r="M19" i="8"/>
  <c r="Y19" i="8"/>
  <c r="E20" i="8"/>
  <c r="K20" i="8" s="1"/>
  <c r="AM20" i="8"/>
  <c r="AH20" i="8"/>
  <c r="AV20" i="8"/>
  <c r="CQ20" i="8"/>
  <c r="H21" i="8"/>
  <c r="M22" i="8"/>
  <c r="Y24" i="8"/>
  <c r="B24" i="8"/>
  <c r="AF26" i="8"/>
  <c r="CL26" i="8"/>
  <c r="P27" i="8"/>
  <c r="I27" i="8" s="1"/>
  <c r="Y4" i="8"/>
  <c r="AG55" i="8"/>
  <c r="AO4" i="8"/>
  <c r="AX4" i="8"/>
  <c r="BH4" i="8"/>
  <c r="BQ4" i="8"/>
  <c r="BZ4" i="8"/>
  <c r="BZ55" i="8" s="1"/>
  <c r="BZ58" i="8" s="1"/>
  <c r="CJ4" i="8"/>
  <c r="AM9" i="8"/>
  <c r="W12" i="8"/>
  <c r="I12" i="8" s="1"/>
  <c r="O13" i="8"/>
  <c r="H13" i="8" s="1"/>
  <c r="AA13" i="8"/>
  <c r="AO15" i="8"/>
  <c r="B16" i="8"/>
  <c r="M16" i="8"/>
  <c r="AF16" i="8"/>
  <c r="CC18" i="8"/>
  <c r="BX18" i="8"/>
  <c r="CL18" i="8"/>
  <c r="G19" i="8"/>
  <c r="BH19" i="8"/>
  <c r="BC19" i="8"/>
  <c r="BQ19" i="8"/>
  <c r="B21" i="8"/>
  <c r="H22" i="8"/>
  <c r="AF22" i="8"/>
  <c r="BA24" i="8"/>
  <c r="AV24" i="8"/>
  <c r="BH25" i="8"/>
  <c r="BC25" i="8"/>
  <c r="K26" i="8"/>
  <c r="B26" i="8"/>
  <c r="AM26" i="8"/>
  <c r="AH26" i="8"/>
  <c r="BA27" i="8"/>
  <c r="AV27" i="8"/>
  <c r="T28" i="8"/>
  <c r="E28" i="8"/>
  <c r="K28" i="8" s="1"/>
  <c r="B28" i="8"/>
  <c r="Y28" i="8"/>
  <c r="AJ32" i="8"/>
  <c r="H32" i="8" s="1"/>
  <c r="AK32" i="8"/>
  <c r="I32" i="8" s="1"/>
  <c r="J32" i="8"/>
  <c r="AM32" i="8"/>
  <c r="B30" i="8"/>
  <c r="AO30" i="8"/>
  <c r="BC33" i="8"/>
  <c r="BH33" i="8"/>
  <c r="Y34" i="8"/>
  <c r="B34" i="8"/>
  <c r="T34" i="8"/>
  <c r="BJ34" i="8"/>
  <c r="BO34" i="8"/>
  <c r="I35" i="8"/>
  <c r="BA35" i="8"/>
  <c r="AV35" i="8"/>
  <c r="X37" i="8"/>
  <c r="V36" i="8"/>
  <c r="W36" i="8"/>
  <c r="I36" i="8" s="1"/>
  <c r="CL36" i="8"/>
  <c r="V28" i="8"/>
  <c r="H28" i="8" s="1"/>
  <c r="R29" i="8"/>
  <c r="B29" i="8"/>
  <c r="AH29" i="8"/>
  <c r="Y36" i="8"/>
  <c r="AL37" i="8"/>
  <c r="AL55" i="8" s="1"/>
  <c r="AJ36" i="8"/>
  <c r="BJ37" i="8"/>
  <c r="BO37" i="8"/>
  <c r="I23" i="8"/>
  <c r="AH24" i="8"/>
  <c r="CL24" i="8"/>
  <c r="AO25" i="8"/>
  <c r="T27" i="8"/>
  <c r="F27" i="8" s="1"/>
  <c r="BQ27" i="8"/>
  <c r="CE28" i="8"/>
  <c r="M29" i="8"/>
  <c r="T30" i="8"/>
  <c r="AT30" i="8"/>
  <c r="BQ30" i="8"/>
  <c r="AA31" i="8"/>
  <c r="AF31" i="8"/>
  <c r="AO31" i="8"/>
  <c r="T32" i="8"/>
  <c r="CE32" i="8"/>
  <c r="I34" i="8"/>
  <c r="B35" i="8"/>
  <c r="G36" i="8"/>
  <c r="AF36" i="8"/>
  <c r="B36" i="8"/>
  <c r="E36" i="8"/>
  <c r="AM36" i="8"/>
  <c r="CQ36" i="8"/>
  <c r="AA37" i="8"/>
  <c r="M40" i="8"/>
  <c r="R40" i="8"/>
  <c r="B40" i="8"/>
  <c r="E40" i="8"/>
  <c r="K40" i="8" s="1"/>
  <c r="H46" i="8"/>
  <c r="BJ29" i="8"/>
  <c r="CL31" i="8"/>
  <c r="AT34" i="8"/>
  <c r="AO34" i="8"/>
  <c r="B18" i="8"/>
  <c r="BX21" i="8"/>
  <c r="AV22" i="8"/>
  <c r="AO23" i="8"/>
  <c r="BQ24" i="8"/>
  <c r="T25" i="8"/>
  <c r="BX25" i="8"/>
  <c r="BQ26" i="8"/>
  <c r="BV27" i="8"/>
  <c r="CE27" i="8"/>
  <c r="BJ28" i="8"/>
  <c r="CJ28" i="8"/>
  <c r="E29" i="8"/>
  <c r="K29" i="8" s="1"/>
  <c r="H29" i="8"/>
  <c r="BV30" i="8"/>
  <c r="AT31" i="8"/>
  <c r="BQ31" i="8"/>
  <c r="BV31" i="8"/>
  <c r="E32" i="8"/>
  <c r="R32" i="8"/>
  <c r="R33" i="8"/>
  <c r="B33" i="8"/>
  <c r="E33" i="8"/>
  <c r="K33" i="8" s="1"/>
  <c r="CJ35" i="8"/>
  <c r="CE35" i="8"/>
  <c r="J36" i="8"/>
  <c r="AM37" i="8"/>
  <c r="AH37" i="8"/>
  <c r="CL16" i="8"/>
  <c r="E17" i="8"/>
  <c r="K17" i="8" s="1"/>
  <c r="M17" i="8"/>
  <c r="AO17" i="8"/>
  <c r="BQ17" i="8"/>
  <c r="T18" i="8"/>
  <c r="AV18" i="8"/>
  <c r="BQ18" i="8"/>
  <c r="AA19" i="8"/>
  <c r="AV19" i="8"/>
  <c r="I20" i="8"/>
  <c r="AA20" i="8"/>
  <c r="CE22" i="8"/>
  <c r="BC23" i="8"/>
  <c r="E24" i="8"/>
  <c r="K24" i="8" s="1"/>
  <c r="H24" i="8"/>
  <c r="AM24" i="8"/>
  <c r="CQ24" i="8"/>
  <c r="AT25" i="8"/>
  <c r="AA26" i="8"/>
  <c r="CE26" i="8"/>
  <c r="G27" i="8"/>
  <c r="BX28" i="8"/>
  <c r="I29" i="8"/>
  <c r="BO29" i="8"/>
  <c r="CL29" i="8"/>
  <c r="AV30" i="8"/>
  <c r="M32" i="8"/>
  <c r="AH33" i="8"/>
  <c r="CL33" i="8"/>
  <c r="M34" i="8"/>
  <c r="AF35" i="8"/>
  <c r="AA35" i="8"/>
  <c r="BQ35" i="8"/>
  <c r="BV35" i="8"/>
  <c r="R36" i="8"/>
  <c r="BQ36" i="8"/>
  <c r="BX38" i="8"/>
  <c r="CC38" i="8"/>
  <c r="CE20" i="8"/>
  <c r="I21" i="8"/>
  <c r="R23" i="8"/>
  <c r="B23" i="8"/>
  <c r="BJ24" i="8"/>
  <c r="B25" i="8"/>
  <c r="E25" i="8"/>
  <c r="K25" i="8" s="1"/>
  <c r="M25" i="8"/>
  <c r="BQ25" i="8"/>
  <c r="B27" i="8"/>
  <c r="AO29" i="8"/>
  <c r="M30" i="8"/>
  <c r="E30" i="8"/>
  <c r="K30" i="8" s="1"/>
  <c r="I31" i="8"/>
  <c r="AH31" i="8"/>
  <c r="CQ31" i="8"/>
  <c r="BV33" i="8"/>
  <c r="BQ33" i="8"/>
  <c r="H34" i="8"/>
  <c r="M35" i="8"/>
  <c r="E35" i="8"/>
  <c r="K35" i="8" s="1"/>
  <c r="R35" i="8"/>
  <c r="Y38" i="8"/>
  <c r="T38" i="8"/>
  <c r="E38" i="8"/>
  <c r="K38" i="8" s="1"/>
  <c r="AV28" i="8"/>
  <c r="BC29" i="8"/>
  <c r="CE29" i="8"/>
  <c r="AH30" i="8"/>
  <c r="BJ30" i="8"/>
  <c r="CL30" i="8"/>
  <c r="CC32" i="8"/>
  <c r="CL32" i="8"/>
  <c r="BJ33" i="8"/>
  <c r="R38" i="8"/>
  <c r="AO39" i="8"/>
  <c r="BC40" i="8"/>
  <c r="BH40" i="8"/>
  <c r="CE40" i="8"/>
  <c r="CJ40" i="8"/>
  <c r="H41" i="8"/>
  <c r="BC42" i="8"/>
  <c r="M44" i="8"/>
  <c r="G44" i="8"/>
  <c r="AA44" i="8"/>
  <c r="AF44" i="8"/>
  <c r="AT44" i="8"/>
  <c r="AO44" i="8"/>
  <c r="BX46" i="8"/>
  <c r="CC46" i="8"/>
  <c r="AA47" i="8"/>
  <c r="B47" i="8"/>
  <c r="AF47" i="8"/>
  <c r="BC47" i="8"/>
  <c r="BH47" i="8"/>
  <c r="CL53" i="8"/>
  <c r="CQ53" i="8"/>
  <c r="R39" i="8"/>
  <c r="J39" i="8"/>
  <c r="E42" i="8"/>
  <c r="K42" i="8" s="1"/>
  <c r="B43" i="8"/>
  <c r="T43" i="8"/>
  <c r="CE43" i="8"/>
  <c r="CE44" i="8"/>
  <c r="CJ44" i="8"/>
  <c r="M47" i="8"/>
  <c r="G48" i="8"/>
  <c r="CE49" i="8"/>
  <c r="CJ49" i="8"/>
  <c r="AH41" i="8"/>
  <c r="AM41" i="8"/>
  <c r="E43" i="8"/>
  <c r="Y45" i="8"/>
  <c r="T45" i="8"/>
  <c r="B45" i="8"/>
  <c r="AH57" i="8"/>
  <c r="AM57" i="8"/>
  <c r="BJ57" i="8"/>
  <c r="BO57" i="8"/>
  <c r="BJ39" i="8"/>
  <c r="BO39" i="8"/>
  <c r="CL39" i="8"/>
  <c r="CQ39" i="8"/>
  <c r="BJ41" i="8"/>
  <c r="BO41" i="8"/>
  <c r="CL41" i="8"/>
  <c r="CQ41" i="8"/>
  <c r="Y43" i="8"/>
  <c r="BJ44" i="8"/>
  <c r="BO44" i="8"/>
  <c r="AV45" i="8"/>
  <c r="BJ45" i="8"/>
  <c r="BO45" i="8"/>
  <c r="CL45" i="8"/>
  <c r="AD48" i="8"/>
  <c r="AC48" i="8" s="1"/>
  <c r="H48" i="8" s="1"/>
  <c r="P50" i="8"/>
  <c r="I50" i="8" s="1"/>
  <c r="J50" i="8"/>
  <c r="K50" i="8" s="1"/>
  <c r="T57" i="8"/>
  <c r="B57" i="8"/>
  <c r="Y57" i="8"/>
  <c r="E57" i="8"/>
  <c r="K57" i="8" s="1"/>
  <c r="B31" i="8"/>
  <c r="D36" i="8"/>
  <c r="G38" i="8"/>
  <c r="BJ40" i="8"/>
  <c r="CL40" i="8"/>
  <c r="B41" i="8"/>
  <c r="R41" i="8"/>
  <c r="M42" i="8"/>
  <c r="AV43" i="8"/>
  <c r="BA43" i="8"/>
  <c r="AT45" i="8"/>
  <c r="AO46" i="8"/>
  <c r="AT46" i="8"/>
  <c r="BH46" i="8"/>
  <c r="BC46" i="8"/>
  <c r="AF48" i="8"/>
  <c r="AD49" i="8"/>
  <c r="AC49" i="8" s="1"/>
  <c r="AC50" i="8"/>
  <c r="M51" i="8"/>
  <c r="E51" i="8"/>
  <c r="K51" i="8" s="1"/>
  <c r="B51" i="8"/>
  <c r="R51" i="8"/>
  <c r="BV51" i="8"/>
  <c r="E31" i="8"/>
  <c r="K31" i="8" s="1"/>
  <c r="BJ31" i="8"/>
  <c r="BX32" i="8"/>
  <c r="AA33" i="8"/>
  <c r="CE33" i="8"/>
  <c r="AD37" i="8"/>
  <c r="AC37" i="8" s="1"/>
  <c r="AO36" i="8"/>
  <c r="M38" i="8"/>
  <c r="D39" i="8"/>
  <c r="M39" i="8"/>
  <c r="I40" i="8"/>
  <c r="AA40" i="8"/>
  <c r="B42" i="8"/>
  <c r="I42" i="8"/>
  <c r="CL42" i="8"/>
  <c r="M43" i="8"/>
  <c r="AA43" i="8"/>
  <c r="AO45" i="8"/>
  <c r="CE46" i="8"/>
  <c r="AX47" i="8"/>
  <c r="H47" i="8" s="1"/>
  <c r="I47" i="8"/>
  <c r="BJ49" i="8"/>
  <c r="AH50" i="8"/>
  <c r="AM50" i="8"/>
  <c r="BQ51" i="8"/>
  <c r="M56" i="8"/>
  <c r="M31" i="8"/>
  <c r="AF32" i="8"/>
  <c r="BC32" i="8"/>
  <c r="AH34" i="8"/>
  <c r="CL34" i="8"/>
  <c r="AO35" i="8"/>
  <c r="M36" i="8"/>
  <c r="BX36" i="8"/>
  <c r="B38" i="8"/>
  <c r="I38" i="8"/>
  <c r="O39" i="8"/>
  <c r="H39" i="8" s="1"/>
  <c r="G39" i="8"/>
  <c r="B39" i="8"/>
  <c r="E39" i="8"/>
  <c r="K39" i="8" s="1"/>
  <c r="BQ39" i="8"/>
  <c r="AO41" i="8"/>
  <c r="BQ41" i="8"/>
  <c r="R42" i="8"/>
  <c r="P43" i="8"/>
  <c r="I43" i="8" s="1"/>
  <c r="J43" i="8"/>
  <c r="CL43" i="8"/>
  <c r="H45" i="8"/>
  <c r="CQ45" i="8"/>
  <c r="Y46" i="8"/>
  <c r="B46" i="8"/>
  <c r="CJ47" i="8"/>
  <c r="CE47" i="8"/>
  <c r="R48" i="8"/>
  <c r="B48" i="8"/>
  <c r="E48" i="8"/>
  <c r="AH49" i="8"/>
  <c r="E49" i="8"/>
  <c r="BX43" i="8"/>
  <c r="AM52" i="8"/>
  <c r="E52" i="8"/>
  <c r="K52" i="8" s="1"/>
  <c r="BJ52" i="8"/>
  <c r="BO52" i="8"/>
  <c r="H54" i="8"/>
  <c r="CB58" i="8"/>
  <c r="CC55" i="8"/>
  <c r="CC50" i="8"/>
  <c r="BX50" i="8"/>
  <c r="CE52" i="8"/>
  <c r="CJ52" i="8"/>
  <c r="CP59" i="8"/>
  <c r="CQ58" i="8"/>
  <c r="BH58" i="8"/>
  <c r="CE42" i="8"/>
  <c r="M46" i="8"/>
  <c r="E46" i="8"/>
  <c r="K46" i="8" s="1"/>
  <c r="D48" i="8"/>
  <c r="BO48" i="8"/>
  <c r="B50" i="8"/>
  <c r="AF51" i="8"/>
  <c r="AV51" i="8"/>
  <c r="M52" i="8"/>
  <c r="H53" i="8"/>
  <c r="BV55" i="8"/>
  <c r="BU58" i="8"/>
  <c r="E37" i="8"/>
  <c r="M37" i="8"/>
  <c r="BC37" i="8"/>
  <c r="CE37" i="8"/>
  <c r="O38" i="8"/>
  <c r="H38" i="8" s="1"/>
  <c r="AO38" i="8"/>
  <c r="BQ38" i="8"/>
  <c r="BC39" i="8"/>
  <c r="CE39" i="8"/>
  <c r="O40" i="8"/>
  <c r="H40" i="8" s="1"/>
  <c r="AV40" i="8"/>
  <c r="BX40" i="8"/>
  <c r="AA41" i="8"/>
  <c r="BC41" i="8"/>
  <c r="CE41" i="8"/>
  <c r="O42" i="8"/>
  <c r="H42" i="8" s="1"/>
  <c r="BJ42" i="8"/>
  <c r="J48" i="8"/>
  <c r="V49" i="8"/>
  <c r="CL49" i="8"/>
  <c r="AA51" i="8"/>
  <c r="BQ53" i="8"/>
  <c r="BV53" i="8"/>
  <c r="BA55" i="8"/>
  <c r="AZ58" i="8"/>
  <c r="V56" i="8"/>
  <c r="H56" i="8" s="1"/>
  <c r="I56" i="8"/>
  <c r="BJ43" i="8"/>
  <c r="B44" i="8"/>
  <c r="R44" i="8"/>
  <c r="BC44" i="8"/>
  <c r="M45" i="8"/>
  <c r="G45" i="8"/>
  <c r="BQ46" i="8"/>
  <c r="CL48" i="8"/>
  <c r="CQ48" i="8"/>
  <c r="R49" i="8"/>
  <c r="B49" i="8"/>
  <c r="AO49" i="8"/>
  <c r="AO50" i="8"/>
  <c r="AT50" i="8"/>
  <c r="BH50" i="8"/>
  <c r="BC50" i="8"/>
  <c r="AO51" i="8"/>
  <c r="M53" i="8"/>
  <c r="M54" i="8"/>
  <c r="E54" i="8"/>
  <c r="K54" i="8" s="1"/>
  <c r="R54" i="8"/>
  <c r="B54" i="8"/>
  <c r="BC52" i="8"/>
  <c r="BH52" i="8"/>
  <c r="BJ53" i="8"/>
  <c r="BO53" i="8"/>
  <c r="AS59" i="8"/>
  <c r="AD57" i="8"/>
  <c r="I57" i="8" s="1"/>
  <c r="R79" i="8"/>
  <c r="Q49" i="8" s="1"/>
  <c r="Q55" i="8" s="1"/>
  <c r="AM79" i="8"/>
  <c r="AL49" i="8" s="1"/>
  <c r="CJ58" i="8"/>
  <c r="R50" i="8"/>
  <c r="AF50" i="8"/>
  <c r="AA52" i="8"/>
  <c r="AF52" i="8"/>
  <c r="I53" i="8"/>
  <c r="I54" i="8"/>
  <c r="BO55" i="8"/>
  <c r="AO56" i="8"/>
  <c r="BH56" i="8"/>
  <c r="BC56" i="8"/>
  <c r="T47" i="8"/>
  <c r="AV47" i="8"/>
  <c r="BX47" i="8"/>
  <c r="AH48" i="8"/>
  <c r="AA49" i="8"/>
  <c r="BC49" i="8"/>
  <c r="CL50" i="8"/>
  <c r="O51" i="8"/>
  <c r="H51" i="8" s="1"/>
  <c r="CL52" i="8"/>
  <c r="AH53" i="8"/>
  <c r="AM53" i="8"/>
  <c r="BQ56" i="8"/>
  <c r="CJ56" i="8"/>
  <c r="CE56" i="8"/>
  <c r="AO57" i="8"/>
  <c r="CL57" i="8"/>
  <c r="CQ57" i="8"/>
  <c r="CI59" i="8"/>
  <c r="AA48" i="8"/>
  <c r="AA50" i="8"/>
  <c r="BQ50" i="8"/>
  <c r="BJ51" i="8"/>
  <c r="B52" i="8"/>
  <c r="O52" i="8"/>
  <c r="H52" i="8" s="1"/>
  <c r="B53" i="8"/>
  <c r="Y54" i="8"/>
  <c r="T54" i="8"/>
  <c r="AH54" i="8"/>
  <c r="BA54" i="8"/>
  <c r="AV54" i="8"/>
  <c r="BJ54" i="8"/>
  <c r="CC54" i="8"/>
  <c r="BX54" i="8"/>
  <c r="CL54" i="8"/>
  <c r="Y56" i="8"/>
  <c r="E56" i="8"/>
  <c r="K56" i="8" s="1"/>
  <c r="T56" i="8"/>
  <c r="H8" i="7"/>
  <c r="H13" i="7"/>
  <c r="S55" i="7"/>
  <c r="AU55" i="7"/>
  <c r="AV4" i="7"/>
  <c r="BF55" i="7"/>
  <c r="BF58" i="7" s="1"/>
  <c r="BE4" i="7"/>
  <c r="BE55" i="7" s="1"/>
  <c r="BE58" i="7" s="1"/>
  <c r="CA55" i="7"/>
  <c r="CA58" i="7" s="1"/>
  <c r="AJ5" i="7"/>
  <c r="CC5" i="7"/>
  <c r="I8" i="7"/>
  <c r="J10" i="7"/>
  <c r="B11" i="7"/>
  <c r="H11" i="7"/>
  <c r="AD14" i="7"/>
  <c r="AC14" i="7" s="1"/>
  <c r="H14" i="7" s="1"/>
  <c r="BC14" i="7"/>
  <c r="W15" i="7"/>
  <c r="V15" i="7" s="1"/>
  <c r="H15" i="7" s="1"/>
  <c r="M16" i="7"/>
  <c r="E16" i="7"/>
  <c r="K16" i="7" s="1"/>
  <c r="R16" i="7"/>
  <c r="AF16" i="7"/>
  <c r="AA16" i="7"/>
  <c r="H17" i="7"/>
  <c r="BQ17" i="7"/>
  <c r="BV17" i="7"/>
  <c r="G18" i="7"/>
  <c r="Y18" i="7"/>
  <c r="B18" i="7"/>
  <c r="T18" i="7"/>
  <c r="B4" i="7"/>
  <c r="I6" i="7"/>
  <c r="T6" i="7"/>
  <c r="BX6" i="7"/>
  <c r="B9" i="7"/>
  <c r="V10" i="7"/>
  <c r="H10" i="7" s="1"/>
  <c r="AF12" i="7"/>
  <c r="J12" i="7"/>
  <c r="CE13" i="7"/>
  <c r="CJ13" i="7"/>
  <c r="J19" i="7"/>
  <c r="K19" i="7" s="1"/>
  <c r="W19" i="7"/>
  <c r="I19" i="7" s="1"/>
  <c r="I20" i="7"/>
  <c r="V20" i="7"/>
  <c r="H20" i="7" s="1"/>
  <c r="BQ20" i="7"/>
  <c r="BV20" i="7"/>
  <c r="AN58" i="7"/>
  <c r="AP58" i="7" s="1"/>
  <c r="AT58" i="7"/>
  <c r="AT55" i="7"/>
  <c r="AX4" i="7"/>
  <c r="AX55" i="7" s="1"/>
  <c r="AX58" i="7" s="1"/>
  <c r="BI55" i="7"/>
  <c r="BO4" i="7"/>
  <c r="BS4" i="7"/>
  <c r="BS55" i="7" s="1"/>
  <c r="BS58" i="7" s="1"/>
  <c r="CN4" i="7"/>
  <c r="CN55" i="7" s="1"/>
  <c r="CN58" i="7" s="1"/>
  <c r="AC5" i="7"/>
  <c r="BC6" i="7"/>
  <c r="O7" i="7"/>
  <c r="H7" i="7" s="1"/>
  <c r="AV7" i="7"/>
  <c r="AC9" i="7"/>
  <c r="T11" i="7"/>
  <c r="BX11" i="7"/>
  <c r="CC11" i="7"/>
  <c r="CQ11" i="7"/>
  <c r="CL11" i="7"/>
  <c r="M12" i="7"/>
  <c r="AO13" i="7"/>
  <c r="CE14" i="7"/>
  <c r="CJ14" i="7"/>
  <c r="Y15" i="7"/>
  <c r="P16" i="7"/>
  <c r="O16" i="7" s="1"/>
  <c r="BC16" i="7"/>
  <c r="BH16" i="7"/>
  <c r="BV16" i="7"/>
  <c r="BQ16" i="7"/>
  <c r="AO18" i="7"/>
  <c r="BV19" i="7"/>
  <c r="BQ19" i="7"/>
  <c r="J21" i="7"/>
  <c r="R21" i="7"/>
  <c r="P21" i="7"/>
  <c r="I21" i="7" s="1"/>
  <c r="O21" i="7"/>
  <c r="H21" i="7" s="1"/>
  <c r="H23" i="7"/>
  <c r="R5" i="7"/>
  <c r="B5" i="7"/>
  <c r="M8" i="7"/>
  <c r="E8" i="7"/>
  <c r="K8" i="7" s="1"/>
  <c r="BJ12" i="7"/>
  <c r="M13" i="7"/>
  <c r="I15" i="7"/>
  <c r="BQ15" i="7"/>
  <c r="AH17" i="7"/>
  <c r="AM17" i="7"/>
  <c r="BA17" i="7"/>
  <c r="AV17" i="7"/>
  <c r="BH18" i="7"/>
  <c r="BC18" i="7"/>
  <c r="X55" i="7"/>
  <c r="W4" i="7"/>
  <c r="I4" i="7" s="1"/>
  <c r="AG55" i="7"/>
  <c r="AM4" i="7"/>
  <c r="AO5" i="7"/>
  <c r="B8" i="7"/>
  <c r="AF9" i="7"/>
  <c r="I10" i="7"/>
  <c r="B12" i="7"/>
  <c r="CL13" i="7"/>
  <c r="E17" i="7"/>
  <c r="K17" i="7" s="1"/>
  <c r="CQ19" i="7"/>
  <c r="Y4" i="7"/>
  <c r="AQ55" i="7"/>
  <c r="AQ58" i="7" s="1"/>
  <c r="BB55" i="7"/>
  <c r="BB58" i="7" s="1"/>
  <c r="BL55" i="7"/>
  <c r="BL58" i="7" s="1"/>
  <c r="BW55" i="7"/>
  <c r="CG55" i="7"/>
  <c r="CG58" i="7" s="1"/>
  <c r="AF5" i="7"/>
  <c r="BX5" i="7"/>
  <c r="E6" i="7"/>
  <c r="K6" i="7" s="1"/>
  <c r="D6" i="7"/>
  <c r="AV6" i="7"/>
  <c r="BJ7" i="7"/>
  <c r="R8" i="7"/>
  <c r="AA8" i="7"/>
  <c r="J9" i="7"/>
  <c r="CE9" i="7"/>
  <c r="CL10" i="7"/>
  <c r="AV12" i="7"/>
  <c r="BO12" i="7"/>
  <c r="E13" i="7"/>
  <c r="K13" i="7" s="1"/>
  <c r="I13" i="7"/>
  <c r="AV13" i="7"/>
  <c r="BA13" i="7"/>
  <c r="BO13" i="7"/>
  <c r="BJ13" i="7"/>
  <c r="M14" i="7"/>
  <c r="CL16" i="7"/>
  <c r="CQ16" i="7"/>
  <c r="I17" i="7"/>
  <c r="CL19" i="7"/>
  <c r="O4" i="7"/>
  <c r="Z55" i="7"/>
  <c r="G4" i="7"/>
  <c r="AR55" i="7"/>
  <c r="AR58" i="7" s="1"/>
  <c r="BC4" i="7"/>
  <c r="BM55" i="7"/>
  <c r="BM58" i="7" s="1"/>
  <c r="BX4" i="7"/>
  <c r="CJ4" i="7"/>
  <c r="E5" i="7"/>
  <c r="J5" i="7"/>
  <c r="BC5" i="7"/>
  <c r="AA6" i="7"/>
  <c r="T7" i="7"/>
  <c r="BX7" i="7"/>
  <c r="AV9" i="7"/>
  <c r="BX10" i="7"/>
  <c r="BV12" i="7"/>
  <c r="CJ12" i="7"/>
  <c r="CE12" i="7"/>
  <c r="J14" i="7"/>
  <c r="K14" i="7" s="1"/>
  <c r="AH15" i="7"/>
  <c r="AM15" i="7"/>
  <c r="BV15" i="7"/>
  <c r="W16" i="7"/>
  <c r="V16" i="7" s="1"/>
  <c r="BO18" i="7"/>
  <c r="R4" i="7"/>
  <c r="AA4" i="7"/>
  <c r="AJ4" i="7"/>
  <c r="AT4" i="7"/>
  <c r="BP55" i="7"/>
  <c r="BZ4" i="7"/>
  <c r="BZ55" i="7" s="1"/>
  <c r="BZ58" i="7" s="1"/>
  <c r="CK55" i="7"/>
  <c r="CQ4" i="7"/>
  <c r="I5" i="7"/>
  <c r="AT5" i="7"/>
  <c r="BJ6" i="7"/>
  <c r="R7" i="7"/>
  <c r="B7" i="7"/>
  <c r="BO7" i="7"/>
  <c r="T8" i="7"/>
  <c r="AT8" i="7"/>
  <c r="BC8" i="7"/>
  <c r="BQ8" i="7"/>
  <c r="M9" i="7"/>
  <c r="E9" i="7"/>
  <c r="BJ9" i="7"/>
  <c r="Y10" i="7"/>
  <c r="G10" i="7"/>
  <c r="AO10" i="7"/>
  <c r="BC10" i="7"/>
  <c r="CQ10" i="7"/>
  <c r="BQ11" i="7"/>
  <c r="E12" i="7"/>
  <c r="AC12" i="7"/>
  <c r="H12" i="7" s="1"/>
  <c r="BQ12" i="7"/>
  <c r="G13" i="7"/>
  <c r="I14" i="7"/>
  <c r="G14" i="7"/>
  <c r="AO14" i="7"/>
  <c r="AT14" i="7"/>
  <c r="Y16" i="7"/>
  <c r="CE17" i="7"/>
  <c r="BJ18" i="7"/>
  <c r="BX18" i="7"/>
  <c r="CC18" i="7"/>
  <c r="BJ15" i="7"/>
  <c r="B21" i="7"/>
  <c r="M21" i="7"/>
  <c r="E21" i="7"/>
  <c r="BQ21" i="7"/>
  <c r="BJ23" i="7"/>
  <c r="B24" i="7"/>
  <c r="W37" i="7"/>
  <c r="V37" i="7" s="1"/>
  <c r="B19" i="7"/>
  <c r="B20" i="7"/>
  <c r="BA22" i="7"/>
  <c r="BO24" i="7"/>
  <c r="BJ24" i="7"/>
  <c r="AM25" i="7"/>
  <c r="AH25" i="7"/>
  <c r="BO25" i="7"/>
  <c r="Y26" i="7"/>
  <c r="BA26" i="7"/>
  <c r="AV29" i="7"/>
  <c r="BA29" i="7"/>
  <c r="CL17" i="7"/>
  <c r="M19" i="7"/>
  <c r="AH19" i="7"/>
  <c r="BC19" i="7"/>
  <c r="M20" i="7"/>
  <c r="AH20" i="7"/>
  <c r="BX20" i="7"/>
  <c r="AA21" i="7"/>
  <c r="AV21" i="7"/>
  <c r="CE21" i="7"/>
  <c r="R22" i="7"/>
  <c r="B22" i="7"/>
  <c r="BC22" i="7"/>
  <c r="E23" i="7"/>
  <c r="K23" i="7" s="1"/>
  <c r="AH24" i="7"/>
  <c r="CL24" i="7"/>
  <c r="BJ25" i="7"/>
  <c r="BX25" i="7"/>
  <c r="T26" i="7"/>
  <c r="BH26" i="7"/>
  <c r="BC26" i="7"/>
  <c r="T27" i="7"/>
  <c r="E27" i="7"/>
  <c r="K27" i="7" s="1"/>
  <c r="E28" i="7"/>
  <c r="K28" i="7" s="1"/>
  <c r="R28" i="7"/>
  <c r="BA28" i="7"/>
  <c r="AV28" i="7"/>
  <c r="I33" i="7"/>
  <c r="O33" i="7"/>
  <c r="H33" i="7" s="1"/>
  <c r="BQ26" i="7"/>
  <c r="BJ28" i="7"/>
  <c r="BO28" i="7"/>
  <c r="CC28" i="7"/>
  <c r="BX28" i="7"/>
  <c r="CL20" i="7"/>
  <c r="CL22" i="7"/>
  <c r="BC23" i="7"/>
  <c r="E25" i="7"/>
  <c r="K25" i="7" s="1"/>
  <c r="AT25" i="7"/>
  <c r="W26" i="7"/>
  <c r="V26" i="7" s="1"/>
  <c r="J26" i="7"/>
  <c r="CE27" i="7"/>
  <c r="CJ27" i="7"/>
  <c r="M29" i="7"/>
  <c r="E29" i="7"/>
  <c r="K29" i="7" s="1"/>
  <c r="R29" i="7"/>
  <c r="BH29" i="7"/>
  <c r="BC29" i="7"/>
  <c r="J34" i="7"/>
  <c r="P34" i="7"/>
  <c r="I34" i="7" s="1"/>
  <c r="V9" i="7"/>
  <c r="BX9" i="7"/>
  <c r="AA15" i="7"/>
  <c r="AJ15" i="7"/>
  <c r="CL15" i="7"/>
  <c r="D19" i="7"/>
  <c r="BH19" i="7"/>
  <c r="AM20" i="7"/>
  <c r="E22" i="7"/>
  <c r="AK22" i="7"/>
  <c r="AJ22" i="7" s="1"/>
  <c r="H22" i="7" s="1"/>
  <c r="AV22" i="7"/>
  <c r="BQ22" i="7"/>
  <c r="D23" i="7"/>
  <c r="AT23" i="7"/>
  <c r="CC24" i="7"/>
  <c r="AO25" i="7"/>
  <c r="M26" i="7"/>
  <c r="E26" i="7"/>
  <c r="K26" i="7" s="1"/>
  <c r="R26" i="7"/>
  <c r="AF26" i="7"/>
  <c r="AV26" i="7"/>
  <c r="BV26" i="7"/>
  <c r="B27" i="7"/>
  <c r="I28" i="7"/>
  <c r="H29" i="7"/>
  <c r="AT30" i="7"/>
  <c r="H31" i="7"/>
  <c r="AF32" i="7"/>
  <c r="AD32" i="7"/>
  <c r="I32" i="7" s="1"/>
  <c r="J32" i="7"/>
  <c r="K32" i="7" s="1"/>
  <c r="CL8" i="7"/>
  <c r="BC9" i="7"/>
  <c r="M10" i="7"/>
  <c r="AV10" i="7"/>
  <c r="BQ10" i="7"/>
  <c r="AA11" i="7"/>
  <c r="I12" i="7"/>
  <c r="AO12" i="7"/>
  <c r="Y14" i="7"/>
  <c r="BX14" i="7"/>
  <c r="J15" i="7"/>
  <c r="K15" i="7" s="1"/>
  <c r="AC15" i="7"/>
  <c r="AV15" i="7"/>
  <c r="AD16" i="7"/>
  <c r="AC16" i="7" s="1"/>
  <c r="BJ17" i="7"/>
  <c r="AH18" i="7"/>
  <c r="CL18" i="7"/>
  <c r="R19" i="7"/>
  <c r="AV20" i="7"/>
  <c r="T21" i="7"/>
  <c r="BX21" i="7"/>
  <c r="G22" i="7"/>
  <c r="CQ22" i="7"/>
  <c r="BQ23" i="7"/>
  <c r="E24" i="7"/>
  <c r="K24" i="7" s="1"/>
  <c r="BH24" i="7"/>
  <c r="BC24" i="7"/>
  <c r="CJ24" i="7"/>
  <c r="O25" i="7"/>
  <c r="H25" i="7" s="1"/>
  <c r="I25" i="7"/>
  <c r="BC25" i="7"/>
  <c r="CC25" i="7"/>
  <c r="AA26" i="7"/>
  <c r="Y27" i="7"/>
  <c r="BJ27" i="7"/>
  <c r="BV27" i="7"/>
  <c r="AO29" i="7"/>
  <c r="AO30" i="7"/>
  <c r="BJ32" i="7"/>
  <c r="BO32" i="7"/>
  <c r="CH55" i="7"/>
  <c r="CH58" i="7" s="1"/>
  <c r="AH9" i="7"/>
  <c r="E10" i="7"/>
  <c r="B13" i="7"/>
  <c r="BX13" i="7"/>
  <c r="B15" i="7"/>
  <c r="T15" i="7"/>
  <c r="CE16" i="7"/>
  <c r="M18" i="7"/>
  <c r="BQ18" i="7"/>
  <c r="T19" i="7"/>
  <c r="CE19" i="7"/>
  <c r="BJ20" i="7"/>
  <c r="CQ20" i="7"/>
  <c r="BC21" i="7"/>
  <c r="J22" i="7"/>
  <c r="B23" i="7"/>
  <c r="BH23" i="7"/>
  <c r="CE23" i="7"/>
  <c r="O24" i="7"/>
  <c r="H24" i="7" s="1"/>
  <c r="I24" i="7"/>
  <c r="CE24" i="7"/>
  <c r="B25" i="7"/>
  <c r="R25" i="7"/>
  <c r="CE25" i="7"/>
  <c r="B26" i="7"/>
  <c r="I26" i="7"/>
  <c r="O26" i="7"/>
  <c r="CJ26" i="7"/>
  <c r="I27" i="7"/>
  <c r="AA27" i="7"/>
  <c r="B29" i="7"/>
  <c r="B30" i="7"/>
  <c r="CC31" i="7"/>
  <c r="BX31" i="7"/>
  <c r="B31" i="7"/>
  <c r="BO34" i="7"/>
  <c r="BJ34" i="7"/>
  <c r="CL28" i="7"/>
  <c r="AM30" i="7"/>
  <c r="I31" i="7"/>
  <c r="AO31" i="7"/>
  <c r="T32" i="7"/>
  <c r="AA34" i="7"/>
  <c r="BJ35" i="7"/>
  <c r="AV37" i="7"/>
  <c r="BQ38" i="7"/>
  <c r="P39" i="7"/>
  <c r="AK39" i="7"/>
  <c r="AJ39" i="7" s="1"/>
  <c r="CL39" i="7"/>
  <c r="CQ39" i="7"/>
  <c r="BX41" i="7"/>
  <c r="AT44" i="7"/>
  <c r="R45" i="7"/>
  <c r="E45" i="7"/>
  <c r="K45" i="7" s="1"/>
  <c r="CL47" i="7"/>
  <c r="CQ47" i="7"/>
  <c r="R50" i="7"/>
  <c r="M50" i="7"/>
  <c r="E50" i="7"/>
  <c r="B50" i="7"/>
  <c r="O37" i="7"/>
  <c r="G39" i="7"/>
  <c r="CE40" i="7"/>
  <c r="AH42" i="7"/>
  <c r="AO44" i="7"/>
  <c r="CL45" i="7"/>
  <c r="CQ45" i="7"/>
  <c r="CJ58" i="7"/>
  <c r="AO24" i="7"/>
  <c r="T25" i="7"/>
  <c r="CE29" i="7"/>
  <c r="BJ30" i="7"/>
  <c r="B32" i="7"/>
  <c r="AO32" i="7"/>
  <c r="BV32" i="7"/>
  <c r="B33" i="7"/>
  <c r="M33" i="7"/>
  <c r="E33" i="7"/>
  <c r="K33" i="7" s="1"/>
  <c r="AH33" i="7"/>
  <c r="BQ33" i="7"/>
  <c r="CL33" i="7"/>
  <c r="CE34" i="7"/>
  <c r="AO35" i="7"/>
  <c r="AH36" i="7"/>
  <c r="R37" i="7"/>
  <c r="AA37" i="7"/>
  <c r="CE37" i="7"/>
  <c r="B38" i="7"/>
  <c r="AC38" i="7"/>
  <c r="R39" i="7"/>
  <c r="BJ40" i="7"/>
  <c r="I41" i="7"/>
  <c r="AH41" i="7"/>
  <c r="AM41" i="7"/>
  <c r="CL41" i="7"/>
  <c r="V42" i="7"/>
  <c r="M31" i="7"/>
  <c r="E31" i="7"/>
  <c r="K31" i="7" s="1"/>
  <c r="AF34" i="7"/>
  <c r="T35" i="7"/>
  <c r="BX35" i="7"/>
  <c r="O36" i="7"/>
  <c r="BJ37" i="7"/>
  <c r="M38" i="7"/>
  <c r="AO38" i="7"/>
  <c r="BV38" i="7"/>
  <c r="J39" i="7"/>
  <c r="T39" i="7"/>
  <c r="R40" i="7"/>
  <c r="AO40" i="7"/>
  <c r="CJ40" i="7"/>
  <c r="CC41" i="7"/>
  <c r="BQ42" i="7"/>
  <c r="M43" i="7"/>
  <c r="H44" i="7"/>
  <c r="AM49" i="7"/>
  <c r="AH49" i="7"/>
  <c r="K30" i="7"/>
  <c r="W30" i="7"/>
  <c r="O32" i="7"/>
  <c r="AH32" i="7"/>
  <c r="AV33" i="7"/>
  <c r="R34" i="7"/>
  <c r="B34" i="7"/>
  <c r="B35" i="7"/>
  <c r="AH35" i="7"/>
  <c r="AT35" i="7"/>
  <c r="AK36" i="7"/>
  <c r="I36" i="7" s="1"/>
  <c r="AL37" i="7"/>
  <c r="AL55" i="7" s="1"/>
  <c r="AV36" i="7"/>
  <c r="BX37" i="7"/>
  <c r="CJ37" i="7"/>
  <c r="AF39" i="7"/>
  <c r="B40" i="7"/>
  <c r="V40" i="7"/>
  <c r="E41" i="7"/>
  <c r="K41" i="7" s="1"/>
  <c r="H41" i="7"/>
  <c r="M42" i="7"/>
  <c r="E42" i="7"/>
  <c r="K42" i="7" s="1"/>
  <c r="CE42" i="7"/>
  <c r="CJ42" i="7"/>
  <c r="P43" i="7"/>
  <c r="I43" i="7" s="1"/>
  <c r="AC46" i="7"/>
  <c r="H46" i="7" s="1"/>
  <c r="I46" i="7"/>
  <c r="BC46" i="7"/>
  <c r="BH46" i="7"/>
  <c r="B46" i="7"/>
  <c r="BQ31" i="7"/>
  <c r="BX32" i="7"/>
  <c r="AA33" i="7"/>
  <c r="BJ33" i="7"/>
  <c r="CE33" i="7"/>
  <c r="AH34" i="7"/>
  <c r="BC34" i="7"/>
  <c r="AA36" i="7"/>
  <c r="E38" i="7"/>
  <c r="K38" i="7" s="1"/>
  <c r="H38" i="7"/>
  <c r="BX38" i="7"/>
  <c r="B39" i="7"/>
  <c r="Y40" i="7"/>
  <c r="P42" i="7"/>
  <c r="O42" i="7" s="1"/>
  <c r="AM42" i="7"/>
  <c r="B43" i="7"/>
  <c r="R43" i="7"/>
  <c r="AV43" i="7"/>
  <c r="BA43" i="7"/>
  <c r="B45" i="7"/>
  <c r="AH45" i="7"/>
  <c r="AM45" i="7"/>
  <c r="BV45" i="7"/>
  <c r="BQ45" i="7"/>
  <c r="BC48" i="7"/>
  <c r="BH48" i="7"/>
  <c r="AT24" i="7"/>
  <c r="Y25" i="7"/>
  <c r="AH28" i="7"/>
  <c r="BQ29" i="7"/>
  <c r="BX30" i="7"/>
  <c r="R31" i="7"/>
  <c r="D32" i="7"/>
  <c r="AJ32" i="7"/>
  <c r="BQ32" i="7"/>
  <c r="CL32" i="7"/>
  <c r="R33" i="7"/>
  <c r="BA33" i="7"/>
  <c r="M35" i="7"/>
  <c r="BQ35" i="7"/>
  <c r="R36" i="7"/>
  <c r="B37" i="7"/>
  <c r="BC37" i="7"/>
  <c r="I38" i="7"/>
  <c r="AT38" i="7"/>
  <c r="E39" i="7"/>
  <c r="D39" i="7"/>
  <c r="AH39" i="7"/>
  <c r="BO39" i="7"/>
  <c r="I40" i="7"/>
  <c r="AA40" i="7"/>
  <c r="CL40" i="7"/>
  <c r="BJ41" i="7"/>
  <c r="BO41" i="7"/>
  <c r="B42" i="7"/>
  <c r="R42" i="7"/>
  <c r="AD42" i="7"/>
  <c r="AC42" i="7" s="1"/>
  <c r="BJ42" i="7"/>
  <c r="E43" i="7"/>
  <c r="K43" i="7" s="1"/>
  <c r="CJ43" i="7"/>
  <c r="CE43" i="7"/>
  <c r="B49" i="7"/>
  <c r="Y49" i="7"/>
  <c r="E18" i="7"/>
  <c r="K18" i="7" s="1"/>
  <c r="BQ24" i="7"/>
  <c r="AV25" i="7"/>
  <c r="CL25" i="7"/>
  <c r="AO26" i="7"/>
  <c r="AH27" i="7"/>
  <c r="H28" i="7"/>
  <c r="AA29" i="7"/>
  <c r="AJ30" i="7"/>
  <c r="CL30" i="7"/>
  <c r="AA31" i="7"/>
  <c r="AM32" i="7"/>
  <c r="AV32" i="7"/>
  <c r="E34" i="7"/>
  <c r="K34" i="7" s="1"/>
  <c r="P35" i="7"/>
  <c r="I35" i="7" s="1"/>
  <c r="AV35" i="7"/>
  <c r="G36" i="7"/>
  <c r="T36" i="7"/>
  <c r="AE37" i="7"/>
  <c r="AE55" i="7" s="1"/>
  <c r="AC36" i="7"/>
  <c r="AO36" i="7"/>
  <c r="BJ36" i="7"/>
  <c r="M37" i="7"/>
  <c r="AH37" i="7"/>
  <c r="CL37" i="7"/>
  <c r="AF38" i="7"/>
  <c r="BC38" i="7"/>
  <c r="E40" i="7"/>
  <c r="J40" i="7"/>
  <c r="AC40" i="7"/>
  <c r="BQ40" i="7"/>
  <c r="T42" i="7"/>
  <c r="Y42" i="7"/>
  <c r="AF42" i="7"/>
  <c r="AO42" i="7"/>
  <c r="AA43" i="7"/>
  <c r="AD48" i="7"/>
  <c r="I48" i="7" s="1"/>
  <c r="AF48" i="7"/>
  <c r="G56" i="7"/>
  <c r="T56" i="7"/>
  <c r="E56" i="7"/>
  <c r="Y56" i="7"/>
  <c r="B56" i="7"/>
  <c r="BQ43" i="7"/>
  <c r="BV44" i="7"/>
  <c r="I47" i="7"/>
  <c r="CE49" i="7"/>
  <c r="AJ50" i="7"/>
  <c r="AM50" i="7"/>
  <c r="CJ50" i="7"/>
  <c r="CE50" i="7"/>
  <c r="J52" i="7"/>
  <c r="Y52" i="7"/>
  <c r="W52" i="7"/>
  <c r="V52" i="7" s="1"/>
  <c r="BH53" i="7"/>
  <c r="BC53" i="7"/>
  <c r="BG59" i="7"/>
  <c r="R48" i="7"/>
  <c r="B48" i="7"/>
  <c r="M48" i="7"/>
  <c r="AH48" i="7"/>
  <c r="W49" i="7"/>
  <c r="V49" i="7" s="1"/>
  <c r="BH50" i="7"/>
  <c r="R51" i="7"/>
  <c r="B51" i="7"/>
  <c r="E51" i="7"/>
  <c r="K51" i="7" s="1"/>
  <c r="BQ51" i="7"/>
  <c r="CQ55" i="7"/>
  <c r="H45" i="7"/>
  <c r="BQ46" i="7"/>
  <c r="AH47" i="7"/>
  <c r="V48" i="7"/>
  <c r="BQ48" i="7"/>
  <c r="AV49" i="7"/>
  <c r="I50" i="7"/>
  <c r="BC50" i="7"/>
  <c r="AA52" i="7"/>
  <c r="R53" i="7"/>
  <c r="E53" i="7"/>
  <c r="M53" i="7"/>
  <c r="D54" i="7"/>
  <c r="Y54" i="7"/>
  <c r="B54" i="7"/>
  <c r="CE56" i="7"/>
  <c r="CJ56" i="7"/>
  <c r="BJ43" i="7"/>
  <c r="B44" i="7"/>
  <c r="AH44" i="7"/>
  <c r="BC44" i="7"/>
  <c r="I45" i="7"/>
  <c r="G46" i="7"/>
  <c r="CE46" i="7"/>
  <c r="M47" i="7"/>
  <c r="Y47" i="7"/>
  <c r="Y48" i="7"/>
  <c r="CE48" i="7"/>
  <c r="AF49" i="7"/>
  <c r="J50" i="7"/>
  <c r="BV51" i="7"/>
  <c r="AC53" i="7"/>
  <c r="J53" i="7"/>
  <c r="AF53" i="7"/>
  <c r="AD53" i="7"/>
  <c r="I53" i="7" s="1"/>
  <c r="AT56" i="7"/>
  <c r="AO56" i="7"/>
  <c r="BC57" i="7"/>
  <c r="BH57" i="7"/>
  <c r="BQ44" i="7"/>
  <c r="CL44" i="7"/>
  <c r="BJ45" i="7"/>
  <c r="M46" i="7"/>
  <c r="BV46" i="7"/>
  <c r="B47" i="7"/>
  <c r="AV47" i="7"/>
  <c r="BV48" i="7"/>
  <c r="BX49" i="7"/>
  <c r="Y50" i="7"/>
  <c r="T50" i="7"/>
  <c r="CL50" i="7"/>
  <c r="CQ50" i="7"/>
  <c r="AO51" i="7"/>
  <c r="AT51" i="7"/>
  <c r="CC51" i="7"/>
  <c r="BX51" i="7"/>
  <c r="BC42" i="7"/>
  <c r="E44" i="7"/>
  <c r="K44" i="7" s="1"/>
  <c r="M44" i="7"/>
  <c r="BH44" i="7"/>
  <c r="T45" i="7"/>
  <c r="AO45" i="7"/>
  <c r="BX45" i="7"/>
  <c r="AA46" i="7"/>
  <c r="H47" i="7"/>
  <c r="AM47" i="7"/>
  <c r="BJ47" i="7"/>
  <c r="E48" i="7"/>
  <c r="J48" i="7"/>
  <c r="AM48" i="7"/>
  <c r="BA49" i="7"/>
  <c r="BO50" i="7"/>
  <c r="BJ50" i="7"/>
  <c r="CC50" i="7"/>
  <c r="E36" i="7"/>
  <c r="K36" i="7" s="1"/>
  <c r="BC40" i="7"/>
  <c r="BC43" i="7"/>
  <c r="BX43" i="7"/>
  <c r="BC45" i="7"/>
  <c r="BO45" i="7"/>
  <c r="E46" i="7"/>
  <c r="K46" i="7" s="1"/>
  <c r="R46" i="7"/>
  <c r="CJ46" i="7"/>
  <c r="AO47" i="7"/>
  <c r="BA47" i="7"/>
  <c r="CJ48" i="7"/>
  <c r="BC49" i="7"/>
  <c r="CL49" i="7"/>
  <c r="AV50" i="7"/>
  <c r="BA50" i="7"/>
  <c r="BX50" i="7"/>
  <c r="BA51" i="7"/>
  <c r="AV51" i="7"/>
  <c r="CE53" i="7"/>
  <c r="CJ53" i="7"/>
  <c r="BO54" i="7"/>
  <c r="BJ54" i="7"/>
  <c r="AT57" i="7"/>
  <c r="B57" i="7"/>
  <c r="M54" i="7"/>
  <c r="BX54" i="7"/>
  <c r="BC56" i="7"/>
  <c r="M57" i="7"/>
  <c r="V57" i="7"/>
  <c r="CP59" i="7"/>
  <c r="CI59" i="7"/>
  <c r="AD50" i="7"/>
  <c r="AC50" i="7" s="1"/>
  <c r="H50" i="7" s="1"/>
  <c r="V51" i="7"/>
  <c r="H51" i="7" s="1"/>
  <c r="AH52" i="7"/>
  <c r="BC52" i="7"/>
  <c r="V53" i="7"/>
  <c r="H53" i="7" s="1"/>
  <c r="BX53" i="7"/>
  <c r="AH54" i="7"/>
  <c r="BH55" i="7"/>
  <c r="CJ55" i="7"/>
  <c r="AA56" i="7"/>
  <c r="H57" i="7"/>
  <c r="AV57" i="7"/>
  <c r="BJ57" i="7"/>
  <c r="AO50" i="7"/>
  <c r="O52" i="7"/>
  <c r="AH53" i="7"/>
  <c r="AT53" i="7"/>
  <c r="CL53" i="7"/>
  <c r="AV54" i="7"/>
  <c r="CC54" i="7"/>
  <c r="BH56" i="7"/>
  <c r="CL56" i="7"/>
  <c r="BX57" i="7"/>
  <c r="CL57" i="7"/>
  <c r="AH51" i="7"/>
  <c r="CL51" i="7"/>
  <c r="BA58" i="7"/>
  <c r="AD56" i="7"/>
  <c r="I56" i="7" s="1"/>
  <c r="BV58" i="7"/>
  <c r="AF79" i="7"/>
  <c r="AE49" i="7" s="1"/>
  <c r="AF50" i="7"/>
  <c r="J51" i="7"/>
  <c r="AD52" i="7"/>
  <c r="BQ52" i="7"/>
  <c r="AV53" i="7"/>
  <c r="J54" i="7"/>
  <c r="BA54" i="7"/>
  <c r="J56" i="7"/>
  <c r="BQ57" i="7"/>
  <c r="BV57" i="7"/>
  <c r="R79" i="7"/>
  <c r="Q49" i="7" s="1"/>
  <c r="E47" i="7"/>
  <c r="K47" i="7" s="1"/>
  <c r="E49" i="7"/>
  <c r="BJ49" i="7"/>
  <c r="AA50" i="7"/>
  <c r="BQ50" i="7"/>
  <c r="T52" i="7"/>
  <c r="CE52" i="7"/>
  <c r="BJ53" i="7"/>
  <c r="BV53" i="7"/>
  <c r="W54" i="7"/>
  <c r="I54" i="7" s="1"/>
  <c r="CE57" i="7"/>
  <c r="CB58" i="7"/>
  <c r="E52" i="7"/>
  <c r="E54" i="7"/>
  <c r="CG55" i="6"/>
  <c r="CG58" i="6" s="1"/>
  <c r="BQ13" i="6"/>
  <c r="AK17" i="6"/>
  <c r="I17" i="6" s="1"/>
  <c r="BO20" i="6"/>
  <c r="H21" i="6"/>
  <c r="S55" i="6"/>
  <c r="AE4" i="6"/>
  <c r="AY55" i="6"/>
  <c r="AY58" i="6" s="1"/>
  <c r="BT55" i="6"/>
  <c r="BT58" i="6" s="1"/>
  <c r="AL4" i="6"/>
  <c r="BH5" i="6"/>
  <c r="AJ7" i="6"/>
  <c r="H7" i="6" s="1"/>
  <c r="AV8" i="6"/>
  <c r="J9" i="6"/>
  <c r="B11" i="6"/>
  <c r="E12" i="6"/>
  <c r="K12" i="6" s="1"/>
  <c r="B13" i="6"/>
  <c r="BX13" i="6"/>
  <c r="CC13" i="6"/>
  <c r="CJ13" i="6"/>
  <c r="R14" i="6"/>
  <c r="CC14" i="6"/>
  <c r="BX14" i="6"/>
  <c r="G15" i="6"/>
  <c r="AF15" i="6"/>
  <c r="AA15" i="6"/>
  <c r="BV15" i="6"/>
  <c r="BJ16" i="6"/>
  <c r="CE17" i="6"/>
  <c r="CJ17" i="6"/>
  <c r="BH27" i="6"/>
  <c r="BC27" i="6"/>
  <c r="BX5" i="6"/>
  <c r="CH55" i="6"/>
  <c r="CH58" i="6" s="1"/>
  <c r="B5" i="6"/>
  <c r="BA6" i="6"/>
  <c r="BQ7" i="6"/>
  <c r="BH8" i="6"/>
  <c r="BH9" i="6"/>
  <c r="J10" i="6"/>
  <c r="AC10" i="6"/>
  <c r="CQ13" i="6"/>
  <c r="CL13" i="6"/>
  <c r="AC14" i="6"/>
  <c r="H14" i="6" s="1"/>
  <c r="AO14" i="6"/>
  <c r="O15" i="6"/>
  <c r="R15" i="6"/>
  <c r="J15" i="6"/>
  <c r="K15" i="6" s="1"/>
  <c r="AC15" i="6"/>
  <c r="AO15" i="6"/>
  <c r="AT15" i="6"/>
  <c r="BA15" i="6"/>
  <c r="CL16" i="6"/>
  <c r="CQ16" i="6"/>
  <c r="G19" i="6"/>
  <c r="Y19" i="6"/>
  <c r="AH31" i="6"/>
  <c r="AM31" i="6"/>
  <c r="CE31" i="6"/>
  <c r="CJ31" i="6"/>
  <c r="BC36" i="6"/>
  <c r="BH36" i="6"/>
  <c r="P5" i="6"/>
  <c r="AQ4" i="6"/>
  <c r="BB55" i="6"/>
  <c r="BB58" i="6" s="1"/>
  <c r="B6" i="6"/>
  <c r="R6" i="6"/>
  <c r="V6" i="6"/>
  <c r="H6" i="6" s="1"/>
  <c r="BC6" i="6"/>
  <c r="E7" i="6"/>
  <c r="K7" i="6" s="1"/>
  <c r="BJ9" i="6"/>
  <c r="V10" i="6"/>
  <c r="AK11" i="6"/>
  <c r="AJ11" i="6" s="1"/>
  <c r="H11" i="6" s="1"/>
  <c r="BQ11" i="6"/>
  <c r="P12" i="6"/>
  <c r="O12" i="6" s="1"/>
  <c r="AK12" i="6"/>
  <c r="AJ12" i="6" s="1"/>
  <c r="AV12" i="6"/>
  <c r="CE12" i="6"/>
  <c r="AF13" i="6"/>
  <c r="AD14" i="6"/>
  <c r="BC14" i="6"/>
  <c r="T15" i="6"/>
  <c r="CQ18" i="6"/>
  <c r="CL18" i="6"/>
  <c r="H25" i="6"/>
  <c r="AO27" i="6"/>
  <c r="AT27" i="6"/>
  <c r="CQ30" i="6"/>
  <c r="CL30" i="6"/>
  <c r="BQ31" i="6"/>
  <c r="BV31" i="6"/>
  <c r="B4" i="6"/>
  <c r="L55" i="6"/>
  <c r="E4" i="6"/>
  <c r="X4" i="6"/>
  <c r="AH4" i="6"/>
  <c r="BE4" i="6"/>
  <c r="CK55" i="6"/>
  <c r="CK58" i="6" s="1"/>
  <c r="M6" i="6"/>
  <c r="W6" i="6"/>
  <c r="I6" i="6" s="1"/>
  <c r="T8" i="6"/>
  <c r="CE8" i="6"/>
  <c r="R9" i="6"/>
  <c r="B9" i="6"/>
  <c r="AD9" i="6"/>
  <c r="AC9" i="6" s="1"/>
  <c r="H9" i="6" s="1"/>
  <c r="B10" i="6"/>
  <c r="M10" i="6"/>
  <c r="BC10" i="6"/>
  <c r="BX10" i="6"/>
  <c r="E11" i="6"/>
  <c r="K11" i="6" s="1"/>
  <c r="AA11" i="6"/>
  <c r="AV11" i="6"/>
  <c r="M13" i="6"/>
  <c r="AO13" i="6"/>
  <c r="M14" i="6"/>
  <c r="D17" i="6"/>
  <c r="AM17" i="6"/>
  <c r="AF18" i="6"/>
  <c r="P36" i="6"/>
  <c r="O36" i="6" s="1"/>
  <c r="Q37" i="6"/>
  <c r="R37" i="6" s="1"/>
  <c r="J36" i="6"/>
  <c r="K36" i="6" s="1"/>
  <c r="Z55" i="6"/>
  <c r="BH4" i="6"/>
  <c r="CA55" i="6"/>
  <c r="CA58" i="6" s="1"/>
  <c r="AH5" i="6"/>
  <c r="E6" i="6"/>
  <c r="K6" i="6" s="1"/>
  <c r="Y6" i="6"/>
  <c r="AV6" i="6"/>
  <c r="BQ6" i="6"/>
  <c r="G7" i="6"/>
  <c r="CE7" i="6"/>
  <c r="BC8" i="6"/>
  <c r="BX8" i="6"/>
  <c r="BC9" i="6"/>
  <c r="BX9" i="6"/>
  <c r="Y10" i="6"/>
  <c r="AH10" i="6"/>
  <c r="CL10" i="6"/>
  <c r="AO11" i="6"/>
  <c r="BV11" i="6"/>
  <c r="AC12" i="6"/>
  <c r="BJ12" i="6"/>
  <c r="E13" i="6"/>
  <c r="K13" i="6" s="1"/>
  <c r="AA13" i="6"/>
  <c r="AH13" i="6"/>
  <c r="BC13" i="6"/>
  <c r="CE13" i="6"/>
  <c r="BH14" i="6"/>
  <c r="AV15" i="6"/>
  <c r="BQ15" i="6"/>
  <c r="P16" i="6"/>
  <c r="I16" i="6" s="1"/>
  <c r="J16" i="6"/>
  <c r="AO16" i="6"/>
  <c r="AT16" i="6"/>
  <c r="D16" i="6"/>
  <c r="H18" i="6"/>
  <c r="BX19" i="6"/>
  <c r="CC19" i="6"/>
  <c r="BO22" i="6"/>
  <c r="BJ22" i="6"/>
  <c r="BH30" i="6"/>
  <c r="BC30" i="6"/>
  <c r="BP55" i="6"/>
  <c r="BV58" i="6" s="1"/>
  <c r="BV4" i="6"/>
  <c r="D6" i="6"/>
  <c r="Q4" i="6"/>
  <c r="P4" i="6" s="1"/>
  <c r="AM4" i="6"/>
  <c r="BI55" i="6"/>
  <c r="BQ4" i="6"/>
  <c r="AJ5" i="6"/>
  <c r="AM6" i="6"/>
  <c r="CQ6" i="6"/>
  <c r="BX7" i="6"/>
  <c r="B8" i="6"/>
  <c r="Y8" i="6"/>
  <c r="AH8" i="6"/>
  <c r="E9" i="6"/>
  <c r="AT9" i="6"/>
  <c r="G10" i="6"/>
  <c r="AK10" i="6"/>
  <c r="AJ10" i="6" s="1"/>
  <c r="AV10" i="6"/>
  <c r="BQ10" i="6"/>
  <c r="CE11" i="6"/>
  <c r="AF12" i="6"/>
  <c r="CJ12" i="6"/>
  <c r="O13" i="6"/>
  <c r="H13" i="6" s="1"/>
  <c r="R16" i="6"/>
  <c r="AF16" i="6"/>
  <c r="CJ16" i="6"/>
  <c r="I18" i="6"/>
  <c r="B20" i="6"/>
  <c r="T20" i="6"/>
  <c r="B22" i="6"/>
  <c r="H23" i="6"/>
  <c r="T27" i="6"/>
  <c r="B27" i="6"/>
  <c r="Y27" i="6"/>
  <c r="AA32" i="6"/>
  <c r="AF32" i="6"/>
  <c r="AC33" i="6"/>
  <c r="I33" i="6"/>
  <c r="BH37" i="6"/>
  <c r="BC37" i="6"/>
  <c r="BZ55" i="6"/>
  <c r="BZ58" i="6" s="1"/>
  <c r="R31" i="6"/>
  <c r="B31" i="6"/>
  <c r="M31" i="6"/>
  <c r="E31" i="6"/>
  <c r="AA4" i="6"/>
  <c r="AN55" i="6"/>
  <c r="AP55" i="6" s="1"/>
  <c r="AT4" i="6"/>
  <c r="AX4" i="6"/>
  <c r="AX55" i="6" s="1"/>
  <c r="AX58" i="6" s="1"/>
  <c r="BJ4" i="6"/>
  <c r="BS4" i="6"/>
  <c r="BS55" i="6" s="1"/>
  <c r="BS58" i="6" s="1"/>
  <c r="CD55" i="6"/>
  <c r="CD58" i="6" s="1"/>
  <c r="CE4" i="6"/>
  <c r="J5" i="6"/>
  <c r="K5" i="6" s="1"/>
  <c r="AA5" i="6"/>
  <c r="AK5" i="6"/>
  <c r="AV5" i="6"/>
  <c r="CC5" i="6"/>
  <c r="CL5" i="6"/>
  <c r="B7" i="6"/>
  <c r="AT7" i="6"/>
  <c r="BC7" i="6"/>
  <c r="E8" i="6"/>
  <c r="K8" i="6" s="1"/>
  <c r="AA10" i="6"/>
  <c r="CE10" i="6"/>
  <c r="CQ10" i="6"/>
  <c r="AH11" i="6"/>
  <c r="B12" i="6"/>
  <c r="M12" i="6"/>
  <c r="BC12" i="6"/>
  <c r="BO12" i="6"/>
  <c r="R13" i="6"/>
  <c r="BV13" i="6"/>
  <c r="BV14" i="6"/>
  <c r="B15" i="6"/>
  <c r="Y15" i="6"/>
  <c r="AK15" i="6"/>
  <c r="I15" i="6" s="1"/>
  <c r="AH16" i="6"/>
  <c r="F16" i="6" s="1"/>
  <c r="BH16" i="6"/>
  <c r="CE16" i="6"/>
  <c r="B18" i="6"/>
  <c r="M19" i="6"/>
  <c r="BA19" i="6"/>
  <c r="AV19" i="6"/>
  <c r="BC20" i="6"/>
  <c r="D21" i="6"/>
  <c r="BJ23" i="6"/>
  <c r="BJ28" i="6"/>
  <c r="BA31" i="6"/>
  <c r="AV31" i="6"/>
  <c r="CL32" i="6"/>
  <c r="CQ32" i="6"/>
  <c r="AQ34" i="6"/>
  <c r="H34" i="6" s="1"/>
  <c r="I34" i="6"/>
  <c r="BX22" i="6"/>
  <c r="M23" i="6"/>
  <c r="G24" i="6"/>
  <c r="I25" i="6"/>
  <c r="AO25" i="6"/>
  <c r="AD26" i="6"/>
  <c r="AC26" i="6" s="1"/>
  <c r="CL26" i="6"/>
  <c r="BC28" i="6"/>
  <c r="BH28" i="6"/>
  <c r="BQ29" i="6"/>
  <c r="M30" i="6"/>
  <c r="E30" i="6"/>
  <c r="K30" i="6" s="1"/>
  <c r="R30" i="6"/>
  <c r="CE30" i="6"/>
  <c r="CE32" i="6"/>
  <c r="AA34" i="6"/>
  <c r="AM36" i="6"/>
  <c r="AH36" i="6"/>
  <c r="AT38" i="6"/>
  <c r="AO38" i="6"/>
  <c r="BV39" i="6"/>
  <c r="BQ39" i="6"/>
  <c r="M46" i="6"/>
  <c r="P24" i="6"/>
  <c r="I24" i="6" s="1"/>
  <c r="CL24" i="6"/>
  <c r="CL25" i="6"/>
  <c r="AV27" i="6"/>
  <c r="AH29" i="6"/>
  <c r="AM29" i="6"/>
  <c r="H30" i="6"/>
  <c r="AV30" i="6"/>
  <c r="I31" i="6"/>
  <c r="J17" i="6"/>
  <c r="BQ19" i="6"/>
  <c r="R21" i="6"/>
  <c r="B21" i="6"/>
  <c r="BC21" i="6"/>
  <c r="E22" i="6"/>
  <c r="K22" i="6" s="1"/>
  <c r="O22" i="6"/>
  <c r="AH22" i="6"/>
  <c r="AA23" i="6"/>
  <c r="R24" i="6"/>
  <c r="T25" i="6"/>
  <c r="BX25" i="6"/>
  <c r="J26" i="6"/>
  <c r="AF26" i="6"/>
  <c r="M27" i="6"/>
  <c r="E27" i="6"/>
  <c r="K27" i="6" s="1"/>
  <c r="R27" i="6"/>
  <c r="CE27" i="6"/>
  <c r="W28" i="6"/>
  <c r="AH28" i="6"/>
  <c r="V29" i="6"/>
  <c r="H29" i="6" s="1"/>
  <c r="B30" i="6"/>
  <c r="AA30" i="6"/>
  <c r="J31" i="6"/>
  <c r="B32" i="6"/>
  <c r="E34" i="6"/>
  <c r="K34" i="6" s="1"/>
  <c r="BX34" i="6"/>
  <c r="CC34" i="6"/>
  <c r="BC35" i="6"/>
  <c r="R36" i="6"/>
  <c r="AK36" i="6"/>
  <c r="AJ36" i="6" s="1"/>
  <c r="AL37" i="6"/>
  <c r="AC45" i="6"/>
  <c r="I45" i="6"/>
  <c r="B16" i="6"/>
  <c r="AC16" i="6"/>
  <c r="B17" i="6"/>
  <c r="E18" i="6"/>
  <c r="K18" i="6" s="1"/>
  <c r="P19" i="6"/>
  <c r="I19" i="6" s="1"/>
  <c r="AA19" i="6"/>
  <c r="AM19" i="6"/>
  <c r="CQ19" i="6"/>
  <c r="AA22" i="6"/>
  <c r="AV22" i="6"/>
  <c r="CC22" i="6"/>
  <c r="I23" i="6"/>
  <c r="BQ23" i="6"/>
  <c r="CQ24" i="6"/>
  <c r="G25" i="6"/>
  <c r="BC25" i="6"/>
  <c r="CQ26" i="6"/>
  <c r="B28" i="6"/>
  <c r="CE28" i="6"/>
  <c r="B29" i="6"/>
  <c r="M29" i="6"/>
  <c r="BV29" i="6"/>
  <c r="J32" i="6"/>
  <c r="W32" i="6"/>
  <c r="AO33" i="6"/>
  <c r="BX33" i="6"/>
  <c r="AF34" i="6"/>
  <c r="BC34" i="6"/>
  <c r="CQ34" i="6"/>
  <c r="CL34" i="6"/>
  <c r="BV35" i="6"/>
  <c r="BQ35" i="6"/>
  <c r="M36" i="6"/>
  <c r="V37" i="6"/>
  <c r="G38" i="6"/>
  <c r="E38" i="6"/>
  <c r="B38" i="6"/>
  <c r="AF38" i="6"/>
  <c r="BC39" i="6"/>
  <c r="BH39" i="6"/>
  <c r="Y18" i="6"/>
  <c r="G20" i="6"/>
  <c r="W20" i="6"/>
  <c r="I20" i="6" s="1"/>
  <c r="V20" i="6"/>
  <c r="AH20" i="6"/>
  <c r="BX20" i="6"/>
  <c r="AH21" i="6"/>
  <c r="BQ21" i="6"/>
  <c r="CL21" i="6"/>
  <c r="CE23" i="6"/>
  <c r="J24" i="6"/>
  <c r="K24" i="6" s="1"/>
  <c r="T24" i="6"/>
  <c r="F24" i="6" s="1"/>
  <c r="B25" i="6"/>
  <c r="M25" i="6"/>
  <c r="AT25" i="6"/>
  <c r="CQ25" i="6"/>
  <c r="M26" i="6"/>
  <c r="AV26" i="6"/>
  <c r="BA27" i="6"/>
  <c r="BX27" i="6"/>
  <c r="BJ29" i="6"/>
  <c r="BA30" i="6"/>
  <c r="BX30" i="6"/>
  <c r="BC31" i="6"/>
  <c r="Y32" i="6"/>
  <c r="AK32" i="6"/>
  <c r="AJ32" i="6"/>
  <c r="AV32" i="6"/>
  <c r="BJ32" i="6"/>
  <c r="BO32" i="6"/>
  <c r="BX32" i="6"/>
  <c r="BH33" i="6"/>
  <c r="BC33" i="6"/>
  <c r="T34" i="6"/>
  <c r="B35" i="6"/>
  <c r="R35" i="6"/>
  <c r="AH35" i="6"/>
  <c r="CQ35" i="6"/>
  <c r="BJ36" i="6"/>
  <c r="BX36" i="6"/>
  <c r="CC36" i="6"/>
  <c r="J38" i="6"/>
  <c r="R38" i="6"/>
  <c r="P38" i="6"/>
  <c r="BL55" i="6"/>
  <c r="BL58" i="6" s="1"/>
  <c r="CN55" i="6"/>
  <c r="CN58" i="6" s="1"/>
  <c r="E16" i="6"/>
  <c r="V16" i="6"/>
  <c r="E17" i="6"/>
  <c r="BV17" i="6"/>
  <c r="AO19" i="6"/>
  <c r="AJ20" i="6"/>
  <c r="I21" i="6"/>
  <c r="AM21" i="6"/>
  <c r="CQ21" i="6"/>
  <c r="BA22" i="6"/>
  <c r="AO23" i="6"/>
  <c r="CE25" i="6"/>
  <c r="P26" i="6"/>
  <c r="I26" i="6" s="1"/>
  <c r="O26" i="6"/>
  <c r="BJ26" i="6"/>
  <c r="BO26" i="6"/>
  <c r="CJ28" i="6"/>
  <c r="R29" i="6"/>
  <c r="BX29" i="6"/>
  <c r="AJ31" i="6"/>
  <c r="H31" i="6" s="1"/>
  <c r="O32" i="6"/>
  <c r="AT32" i="6"/>
  <c r="T33" i="6"/>
  <c r="AT33" i="6"/>
  <c r="AH34" i="6"/>
  <c r="G37" i="6"/>
  <c r="AU55" i="6"/>
  <c r="BM55" i="6"/>
  <c r="BM58" i="6" s="1"/>
  <c r="BW55" i="6"/>
  <c r="CC58" i="6" s="1"/>
  <c r="CO55" i="6"/>
  <c r="CO58" i="6" s="1"/>
  <c r="E10" i="6"/>
  <c r="K10" i="6" s="1"/>
  <c r="AV13" i="6"/>
  <c r="I14" i="6"/>
  <c r="AH14" i="6"/>
  <c r="CL15" i="6"/>
  <c r="O17" i="6"/>
  <c r="AT17" i="6"/>
  <c r="BX18" i="6"/>
  <c r="R19" i="6"/>
  <c r="B19" i="6"/>
  <c r="BC19" i="6"/>
  <c r="BO19" i="6"/>
  <c r="E20" i="6"/>
  <c r="K20" i="6" s="1"/>
  <c r="O20" i="6"/>
  <c r="AA20" i="6"/>
  <c r="CC20" i="6"/>
  <c r="CL20" i="6"/>
  <c r="W22" i="6"/>
  <c r="I22" i="6" s="1"/>
  <c r="B23" i="6"/>
  <c r="R23" i="6"/>
  <c r="BC23" i="6"/>
  <c r="CJ23" i="6"/>
  <c r="BX24" i="6"/>
  <c r="E25" i="6"/>
  <c r="K25" i="6" s="1"/>
  <c r="E26" i="6"/>
  <c r="AO26" i="6"/>
  <c r="CC26" i="6"/>
  <c r="BX26" i="6"/>
  <c r="J28" i="6"/>
  <c r="K28" i="6" s="1"/>
  <c r="T28" i="6"/>
  <c r="AO28" i="6"/>
  <c r="CL28" i="6"/>
  <c r="BO29" i="6"/>
  <c r="V30" i="6"/>
  <c r="AH30" i="6"/>
  <c r="CC30" i="6"/>
  <c r="AD32" i="6"/>
  <c r="AC32" i="6" s="1"/>
  <c r="AO32" i="6"/>
  <c r="CC32" i="6"/>
  <c r="E33" i="6"/>
  <c r="K33" i="6" s="1"/>
  <c r="AV33" i="6"/>
  <c r="M34" i="6"/>
  <c r="Y34" i="6"/>
  <c r="H35" i="6"/>
  <c r="AA35" i="6"/>
  <c r="AM39" i="6"/>
  <c r="AH39" i="6"/>
  <c r="AK42" i="6"/>
  <c r="I42" i="6" s="1"/>
  <c r="J42" i="6"/>
  <c r="BC41" i="6"/>
  <c r="BH41" i="6"/>
  <c r="BC42" i="6"/>
  <c r="AA43" i="6"/>
  <c r="AF43" i="6"/>
  <c r="B37" i="6"/>
  <c r="D37" i="6"/>
  <c r="BX37" i="6"/>
  <c r="BO38" i="6"/>
  <c r="BX38" i="6"/>
  <c r="CL38" i="6"/>
  <c r="W39" i="6"/>
  <c r="I39" i="6" s="1"/>
  <c r="AT41" i="6"/>
  <c r="AO41" i="6"/>
  <c r="BJ41" i="6"/>
  <c r="BX42" i="6"/>
  <c r="CC42" i="6"/>
  <c r="H45" i="6"/>
  <c r="AV46" i="6"/>
  <c r="BA46" i="6"/>
  <c r="G48" i="6"/>
  <c r="AK49" i="6"/>
  <c r="AJ49" i="6" s="1"/>
  <c r="AM49" i="6"/>
  <c r="AC38" i="6"/>
  <c r="CE39" i="6"/>
  <c r="AV40" i="6"/>
  <c r="BX40" i="6"/>
  <c r="B41" i="6"/>
  <c r="R41" i="6"/>
  <c r="G43" i="6"/>
  <c r="CJ46" i="6"/>
  <c r="CE46" i="6"/>
  <c r="AH51" i="6"/>
  <c r="B51" i="6"/>
  <c r="AM51" i="6"/>
  <c r="CQ38" i="6"/>
  <c r="E39" i="6"/>
  <c r="K39" i="6" s="1"/>
  <c r="BJ40" i="6"/>
  <c r="CL40" i="6"/>
  <c r="AA41" i="6"/>
  <c r="AF41" i="6"/>
  <c r="CE41" i="6"/>
  <c r="CJ41" i="6"/>
  <c r="CE42" i="6"/>
  <c r="J43" i="6"/>
  <c r="P43" i="6"/>
  <c r="I43" i="6" s="1"/>
  <c r="E37" i="6"/>
  <c r="AT37" i="6"/>
  <c r="BQ37" i="6"/>
  <c r="BQ38" i="6"/>
  <c r="B39" i="6"/>
  <c r="AA39" i="6"/>
  <c r="CJ39" i="6"/>
  <c r="I40" i="6"/>
  <c r="BA40" i="6"/>
  <c r="CC40" i="6"/>
  <c r="AV44" i="6"/>
  <c r="BA44" i="6"/>
  <c r="H47" i="6"/>
  <c r="Y49" i="6"/>
  <c r="W49" i="6"/>
  <c r="V49" i="6" s="1"/>
  <c r="G26" i="6"/>
  <c r="AH26" i="6"/>
  <c r="BQ27" i="6"/>
  <c r="CL29" i="6"/>
  <c r="Y31" i="6"/>
  <c r="AV34" i="6"/>
  <c r="I35" i="6"/>
  <c r="M38" i="6"/>
  <c r="AH38" i="6"/>
  <c r="O39" i="6"/>
  <c r="BJ39" i="6"/>
  <c r="E40" i="6"/>
  <c r="K40" i="6" s="1"/>
  <c r="AA40" i="6"/>
  <c r="BH40" i="6"/>
  <c r="CJ40" i="6"/>
  <c r="I41" i="6"/>
  <c r="O41" i="6"/>
  <c r="H41" i="6" s="1"/>
  <c r="AM42" i="6"/>
  <c r="AV42" i="6"/>
  <c r="BA42" i="6"/>
  <c r="B42" i="6"/>
  <c r="BO47" i="6"/>
  <c r="BJ47" i="6"/>
  <c r="BJ24" i="6"/>
  <c r="AA25" i="6"/>
  <c r="BQ25" i="6"/>
  <c r="AA27" i="6"/>
  <c r="BQ28" i="6"/>
  <c r="AV29" i="6"/>
  <c r="T31" i="6"/>
  <c r="M32" i="6"/>
  <c r="BC32" i="6"/>
  <c r="O33" i="6"/>
  <c r="BQ33" i="6"/>
  <c r="CE35" i="6"/>
  <c r="AA36" i="6"/>
  <c r="AV36" i="6"/>
  <c r="CL36" i="6"/>
  <c r="Y37" i="6"/>
  <c r="AV37" i="6"/>
  <c r="BV37" i="6"/>
  <c r="CE37" i="6"/>
  <c r="AK38" i="6"/>
  <c r="AJ38" i="6" s="1"/>
  <c r="AV38" i="6"/>
  <c r="R39" i="6"/>
  <c r="CL39" i="6"/>
  <c r="T40" i="6"/>
  <c r="Y40" i="6"/>
  <c r="BC40" i="6"/>
  <c r="CE40" i="6"/>
  <c r="E41" i="6"/>
  <c r="K41" i="6" s="1"/>
  <c r="I44" i="6"/>
  <c r="V44" i="6"/>
  <c r="H44" i="6" s="1"/>
  <c r="BC45" i="6"/>
  <c r="BH45" i="6"/>
  <c r="AF46" i="6"/>
  <c r="AA46" i="6"/>
  <c r="M49" i="6"/>
  <c r="G49" i="6"/>
  <c r="V50" i="6"/>
  <c r="AM41" i="6"/>
  <c r="BO41" i="6"/>
  <c r="CQ41" i="6"/>
  <c r="Y42" i="6"/>
  <c r="BH42" i="6"/>
  <c r="CJ42" i="6"/>
  <c r="AC43" i="6"/>
  <c r="B45" i="6"/>
  <c r="G47" i="6"/>
  <c r="AK48" i="6"/>
  <c r="I48" i="6" s="1"/>
  <c r="CL49" i="6"/>
  <c r="BJ51" i="6"/>
  <c r="CJ54" i="6"/>
  <c r="CE54" i="6"/>
  <c r="E46" i="6"/>
  <c r="K46" i="6" s="1"/>
  <c r="BX48" i="6"/>
  <c r="AO49" i="6"/>
  <c r="AM50" i="6"/>
  <c r="H51" i="6"/>
  <c r="P52" i="6"/>
  <c r="J52" i="6"/>
  <c r="K52" i="6" s="1"/>
  <c r="CC53" i="6"/>
  <c r="BX53" i="6"/>
  <c r="B57" i="6"/>
  <c r="R57" i="6"/>
  <c r="E57" i="6"/>
  <c r="K57" i="6" s="1"/>
  <c r="CL42" i="6"/>
  <c r="E43" i="6"/>
  <c r="M43" i="6"/>
  <c r="T46" i="6"/>
  <c r="BX46" i="6"/>
  <c r="I47" i="6"/>
  <c r="BC47" i="6"/>
  <c r="AH50" i="6"/>
  <c r="AO51" i="6"/>
  <c r="BC52" i="6"/>
  <c r="CJ52" i="6"/>
  <c r="Y53" i="6"/>
  <c r="I57" i="6"/>
  <c r="BQ41" i="6"/>
  <c r="T42" i="6"/>
  <c r="BJ42" i="6"/>
  <c r="V43" i="6"/>
  <c r="T44" i="6"/>
  <c r="BX44" i="6"/>
  <c r="E45" i="6"/>
  <c r="K45" i="6" s="1"/>
  <c r="AA45" i="6"/>
  <c r="CE45" i="6"/>
  <c r="BC46" i="6"/>
  <c r="BQ47" i="6"/>
  <c r="CC48" i="6"/>
  <c r="CL48" i="6"/>
  <c r="R49" i="6"/>
  <c r="B49" i="6"/>
  <c r="AT49" i="6"/>
  <c r="BC49" i="6"/>
  <c r="BQ49" i="6"/>
  <c r="M50" i="6"/>
  <c r="BJ50" i="6"/>
  <c r="T51" i="6"/>
  <c r="Y51" i="6"/>
  <c r="BO51" i="6"/>
  <c r="CE52" i="6"/>
  <c r="T53" i="6"/>
  <c r="AH53" i="6"/>
  <c r="AM53" i="6"/>
  <c r="AV53" i="6"/>
  <c r="BA53" i="6"/>
  <c r="AF54" i="6"/>
  <c r="E54" i="6"/>
  <c r="K54" i="6" s="1"/>
  <c r="AA54" i="6"/>
  <c r="BE54" i="6"/>
  <c r="H54" i="6" s="1"/>
  <c r="I54" i="6"/>
  <c r="AC56" i="6"/>
  <c r="H56" i="6" s="1"/>
  <c r="E42" i="6"/>
  <c r="Y43" i="6"/>
  <c r="AO43" i="6"/>
  <c r="BJ43" i="6"/>
  <c r="CE43" i="6"/>
  <c r="B44" i="6"/>
  <c r="B46" i="6"/>
  <c r="Y46" i="6"/>
  <c r="AH46" i="6"/>
  <c r="BQ46" i="6"/>
  <c r="CC46" i="6"/>
  <c r="CL46" i="6"/>
  <c r="AH47" i="6"/>
  <c r="BH47" i="6"/>
  <c r="CE47" i="6"/>
  <c r="B48" i="6"/>
  <c r="M48" i="6"/>
  <c r="BC48" i="6"/>
  <c r="CE49" i="6"/>
  <c r="I51" i="6"/>
  <c r="AT51" i="6"/>
  <c r="AM52" i="6"/>
  <c r="AH52" i="6"/>
  <c r="R53" i="6"/>
  <c r="B53" i="6"/>
  <c r="E53" i="6"/>
  <c r="K53" i="6" s="1"/>
  <c r="CJ58" i="6"/>
  <c r="CI59" i="6"/>
  <c r="BV57" i="6"/>
  <c r="BQ57" i="6"/>
  <c r="AC39" i="6"/>
  <c r="O40" i="6"/>
  <c r="H40" i="6" s="1"/>
  <c r="O42" i="6"/>
  <c r="R43" i="6"/>
  <c r="CJ43" i="6"/>
  <c r="BQ44" i="6"/>
  <c r="BX45" i="6"/>
  <c r="B47" i="6"/>
  <c r="R47" i="6"/>
  <c r="CJ47" i="6"/>
  <c r="O48" i="6"/>
  <c r="CE48" i="6"/>
  <c r="AV49" i="6"/>
  <c r="BQ51" i="6"/>
  <c r="R52" i="6"/>
  <c r="AK52" i="6"/>
  <c r="AJ52" i="6"/>
  <c r="BH55" i="6"/>
  <c r="BG58" i="6"/>
  <c r="CP59" i="6"/>
  <c r="CQ58" i="6"/>
  <c r="E32" i="6"/>
  <c r="B43" i="6"/>
  <c r="BC43" i="6"/>
  <c r="E44" i="6"/>
  <c r="K44" i="6" s="1"/>
  <c r="AM44" i="6"/>
  <c r="CQ44" i="6"/>
  <c r="AT45" i="6"/>
  <c r="M47" i="6"/>
  <c r="BX47" i="6"/>
  <c r="E48" i="6"/>
  <c r="K48" i="6" s="1"/>
  <c r="AA48" i="6"/>
  <c r="AV48" i="6"/>
  <c r="E49" i="6"/>
  <c r="BX49" i="6"/>
  <c r="G50" i="6"/>
  <c r="AD50" i="6"/>
  <c r="I50" i="6" s="1"/>
  <c r="BC50" i="6"/>
  <c r="BO50" i="6"/>
  <c r="M51" i="6"/>
  <c r="E51" i="6"/>
  <c r="K51" i="6" s="1"/>
  <c r="M52" i="6"/>
  <c r="D52" i="6"/>
  <c r="CC52" i="6"/>
  <c r="BH54" i="6"/>
  <c r="AO56" i="6"/>
  <c r="AT57" i="6"/>
  <c r="BC53" i="6"/>
  <c r="BA55" i="6"/>
  <c r="CQ55" i="6"/>
  <c r="AV57" i="6"/>
  <c r="B56" i="6"/>
  <c r="O57" i="6"/>
  <c r="H57" i="6" s="1"/>
  <c r="BQ53" i="6"/>
  <c r="BN58" i="6"/>
  <c r="CL50" i="6"/>
  <c r="BC54" i="6"/>
  <c r="BX54" i="6"/>
  <c r="CJ55" i="6"/>
  <c r="CC56" i="6"/>
  <c r="AO57" i="6"/>
  <c r="BJ57" i="6"/>
  <c r="AH49" i="6"/>
  <c r="T50" i="6"/>
  <c r="BQ50" i="6"/>
  <c r="AA52" i="6"/>
  <c r="I53" i="6"/>
  <c r="CQ53" i="6"/>
  <c r="AT54" i="6"/>
  <c r="CL54" i="6"/>
  <c r="E56" i="6"/>
  <c r="K56" i="6" s="1"/>
  <c r="R56" i="6"/>
  <c r="G56" i="6"/>
  <c r="AF57" i="6"/>
  <c r="BX57" i="6"/>
  <c r="CJ57" i="6"/>
  <c r="E50" i="6"/>
  <c r="K50" i="6" s="1"/>
  <c r="AV50" i="6"/>
  <c r="AV52" i="6"/>
  <c r="CL52" i="6"/>
  <c r="B54" i="6"/>
  <c r="AV56" i="6"/>
  <c r="CE56" i="6"/>
  <c r="AF87" i="6"/>
  <c r="AE49" i="6" s="1"/>
  <c r="J49" i="6" s="1"/>
  <c r="Z55" i="5"/>
  <c r="AA4" i="5"/>
  <c r="BI55" i="5"/>
  <c r="BJ4" i="5"/>
  <c r="BO4" i="5"/>
  <c r="G5" i="5"/>
  <c r="D5" i="5"/>
  <c r="G12" i="5"/>
  <c r="O4" i="5"/>
  <c r="AY55" i="5"/>
  <c r="AY58" i="5" s="1"/>
  <c r="AX4" i="5"/>
  <c r="AX55" i="5" s="1"/>
  <c r="AX58" i="5" s="1"/>
  <c r="R4" i="5"/>
  <c r="G9" i="5"/>
  <c r="M9" i="5"/>
  <c r="D9" i="5"/>
  <c r="D11" i="5"/>
  <c r="AN55" i="5"/>
  <c r="AP55" i="5" s="1"/>
  <c r="AT4" i="5"/>
  <c r="G6" i="5"/>
  <c r="AH8" i="5"/>
  <c r="G8" i="5"/>
  <c r="D8" i="5"/>
  <c r="I9" i="5"/>
  <c r="X55" i="5"/>
  <c r="W4" i="5"/>
  <c r="K15" i="5"/>
  <c r="D15" i="5"/>
  <c r="Y4" i="5"/>
  <c r="AL4" i="5"/>
  <c r="J4" i="5" s="1"/>
  <c r="AU55" i="5"/>
  <c r="AU58" i="5" s="1"/>
  <c r="BM55" i="5"/>
  <c r="BM58" i="5" s="1"/>
  <c r="BW55" i="5"/>
  <c r="CO55" i="5"/>
  <c r="CO58" i="5" s="1"/>
  <c r="P5" i="5"/>
  <c r="I5" i="5" s="1"/>
  <c r="B6" i="5"/>
  <c r="J6" i="5"/>
  <c r="K6" i="5" s="1"/>
  <c r="AK6" i="5"/>
  <c r="AJ6" i="5" s="1"/>
  <c r="H6" i="5" s="1"/>
  <c r="AT6" i="5"/>
  <c r="BV6" i="5"/>
  <c r="O7" i="5"/>
  <c r="BH7" i="5"/>
  <c r="CJ7" i="5"/>
  <c r="AM8" i="5"/>
  <c r="BO8" i="5"/>
  <c r="CQ8" i="5"/>
  <c r="G11" i="5"/>
  <c r="W13" i="5"/>
  <c r="V13" i="5" s="1"/>
  <c r="AF13" i="5"/>
  <c r="D13" i="5"/>
  <c r="CL13" i="5"/>
  <c r="B15" i="5"/>
  <c r="T15" i="5"/>
  <c r="AC15" i="5"/>
  <c r="R16" i="5"/>
  <c r="B16" i="5"/>
  <c r="AD16" i="5"/>
  <c r="AC16" i="5" s="1"/>
  <c r="B17" i="5"/>
  <c r="M17" i="5"/>
  <c r="BX17" i="5"/>
  <c r="BQ19" i="5"/>
  <c r="V21" i="5"/>
  <c r="H21" i="5" s="1"/>
  <c r="E22" i="5"/>
  <c r="H23" i="5"/>
  <c r="CL23" i="5"/>
  <c r="J25" i="5"/>
  <c r="R27" i="5"/>
  <c r="H35" i="5"/>
  <c r="BE4" i="5"/>
  <c r="BE55" i="5" s="1"/>
  <c r="BE58" i="5" s="1"/>
  <c r="CG55" i="5"/>
  <c r="CG58" i="5" s="1"/>
  <c r="CQ4" i="5"/>
  <c r="Y5" i="5"/>
  <c r="BH5" i="5"/>
  <c r="CJ5" i="5"/>
  <c r="Y7" i="5"/>
  <c r="B9" i="5"/>
  <c r="J9" i="5"/>
  <c r="K9" i="5" s="1"/>
  <c r="R9" i="5"/>
  <c r="BA9" i="5"/>
  <c r="CC9" i="5"/>
  <c r="E10" i="5"/>
  <c r="K10" i="5" s="1"/>
  <c r="AM10" i="5"/>
  <c r="BH10" i="5"/>
  <c r="BV11" i="5"/>
  <c r="R12" i="5"/>
  <c r="BO12" i="5"/>
  <c r="CC13" i="5"/>
  <c r="AD14" i="5"/>
  <c r="I14" i="5" s="1"/>
  <c r="BV14" i="5"/>
  <c r="CQ15" i="5"/>
  <c r="D17" i="5"/>
  <c r="H18" i="5"/>
  <c r="G19" i="5"/>
  <c r="B21" i="5"/>
  <c r="R21" i="5"/>
  <c r="P22" i="5"/>
  <c r="I22" i="5" s="1"/>
  <c r="M24" i="5"/>
  <c r="E24" i="5"/>
  <c r="BX24" i="5"/>
  <c r="CL25" i="5"/>
  <c r="CQ25" i="5"/>
  <c r="W26" i="5"/>
  <c r="V26" i="5" s="1"/>
  <c r="J26" i="5"/>
  <c r="Y27" i="5"/>
  <c r="T27" i="5"/>
  <c r="M29" i="5"/>
  <c r="B5" i="5"/>
  <c r="J5" i="5"/>
  <c r="R5" i="5"/>
  <c r="AH5" i="5"/>
  <c r="D6" i="5"/>
  <c r="AM6" i="5"/>
  <c r="AV6" i="5"/>
  <c r="BX6" i="5"/>
  <c r="CL7" i="5"/>
  <c r="E8" i="5"/>
  <c r="K8" i="5" s="1"/>
  <c r="M8" i="5"/>
  <c r="V8" i="5"/>
  <c r="H8" i="5" s="1"/>
  <c r="AO8" i="5"/>
  <c r="BQ8" i="5"/>
  <c r="AA9" i="5"/>
  <c r="AJ9" i="5"/>
  <c r="BJ10" i="5"/>
  <c r="CE10" i="5"/>
  <c r="BC11" i="5"/>
  <c r="J12" i="5"/>
  <c r="AC12" i="5"/>
  <c r="AK12" i="5"/>
  <c r="I12" i="5" s="1"/>
  <c r="BQ12" i="5"/>
  <c r="O13" i="5"/>
  <c r="Y13" i="5"/>
  <c r="AH13" i="5"/>
  <c r="BJ13" i="5"/>
  <c r="T14" i="5"/>
  <c r="AF14" i="5"/>
  <c r="BX14" i="5"/>
  <c r="AO15" i="5"/>
  <c r="W16" i="5"/>
  <c r="AF16" i="5"/>
  <c r="BC16" i="5"/>
  <c r="O17" i="5"/>
  <c r="BC17" i="5"/>
  <c r="CL17" i="5"/>
  <c r="I18" i="5"/>
  <c r="B19" i="5"/>
  <c r="M19" i="5"/>
  <c r="AJ19" i="5"/>
  <c r="O20" i="5"/>
  <c r="H20" i="5" s="1"/>
  <c r="M21" i="5"/>
  <c r="B22" i="5"/>
  <c r="R22" i="5"/>
  <c r="BQ23" i="5"/>
  <c r="P24" i="5"/>
  <c r="I24" i="5" s="1"/>
  <c r="AV25" i="5"/>
  <c r="AJ26" i="5"/>
  <c r="CE26" i="5"/>
  <c r="CJ26" i="5"/>
  <c r="H29" i="5"/>
  <c r="BQ4" i="5"/>
  <c r="BZ4" i="5"/>
  <c r="BZ55" i="5" s="1"/>
  <c r="BZ58" i="5" s="1"/>
  <c r="BJ7" i="5"/>
  <c r="O10" i="5"/>
  <c r="W10" i="5"/>
  <c r="I10" i="5" s="1"/>
  <c r="J11" i="5"/>
  <c r="T11" i="5"/>
  <c r="AC11" i="5"/>
  <c r="CL12" i="5"/>
  <c r="AH16" i="5"/>
  <c r="H19" i="5"/>
  <c r="BC20" i="5"/>
  <c r="BH20" i="5"/>
  <c r="BH24" i="5"/>
  <c r="AT26" i="5"/>
  <c r="T5" i="5"/>
  <c r="AO6" i="5"/>
  <c r="BQ6" i="5"/>
  <c r="AA13" i="5"/>
  <c r="B14" i="5"/>
  <c r="E14" i="5"/>
  <c r="K14" i="5" s="1"/>
  <c r="V14" i="5"/>
  <c r="BC14" i="5"/>
  <c r="I15" i="5"/>
  <c r="BC15" i="5"/>
  <c r="BX15" i="5"/>
  <c r="CE20" i="5"/>
  <c r="CJ20" i="5"/>
  <c r="BJ21" i="5"/>
  <c r="T22" i="5"/>
  <c r="BC24" i="5"/>
  <c r="V25" i="5"/>
  <c r="BA25" i="5"/>
  <c r="AO26" i="5"/>
  <c r="E27" i="5"/>
  <c r="K27" i="5" s="1"/>
  <c r="M27" i="5"/>
  <c r="BC27" i="5"/>
  <c r="BH27" i="5"/>
  <c r="S55" i="5"/>
  <c r="AQ55" i="5"/>
  <c r="AQ58" i="5" s="1"/>
  <c r="BA4" i="5"/>
  <c r="BS55" i="5"/>
  <c r="BS58" i="5" s="1"/>
  <c r="CC4" i="5"/>
  <c r="E5" i="5"/>
  <c r="M5" i="5"/>
  <c r="BC5" i="5"/>
  <c r="CE5" i="5"/>
  <c r="AH6" i="5"/>
  <c r="T7" i="5"/>
  <c r="V9" i="5"/>
  <c r="AV9" i="5"/>
  <c r="BX9" i="5"/>
  <c r="Y10" i="5"/>
  <c r="AH10" i="5"/>
  <c r="BC10" i="5"/>
  <c r="M11" i="5"/>
  <c r="E11" i="5"/>
  <c r="K11" i="5" s="1"/>
  <c r="BH11" i="5"/>
  <c r="BQ11" i="5"/>
  <c r="M12" i="5"/>
  <c r="AO12" i="5"/>
  <c r="BJ12" i="5"/>
  <c r="T13" i="5"/>
  <c r="AC13" i="5"/>
  <c r="AJ13" i="5"/>
  <c r="BO13" i="5"/>
  <c r="BX13" i="5"/>
  <c r="O14" i="5"/>
  <c r="Y14" i="5"/>
  <c r="AH14" i="5"/>
  <c r="BQ14" i="5"/>
  <c r="CL14" i="5"/>
  <c r="AF15" i="5"/>
  <c r="CL15" i="5"/>
  <c r="J16" i="5"/>
  <c r="K16" i="5" s="1"/>
  <c r="AA16" i="5"/>
  <c r="BQ16" i="5"/>
  <c r="BO18" i="5"/>
  <c r="E19" i="5"/>
  <c r="K19" i="5" s="1"/>
  <c r="AO19" i="5"/>
  <c r="BX19" i="5"/>
  <c r="G20" i="5"/>
  <c r="I21" i="5"/>
  <c r="BC22" i="5"/>
  <c r="R23" i="5"/>
  <c r="B23" i="5"/>
  <c r="T24" i="5"/>
  <c r="M25" i="5"/>
  <c r="BC25" i="5"/>
  <c r="BH25" i="5"/>
  <c r="BV25" i="5"/>
  <c r="BQ25" i="5"/>
  <c r="Y26" i="5"/>
  <c r="AO27" i="5"/>
  <c r="AT27" i="5"/>
  <c r="M28" i="5"/>
  <c r="V28" i="5"/>
  <c r="J28" i="5"/>
  <c r="L55" i="5"/>
  <c r="AR55" i="5"/>
  <c r="AR58" i="5" s="1"/>
  <c r="BB55" i="5"/>
  <c r="BT55" i="5"/>
  <c r="BT58" i="5" s="1"/>
  <c r="CD55" i="5"/>
  <c r="CJ55" i="5" s="1"/>
  <c r="V5" i="5"/>
  <c r="BJ6" i="5"/>
  <c r="CL6" i="5"/>
  <c r="M7" i="5"/>
  <c r="V7" i="5"/>
  <c r="R8" i="5"/>
  <c r="O9" i="5"/>
  <c r="H9" i="5" s="1"/>
  <c r="B10" i="5"/>
  <c r="AA10" i="5"/>
  <c r="AJ10" i="5"/>
  <c r="BO10" i="5"/>
  <c r="V11" i="5"/>
  <c r="H11" i="5" s="1"/>
  <c r="E12" i="5"/>
  <c r="BV12" i="5"/>
  <c r="J13" i="5"/>
  <c r="K13" i="5" s="1"/>
  <c r="AV14" i="5"/>
  <c r="BH14" i="5"/>
  <c r="AJ15" i="5"/>
  <c r="H15" i="5" s="1"/>
  <c r="BQ15" i="5"/>
  <c r="CC15" i="5"/>
  <c r="J17" i="5"/>
  <c r="B18" i="5"/>
  <c r="E21" i="5"/>
  <c r="K21" i="5" s="1"/>
  <c r="AO21" i="5"/>
  <c r="BO21" i="5"/>
  <c r="J22" i="5"/>
  <c r="Y22" i="5"/>
  <c r="AM23" i="5"/>
  <c r="BJ23" i="5"/>
  <c r="AA25" i="5"/>
  <c r="B25" i="5"/>
  <c r="AF25" i="5"/>
  <c r="E25" i="5"/>
  <c r="E26" i="5"/>
  <c r="AT29" i="5"/>
  <c r="AO29" i="5"/>
  <c r="B29" i="5"/>
  <c r="E4" i="5"/>
  <c r="M4" i="5"/>
  <c r="AC4" i="5"/>
  <c r="BC4" i="5"/>
  <c r="BL4" i="5"/>
  <c r="BL55" i="5" s="1"/>
  <c r="BL58" i="5" s="1"/>
  <c r="BV4" i="5"/>
  <c r="CE4" i="5"/>
  <c r="CN4" i="5"/>
  <c r="CN55" i="5" s="1"/>
  <c r="CN58" i="5" s="1"/>
  <c r="CL10" i="5"/>
  <c r="O12" i="5"/>
  <c r="B13" i="5"/>
  <c r="AM16" i="5"/>
  <c r="BJ16" i="5"/>
  <c r="BV16" i="5"/>
  <c r="W17" i="5"/>
  <c r="I17" i="5" s="1"/>
  <c r="CL21" i="5"/>
  <c r="CE22" i="5"/>
  <c r="J24" i="5"/>
  <c r="Y24" i="5"/>
  <c r="P25" i="5"/>
  <c r="I25" i="5" s="1"/>
  <c r="AV26" i="5"/>
  <c r="BA26" i="5"/>
  <c r="BO26" i="5"/>
  <c r="BJ26" i="5"/>
  <c r="CC27" i="5"/>
  <c r="BX27" i="5"/>
  <c r="H28" i="5"/>
  <c r="BC28" i="5"/>
  <c r="BH28" i="5"/>
  <c r="AK27" i="5"/>
  <c r="AJ27" i="5" s="1"/>
  <c r="H27" i="5" s="1"/>
  <c r="G29" i="5"/>
  <c r="CE31" i="5"/>
  <c r="CJ31" i="5"/>
  <c r="M32" i="5"/>
  <c r="AF32" i="5"/>
  <c r="AA32" i="5"/>
  <c r="BH32" i="5"/>
  <c r="E34" i="5"/>
  <c r="K34" i="5" s="1"/>
  <c r="CL34" i="5"/>
  <c r="CQ34" i="5"/>
  <c r="J36" i="5"/>
  <c r="K36" i="5" s="1"/>
  <c r="R36" i="5"/>
  <c r="Q37" i="5"/>
  <c r="AD36" i="5"/>
  <c r="AC36" i="5" s="1"/>
  <c r="B37" i="5"/>
  <c r="G37" i="5"/>
  <c r="Y37" i="5"/>
  <c r="AH37" i="5"/>
  <c r="AM37" i="5"/>
  <c r="CQ38" i="5"/>
  <c r="CL38" i="5"/>
  <c r="T28" i="5"/>
  <c r="CE28" i="5"/>
  <c r="O31" i="5"/>
  <c r="O32" i="5"/>
  <c r="P33" i="5"/>
  <c r="I33" i="5" s="1"/>
  <c r="BQ35" i="5"/>
  <c r="BV35" i="5"/>
  <c r="CJ35" i="5"/>
  <c r="CE35" i="5"/>
  <c r="BX40" i="5"/>
  <c r="CC40" i="5"/>
  <c r="BC41" i="5"/>
  <c r="CE41" i="5"/>
  <c r="CJ41" i="5"/>
  <c r="I29" i="5"/>
  <c r="BJ29" i="5"/>
  <c r="AA31" i="5"/>
  <c r="AD32" i="5"/>
  <c r="I32" i="5" s="1"/>
  <c r="AA35" i="5"/>
  <c r="AH36" i="5"/>
  <c r="AM36" i="5"/>
  <c r="O38" i="5"/>
  <c r="J38" i="5"/>
  <c r="K38" i="5" s="1"/>
  <c r="H39" i="5"/>
  <c r="AV40" i="5"/>
  <c r="O41" i="5"/>
  <c r="H41" i="5" s="1"/>
  <c r="R42" i="5"/>
  <c r="E42" i="5"/>
  <c r="K42" i="5" s="1"/>
  <c r="T33" i="5"/>
  <c r="BO36" i="5"/>
  <c r="CC36" i="5"/>
  <c r="BX36" i="5"/>
  <c r="BH41" i="5"/>
  <c r="M42" i="5"/>
  <c r="BC43" i="5"/>
  <c r="BH43" i="5"/>
  <c r="CL29" i="5"/>
  <c r="T32" i="5"/>
  <c r="B32" i="5"/>
  <c r="B34" i="5"/>
  <c r="BJ36" i="5"/>
  <c r="BA40" i="5"/>
  <c r="AM41" i="5"/>
  <c r="AM26" i="5"/>
  <c r="Y28" i="5"/>
  <c r="E29" i="5"/>
  <c r="K29" i="5" s="1"/>
  <c r="CC30" i="5"/>
  <c r="BC31" i="5"/>
  <c r="BH31" i="5"/>
  <c r="D32" i="5"/>
  <c r="BC32" i="5"/>
  <c r="Y33" i="5"/>
  <c r="CL33" i="5"/>
  <c r="AA34" i="5"/>
  <c r="CE34" i="5"/>
  <c r="CL35" i="5"/>
  <c r="M36" i="5"/>
  <c r="W38" i="5"/>
  <c r="I38" i="5" s="1"/>
  <c r="V38" i="5"/>
  <c r="K39" i="5"/>
  <c r="Y39" i="5"/>
  <c r="T39" i="5"/>
  <c r="BH40" i="5"/>
  <c r="BC40" i="5"/>
  <c r="D41" i="5"/>
  <c r="AH41" i="5"/>
  <c r="AV20" i="5"/>
  <c r="BX20" i="5"/>
  <c r="V22" i="5"/>
  <c r="V24" i="5"/>
  <c r="AV24" i="5"/>
  <c r="T25" i="5"/>
  <c r="O26" i="5"/>
  <c r="AH26" i="5"/>
  <c r="F26" i="5" s="1"/>
  <c r="AH27" i="5"/>
  <c r="CQ29" i="5"/>
  <c r="M30" i="5"/>
  <c r="E30" i="5"/>
  <c r="K30" i="5" s="1"/>
  <c r="B31" i="5"/>
  <c r="J32" i="5"/>
  <c r="K32" i="5" s="1"/>
  <c r="CL32" i="5"/>
  <c r="AF33" i="5"/>
  <c r="BJ35" i="5"/>
  <c r="AK37" i="5"/>
  <c r="AJ37" i="5" s="1"/>
  <c r="AE37" i="5"/>
  <c r="CC39" i="5"/>
  <c r="BX39" i="5"/>
  <c r="H40" i="5"/>
  <c r="AA40" i="5"/>
  <c r="AM43" i="5"/>
  <c r="AH43" i="5"/>
  <c r="E17" i="5"/>
  <c r="E20" i="5"/>
  <c r="K20" i="5" s="1"/>
  <c r="G25" i="5"/>
  <c r="CE25" i="5"/>
  <c r="G26" i="5"/>
  <c r="AA28" i="5"/>
  <c r="BQ28" i="5"/>
  <c r="CL28" i="5"/>
  <c r="T29" i="5"/>
  <c r="BQ29" i="5"/>
  <c r="B30" i="5"/>
  <c r="AA30" i="5"/>
  <c r="AV30" i="5"/>
  <c r="CE30" i="5"/>
  <c r="M31" i="5"/>
  <c r="W31" i="5"/>
  <c r="V31" i="5" s="1"/>
  <c r="AH31" i="5"/>
  <c r="Y32" i="5"/>
  <c r="M33" i="5"/>
  <c r="AA33" i="5"/>
  <c r="AT33" i="5"/>
  <c r="AO33" i="5"/>
  <c r="BQ33" i="5"/>
  <c r="O34" i="5"/>
  <c r="H34" i="5" s="1"/>
  <c r="I34" i="5"/>
  <c r="BQ34" i="5"/>
  <c r="CJ34" i="5"/>
  <c r="AV35" i="5"/>
  <c r="P36" i="5"/>
  <c r="I36" i="5" s="1"/>
  <c r="BC36" i="5"/>
  <c r="BH36" i="5"/>
  <c r="R38" i="5"/>
  <c r="AH38" i="5"/>
  <c r="AA39" i="5"/>
  <c r="AO39" i="5"/>
  <c r="AT39" i="5"/>
  <c r="I40" i="5"/>
  <c r="CQ40" i="5"/>
  <c r="CL40" i="5"/>
  <c r="B42" i="5"/>
  <c r="BJ42" i="5"/>
  <c r="BO42" i="5"/>
  <c r="BC33" i="5"/>
  <c r="AH34" i="5"/>
  <c r="M35" i="5"/>
  <c r="E35" i="5"/>
  <c r="K35" i="5" s="1"/>
  <c r="CE37" i="5"/>
  <c r="CQ37" i="5"/>
  <c r="J40" i="5"/>
  <c r="P43" i="5"/>
  <c r="I43" i="5" s="1"/>
  <c r="I44" i="5"/>
  <c r="BX49" i="5"/>
  <c r="CC49" i="5"/>
  <c r="W50" i="5"/>
  <c r="I50" i="5" s="1"/>
  <c r="BH57" i="5"/>
  <c r="BC57" i="5"/>
  <c r="H45" i="5"/>
  <c r="CL46" i="5"/>
  <c r="CE48" i="5"/>
  <c r="O49" i="5"/>
  <c r="O53" i="5"/>
  <c r="I53" i="5"/>
  <c r="AZ58" i="5"/>
  <c r="AH42" i="5"/>
  <c r="AH45" i="5"/>
  <c r="AM45" i="5"/>
  <c r="T49" i="5"/>
  <c r="Y49" i="5"/>
  <c r="E49" i="5"/>
  <c r="Y50" i="5"/>
  <c r="CJ53" i="5"/>
  <c r="CE53" i="5"/>
  <c r="AF57" i="5"/>
  <c r="CL43" i="5"/>
  <c r="AH44" i="5"/>
  <c r="BX45" i="5"/>
  <c r="V46" i="5"/>
  <c r="H46" i="5" s="1"/>
  <c r="I46" i="5"/>
  <c r="BX46" i="5"/>
  <c r="CQ46" i="5"/>
  <c r="H47" i="5"/>
  <c r="CL47" i="5"/>
  <c r="CQ47" i="5"/>
  <c r="BX50" i="5"/>
  <c r="AA57" i="5"/>
  <c r="R44" i="5"/>
  <c r="B44" i="5"/>
  <c r="E46" i="5"/>
  <c r="K46" i="5" s="1"/>
  <c r="R46" i="5"/>
  <c r="BC47" i="5"/>
  <c r="BH47" i="5"/>
  <c r="CJ48" i="5"/>
  <c r="AO49" i="5"/>
  <c r="AT49" i="5"/>
  <c r="AA51" i="5"/>
  <c r="AF51" i="5"/>
  <c r="M54" i="5"/>
  <c r="AF54" i="5"/>
  <c r="E54" i="5"/>
  <c r="K54" i="5" s="1"/>
  <c r="BV58" i="5"/>
  <c r="BJ34" i="5"/>
  <c r="AV38" i="5"/>
  <c r="Y43" i="5"/>
  <c r="AM44" i="5"/>
  <c r="BJ44" i="5"/>
  <c r="M46" i="5"/>
  <c r="BC46" i="5"/>
  <c r="AF48" i="5"/>
  <c r="AA48" i="5"/>
  <c r="BH49" i="5"/>
  <c r="BC49" i="5"/>
  <c r="J51" i="5"/>
  <c r="K51" i="5" s="1"/>
  <c r="O51" i="5"/>
  <c r="BX52" i="5"/>
  <c r="H54" i="5"/>
  <c r="V30" i="5"/>
  <c r="H30" i="5" s="1"/>
  <c r="BJ33" i="5"/>
  <c r="CE33" i="5"/>
  <c r="AO34" i="5"/>
  <c r="T35" i="5"/>
  <c r="BQ37" i="5"/>
  <c r="CL37" i="5"/>
  <c r="R39" i="5"/>
  <c r="B39" i="5"/>
  <c r="B41" i="5"/>
  <c r="R41" i="5"/>
  <c r="H42" i="5"/>
  <c r="CL42" i="5"/>
  <c r="CE43" i="5"/>
  <c r="I45" i="5"/>
  <c r="E47" i="5"/>
  <c r="K47" i="5" s="1"/>
  <c r="P48" i="5"/>
  <c r="J48" i="5"/>
  <c r="K48" i="5" s="1"/>
  <c r="R51" i="5"/>
  <c r="AD51" i="5"/>
  <c r="AC51" i="5" s="1"/>
  <c r="E28" i="5"/>
  <c r="BX32" i="5"/>
  <c r="R33" i="5"/>
  <c r="B33" i="5"/>
  <c r="D34" i="5"/>
  <c r="B35" i="5"/>
  <c r="B36" i="5"/>
  <c r="AV36" i="5"/>
  <c r="CL36" i="5"/>
  <c r="CE38" i="5"/>
  <c r="M39" i="5"/>
  <c r="G40" i="5"/>
  <c r="CE40" i="5"/>
  <c r="M41" i="5"/>
  <c r="BJ41" i="5"/>
  <c r="BX41" i="5"/>
  <c r="I42" i="5"/>
  <c r="AO42" i="5"/>
  <c r="M43" i="5"/>
  <c r="E43" i="5"/>
  <c r="K43" i="5" s="1"/>
  <c r="AA43" i="5"/>
  <c r="H44" i="5"/>
  <c r="AO44" i="5"/>
  <c r="BO44" i="5"/>
  <c r="CL44" i="5"/>
  <c r="R45" i="5"/>
  <c r="E45" i="5"/>
  <c r="K45" i="5" s="1"/>
  <c r="BC45" i="5"/>
  <c r="B46" i="5"/>
  <c r="I47" i="5"/>
  <c r="AH47" i="5"/>
  <c r="R48" i="5"/>
  <c r="CL48" i="5"/>
  <c r="BA52" i="5"/>
  <c r="AV52" i="5"/>
  <c r="BJ45" i="5"/>
  <c r="AO46" i="5"/>
  <c r="T47" i="5"/>
  <c r="BJ50" i="5"/>
  <c r="BO50" i="5"/>
  <c r="R52" i="5"/>
  <c r="B52" i="5"/>
  <c r="E52" i="5"/>
  <c r="K52" i="5" s="1"/>
  <c r="G53" i="5"/>
  <c r="CP59" i="5"/>
  <c r="CQ58" i="5"/>
  <c r="CQ50" i="5"/>
  <c r="M57" i="5"/>
  <c r="E57" i="5"/>
  <c r="K57" i="5" s="1"/>
  <c r="R57" i="5"/>
  <c r="B57" i="5"/>
  <c r="BQ46" i="5"/>
  <c r="G48" i="5"/>
  <c r="B48" i="5"/>
  <c r="AC48" i="5"/>
  <c r="B50" i="5"/>
  <c r="BQ50" i="5"/>
  <c r="CL50" i="5"/>
  <c r="BA53" i="5"/>
  <c r="CE54" i="5"/>
  <c r="CJ54" i="5"/>
  <c r="BO58" i="5"/>
  <c r="H57" i="5"/>
  <c r="BX38" i="5"/>
  <c r="AH39" i="5"/>
  <c r="BJ39" i="5"/>
  <c r="CL39" i="5"/>
  <c r="E40" i="5"/>
  <c r="M40" i="5"/>
  <c r="V43" i="5"/>
  <c r="AA45" i="5"/>
  <c r="BQ45" i="5"/>
  <c r="CL45" i="5"/>
  <c r="AV46" i="5"/>
  <c r="R50" i="5"/>
  <c r="J50" i="5"/>
  <c r="K50" i="5" s="1"/>
  <c r="M51" i="5"/>
  <c r="B51" i="5"/>
  <c r="AH51" i="5"/>
  <c r="AO51" i="5"/>
  <c r="BC51" i="5"/>
  <c r="BH51" i="5"/>
  <c r="AF53" i="5"/>
  <c r="B53" i="5"/>
  <c r="CL56" i="5"/>
  <c r="BX57" i="5"/>
  <c r="CC57" i="5"/>
  <c r="E37" i="5"/>
  <c r="AV45" i="5"/>
  <c r="AA46" i="5"/>
  <c r="BJ47" i="5"/>
  <c r="CE47" i="5"/>
  <c r="CJ47" i="5"/>
  <c r="BJ48" i="5"/>
  <c r="AH49" i="5"/>
  <c r="AV49" i="5"/>
  <c r="BQ49" i="5"/>
  <c r="AC50" i="5"/>
  <c r="V51" i="5"/>
  <c r="AA53" i="5"/>
  <c r="B54" i="5"/>
  <c r="BJ54" i="5"/>
  <c r="AT55" i="5"/>
  <c r="AV57" i="5"/>
  <c r="BA57" i="5"/>
  <c r="BV55" i="5"/>
  <c r="AH57" i="5"/>
  <c r="CE51" i="5"/>
  <c r="AO52" i="5"/>
  <c r="AT52" i="5"/>
  <c r="BQ52" i="5"/>
  <c r="BV52" i="5"/>
  <c r="I54" i="5"/>
  <c r="G56" i="5"/>
  <c r="BJ56" i="5"/>
  <c r="AF82" i="5"/>
  <c r="AE49" i="5" s="1"/>
  <c r="I52" i="5"/>
  <c r="BX53" i="5"/>
  <c r="BC54" i="5"/>
  <c r="CQ55" i="5"/>
  <c r="J56" i="5"/>
  <c r="AD56" i="5"/>
  <c r="AC56" i="5" s="1"/>
  <c r="H56" i="5" s="1"/>
  <c r="CC58" i="5"/>
  <c r="AM82" i="5"/>
  <c r="AL49" i="5" s="1"/>
  <c r="BX48" i="5"/>
  <c r="R49" i="5"/>
  <c r="B49" i="5"/>
  <c r="T50" i="5"/>
  <c r="AJ50" i="5"/>
  <c r="BJ51" i="5"/>
  <c r="CJ51" i="5"/>
  <c r="T53" i="5"/>
  <c r="BC53" i="5"/>
  <c r="AH54" i="5"/>
  <c r="CL54" i="5"/>
  <c r="BH58" i="5"/>
  <c r="E56" i="5"/>
  <c r="K56" i="5" s="1"/>
  <c r="I56" i="5"/>
  <c r="AF56" i="5"/>
  <c r="AO56" i="5"/>
  <c r="CE57" i="5"/>
  <c r="O52" i="5"/>
  <c r="H52" i="5" s="1"/>
  <c r="R54" i="5"/>
  <c r="R56" i="5"/>
  <c r="V57" i="5"/>
  <c r="BJ52" i="5"/>
  <c r="CL52" i="5"/>
  <c r="E53" i="5"/>
  <c r="K53" i="5" s="1"/>
  <c r="M53" i="5"/>
  <c r="V53" i="5"/>
  <c r="BJ5" i="4"/>
  <c r="R8" i="4"/>
  <c r="I8" i="4"/>
  <c r="G12" i="4"/>
  <c r="D12" i="4"/>
  <c r="H18" i="4"/>
  <c r="BW55" i="4"/>
  <c r="BW58" i="4" s="1"/>
  <c r="CC4" i="4"/>
  <c r="CG55" i="4"/>
  <c r="CG58" i="4" s="1"/>
  <c r="B5" i="4"/>
  <c r="AD5" i="4"/>
  <c r="I5" i="4" s="1"/>
  <c r="D5" i="4"/>
  <c r="BO5" i="4"/>
  <c r="AV6" i="4"/>
  <c r="CE6" i="4"/>
  <c r="M8" i="4"/>
  <c r="AO8" i="4"/>
  <c r="AT8" i="4"/>
  <c r="AA9" i="4"/>
  <c r="E10" i="4"/>
  <c r="K10" i="4" s="1"/>
  <c r="R10" i="4"/>
  <c r="B10" i="4"/>
  <c r="G11" i="4"/>
  <c r="AJ4" i="4"/>
  <c r="AM4" i="4"/>
  <c r="BX4" i="4"/>
  <c r="CH55" i="4"/>
  <c r="CH58" i="4" s="1"/>
  <c r="Q4" i="4"/>
  <c r="P4" i="4" s="1"/>
  <c r="CL5" i="4"/>
  <c r="AK6" i="4"/>
  <c r="AJ6" i="4" s="1"/>
  <c r="I7" i="4"/>
  <c r="AO7" i="4"/>
  <c r="BQ7" i="4"/>
  <c r="B8" i="4"/>
  <c r="H8" i="4"/>
  <c r="BQ8" i="4"/>
  <c r="BV8" i="4"/>
  <c r="M10" i="4"/>
  <c r="BL55" i="4"/>
  <c r="BL58" i="4" s="1"/>
  <c r="M6" i="4"/>
  <c r="E6" i="4"/>
  <c r="K6" i="4" s="1"/>
  <c r="BA6" i="4"/>
  <c r="B9" i="4"/>
  <c r="O9" i="4"/>
  <c r="AF9" i="4"/>
  <c r="AN55" i="4"/>
  <c r="AO4" i="4"/>
  <c r="BM55" i="4"/>
  <c r="BM58" i="4" s="1"/>
  <c r="AH5" i="4"/>
  <c r="P6" i="4"/>
  <c r="I6" i="4" s="1"/>
  <c r="BX6" i="4"/>
  <c r="G7" i="4"/>
  <c r="AM7" i="4"/>
  <c r="R9" i="4"/>
  <c r="CL9" i="4"/>
  <c r="CQ9" i="4"/>
  <c r="G4" i="4"/>
  <c r="T4" i="4"/>
  <c r="AE4" i="4"/>
  <c r="AD4" i="4" s="1"/>
  <c r="AT4" i="4"/>
  <c r="J5" i="4"/>
  <c r="B6" i="4"/>
  <c r="R6" i="4"/>
  <c r="BC6" i="4"/>
  <c r="AH7" i="4"/>
  <c r="BJ7" i="4"/>
  <c r="BO7" i="4"/>
  <c r="E8" i="4"/>
  <c r="K8" i="4" s="1"/>
  <c r="T9" i="4"/>
  <c r="H17" i="4"/>
  <c r="H29" i="4"/>
  <c r="G5" i="4"/>
  <c r="V4" i="4"/>
  <c r="AU55" i="4"/>
  <c r="BA4" i="4"/>
  <c r="BE4" i="4"/>
  <c r="BE55" i="4" s="1"/>
  <c r="BE58" i="4" s="1"/>
  <c r="BP55" i="4"/>
  <c r="BV58" i="4" s="1"/>
  <c r="BQ4" i="4"/>
  <c r="CN4" i="4"/>
  <c r="CN55" i="4" s="1"/>
  <c r="CN58" i="4" s="1"/>
  <c r="V5" i="4"/>
  <c r="AM5" i="4"/>
  <c r="T6" i="4"/>
  <c r="Y6" i="4"/>
  <c r="CC6" i="4"/>
  <c r="CL7" i="4"/>
  <c r="CQ7" i="4"/>
  <c r="T8" i="4"/>
  <c r="AV8" i="4"/>
  <c r="W9" i="4"/>
  <c r="I9" i="4" s="1"/>
  <c r="AH9" i="4"/>
  <c r="BJ9" i="4"/>
  <c r="BO9" i="4"/>
  <c r="G14" i="4"/>
  <c r="L55" i="4"/>
  <c r="AR55" i="4"/>
  <c r="AR58" i="4" s="1"/>
  <c r="BB55" i="4"/>
  <c r="BB58" i="4" s="1"/>
  <c r="BT55" i="4"/>
  <c r="BT58" i="4" s="1"/>
  <c r="CD55" i="4"/>
  <c r="BH10" i="4"/>
  <c r="CJ10" i="4"/>
  <c r="P12" i="4"/>
  <c r="I12" i="4" s="1"/>
  <c r="Y12" i="4"/>
  <c r="BH12" i="4"/>
  <c r="CJ12" i="4"/>
  <c r="AF14" i="4"/>
  <c r="BV14" i="4"/>
  <c r="B15" i="4"/>
  <c r="BO15" i="4"/>
  <c r="E16" i="4"/>
  <c r="K16" i="4" s="1"/>
  <c r="BJ16" i="4"/>
  <c r="R17" i="4"/>
  <c r="BO17" i="4"/>
  <c r="CE18" i="4"/>
  <c r="BJ19" i="4"/>
  <c r="W20" i="4"/>
  <c r="I20" i="4" s="1"/>
  <c r="BV20" i="4"/>
  <c r="AF22" i="4"/>
  <c r="R23" i="4"/>
  <c r="I23" i="4"/>
  <c r="AV24" i="4"/>
  <c r="G26" i="4"/>
  <c r="B26" i="4"/>
  <c r="P31" i="4"/>
  <c r="I31" i="4" s="1"/>
  <c r="O31" i="4"/>
  <c r="H31" i="4" s="1"/>
  <c r="J31" i="4"/>
  <c r="K31" i="4" s="1"/>
  <c r="CE33" i="4"/>
  <c r="CJ33" i="4"/>
  <c r="D11" i="4"/>
  <c r="AM11" i="4"/>
  <c r="BO11" i="4"/>
  <c r="CQ11" i="4"/>
  <c r="D13" i="4"/>
  <c r="V13" i="4"/>
  <c r="H13" i="4" s="1"/>
  <c r="E14" i="4"/>
  <c r="K14" i="4" s="1"/>
  <c r="V14" i="4"/>
  <c r="AM17" i="4"/>
  <c r="CJ17" i="4"/>
  <c r="B18" i="4"/>
  <c r="CQ18" i="4"/>
  <c r="BV19" i="4"/>
  <c r="B20" i="4"/>
  <c r="M20" i="4"/>
  <c r="E20" i="4"/>
  <c r="AH21" i="4"/>
  <c r="BC22" i="4"/>
  <c r="AO23" i="4"/>
  <c r="AT23" i="4"/>
  <c r="G24" i="4"/>
  <c r="E25" i="4"/>
  <c r="K25" i="4" s="1"/>
  <c r="I25" i="4"/>
  <c r="AD26" i="4"/>
  <c r="AC26" i="4" s="1"/>
  <c r="AT26" i="4"/>
  <c r="CE27" i="4"/>
  <c r="CJ27" i="4"/>
  <c r="P28" i="4"/>
  <c r="I28" i="4" s="1"/>
  <c r="J28" i="4"/>
  <c r="K28" i="4" s="1"/>
  <c r="AM29" i="4"/>
  <c r="AO32" i="4"/>
  <c r="AT32" i="4"/>
  <c r="BH32" i="4"/>
  <c r="BC32" i="4"/>
  <c r="BV36" i="4"/>
  <c r="BQ36" i="4"/>
  <c r="BQ9" i="4"/>
  <c r="AA10" i="4"/>
  <c r="BJ10" i="4"/>
  <c r="CL10" i="4"/>
  <c r="E11" i="4"/>
  <c r="K11" i="4" s="1"/>
  <c r="M11" i="4"/>
  <c r="B12" i="4"/>
  <c r="J12" i="4"/>
  <c r="R12" i="4"/>
  <c r="AA12" i="4"/>
  <c r="BJ12" i="4"/>
  <c r="CL12" i="4"/>
  <c r="E13" i="4"/>
  <c r="K13" i="4" s="1"/>
  <c r="CL13" i="4"/>
  <c r="P14" i="4"/>
  <c r="I14" i="4" s="1"/>
  <c r="Y14" i="4"/>
  <c r="AH14" i="4"/>
  <c r="BC14" i="4"/>
  <c r="BX14" i="4"/>
  <c r="M15" i="4"/>
  <c r="AD15" i="4"/>
  <c r="AC15" i="4" s="1"/>
  <c r="H15" i="4" s="1"/>
  <c r="AV15" i="4"/>
  <c r="BQ15" i="4"/>
  <c r="P16" i="4"/>
  <c r="I16" i="4" s="1"/>
  <c r="T17" i="4"/>
  <c r="E18" i="4"/>
  <c r="K18" i="4" s="1"/>
  <c r="M18" i="4"/>
  <c r="O20" i="4"/>
  <c r="AH20" i="4"/>
  <c r="E21" i="4"/>
  <c r="K21" i="4" s="1"/>
  <c r="H21" i="4"/>
  <c r="CL21" i="4"/>
  <c r="V22" i="4"/>
  <c r="W22" i="4"/>
  <c r="I22" i="4" s="1"/>
  <c r="AH22" i="4"/>
  <c r="BQ22" i="4"/>
  <c r="B23" i="4"/>
  <c r="H23" i="4"/>
  <c r="BQ23" i="4"/>
  <c r="BV23" i="4"/>
  <c r="CE25" i="4"/>
  <c r="CJ25" i="4"/>
  <c r="AF26" i="4"/>
  <c r="AO26" i="4"/>
  <c r="BC26" i="4"/>
  <c r="R28" i="4"/>
  <c r="BQ28" i="4"/>
  <c r="Y29" i="4"/>
  <c r="B29" i="4"/>
  <c r="AH29" i="4"/>
  <c r="CL29" i="4"/>
  <c r="CQ29" i="4"/>
  <c r="B33" i="4"/>
  <c r="T33" i="4"/>
  <c r="AH33" i="4"/>
  <c r="E17" i="4"/>
  <c r="K17" i="4" s="1"/>
  <c r="G19" i="4"/>
  <c r="AH19" i="4"/>
  <c r="O24" i="4"/>
  <c r="H24" i="4" s="1"/>
  <c r="BX29" i="4"/>
  <c r="CC29" i="4"/>
  <c r="AC32" i="4"/>
  <c r="Y35" i="4"/>
  <c r="V37" i="4"/>
  <c r="W37" i="4"/>
  <c r="Y37" i="4"/>
  <c r="BC10" i="4"/>
  <c r="CE10" i="4"/>
  <c r="AH11" i="4"/>
  <c r="T12" i="4"/>
  <c r="BC12" i="4"/>
  <c r="CE12" i="4"/>
  <c r="AH13" i="4"/>
  <c r="F13" i="4" s="1"/>
  <c r="R14" i="4"/>
  <c r="AA14" i="4"/>
  <c r="BQ14" i="4"/>
  <c r="BJ15" i="4"/>
  <c r="R16" i="4"/>
  <c r="M17" i="4"/>
  <c r="BJ17" i="4"/>
  <c r="BQ20" i="4"/>
  <c r="E22" i="4"/>
  <c r="K22" i="4" s="1"/>
  <c r="R24" i="4"/>
  <c r="AH25" i="4"/>
  <c r="CJ26" i="4"/>
  <c r="AF30" i="4"/>
  <c r="R32" i="4"/>
  <c r="B32" i="4"/>
  <c r="AF32" i="4"/>
  <c r="CC32" i="4"/>
  <c r="M34" i="4"/>
  <c r="E34" i="4"/>
  <c r="K34" i="4" s="1"/>
  <c r="R34" i="4"/>
  <c r="AG55" i="4"/>
  <c r="AX55" i="4"/>
  <c r="AX58" i="4" s="1"/>
  <c r="BZ55" i="4"/>
  <c r="BZ58" i="4" s="1"/>
  <c r="BJ11" i="4"/>
  <c r="CL11" i="4"/>
  <c r="E12" i="4"/>
  <c r="M12" i="4"/>
  <c r="J13" i="4"/>
  <c r="CQ13" i="4"/>
  <c r="AV14" i="4"/>
  <c r="CC14" i="4"/>
  <c r="CL14" i="4"/>
  <c r="I15" i="4"/>
  <c r="AO15" i="4"/>
  <c r="BV15" i="4"/>
  <c r="G16" i="4"/>
  <c r="CL16" i="4"/>
  <c r="Y17" i="4"/>
  <c r="AH17" i="4"/>
  <c r="CE17" i="4"/>
  <c r="CL18" i="4"/>
  <c r="E19" i="4"/>
  <c r="K19" i="4" s="1"/>
  <c r="H19" i="4"/>
  <c r="BQ19" i="4"/>
  <c r="CL19" i="4"/>
  <c r="BH20" i="4"/>
  <c r="AV21" i="4"/>
  <c r="B22" i="4"/>
  <c r="AA22" i="4"/>
  <c r="E23" i="4"/>
  <c r="K23" i="4" s="1"/>
  <c r="T24" i="4"/>
  <c r="BC24" i="4"/>
  <c r="CC24" i="4"/>
  <c r="CE26" i="4"/>
  <c r="B27" i="4"/>
  <c r="AA27" i="4"/>
  <c r="AF27" i="4"/>
  <c r="AO29" i="4"/>
  <c r="AA30" i="4"/>
  <c r="BX32" i="4"/>
  <c r="AM33" i="4"/>
  <c r="BJ33" i="4"/>
  <c r="B35" i="4"/>
  <c r="B4" i="4"/>
  <c r="R4" i="4"/>
  <c r="Z55" i="4"/>
  <c r="AH4" i="4"/>
  <c r="AY55" i="4"/>
  <c r="AY58" i="4" s="1"/>
  <c r="BI55" i="4"/>
  <c r="BI58" i="4" s="1"/>
  <c r="CA55" i="4"/>
  <c r="CA58" i="4" s="1"/>
  <c r="CK55" i="4"/>
  <c r="T5" i="4"/>
  <c r="AJ5" i="4"/>
  <c r="B7" i="4"/>
  <c r="AA7" i="4"/>
  <c r="BC7" i="4"/>
  <c r="CE7" i="4"/>
  <c r="AH8" i="4"/>
  <c r="BJ8" i="4"/>
  <c r="CL8" i="4"/>
  <c r="E9" i="4"/>
  <c r="K9" i="4" s="1"/>
  <c r="M9" i="4"/>
  <c r="AC9" i="4"/>
  <c r="BC9" i="4"/>
  <c r="CE9" i="4"/>
  <c r="O10" i="4"/>
  <c r="H10" i="4" s="1"/>
  <c r="AV10" i="4"/>
  <c r="BX10" i="4"/>
  <c r="R11" i="4"/>
  <c r="AA11" i="4"/>
  <c r="AJ11" i="4"/>
  <c r="H11" i="4" s="1"/>
  <c r="AV12" i="4"/>
  <c r="BX12" i="4"/>
  <c r="BO13" i="4"/>
  <c r="BX13" i="4"/>
  <c r="B14" i="4"/>
  <c r="T14" i="4"/>
  <c r="B16" i="4"/>
  <c r="AC16" i="4"/>
  <c r="BQ16" i="4"/>
  <c r="BC17" i="4"/>
  <c r="R18" i="4"/>
  <c r="AA18" i="4"/>
  <c r="BH18" i="4"/>
  <c r="AM19" i="4"/>
  <c r="AV19" i="4"/>
  <c r="T20" i="4"/>
  <c r="BJ21" i="4"/>
  <c r="O22" i="4"/>
  <c r="CL22" i="4"/>
  <c r="CQ22" i="4"/>
  <c r="T23" i="4"/>
  <c r="AM25" i="4"/>
  <c r="BO25" i="4"/>
  <c r="BJ25" i="4"/>
  <c r="CL25" i="4"/>
  <c r="M26" i="4"/>
  <c r="I27" i="4"/>
  <c r="H30" i="4"/>
  <c r="CL30" i="4"/>
  <c r="S55" i="4"/>
  <c r="AA4" i="4"/>
  <c r="AQ4" i="4"/>
  <c r="AQ55" i="4" s="1"/>
  <c r="AQ58" i="4" s="1"/>
  <c r="BJ4" i="4"/>
  <c r="BS4" i="4"/>
  <c r="BS55" i="4" s="1"/>
  <c r="BS58" i="4" s="1"/>
  <c r="CL4" i="4"/>
  <c r="E5" i="4"/>
  <c r="K5" i="4" s="1"/>
  <c r="J11" i="4"/>
  <c r="B13" i="4"/>
  <c r="AM13" i="4"/>
  <c r="BJ14" i="4"/>
  <c r="BC15" i="4"/>
  <c r="AM16" i="4"/>
  <c r="AV16" i="4"/>
  <c r="BQ18" i="4"/>
  <c r="J20" i="4"/>
  <c r="BJ20" i="4"/>
  <c r="CE20" i="4"/>
  <c r="B21" i="4"/>
  <c r="T21" i="4"/>
  <c r="R22" i="4"/>
  <c r="AV23" i="4"/>
  <c r="BX23" i="4"/>
  <c r="J24" i="4"/>
  <c r="Y24" i="4"/>
  <c r="CE24" i="4"/>
  <c r="O26" i="4"/>
  <c r="J26" i="4"/>
  <c r="K26" i="4" s="1"/>
  <c r="BC27" i="4"/>
  <c r="BH27" i="4"/>
  <c r="M28" i="4"/>
  <c r="AA28" i="4"/>
  <c r="BC29" i="4"/>
  <c r="E30" i="4"/>
  <c r="K30" i="4" s="1"/>
  <c r="I30" i="4"/>
  <c r="BC30" i="4"/>
  <c r="BV30" i="4"/>
  <c r="BQ30" i="4"/>
  <c r="G31" i="4"/>
  <c r="AF31" i="4"/>
  <c r="AA31" i="4"/>
  <c r="B31" i="4"/>
  <c r="BX31" i="4"/>
  <c r="CC31" i="4"/>
  <c r="AO33" i="4"/>
  <c r="AH28" i="4"/>
  <c r="AT28" i="4"/>
  <c r="CL28" i="4"/>
  <c r="B30" i="4"/>
  <c r="AA33" i="4"/>
  <c r="W36" i="4"/>
  <c r="AL37" i="4"/>
  <c r="AK36" i="4"/>
  <c r="I36" i="4" s="1"/>
  <c r="T39" i="4"/>
  <c r="B39" i="4"/>
  <c r="E39" i="4"/>
  <c r="K39" i="4" s="1"/>
  <c r="BQ39" i="4"/>
  <c r="BV39" i="4"/>
  <c r="AT40" i="4"/>
  <c r="AO40" i="4"/>
  <c r="B41" i="4"/>
  <c r="I44" i="4"/>
  <c r="AO45" i="4"/>
  <c r="AT45" i="4"/>
  <c r="I47" i="4"/>
  <c r="O47" i="4"/>
  <c r="H47" i="4" s="1"/>
  <c r="AM47" i="4"/>
  <c r="AH47" i="4"/>
  <c r="E47" i="4"/>
  <c r="K47" i="4" s="1"/>
  <c r="M36" i="4"/>
  <c r="E40" i="4"/>
  <c r="K40" i="4" s="1"/>
  <c r="I41" i="4"/>
  <c r="E45" i="4"/>
  <c r="K45" i="4" s="1"/>
  <c r="BQ34" i="4"/>
  <c r="BV34" i="4"/>
  <c r="BC35" i="4"/>
  <c r="Y36" i="4"/>
  <c r="AO36" i="4"/>
  <c r="AT36" i="4"/>
  <c r="AA37" i="4"/>
  <c r="Y38" i="4"/>
  <c r="AC38" i="4"/>
  <c r="AD40" i="4"/>
  <c r="AC40" i="4" s="1"/>
  <c r="H40" i="4" s="1"/>
  <c r="T41" i="4"/>
  <c r="BJ42" i="4"/>
  <c r="BO42" i="4"/>
  <c r="P43" i="4"/>
  <c r="I43" i="4" s="1"/>
  <c r="J43" i="4"/>
  <c r="H45" i="4"/>
  <c r="AF46" i="4"/>
  <c r="AA46" i="4"/>
  <c r="BO38" i="4"/>
  <c r="BJ38" i="4"/>
  <c r="CL39" i="4"/>
  <c r="CQ39" i="4"/>
  <c r="BO40" i="4"/>
  <c r="CC40" i="4"/>
  <c r="BX40" i="4"/>
  <c r="H41" i="4"/>
  <c r="AH44" i="4"/>
  <c r="AM44" i="4"/>
  <c r="R45" i="4"/>
  <c r="R36" i="4"/>
  <c r="J36" i="4"/>
  <c r="B37" i="4"/>
  <c r="Q37" i="4"/>
  <c r="AH37" i="4"/>
  <c r="AM37" i="4"/>
  <c r="AV39" i="4"/>
  <c r="BA39" i="4"/>
  <c r="BX39" i="4"/>
  <c r="AF40" i="4"/>
  <c r="BJ40" i="4"/>
  <c r="Y41" i="4"/>
  <c r="T43" i="4"/>
  <c r="Y43" i="4"/>
  <c r="Y45" i="4"/>
  <c r="T45" i="4"/>
  <c r="R30" i="4"/>
  <c r="I32" i="4"/>
  <c r="E33" i="4"/>
  <c r="K33" i="4" s="1"/>
  <c r="W33" i="4"/>
  <c r="BC33" i="4"/>
  <c r="AV35" i="4"/>
  <c r="BA35" i="4"/>
  <c r="AE37" i="4"/>
  <c r="AC36" i="4"/>
  <c r="BX37" i="4"/>
  <c r="M38" i="4"/>
  <c r="E38" i="4"/>
  <c r="K38" i="4" s="1"/>
  <c r="R38" i="4"/>
  <c r="AK38" i="4"/>
  <c r="I38" i="4" s="1"/>
  <c r="M40" i="4"/>
  <c r="BX41" i="4"/>
  <c r="CL41" i="4"/>
  <c r="AA42" i="4"/>
  <c r="AF42" i="4"/>
  <c r="AT42" i="4"/>
  <c r="AO42" i="4"/>
  <c r="AC22" i="4"/>
  <c r="CE22" i="4"/>
  <c r="AH23" i="4"/>
  <c r="BJ23" i="4"/>
  <c r="CL23" i="4"/>
  <c r="E24" i="4"/>
  <c r="M24" i="4"/>
  <c r="B25" i="4"/>
  <c r="AA25" i="4"/>
  <c r="AJ25" i="4"/>
  <c r="H25" i="4" s="1"/>
  <c r="Y26" i="4"/>
  <c r="BX26" i="4"/>
  <c r="J27" i="4"/>
  <c r="K27" i="4" s="1"/>
  <c r="B28" i="4"/>
  <c r="AO28" i="4"/>
  <c r="D29" i="4"/>
  <c r="BJ30" i="4"/>
  <c r="CE30" i="4"/>
  <c r="T31" i="4"/>
  <c r="AV31" i="4"/>
  <c r="CL31" i="4"/>
  <c r="J32" i="4"/>
  <c r="K32" i="4" s="1"/>
  <c r="AJ32" i="4"/>
  <c r="O33" i="4"/>
  <c r="H34" i="4"/>
  <c r="I35" i="4"/>
  <c r="BX35" i="4"/>
  <c r="CC35" i="4"/>
  <c r="AF36" i="4"/>
  <c r="T37" i="4"/>
  <c r="CJ38" i="4"/>
  <c r="O39" i="4"/>
  <c r="H39" i="4" s="1"/>
  <c r="AA39" i="4"/>
  <c r="AJ40" i="4"/>
  <c r="AK40" i="4"/>
  <c r="B43" i="4"/>
  <c r="CL43" i="4"/>
  <c r="B45" i="4"/>
  <c r="BO47" i="4"/>
  <c r="BJ47" i="4"/>
  <c r="BX25" i="4"/>
  <c r="T26" i="4"/>
  <c r="T27" i="4"/>
  <c r="G28" i="4"/>
  <c r="BX28" i="4"/>
  <c r="AA29" i="4"/>
  <c r="AV29" i="4"/>
  <c r="CE29" i="4"/>
  <c r="AO30" i="4"/>
  <c r="Y32" i="4"/>
  <c r="BQ32" i="4"/>
  <c r="G33" i="4"/>
  <c r="AV34" i="4"/>
  <c r="BX34" i="4"/>
  <c r="V36" i="4"/>
  <c r="D36" i="4"/>
  <c r="AH36" i="4"/>
  <c r="B36" i="4"/>
  <c r="E36" i="4"/>
  <c r="AV36" i="4"/>
  <c r="BC37" i="4"/>
  <c r="AT38" i="4"/>
  <c r="AO38" i="4"/>
  <c r="CE38" i="4"/>
  <c r="R39" i="4"/>
  <c r="BC39" i="4"/>
  <c r="B40" i="4"/>
  <c r="I40" i="4"/>
  <c r="AM40" i="4"/>
  <c r="CE40" i="4"/>
  <c r="BC41" i="4"/>
  <c r="CC41" i="4"/>
  <c r="BQ44" i="4"/>
  <c r="AV46" i="4"/>
  <c r="BX46" i="4"/>
  <c r="CC46" i="4"/>
  <c r="BJ37" i="4"/>
  <c r="AO41" i="4"/>
  <c r="M43" i="4"/>
  <c r="E43" i="4"/>
  <c r="H44" i="4"/>
  <c r="CL44" i="4"/>
  <c r="T46" i="4"/>
  <c r="BQ46" i="4"/>
  <c r="I48" i="4"/>
  <c r="BC50" i="4"/>
  <c r="BH50" i="4"/>
  <c r="CC52" i="4"/>
  <c r="BX52" i="4"/>
  <c r="E53" i="4"/>
  <c r="R53" i="4"/>
  <c r="BQ53" i="4"/>
  <c r="BV53" i="4"/>
  <c r="AJ56" i="4"/>
  <c r="I57" i="4"/>
  <c r="AC49" i="4"/>
  <c r="O50" i="4"/>
  <c r="J50" i="4"/>
  <c r="K50" i="4" s="1"/>
  <c r="R50" i="4"/>
  <c r="D52" i="4"/>
  <c r="BO52" i="4"/>
  <c r="BC53" i="4"/>
  <c r="BH53" i="4"/>
  <c r="BH55" i="4"/>
  <c r="BG58" i="4"/>
  <c r="CB58" i="4"/>
  <c r="CQ58" i="4"/>
  <c r="AM48" i="4"/>
  <c r="J48" i="4"/>
  <c r="K48" i="4" s="1"/>
  <c r="CC48" i="4"/>
  <c r="BX48" i="4"/>
  <c r="R51" i="4"/>
  <c r="E51" i="4"/>
  <c r="BX51" i="4"/>
  <c r="CC51" i="4"/>
  <c r="X58" i="4"/>
  <c r="R54" i="4"/>
  <c r="B54" i="4"/>
  <c r="E54" i="4"/>
  <c r="K54" i="4" s="1"/>
  <c r="AO54" i="4"/>
  <c r="AT54" i="4"/>
  <c r="BV54" i="4"/>
  <c r="R56" i="4"/>
  <c r="B56" i="4"/>
  <c r="E56" i="4"/>
  <c r="K56" i="4" s="1"/>
  <c r="AM56" i="4"/>
  <c r="BC56" i="4"/>
  <c r="BH56" i="4"/>
  <c r="BX47" i="4"/>
  <c r="AM50" i="4"/>
  <c r="AH50" i="4"/>
  <c r="M54" i="4"/>
  <c r="BQ54" i="4"/>
  <c r="M56" i="4"/>
  <c r="AA57" i="4"/>
  <c r="B57" i="4"/>
  <c r="AF57" i="4"/>
  <c r="CL47" i="4"/>
  <c r="R48" i="4"/>
  <c r="B48" i="4"/>
  <c r="T48" i="4"/>
  <c r="P49" i="4"/>
  <c r="AV49" i="4"/>
  <c r="BJ50" i="4"/>
  <c r="BX50" i="4"/>
  <c r="CC50" i="4"/>
  <c r="AJ51" i="4"/>
  <c r="B53" i="4"/>
  <c r="AH53" i="4"/>
  <c r="CL53" i="4"/>
  <c r="CQ53" i="4"/>
  <c r="AT55" i="4"/>
  <c r="AS58" i="4"/>
  <c r="BN58" i="4"/>
  <c r="BO55" i="4"/>
  <c r="CC56" i="4"/>
  <c r="BU59" i="4"/>
  <c r="BC43" i="4"/>
  <c r="R44" i="4"/>
  <c r="B44" i="4"/>
  <c r="BQ45" i="4"/>
  <c r="BC48" i="4"/>
  <c r="R49" i="4"/>
  <c r="B50" i="4"/>
  <c r="AM51" i="4"/>
  <c r="W53" i="4"/>
  <c r="I53" i="4" s="1"/>
  <c r="J53" i="4"/>
  <c r="BX56" i="4"/>
  <c r="CQ57" i="4"/>
  <c r="CP59" i="4"/>
  <c r="AH34" i="4"/>
  <c r="BJ34" i="4"/>
  <c r="CL34" i="4"/>
  <c r="E35" i="4"/>
  <c r="K35" i="4" s="1"/>
  <c r="M35" i="4"/>
  <c r="AO35" i="4"/>
  <c r="BQ35" i="4"/>
  <c r="AA36" i="4"/>
  <c r="BJ36" i="4"/>
  <c r="CL36" i="4"/>
  <c r="E37" i="4"/>
  <c r="M37" i="4"/>
  <c r="BQ37" i="4"/>
  <c r="CL37" i="4"/>
  <c r="AH38" i="4"/>
  <c r="BX38" i="4"/>
  <c r="AH40" i="4"/>
  <c r="BC40" i="4"/>
  <c r="AV41" i="4"/>
  <c r="B42" i="4"/>
  <c r="BJ44" i="4"/>
  <c r="AA47" i="4"/>
  <c r="B47" i="4"/>
  <c r="BC47" i="4"/>
  <c r="M48" i="4"/>
  <c r="CE48" i="4"/>
  <c r="B49" i="4"/>
  <c r="T49" i="4"/>
  <c r="Y50" i="4"/>
  <c r="B51" i="4"/>
  <c r="AO51" i="4"/>
  <c r="AT51" i="4"/>
  <c r="CE51" i="4"/>
  <c r="B52" i="4"/>
  <c r="AO52" i="4"/>
  <c r="Y53" i="4"/>
  <c r="BO57" i="4"/>
  <c r="CL57" i="4"/>
  <c r="CJ58" i="4"/>
  <c r="CI59" i="4"/>
  <c r="E29" i="4"/>
  <c r="K29" i="4" s="1"/>
  <c r="AV37" i="4"/>
  <c r="BC38" i="4"/>
  <c r="AO39" i="4"/>
  <c r="CE39" i="4"/>
  <c r="AA40" i="4"/>
  <c r="CL40" i="4"/>
  <c r="AA41" i="4"/>
  <c r="CE41" i="4"/>
  <c r="M42" i="4"/>
  <c r="W42" i="4"/>
  <c r="I42" i="4" s="1"/>
  <c r="CL42" i="4"/>
  <c r="AH43" i="4"/>
  <c r="BH43" i="4"/>
  <c r="CE43" i="4"/>
  <c r="AV45" i="4"/>
  <c r="BV45" i="4"/>
  <c r="B46" i="4"/>
  <c r="BC46" i="4"/>
  <c r="CE47" i="4"/>
  <c r="AV48" i="4"/>
  <c r="CL49" i="4"/>
  <c r="AA50" i="4"/>
  <c r="AO50" i="4"/>
  <c r="CE50" i="4"/>
  <c r="T51" i="4"/>
  <c r="AD51" i="4"/>
  <c r="AC51" i="4" s="1"/>
  <c r="H51" i="4" s="1"/>
  <c r="AA53" i="4"/>
  <c r="AF53" i="4"/>
  <c r="BJ57" i="4"/>
  <c r="CL45" i="4"/>
  <c r="AO46" i="4"/>
  <c r="T47" i="4"/>
  <c r="AV47" i="4"/>
  <c r="AO48" i="4"/>
  <c r="BQ48" i="4"/>
  <c r="BC49" i="4"/>
  <c r="BQ51" i="4"/>
  <c r="AA52" i="4"/>
  <c r="AH56" i="4"/>
  <c r="AV56" i="4"/>
  <c r="BA56" i="4"/>
  <c r="AH57" i="4"/>
  <c r="E49" i="4"/>
  <c r="E52" i="4"/>
  <c r="K52" i="4" s="1"/>
  <c r="W55" i="4"/>
  <c r="W58" i="4" s="1"/>
  <c r="H54" i="4"/>
  <c r="M57" i="4"/>
  <c r="D57" i="4"/>
  <c r="BH57" i="4"/>
  <c r="Y83" i="4"/>
  <c r="X49" i="4" s="1"/>
  <c r="V43" i="4"/>
  <c r="BJ49" i="4"/>
  <c r="CE49" i="4"/>
  <c r="AJ50" i="4"/>
  <c r="J51" i="4"/>
  <c r="O52" i="4"/>
  <c r="AH52" i="4"/>
  <c r="CL52" i="4"/>
  <c r="CE56" i="4"/>
  <c r="CJ57" i="4"/>
  <c r="E41" i="4"/>
  <c r="K41" i="4" s="1"/>
  <c r="E46" i="4"/>
  <c r="K46" i="4" s="1"/>
  <c r="CL48" i="4"/>
  <c r="AO49" i="4"/>
  <c r="AV50" i="4"/>
  <c r="I51" i="4"/>
  <c r="BC51" i="4"/>
  <c r="G52" i="4"/>
  <c r="AK52" i="4"/>
  <c r="AJ52" i="4" s="1"/>
  <c r="T54" i="4"/>
  <c r="AV54" i="4"/>
  <c r="BX54" i="4"/>
  <c r="T56" i="4"/>
  <c r="AF56" i="4"/>
  <c r="AC56" i="4"/>
  <c r="H56" i="4" s="1"/>
  <c r="CE57" i="4"/>
  <c r="BA58" i="4"/>
  <c r="AM83" i="4"/>
  <c r="AL49" i="4" s="1"/>
  <c r="E57" i="4"/>
  <c r="K57" i="4" s="1"/>
  <c r="AM54" i="4"/>
  <c r="BO54" i="4"/>
  <c r="CQ54" i="4"/>
  <c r="Y5" i="3"/>
  <c r="CN55" i="3"/>
  <c r="CN58" i="3" s="1"/>
  <c r="AO12" i="3"/>
  <c r="CJ13" i="3"/>
  <c r="AF15" i="3"/>
  <c r="L55" i="3"/>
  <c r="L58" i="3" s="1"/>
  <c r="R4" i="3"/>
  <c r="B4" i="3"/>
  <c r="BE4" i="3"/>
  <c r="BE55" i="3" s="1"/>
  <c r="BE58" i="3" s="1"/>
  <c r="CH55" i="3"/>
  <c r="CH58" i="3" s="1"/>
  <c r="W5" i="3"/>
  <c r="V5" i="3" s="1"/>
  <c r="H5" i="3" s="1"/>
  <c r="O6" i="3"/>
  <c r="H6" i="3" s="1"/>
  <c r="Y6" i="3"/>
  <c r="O7" i="3"/>
  <c r="H7" i="3" s="1"/>
  <c r="BC8" i="3"/>
  <c r="BO9" i="3"/>
  <c r="BJ9" i="3"/>
  <c r="AO10" i="3"/>
  <c r="BQ10" i="3"/>
  <c r="Y11" i="3"/>
  <c r="T11" i="3"/>
  <c r="AD11" i="3"/>
  <c r="I11" i="3" s="1"/>
  <c r="J11" i="3"/>
  <c r="Y12" i="3"/>
  <c r="G12" i="3"/>
  <c r="AH12" i="3"/>
  <c r="BA12" i="3"/>
  <c r="AV12" i="3"/>
  <c r="B13" i="3"/>
  <c r="BO13" i="3"/>
  <c r="BJ13" i="3"/>
  <c r="CL13" i="3"/>
  <c r="W14" i="3"/>
  <c r="V14" i="3" s="1"/>
  <c r="AJ14" i="3"/>
  <c r="CL15" i="3"/>
  <c r="CQ15" i="3"/>
  <c r="AM16" i="3"/>
  <c r="AH16" i="3"/>
  <c r="H18" i="3"/>
  <c r="BQ20" i="3"/>
  <c r="BV20" i="3"/>
  <c r="BZ55" i="3"/>
  <c r="BZ58" i="3" s="1"/>
  <c r="BQ6" i="3"/>
  <c r="O9" i="3"/>
  <c r="J12" i="3"/>
  <c r="BX13" i="3"/>
  <c r="E14" i="3"/>
  <c r="M14" i="3"/>
  <c r="I15" i="3"/>
  <c r="O15" i="3"/>
  <c r="Y16" i="3"/>
  <c r="BH21" i="3"/>
  <c r="BC21" i="3"/>
  <c r="R22" i="3"/>
  <c r="B22" i="3"/>
  <c r="E22" i="3"/>
  <c r="AO7" i="3"/>
  <c r="AH8" i="3"/>
  <c r="T13" i="3"/>
  <c r="AA14" i="3"/>
  <c r="AF14" i="3"/>
  <c r="AT15" i="3"/>
  <c r="AO15" i="3"/>
  <c r="BV15" i="3"/>
  <c r="BQ15" i="3"/>
  <c r="T16" i="3"/>
  <c r="AV18" i="3"/>
  <c r="BX18" i="3"/>
  <c r="AO20" i="3"/>
  <c r="M4" i="3"/>
  <c r="BP55" i="3"/>
  <c r="BP58" i="3" s="1"/>
  <c r="AX55" i="3"/>
  <c r="AX58" i="3" s="1"/>
  <c r="G7" i="3"/>
  <c r="BQ8" i="3"/>
  <c r="CQ9" i="3"/>
  <c r="CC10" i="3"/>
  <c r="BX10" i="3"/>
  <c r="BA11" i="3"/>
  <c r="AJ12" i="3"/>
  <c r="AM12" i="3"/>
  <c r="CC12" i="3"/>
  <c r="AH13" i="3"/>
  <c r="CC13" i="3"/>
  <c r="O14" i="3"/>
  <c r="J14" i="3"/>
  <c r="AC15" i="3"/>
  <c r="I19" i="3"/>
  <c r="O19" i="3"/>
  <c r="H19" i="3" s="1"/>
  <c r="CL19" i="3"/>
  <c r="CQ19" i="3"/>
  <c r="H20" i="3"/>
  <c r="CQ21" i="3"/>
  <c r="BQ22" i="3"/>
  <c r="AN55" i="3"/>
  <c r="X4" i="3"/>
  <c r="G5" i="3"/>
  <c r="AA6" i="3"/>
  <c r="H8" i="3"/>
  <c r="AV11" i="3"/>
  <c r="AF16" i="3"/>
  <c r="AA16" i="3"/>
  <c r="CC18" i="3"/>
  <c r="AH19" i="3"/>
  <c r="AM19" i="3"/>
  <c r="CL21" i="3"/>
  <c r="BQ4" i="3"/>
  <c r="AG55" i="3"/>
  <c r="AG58" i="3" s="1"/>
  <c r="AH4" i="3"/>
  <c r="BT55" i="3"/>
  <c r="BT58" i="3" s="1"/>
  <c r="R5" i="3"/>
  <c r="T6" i="3"/>
  <c r="Q4" i="3"/>
  <c r="AR55" i="3"/>
  <c r="AR58" i="3" s="1"/>
  <c r="BB55" i="3"/>
  <c r="BB58" i="3" s="1"/>
  <c r="BV4" i="3"/>
  <c r="CO55" i="3"/>
  <c r="CO58" i="3" s="1"/>
  <c r="T5" i="3"/>
  <c r="BC7" i="3"/>
  <c r="CL7" i="3"/>
  <c r="I8" i="3"/>
  <c r="W9" i="3"/>
  <c r="I9" i="3" s="1"/>
  <c r="AM9" i="3"/>
  <c r="AH9" i="3"/>
  <c r="G11" i="3"/>
  <c r="D11" i="3"/>
  <c r="G13" i="3"/>
  <c r="AM13" i="3"/>
  <c r="CE13" i="3"/>
  <c r="B14" i="3"/>
  <c r="BC14" i="3"/>
  <c r="AO17" i="3"/>
  <c r="AT17" i="3"/>
  <c r="I18" i="3"/>
  <c r="AF18" i="3"/>
  <c r="B18" i="3"/>
  <c r="E19" i="3"/>
  <c r="K19" i="3" s="1"/>
  <c r="Y20" i="3"/>
  <c r="T20" i="3"/>
  <c r="E20" i="3"/>
  <c r="K20" i="3" s="1"/>
  <c r="BJ21" i="3"/>
  <c r="BV22" i="3"/>
  <c r="AF4" i="3"/>
  <c r="AJ5" i="3"/>
  <c r="CL5" i="3"/>
  <c r="BA10" i="3"/>
  <c r="AV10" i="3"/>
  <c r="CD55" i="3"/>
  <c r="CJ4" i="3"/>
  <c r="AM5" i="3"/>
  <c r="AV5" i="3"/>
  <c r="BQ5" i="3"/>
  <c r="AO6" i="3"/>
  <c r="CE6" i="3"/>
  <c r="E8" i="3"/>
  <c r="K8" i="3" s="1"/>
  <c r="AM8" i="3"/>
  <c r="R10" i="3"/>
  <c r="B10" i="3"/>
  <c r="M10" i="3"/>
  <c r="S55" i="3"/>
  <c r="S58" i="3" s="1"/>
  <c r="BC4" i="3"/>
  <c r="BW55" i="3"/>
  <c r="BW58" i="3" s="1"/>
  <c r="AH7" i="3"/>
  <c r="J9" i="3"/>
  <c r="H10" i="3"/>
  <c r="B12" i="3"/>
  <c r="P12" i="3"/>
  <c r="I12" i="3" s="1"/>
  <c r="AT13" i="3"/>
  <c r="AO13" i="3"/>
  <c r="BH13" i="3"/>
  <c r="BC13" i="3"/>
  <c r="AH14" i="3"/>
  <c r="AM14" i="3"/>
  <c r="Y17" i="3"/>
  <c r="AA18" i="3"/>
  <c r="B20" i="3"/>
  <c r="BS55" i="3"/>
  <c r="BS58" i="3" s="1"/>
  <c r="M8" i="3"/>
  <c r="AV8" i="3"/>
  <c r="CL9" i="3"/>
  <c r="AA12" i="3"/>
  <c r="AF12" i="3"/>
  <c r="BX12" i="3"/>
  <c r="G4" i="3"/>
  <c r="AT4" i="3"/>
  <c r="BL55" i="3"/>
  <c r="BL58" i="3" s="1"/>
  <c r="CQ5" i="3"/>
  <c r="B7" i="3"/>
  <c r="T4" i="3"/>
  <c r="AU55" i="3"/>
  <c r="BM55" i="3"/>
  <c r="BM58" i="3" s="1"/>
  <c r="BX4" i="3"/>
  <c r="CG4" i="3"/>
  <c r="CG55" i="3" s="1"/>
  <c r="CG58" i="3" s="1"/>
  <c r="B5" i="3"/>
  <c r="M5" i="3"/>
  <c r="AF5" i="3"/>
  <c r="M6" i="3"/>
  <c r="E6" i="3"/>
  <c r="K6" i="3" s="1"/>
  <c r="AT6" i="3"/>
  <c r="BC6" i="3"/>
  <c r="E7" i="3"/>
  <c r="K7" i="3" s="1"/>
  <c r="D7" i="3"/>
  <c r="Y7" i="3"/>
  <c r="AV7" i="3"/>
  <c r="BH7" i="3"/>
  <c r="AO8" i="3"/>
  <c r="BX8" i="3"/>
  <c r="CL8" i="3"/>
  <c r="M9" i="3"/>
  <c r="E9" i="3"/>
  <c r="AA9" i="3"/>
  <c r="I10" i="3"/>
  <c r="AC11" i="3"/>
  <c r="H11" i="3" s="1"/>
  <c r="AO11" i="3"/>
  <c r="E12" i="3"/>
  <c r="K12" i="3" s="1"/>
  <c r="R12" i="3"/>
  <c r="AT12" i="3"/>
  <c r="H13" i="3"/>
  <c r="BX14" i="3"/>
  <c r="M15" i="3"/>
  <c r="E15" i="3"/>
  <c r="K15" i="3" s="1"/>
  <c r="R15" i="3"/>
  <c r="BJ15" i="3"/>
  <c r="BO15" i="3"/>
  <c r="T17" i="3"/>
  <c r="BA17" i="3"/>
  <c r="AV17" i="3"/>
  <c r="I21" i="3"/>
  <c r="BA22" i="3"/>
  <c r="AV22" i="3"/>
  <c r="H27" i="3"/>
  <c r="H29" i="3"/>
  <c r="CJ23" i="3"/>
  <c r="H24" i="3"/>
  <c r="AF25" i="3"/>
  <c r="CJ27" i="3"/>
  <c r="H28" i="3"/>
  <c r="T23" i="3"/>
  <c r="AQ23" i="3"/>
  <c r="H23" i="3" s="1"/>
  <c r="CE23" i="3"/>
  <c r="AT24" i="3"/>
  <c r="AA25" i="3"/>
  <c r="BC25" i="3"/>
  <c r="BH25" i="3"/>
  <c r="CE27" i="3"/>
  <c r="AT28" i="3"/>
  <c r="AA29" i="3"/>
  <c r="AO24" i="3"/>
  <c r="BQ24" i="3"/>
  <c r="BV24" i="3"/>
  <c r="CJ25" i="3"/>
  <c r="H26" i="3"/>
  <c r="AV26" i="3"/>
  <c r="BX26" i="3"/>
  <c r="AO28" i="3"/>
  <c r="BQ28" i="3"/>
  <c r="BV28" i="3"/>
  <c r="CL14" i="3"/>
  <c r="BC16" i="3"/>
  <c r="R17" i="3"/>
  <c r="B17" i="3"/>
  <c r="BQ17" i="3"/>
  <c r="V19" i="3"/>
  <c r="BJ19" i="3"/>
  <c r="BO19" i="3"/>
  <c r="AA21" i="3"/>
  <c r="AF21" i="3"/>
  <c r="Y23" i="3"/>
  <c r="AH23" i="3"/>
  <c r="B25" i="3"/>
  <c r="O25" i="3"/>
  <c r="CE25" i="3"/>
  <c r="I26" i="3"/>
  <c r="AH27" i="3"/>
  <c r="E29" i="3"/>
  <c r="K29" i="3" s="1"/>
  <c r="T29" i="3"/>
  <c r="Y29" i="3"/>
  <c r="D12" i="3"/>
  <c r="E13" i="3"/>
  <c r="K13" i="3" s="1"/>
  <c r="BQ14" i="3"/>
  <c r="M16" i="3"/>
  <c r="E16" i="3"/>
  <c r="K16" i="3" s="1"/>
  <c r="BH16" i="3"/>
  <c r="CE16" i="3"/>
  <c r="CJ21" i="3"/>
  <c r="H22" i="3"/>
  <c r="BX22" i="3"/>
  <c r="M23" i="3"/>
  <c r="BJ23" i="3"/>
  <c r="R24" i="3"/>
  <c r="B24" i="3"/>
  <c r="D25" i="3"/>
  <c r="E25" i="3"/>
  <c r="F26" i="3"/>
  <c r="AO26" i="3"/>
  <c r="BJ27" i="3"/>
  <c r="CL27" i="3"/>
  <c r="R28" i="3"/>
  <c r="B28" i="3"/>
  <c r="BA29" i="3"/>
  <c r="G30" i="3"/>
  <c r="AV9" i="3"/>
  <c r="AH10" i="3"/>
  <c r="M11" i="3"/>
  <c r="CL12" i="3"/>
  <c r="AF13" i="3"/>
  <c r="CE14" i="3"/>
  <c r="AA15" i="3"/>
  <c r="O16" i="3"/>
  <c r="H16" i="3" s="1"/>
  <c r="P16" i="3"/>
  <c r="I16" i="3" s="1"/>
  <c r="H17" i="3"/>
  <c r="T18" i="3"/>
  <c r="BQ18" i="3"/>
  <c r="CE18" i="3"/>
  <c r="D19" i="3"/>
  <c r="R20" i="3"/>
  <c r="I20" i="3"/>
  <c r="B21" i="3"/>
  <c r="CE21" i="3"/>
  <c r="I22" i="3"/>
  <c r="AA23" i="3"/>
  <c r="CL23" i="3"/>
  <c r="W25" i="3"/>
  <c r="V25" i="3" s="1"/>
  <c r="AH25" i="3"/>
  <c r="D26" i="3"/>
  <c r="G27" i="3"/>
  <c r="AF27" i="3"/>
  <c r="I29" i="3"/>
  <c r="AV29" i="3"/>
  <c r="BX9" i="3"/>
  <c r="Z55" i="3"/>
  <c r="Z58" i="3" s="1"/>
  <c r="AY55" i="3"/>
  <c r="AY58" i="3" s="1"/>
  <c r="BI55" i="3"/>
  <c r="CA55" i="3"/>
  <c r="CA58" i="3" s="1"/>
  <c r="CK55" i="3"/>
  <c r="CK58" i="3" s="1"/>
  <c r="E11" i="3"/>
  <c r="K11" i="3" s="1"/>
  <c r="BV11" i="3"/>
  <c r="BJ12" i="3"/>
  <c r="R13" i="3"/>
  <c r="AA13" i="3"/>
  <c r="BQ13" i="3"/>
  <c r="BJ14" i="3"/>
  <c r="CQ14" i="3"/>
  <c r="B16" i="3"/>
  <c r="R16" i="3"/>
  <c r="BJ16" i="3"/>
  <c r="CJ16" i="3"/>
  <c r="E17" i="3"/>
  <c r="K17" i="3" s="1"/>
  <c r="I17" i="3"/>
  <c r="BX17" i="3"/>
  <c r="AO19" i="3"/>
  <c r="AV20" i="3"/>
  <c r="J22" i="3"/>
  <c r="AO22" i="3"/>
  <c r="BC23" i="3"/>
  <c r="BH23" i="3"/>
  <c r="AV24" i="3"/>
  <c r="BX24" i="3"/>
  <c r="J25" i="3"/>
  <c r="Y25" i="3"/>
  <c r="BJ25" i="3"/>
  <c r="CL25" i="3"/>
  <c r="R26" i="3"/>
  <c r="B26" i="3"/>
  <c r="AT26" i="3"/>
  <c r="AA27" i="3"/>
  <c r="BC27" i="3"/>
  <c r="BH27" i="3"/>
  <c r="AV28" i="3"/>
  <c r="BX28" i="3"/>
  <c r="BC15" i="3"/>
  <c r="BX16" i="3"/>
  <c r="AH17" i="3"/>
  <c r="BJ17" i="3"/>
  <c r="CL17" i="3"/>
  <c r="AO18" i="3"/>
  <c r="T19" i="3"/>
  <c r="AH20" i="3"/>
  <c r="BJ20" i="3"/>
  <c r="CL20" i="3"/>
  <c r="AH22" i="3"/>
  <c r="BJ22" i="3"/>
  <c r="CL22" i="3"/>
  <c r="CC29" i="3"/>
  <c r="R30" i="3"/>
  <c r="B30" i="3"/>
  <c r="G31" i="3"/>
  <c r="T31" i="3"/>
  <c r="CL33" i="3"/>
  <c r="AK36" i="3"/>
  <c r="AJ36" i="3" s="1"/>
  <c r="H36" i="3" s="1"/>
  <c r="AM37" i="3"/>
  <c r="I39" i="3"/>
  <c r="M30" i="3"/>
  <c r="V31" i="3"/>
  <c r="W31" i="3"/>
  <c r="I31" i="3" s="1"/>
  <c r="AV31" i="3"/>
  <c r="BO31" i="3"/>
  <c r="BX31" i="3"/>
  <c r="CL31" i="3"/>
  <c r="CQ31" i="3"/>
  <c r="M34" i="3"/>
  <c r="E34" i="3"/>
  <c r="M35" i="3"/>
  <c r="I36" i="3"/>
  <c r="O37" i="3"/>
  <c r="BA37" i="3"/>
  <c r="AV37" i="3"/>
  <c r="Y38" i="3"/>
  <c r="CC39" i="3"/>
  <c r="BX39" i="3"/>
  <c r="BC29" i="3"/>
  <c r="CE29" i="3"/>
  <c r="BX30" i="3"/>
  <c r="Y31" i="3"/>
  <c r="BJ31" i="3"/>
  <c r="G32" i="3"/>
  <c r="CL32" i="3"/>
  <c r="R33" i="3"/>
  <c r="B33" i="3"/>
  <c r="AH33" i="3"/>
  <c r="P34" i="3"/>
  <c r="I34" i="3" s="1"/>
  <c r="O35" i="3"/>
  <c r="H35" i="3" s="1"/>
  <c r="AF35" i="3"/>
  <c r="AA35" i="3"/>
  <c r="B35" i="3"/>
  <c r="E35" i="3"/>
  <c r="BQ35" i="3"/>
  <c r="BV35" i="3"/>
  <c r="AT36" i="3"/>
  <c r="R37" i="3"/>
  <c r="CE37" i="3"/>
  <c r="B38" i="3"/>
  <c r="T38" i="3"/>
  <c r="H42" i="3"/>
  <c r="AV30" i="3"/>
  <c r="M32" i="3"/>
  <c r="AA32" i="3"/>
  <c r="BJ32" i="3"/>
  <c r="AO36" i="3"/>
  <c r="B37" i="3"/>
  <c r="AJ37" i="3"/>
  <c r="BQ38" i="3"/>
  <c r="AM30" i="3"/>
  <c r="AA31" i="3"/>
  <c r="AM33" i="3"/>
  <c r="T34" i="3"/>
  <c r="Y34" i="3"/>
  <c r="R35" i="3"/>
  <c r="J35" i="3"/>
  <c r="BQ31" i="3"/>
  <c r="R32" i="3"/>
  <c r="H33" i="3"/>
  <c r="BJ33" i="3"/>
  <c r="BA34" i="3"/>
  <c r="CL35" i="3"/>
  <c r="CQ35" i="3"/>
  <c r="AC37" i="3"/>
  <c r="AD37" i="3"/>
  <c r="BJ36" i="3"/>
  <c r="BO36" i="3"/>
  <c r="J37" i="3"/>
  <c r="AF37" i="3"/>
  <c r="BH38" i="3"/>
  <c r="H44" i="3"/>
  <c r="V16" i="3"/>
  <c r="B19" i="3"/>
  <c r="AA19" i="3"/>
  <c r="BC19" i="3"/>
  <c r="CE19" i="3"/>
  <c r="T21" i="3"/>
  <c r="AV21" i="3"/>
  <c r="BX21" i="3"/>
  <c r="AV23" i="3"/>
  <c r="BX23" i="3"/>
  <c r="AH24" i="3"/>
  <c r="BJ24" i="3"/>
  <c r="CL24" i="3"/>
  <c r="M25" i="3"/>
  <c r="AV25" i="3"/>
  <c r="BX25" i="3"/>
  <c r="T27" i="3"/>
  <c r="AV27" i="3"/>
  <c r="BX27" i="3"/>
  <c r="AH28" i="3"/>
  <c r="BJ28" i="3"/>
  <c r="CL28" i="3"/>
  <c r="M29" i="3"/>
  <c r="AO29" i="3"/>
  <c r="BQ29" i="3"/>
  <c r="BV30" i="3"/>
  <c r="B31" i="3"/>
  <c r="O31" i="3"/>
  <c r="H31" i="3" s="1"/>
  <c r="AO31" i="3"/>
  <c r="D32" i="3"/>
  <c r="BH32" i="3"/>
  <c r="CJ32" i="3"/>
  <c r="I33" i="3"/>
  <c r="AV34" i="3"/>
  <c r="BX34" i="3"/>
  <c r="CC34" i="3"/>
  <c r="D35" i="3"/>
  <c r="AV35" i="3"/>
  <c r="BA35" i="3"/>
  <c r="AF36" i="3"/>
  <c r="BC38" i="3"/>
  <c r="F48" i="3"/>
  <c r="E18" i="3"/>
  <c r="K18" i="3" s="1"/>
  <c r="E21" i="3"/>
  <c r="K21" i="3" s="1"/>
  <c r="E23" i="3"/>
  <c r="K23" i="3" s="1"/>
  <c r="E27" i="3"/>
  <c r="K27" i="3" s="1"/>
  <c r="CL29" i="3"/>
  <c r="AD30" i="3"/>
  <c r="AC30" i="3" s="1"/>
  <c r="H30" i="3" s="1"/>
  <c r="AO30" i="3"/>
  <c r="BQ30" i="3"/>
  <c r="R31" i="3"/>
  <c r="AF31" i="3"/>
  <c r="E32" i="3"/>
  <c r="K32" i="3" s="1"/>
  <c r="T32" i="3"/>
  <c r="BC32" i="3"/>
  <c r="CE32" i="3"/>
  <c r="E33" i="3"/>
  <c r="K33" i="3" s="1"/>
  <c r="AO33" i="3"/>
  <c r="BO33" i="3"/>
  <c r="J34" i="3"/>
  <c r="BX35" i="3"/>
  <c r="AA37" i="3"/>
  <c r="O38" i="3"/>
  <c r="H38" i="3" s="1"/>
  <c r="I38" i="3"/>
  <c r="AA38" i="3"/>
  <c r="AM40" i="3"/>
  <c r="AH40" i="3"/>
  <c r="B40" i="3"/>
  <c r="V43" i="3"/>
  <c r="H43" i="3" s="1"/>
  <c r="AA33" i="3"/>
  <c r="J36" i="3"/>
  <c r="K36" i="3" s="1"/>
  <c r="CL36" i="3"/>
  <c r="X37" i="3"/>
  <c r="BC37" i="3"/>
  <c r="M39" i="3"/>
  <c r="O40" i="3"/>
  <c r="G40" i="3"/>
  <c r="I42" i="3"/>
  <c r="CL42" i="3"/>
  <c r="W43" i="3"/>
  <c r="I43" i="3" s="1"/>
  <c r="AK43" i="3"/>
  <c r="AJ43" i="3"/>
  <c r="AV47" i="3"/>
  <c r="CC48" i="3"/>
  <c r="BX48" i="3"/>
  <c r="T49" i="3"/>
  <c r="B49" i="3"/>
  <c r="AA50" i="3"/>
  <c r="AF50" i="3"/>
  <c r="BJ52" i="3"/>
  <c r="BX52" i="3"/>
  <c r="CC52" i="3"/>
  <c r="AT58" i="3"/>
  <c r="O49" i="3"/>
  <c r="P49" i="3"/>
  <c r="P40" i="3"/>
  <c r="AD40" i="3"/>
  <c r="AC40" i="3"/>
  <c r="G44" i="3"/>
  <c r="Y45" i="3"/>
  <c r="B45" i="3"/>
  <c r="AC46" i="3"/>
  <c r="H46" i="3" s="1"/>
  <c r="BQ46" i="3"/>
  <c r="B47" i="3"/>
  <c r="J48" i="3"/>
  <c r="K48" i="3" s="1"/>
  <c r="M50" i="3"/>
  <c r="E50" i="3"/>
  <c r="R50" i="3"/>
  <c r="B50" i="3"/>
  <c r="AD50" i="3"/>
  <c r="AC50" i="3" s="1"/>
  <c r="I53" i="3"/>
  <c r="CJ38" i="3"/>
  <c r="CE38" i="3"/>
  <c r="AJ39" i="3"/>
  <c r="H39" i="3" s="1"/>
  <c r="Y43" i="3"/>
  <c r="AT43" i="3"/>
  <c r="AO43" i="3"/>
  <c r="BC43" i="3"/>
  <c r="BV43" i="3"/>
  <c r="BQ43" i="3"/>
  <c r="BX45" i="3"/>
  <c r="G48" i="3"/>
  <c r="AD48" i="3"/>
  <c r="AC48" i="3" s="1"/>
  <c r="H48" i="3" s="1"/>
  <c r="BA48" i="3"/>
  <c r="AV48" i="3"/>
  <c r="G52" i="3"/>
  <c r="D44" i="3"/>
  <c r="CJ44" i="3"/>
  <c r="CE44" i="3"/>
  <c r="CL45" i="3"/>
  <c r="CQ45" i="3"/>
  <c r="Y46" i="3"/>
  <c r="B46" i="3"/>
  <c r="BA46" i="3"/>
  <c r="BH47" i="3"/>
  <c r="BC47" i="3"/>
  <c r="AF54" i="3"/>
  <c r="BH54" i="3"/>
  <c r="BC54" i="3"/>
  <c r="AO39" i="3"/>
  <c r="BO40" i="3"/>
  <c r="CQ40" i="3"/>
  <c r="CL40" i="3"/>
  <c r="BC42" i="3"/>
  <c r="Y44" i="3"/>
  <c r="AV46" i="3"/>
  <c r="M47" i="3"/>
  <c r="AA47" i="3"/>
  <c r="AV49" i="3"/>
  <c r="B54" i="3"/>
  <c r="AA54" i="3"/>
  <c r="BJ37" i="3"/>
  <c r="BJ40" i="3"/>
  <c r="R41" i="3"/>
  <c r="AT41" i="3"/>
  <c r="AO41" i="3"/>
  <c r="BV41" i="3"/>
  <c r="BQ41" i="3"/>
  <c r="B42" i="3"/>
  <c r="CE42" i="3"/>
  <c r="R43" i="3"/>
  <c r="J43" i="3"/>
  <c r="AC43" i="3"/>
  <c r="T44" i="3"/>
  <c r="BO45" i="3"/>
  <c r="T46" i="3"/>
  <c r="H47" i="3"/>
  <c r="BJ30" i="3"/>
  <c r="CL30" i="3"/>
  <c r="E31" i="3"/>
  <c r="K31" i="3" s="1"/>
  <c r="M31" i="3"/>
  <c r="BC31" i="3"/>
  <c r="CE31" i="3"/>
  <c r="O32" i="3"/>
  <c r="H32" i="3" s="1"/>
  <c r="AV32" i="3"/>
  <c r="BX32" i="3"/>
  <c r="AO34" i="3"/>
  <c r="BQ34" i="3"/>
  <c r="AH36" i="3"/>
  <c r="BC36" i="3"/>
  <c r="M37" i="3"/>
  <c r="E37" i="3"/>
  <c r="AH38" i="3"/>
  <c r="V40" i="3"/>
  <c r="M41" i="3"/>
  <c r="Y42" i="3"/>
  <c r="G42" i="3"/>
  <c r="BA42" i="3"/>
  <c r="G43" i="3"/>
  <c r="AF43" i="3"/>
  <c r="I44" i="3"/>
  <c r="BO44" i="3"/>
  <c r="BJ44" i="3"/>
  <c r="I47" i="3"/>
  <c r="BA49" i="3"/>
  <c r="BX49" i="3"/>
  <c r="CC49" i="3"/>
  <c r="AO35" i="3"/>
  <c r="CE35" i="3"/>
  <c r="AA36" i="3"/>
  <c r="BX36" i="3"/>
  <c r="BO37" i="3"/>
  <c r="BX37" i="3"/>
  <c r="CL37" i="3"/>
  <c r="G38" i="3"/>
  <c r="BJ38" i="3"/>
  <c r="R39" i="3"/>
  <c r="B39" i="3"/>
  <c r="AT39" i="3"/>
  <c r="BQ39" i="3"/>
  <c r="B41" i="3"/>
  <c r="I41" i="3"/>
  <c r="T42" i="3"/>
  <c r="AV42" i="3"/>
  <c r="BJ42" i="3"/>
  <c r="CC42" i="3"/>
  <c r="BX42" i="3"/>
  <c r="D43" i="3"/>
  <c r="AH43" i="3"/>
  <c r="B43" i="3"/>
  <c r="AV43" i="3"/>
  <c r="AO45" i="3"/>
  <c r="BX47" i="3"/>
  <c r="CC47" i="3"/>
  <c r="B51" i="3"/>
  <c r="M51" i="3"/>
  <c r="E51" i="3"/>
  <c r="K51" i="3" s="1"/>
  <c r="R51" i="3"/>
  <c r="CJ54" i="3"/>
  <c r="CE54" i="3"/>
  <c r="J50" i="3"/>
  <c r="CL50" i="3"/>
  <c r="CQ50" i="3"/>
  <c r="AV52" i="3"/>
  <c r="BA52" i="3"/>
  <c r="BV53" i="3"/>
  <c r="M54" i="3"/>
  <c r="E54" i="3"/>
  <c r="H57" i="3"/>
  <c r="AA49" i="3"/>
  <c r="BO50" i="3"/>
  <c r="BC53" i="3"/>
  <c r="BQ53" i="3"/>
  <c r="O54" i="3"/>
  <c r="H54" i="3" s="1"/>
  <c r="P54" i="3"/>
  <c r="I54" i="3" s="1"/>
  <c r="J54" i="3"/>
  <c r="BV55" i="3"/>
  <c r="I57" i="3"/>
  <c r="E38" i="3"/>
  <c r="K38" i="3" s="1"/>
  <c r="M38" i="3"/>
  <c r="AV38" i="3"/>
  <c r="BX38" i="3"/>
  <c r="AH39" i="3"/>
  <c r="T40" i="3"/>
  <c r="BC40" i="3"/>
  <c r="CE40" i="3"/>
  <c r="O41" i="3"/>
  <c r="H41" i="3" s="1"/>
  <c r="AH41" i="3"/>
  <c r="BJ41" i="3"/>
  <c r="CL41" i="3"/>
  <c r="E42" i="3"/>
  <c r="K42" i="3" s="1"/>
  <c r="M42" i="3"/>
  <c r="AO42" i="3"/>
  <c r="BQ42" i="3"/>
  <c r="AA43" i="3"/>
  <c r="BJ43" i="3"/>
  <c r="CL43" i="3"/>
  <c r="E44" i="3"/>
  <c r="K44" i="3" s="1"/>
  <c r="M44" i="3"/>
  <c r="AO44" i="3"/>
  <c r="I45" i="3"/>
  <c r="AH45" i="3"/>
  <c r="BQ45" i="3"/>
  <c r="M46" i="3"/>
  <c r="E46" i="3"/>
  <c r="K46" i="3" s="1"/>
  <c r="BX46" i="3"/>
  <c r="D49" i="3"/>
  <c r="G49" i="3"/>
  <c r="BJ50" i="3"/>
  <c r="J53" i="3"/>
  <c r="V53" i="3"/>
  <c r="AT53" i="3"/>
  <c r="AO53" i="3"/>
  <c r="R54" i="3"/>
  <c r="BH55" i="3"/>
  <c r="AA39" i="3"/>
  <c r="CL39" i="3"/>
  <c r="E40" i="3"/>
  <c r="K40" i="3" s="1"/>
  <c r="M40" i="3"/>
  <c r="T43" i="3"/>
  <c r="E47" i="3"/>
  <c r="K47" i="3" s="1"/>
  <c r="T47" i="3"/>
  <c r="V50" i="3"/>
  <c r="H50" i="3" s="1"/>
  <c r="W50" i="3"/>
  <c r="I50" i="3" s="1"/>
  <c r="BH51" i="3"/>
  <c r="CJ51" i="3"/>
  <c r="CE51" i="3"/>
  <c r="R52" i="3"/>
  <c r="B52" i="3"/>
  <c r="E52" i="3"/>
  <c r="K52" i="3" s="1"/>
  <c r="T54" i="3"/>
  <c r="Y54" i="3"/>
  <c r="E43" i="3"/>
  <c r="K43" i="3" s="1"/>
  <c r="E45" i="3"/>
  <c r="K45" i="3" s="1"/>
  <c r="H45" i="3"/>
  <c r="AM45" i="3"/>
  <c r="R46" i="3"/>
  <c r="AA46" i="3"/>
  <c r="AO46" i="3"/>
  <c r="AH47" i="3"/>
  <c r="CE47" i="3"/>
  <c r="I48" i="3"/>
  <c r="AO48" i="3"/>
  <c r="AT48" i="3"/>
  <c r="BQ48" i="3"/>
  <c r="BV48" i="3"/>
  <c r="Y50" i="3"/>
  <c r="BC51" i="3"/>
  <c r="M52" i="3"/>
  <c r="M53" i="3"/>
  <c r="G53" i="3"/>
  <c r="AA53" i="3"/>
  <c r="B53" i="3"/>
  <c r="E53" i="3"/>
  <c r="K53" i="3" s="1"/>
  <c r="AF53" i="3"/>
  <c r="CJ58" i="3"/>
  <c r="CE56" i="3"/>
  <c r="CJ56" i="3"/>
  <c r="BJ53" i="3"/>
  <c r="CL53" i="3"/>
  <c r="BX54" i="3"/>
  <c r="B57" i="3"/>
  <c r="R57" i="3"/>
  <c r="Y88" i="3"/>
  <c r="X49" i="3" s="1"/>
  <c r="J49" i="3" s="1"/>
  <c r="AO56" i="3"/>
  <c r="M57" i="3"/>
  <c r="AF88" i="3"/>
  <c r="AE49" i="3" s="1"/>
  <c r="E56" i="3"/>
  <c r="K56" i="3" s="1"/>
  <c r="G56" i="3"/>
  <c r="BC56" i="3"/>
  <c r="BH56" i="3"/>
  <c r="BQ56" i="3"/>
  <c r="AM88" i="3"/>
  <c r="AL49" i="3" s="1"/>
  <c r="AM49" i="3" s="1"/>
  <c r="AC53" i="3"/>
  <c r="AD53" i="3"/>
  <c r="Y56" i="3"/>
  <c r="G57" i="3"/>
  <c r="AM57" i="3"/>
  <c r="BO57" i="3"/>
  <c r="CQ57" i="3"/>
  <c r="B48" i="3"/>
  <c r="AH48" i="3"/>
  <c r="BJ48" i="3"/>
  <c r="CL48" i="3"/>
  <c r="E49" i="3"/>
  <c r="M49" i="3"/>
  <c r="BQ49" i="3"/>
  <c r="AH50" i="3"/>
  <c r="AM50" i="3"/>
  <c r="H51" i="3"/>
  <c r="BJ57" i="3"/>
  <c r="CL57" i="3"/>
  <c r="BH58" i="3"/>
  <c r="CL49" i="3"/>
  <c r="AV50" i="3"/>
  <c r="BQ50" i="3"/>
  <c r="I51" i="3"/>
  <c r="AD52" i="3"/>
  <c r="AC52" i="3" s="1"/>
  <c r="H52" i="3" s="1"/>
  <c r="BC52" i="3"/>
  <c r="CE52" i="3"/>
  <c r="AV54" i="3"/>
  <c r="CB58" i="3"/>
  <c r="CC55" i="3"/>
  <c r="B56" i="3"/>
  <c r="AA56" i="3"/>
  <c r="BJ56" i="3"/>
  <c r="CL56" i="3"/>
  <c r="AA52" i="3"/>
  <c r="CE53" i="3"/>
  <c r="BQ54" i="3"/>
  <c r="BU58" i="3"/>
  <c r="AO52" i="3"/>
  <c r="BQ52" i="3"/>
  <c r="T53" i="3"/>
  <c r="AA57" i="3"/>
  <c r="BC57" i="3"/>
  <c r="CE57" i="3"/>
  <c r="CG57" i="2"/>
  <c r="BZ57" i="2"/>
  <c r="BS57" i="2"/>
  <c r="BV57" i="2"/>
  <c r="BL57" i="2"/>
  <c r="BJ57" i="2"/>
  <c r="BE57" i="2"/>
  <c r="BH57" i="2"/>
  <c r="BA57" i="2"/>
  <c r="AX57" i="2"/>
  <c r="AQ57" i="2"/>
  <c r="AH57" i="2"/>
  <c r="AC57" i="2"/>
  <c r="AA57" i="2"/>
  <c r="V57" i="2"/>
  <c r="O57" i="2"/>
  <c r="I57" i="2"/>
  <c r="CG56" i="2"/>
  <c r="CE56" i="2"/>
  <c r="CJ56" i="2"/>
  <c r="BZ56" i="2"/>
  <c r="BS56" i="2"/>
  <c r="BL56" i="2"/>
  <c r="BO56" i="2"/>
  <c r="BE56" i="2"/>
  <c r="BC56" i="2"/>
  <c r="AX56" i="2"/>
  <c r="AV56" i="2"/>
  <c r="BA56" i="2"/>
  <c r="AQ56" i="2"/>
  <c r="AJ56" i="2"/>
  <c r="AC56" i="2"/>
  <c r="AA56" i="2"/>
  <c r="V56" i="2"/>
  <c r="O56" i="2"/>
  <c r="I56" i="2"/>
  <c r="CO55" i="2"/>
  <c r="CO58" i="2" s="1"/>
  <c r="CH55" i="2"/>
  <c r="CH58" i="2" s="1"/>
  <c r="CA55" i="2"/>
  <c r="CA58" i="2" s="1"/>
  <c r="BT55" i="2"/>
  <c r="BT58" i="2" s="1"/>
  <c r="BM55" i="2"/>
  <c r="BM58" i="2" s="1"/>
  <c r="BF55" i="2"/>
  <c r="BF58" i="2" s="1"/>
  <c r="AY55" i="2"/>
  <c r="AY58" i="2" s="1"/>
  <c r="AR55" i="2"/>
  <c r="AR58" i="2" s="1"/>
  <c r="AK55" i="2"/>
  <c r="AK58" i="2" s="1"/>
  <c r="AD55" i="2"/>
  <c r="AD58" i="2" s="1"/>
  <c r="W55" i="2"/>
  <c r="W58" i="2" s="1"/>
  <c r="P55" i="2"/>
  <c r="P58" i="2" s="1"/>
  <c r="CN54" i="2"/>
  <c r="CQ54" i="2"/>
  <c r="CG54" i="2"/>
  <c r="BZ54" i="2"/>
  <c r="BX54" i="2"/>
  <c r="CC54" i="2"/>
  <c r="BS54" i="2"/>
  <c r="BL54" i="2"/>
  <c r="BO54" i="2"/>
  <c r="BE54" i="2"/>
  <c r="AX54" i="2"/>
  <c r="AJ54" i="2"/>
  <c r="AF54" i="2"/>
  <c r="AA54" i="2"/>
  <c r="V54" i="2"/>
  <c r="O54" i="2"/>
  <c r="I54" i="2"/>
  <c r="CN53" i="2"/>
  <c r="CL53" i="2"/>
  <c r="CG53" i="2"/>
  <c r="BZ53" i="2"/>
  <c r="BS53" i="2"/>
  <c r="BL53" i="2"/>
  <c r="BO53" i="2"/>
  <c r="BE53" i="2"/>
  <c r="BA53" i="2"/>
  <c r="AV53" i="2"/>
  <c r="AQ53" i="2"/>
  <c r="AJ53" i="2"/>
  <c r="AF53" i="2"/>
  <c r="AC53" i="2"/>
  <c r="O53" i="2"/>
  <c r="I53" i="2"/>
  <c r="CN52" i="2"/>
  <c r="CG52" i="2"/>
  <c r="BZ52" i="2"/>
  <c r="BS52" i="2"/>
  <c r="BL52" i="2"/>
  <c r="BE52" i="2"/>
  <c r="AX52" i="2"/>
  <c r="AO52" i="2"/>
  <c r="AJ52" i="2"/>
  <c r="AC52" i="2"/>
  <c r="AA52" i="2"/>
  <c r="Y52" i="2"/>
  <c r="O52" i="2"/>
  <c r="R52" i="2"/>
  <c r="I52" i="2"/>
  <c r="CN51" i="2"/>
  <c r="CG51" i="2"/>
  <c r="BZ51" i="2"/>
  <c r="BS51" i="2"/>
  <c r="BE51" i="2"/>
  <c r="AX51" i="2"/>
  <c r="AQ51" i="2"/>
  <c r="AT51" i="2"/>
  <c r="AJ51" i="2"/>
  <c r="AH51" i="2"/>
  <c r="AC51" i="2"/>
  <c r="AF51" i="2"/>
  <c r="V51" i="2"/>
  <c r="O51" i="2"/>
  <c r="I51" i="2"/>
  <c r="CN50" i="2"/>
  <c r="BZ50" i="2"/>
  <c r="BS50" i="2"/>
  <c r="BQ50" i="2"/>
  <c r="BL50" i="2"/>
  <c r="BE50" i="2"/>
  <c r="AX50" i="2"/>
  <c r="AQ50" i="2"/>
  <c r="AT50" i="2"/>
  <c r="AJ50" i="2"/>
  <c r="AF50" i="2"/>
  <c r="AC50" i="2"/>
  <c r="AA50" i="2"/>
  <c r="O50" i="2"/>
  <c r="I50" i="2"/>
  <c r="CQ49" i="2"/>
  <c r="CG49" i="2"/>
  <c r="BZ49" i="2"/>
  <c r="BS49" i="2"/>
  <c r="BL49" i="2"/>
  <c r="AX49" i="2"/>
  <c r="AV49" i="2"/>
  <c r="AT49" i="2"/>
  <c r="AJ49" i="2"/>
  <c r="AH49" i="2"/>
  <c r="AC49" i="2"/>
  <c r="T49" i="2"/>
  <c r="R49" i="2"/>
  <c r="I49" i="2"/>
  <c r="CG48" i="2"/>
  <c r="CE48" i="2"/>
  <c r="BZ48" i="2"/>
  <c r="BV48" i="2"/>
  <c r="BQ48" i="2"/>
  <c r="BL48" i="2"/>
  <c r="BO48" i="2"/>
  <c r="BE48" i="2"/>
  <c r="BA48" i="2"/>
  <c r="AQ48" i="2"/>
  <c r="AJ48" i="2"/>
  <c r="AF48" i="2"/>
  <c r="AA48" i="2"/>
  <c r="V48" i="2"/>
  <c r="R48" i="2"/>
  <c r="M48" i="2"/>
  <c r="I48" i="2"/>
  <c r="CN47" i="2"/>
  <c r="CG47" i="2"/>
  <c r="CJ47" i="2"/>
  <c r="CC47" i="2"/>
  <c r="BZ47" i="2"/>
  <c r="BX47" i="2"/>
  <c r="BS47" i="2"/>
  <c r="BO47" i="2"/>
  <c r="BL47" i="2"/>
  <c r="BE47" i="2"/>
  <c r="AX47" i="2"/>
  <c r="AV47" i="2"/>
  <c r="AQ47" i="2"/>
  <c r="AJ47" i="2"/>
  <c r="AF47" i="2"/>
  <c r="AC47" i="2"/>
  <c r="V47" i="2"/>
  <c r="O47" i="2"/>
  <c r="R47" i="2"/>
  <c r="I47" i="2"/>
  <c r="CN46" i="2"/>
  <c r="CG46" i="2"/>
  <c r="BZ46" i="2"/>
  <c r="BV46" i="2"/>
  <c r="BS46" i="2"/>
  <c r="BQ46" i="2"/>
  <c r="BL46" i="2"/>
  <c r="BO46" i="2"/>
  <c r="BE46" i="2"/>
  <c r="AX46" i="2"/>
  <c r="AQ46" i="2"/>
  <c r="AT46" i="2"/>
  <c r="AJ46" i="2"/>
  <c r="AM46" i="2"/>
  <c r="AF46" i="2"/>
  <c r="AC46" i="2"/>
  <c r="V46" i="2"/>
  <c r="Y46" i="2"/>
  <c r="R46" i="2"/>
  <c r="O46" i="2"/>
  <c r="M46" i="2"/>
  <c r="I46" i="2"/>
  <c r="CN45" i="2"/>
  <c r="CG45" i="2"/>
  <c r="BZ45" i="2"/>
  <c r="BS45" i="2"/>
  <c r="BQ45" i="2"/>
  <c r="BV45" i="2"/>
  <c r="BL45" i="2"/>
  <c r="BO45" i="2"/>
  <c r="BE45" i="2"/>
  <c r="AX45" i="2"/>
  <c r="AQ45" i="2"/>
  <c r="AJ45" i="2"/>
  <c r="AM45" i="2"/>
  <c r="AC45" i="2"/>
  <c r="V45" i="2"/>
  <c r="O45" i="2"/>
  <c r="I45" i="2"/>
  <c r="CN44" i="2"/>
  <c r="CJ44" i="2"/>
  <c r="CG44" i="2"/>
  <c r="BZ44" i="2"/>
  <c r="BS44" i="2"/>
  <c r="BL44" i="2"/>
  <c r="BO44" i="2"/>
  <c r="BE44" i="2"/>
  <c r="BH44" i="2"/>
  <c r="AX44" i="2"/>
  <c r="AT44" i="2"/>
  <c r="AQ44" i="2"/>
  <c r="AO44" i="2"/>
  <c r="AJ44" i="2"/>
  <c r="AH44" i="2"/>
  <c r="AF44" i="2"/>
  <c r="AC44" i="2"/>
  <c r="V44" i="2"/>
  <c r="O44" i="2"/>
  <c r="I44" i="2"/>
  <c r="CN43" i="2"/>
  <c r="CG43" i="2"/>
  <c r="BZ43" i="2"/>
  <c r="BX43" i="2"/>
  <c r="BS43" i="2"/>
  <c r="BL43" i="2"/>
  <c r="BO43" i="2"/>
  <c r="BC43" i="2"/>
  <c r="AX43" i="2"/>
  <c r="AQ43" i="2"/>
  <c r="AC43" i="2"/>
  <c r="AA43" i="2"/>
  <c r="V43" i="2"/>
  <c r="O43" i="2"/>
  <c r="R43" i="2"/>
  <c r="I43" i="2"/>
  <c r="CN42" i="2"/>
  <c r="CG42" i="2"/>
  <c r="CE42" i="2"/>
  <c r="BZ42" i="2"/>
  <c r="BV42" i="2"/>
  <c r="BS42" i="2"/>
  <c r="BQ42" i="2"/>
  <c r="BL42" i="2"/>
  <c r="BO42" i="2"/>
  <c r="BE42" i="2"/>
  <c r="BH42" i="2"/>
  <c r="AX42" i="2"/>
  <c r="BA42" i="2"/>
  <c r="AQ42" i="2"/>
  <c r="AJ42" i="2"/>
  <c r="AH42" i="2"/>
  <c r="AM42" i="2"/>
  <c r="AC42" i="2"/>
  <c r="AF42" i="2"/>
  <c r="V42" i="2"/>
  <c r="O42" i="2"/>
  <c r="R42" i="2"/>
  <c r="J42" i="2"/>
  <c r="I42" i="2"/>
  <c r="CN41" i="2"/>
  <c r="CL41" i="2"/>
  <c r="CQ41" i="2"/>
  <c r="CG41" i="2"/>
  <c r="CC41" i="2"/>
  <c r="BZ41" i="2"/>
  <c r="BX41" i="2"/>
  <c r="BS41" i="2"/>
  <c r="BV41" i="2"/>
  <c r="BL41" i="2"/>
  <c r="BE41" i="2"/>
  <c r="AX41" i="2"/>
  <c r="AQ41" i="2"/>
  <c r="AT41" i="2"/>
  <c r="AJ41" i="2"/>
  <c r="AM41" i="2"/>
  <c r="AC41" i="2"/>
  <c r="AF41" i="2"/>
  <c r="V41" i="2"/>
  <c r="O41" i="2"/>
  <c r="R41" i="2"/>
  <c r="J41" i="2"/>
  <c r="I41" i="2"/>
  <c r="CN40" i="2"/>
  <c r="CQ40" i="2"/>
  <c r="CG40" i="2"/>
  <c r="BZ40" i="2"/>
  <c r="BS40" i="2"/>
  <c r="BL40" i="2"/>
  <c r="BO40" i="2"/>
  <c r="BE40" i="2"/>
  <c r="AX40" i="2"/>
  <c r="AQ40" i="2"/>
  <c r="AJ40" i="2"/>
  <c r="AC40" i="2"/>
  <c r="O40" i="2"/>
  <c r="I40" i="2"/>
  <c r="CN39" i="2"/>
  <c r="CG39" i="2"/>
  <c r="BZ39" i="2"/>
  <c r="BL39" i="2"/>
  <c r="BE39" i="2"/>
  <c r="BC39" i="2"/>
  <c r="AX39" i="2"/>
  <c r="AQ39" i="2"/>
  <c r="AJ39" i="2"/>
  <c r="AC39" i="2"/>
  <c r="AF39" i="2"/>
  <c r="V39" i="2"/>
  <c r="O39" i="2"/>
  <c r="I39" i="2"/>
  <c r="CN38" i="2"/>
  <c r="CG38" i="2"/>
  <c r="BZ38" i="2"/>
  <c r="CC38" i="2"/>
  <c r="BS38" i="2"/>
  <c r="BL38" i="2"/>
  <c r="BE38" i="2"/>
  <c r="AX38" i="2"/>
  <c r="AQ38" i="2"/>
  <c r="AJ38" i="2"/>
  <c r="AC38" i="2"/>
  <c r="V38" i="2"/>
  <c r="O38" i="2"/>
  <c r="I38" i="2"/>
  <c r="CN37" i="2"/>
  <c r="CG37" i="2"/>
  <c r="CJ37" i="2"/>
  <c r="BZ37" i="2"/>
  <c r="BS37" i="2"/>
  <c r="BL37" i="2"/>
  <c r="AX37" i="2"/>
  <c r="AQ37" i="2"/>
  <c r="AC37" i="2"/>
  <c r="V37" i="2"/>
  <c r="O37" i="2"/>
  <c r="I37" i="2"/>
  <c r="CN36" i="2"/>
  <c r="CG36" i="2"/>
  <c r="BZ36" i="2"/>
  <c r="BS36" i="2"/>
  <c r="BL36" i="2"/>
  <c r="BE36" i="2"/>
  <c r="AQ36" i="2"/>
  <c r="AJ36" i="2"/>
  <c r="AM36" i="2"/>
  <c r="AC36" i="2"/>
  <c r="V36" i="2"/>
  <c r="O36" i="2"/>
  <c r="I36" i="2"/>
  <c r="CQ35" i="2"/>
  <c r="CN35" i="2"/>
  <c r="CG35" i="2"/>
  <c r="CC35" i="2"/>
  <c r="BZ35" i="2"/>
  <c r="BX35" i="2"/>
  <c r="BS35" i="2"/>
  <c r="BV35" i="2"/>
  <c r="BL35" i="2"/>
  <c r="BO35" i="2"/>
  <c r="BE35" i="2"/>
  <c r="BC35" i="2"/>
  <c r="BH35" i="2"/>
  <c r="AX35" i="2"/>
  <c r="BA35" i="2"/>
  <c r="AQ35" i="2"/>
  <c r="AT35" i="2"/>
  <c r="AJ35" i="2"/>
  <c r="AC35" i="2"/>
  <c r="V35" i="2"/>
  <c r="O35" i="2"/>
  <c r="R35" i="2"/>
  <c r="J35" i="2"/>
  <c r="I35" i="2"/>
  <c r="CN34" i="2"/>
  <c r="CG34" i="2"/>
  <c r="CJ34" i="2"/>
  <c r="CC34" i="2"/>
  <c r="BZ34" i="2"/>
  <c r="BX34" i="2"/>
  <c r="BS34" i="2"/>
  <c r="BO34" i="2"/>
  <c r="BL34" i="2"/>
  <c r="BJ34" i="2"/>
  <c r="BE34" i="2"/>
  <c r="AX34" i="2"/>
  <c r="BA34" i="2"/>
  <c r="AQ34" i="2"/>
  <c r="AJ34" i="2"/>
  <c r="AC34" i="2"/>
  <c r="V34" i="2"/>
  <c r="O34" i="2"/>
  <c r="J34" i="2"/>
  <c r="I34" i="2"/>
  <c r="CN33" i="2"/>
  <c r="CG33" i="2"/>
  <c r="BZ33" i="2"/>
  <c r="BX33" i="2"/>
  <c r="CC33" i="2"/>
  <c r="BS33" i="2"/>
  <c r="BV33" i="2"/>
  <c r="BL33" i="2"/>
  <c r="BE33" i="2"/>
  <c r="AX33" i="2"/>
  <c r="AQ33" i="2"/>
  <c r="AM33" i="2"/>
  <c r="AJ33" i="2"/>
  <c r="AC33" i="2"/>
  <c r="AF33" i="2"/>
  <c r="V33" i="2"/>
  <c r="Y33" i="2"/>
  <c r="Q33" i="2"/>
  <c r="J33" i="2" s="1"/>
  <c r="I33" i="2"/>
  <c r="CN32" i="2"/>
  <c r="CQ32" i="2"/>
  <c r="CG32" i="2"/>
  <c r="CJ32" i="2"/>
  <c r="BZ32" i="2"/>
  <c r="BS32" i="2"/>
  <c r="BL32" i="2"/>
  <c r="BH32" i="2"/>
  <c r="BE32" i="2"/>
  <c r="AX32" i="2"/>
  <c r="AQ32" i="2"/>
  <c r="AL32" i="2"/>
  <c r="AJ32" i="2" s="1"/>
  <c r="AE32" i="2"/>
  <c r="AC32" i="2"/>
  <c r="X32" i="2"/>
  <c r="V32" i="2" s="1"/>
  <c r="Q32" i="2"/>
  <c r="O32" i="2"/>
  <c r="M32" i="2"/>
  <c r="J32" i="2"/>
  <c r="I32" i="2"/>
  <c r="CN31" i="2"/>
  <c r="CG31" i="2"/>
  <c r="CJ31" i="2"/>
  <c r="BZ31" i="2"/>
  <c r="BS31" i="2"/>
  <c r="BL31" i="2"/>
  <c r="BO31" i="2"/>
  <c r="BE31" i="2"/>
  <c r="AV31" i="2"/>
  <c r="AQ31" i="2"/>
  <c r="AJ31" i="2"/>
  <c r="AC31" i="2"/>
  <c r="V31" i="2"/>
  <c r="O31" i="2"/>
  <c r="M31" i="2"/>
  <c r="I31" i="2"/>
  <c r="CN30" i="2"/>
  <c r="CQ30" i="2"/>
  <c r="CG30" i="2"/>
  <c r="BZ30" i="2"/>
  <c r="BS30" i="2"/>
  <c r="BQ30" i="2"/>
  <c r="BL30" i="2"/>
  <c r="BE30" i="2"/>
  <c r="AX30" i="2"/>
  <c r="AQ30" i="2"/>
  <c r="AO30" i="2"/>
  <c r="AJ30" i="2"/>
  <c r="AC30" i="2"/>
  <c r="V30" i="2"/>
  <c r="O30" i="2"/>
  <c r="I30" i="2"/>
  <c r="CN29" i="2"/>
  <c r="CQ29" i="2"/>
  <c r="CG29" i="2"/>
  <c r="BZ29" i="2"/>
  <c r="BS29" i="2"/>
  <c r="BL29" i="2"/>
  <c r="BE29" i="2"/>
  <c r="BA29" i="2"/>
  <c r="AX29" i="2"/>
  <c r="AQ29" i="2"/>
  <c r="AJ29" i="2"/>
  <c r="AM29" i="2"/>
  <c r="AC29" i="2"/>
  <c r="V29" i="2"/>
  <c r="Y29" i="2"/>
  <c r="O29" i="2"/>
  <c r="R29" i="2"/>
  <c r="J29" i="2"/>
  <c r="I29" i="2"/>
  <c r="CN28" i="2"/>
  <c r="CG28" i="2"/>
  <c r="BZ28" i="2"/>
  <c r="CC28" i="2"/>
  <c r="BS28" i="2"/>
  <c r="BV28" i="2"/>
  <c r="BL28" i="2"/>
  <c r="BE28" i="2"/>
  <c r="AX28" i="2"/>
  <c r="AQ28" i="2"/>
  <c r="AJ28" i="2"/>
  <c r="AC28" i="2"/>
  <c r="V28" i="2"/>
  <c r="Y28" i="2"/>
  <c r="O28" i="2"/>
  <c r="J28" i="2"/>
  <c r="I28" i="2"/>
  <c r="CN27" i="2"/>
  <c r="CJ27" i="2"/>
  <c r="CG27" i="2"/>
  <c r="BZ27" i="2"/>
  <c r="BS27" i="2"/>
  <c r="BV27" i="2"/>
  <c r="BL27" i="2"/>
  <c r="BJ27" i="2"/>
  <c r="BO27" i="2"/>
  <c r="BE27" i="2"/>
  <c r="BH27" i="2"/>
  <c r="AX27" i="2"/>
  <c r="AV27" i="2"/>
  <c r="BA27" i="2"/>
  <c r="AQ27" i="2"/>
  <c r="AT27" i="2"/>
  <c r="AJ27" i="2"/>
  <c r="AC27" i="2"/>
  <c r="V27" i="2"/>
  <c r="R27" i="2"/>
  <c r="O27" i="2"/>
  <c r="J27" i="2"/>
  <c r="I27" i="2"/>
  <c r="CQ26" i="2"/>
  <c r="CN26" i="2"/>
  <c r="CL26" i="2"/>
  <c r="CG26" i="2"/>
  <c r="BZ26" i="2"/>
  <c r="BV26" i="2"/>
  <c r="BS26" i="2"/>
  <c r="BL26" i="2"/>
  <c r="BE26" i="2"/>
  <c r="BH26" i="2"/>
  <c r="AX26" i="2"/>
  <c r="AQ26" i="2"/>
  <c r="AT26" i="2"/>
  <c r="AJ26" i="2"/>
  <c r="AC26" i="2"/>
  <c r="AF26" i="2"/>
  <c r="V26" i="2"/>
  <c r="O26" i="2"/>
  <c r="R26" i="2"/>
  <c r="J26" i="2"/>
  <c r="I26" i="2"/>
  <c r="CN25" i="2"/>
  <c r="CL25" i="2"/>
  <c r="CQ25" i="2"/>
  <c r="CG25" i="2"/>
  <c r="BZ25" i="2"/>
  <c r="BS25" i="2"/>
  <c r="BV25" i="2"/>
  <c r="BL25" i="2"/>
  <c r="BE25" i="2"/>
  <c r="AX25" i="2"/>
  <c r="AQ25" i="2"/>
  <c r="AJ25" i="2"/>
  <c r="AM25" i="2"/>
  <c r="AC25" i="2"/>
  <c r="Y25" i="2"/>
  <c r="V25" i="2"/>
  <c r="T25" i="2"/>
  <c r="O25" i="2"/>
  <c r="J25" i="2"/>
  <c r="I25" i="2"/>
  <c r="CN24" i="2"/>
  <c r="CG24" i="2"/>
  <c r="BZ24" i="2"/>
  <c r="BV24" i="2"/>
  <c r="BS24" i="2"/>
  <c r="BL24" i="2"/>
  <c r="BE24" i="2"/>
  <c r="AX24" i="2"/>
  <c r="AQ24" i="2"/>
  <c r="AJ24" i="2"/>
  <c r="AC24" i="2"/>
  <c r="AF24" i="2"/>
  <c r="V24" i="2"/>
  <c r="O24" i="2"/>
  <c r="J24" i="2"/>
  <c r="I24" i="2"/>
  <c r="CN23" i="2"/>
  <c r="CG23" i="2"/>
  <c r="BZ23" i="2"/>
  <c r="CC23" i="2"/>
  <c r="BV23" i="2"/>
  <c r="BS23" i="2"/>
  <c r="BL23" i="2"/>
  <c r="BE23" i="2"/>
  <c r="BA23" i="2"/>
  <c r="AX23" i="2"/>
  <c r="AV23" i="2"/>
  <c r="AQ23" i="2"/>
  <c r="AJ23" i="2"/>
  <c r="AM23" i="2"/>
  <c r="AC23" i="2"/>
  <c r="V23" i="2"/>
  <c r="Y23" i="2"/>
  <c r="O23" i="2"/>
  <c r="J23" i="2"/>
  <c r="I23" i="2"/>
  <c r="CN22" i="2"/>
  <c r="CQ22" i="2"/>
  <c r="CG22" i="2"/>
  <c r="BZ22" i="2"/>
  <c r="CC22" i="2"/>
  <c r="BS22" i="2"/>
  <c r="BV22" i="2"/>
  <c r="BL22" i="2"/>
  <c r="BO22" i="2"/>
  <c r="BE22" i="2"/>
  <c r="BA22" i="2"/>
  <c r="AX22" i="2"/>
  <c r="AQ22" i="2"/>
  <c r="AJ22" i="2"/>
  <c r="AH22" i="2"/>
  <c r="AM22" i="2"/>
  <c r="AC22" i="2"/>
  <c r="V22" i="2"/>
  <c r="O22" i="2"/>
  <c r="J22" i="2"/>
  <c r="I22" i="2"/>
  <c r="CN21" i="2"/>
  <c r="CG21" i="2"/>
  <c r="BZ21" i="2"/>
  <c r="BS21" i="2"/>
  <c r="BV21" i="2"/>
  <c r="BL21" i="2"/>
  <c r="BE21" i="2"/>
  <c r="BH21" i="2"/>
  <c r="AX21" i="2"/>
  <c r="AQ21" i="2"/>
  <c r="AJ21" i="2"/>
  <c r="AM21" i="2"/>
  <c r="AC21" i="2"/>
  <c r="AA21" i="2"/>
  <c r="V21" i="2"/>
  <c r="Y21" i="2"/>
  <c r="O21" i="2"/>
  <c r="R21" i="2"/>
  <c r="J21" i="2"/>
  <c r="I21" i="2"/>
  <c r="CN20" i="2"/>
  <c r="CG20" i="2"/>
  <c r="BZ20" i="2"/>
  <c r="CC20" i="2"/>
  <c r="BS20" i="2"/>
  <c r="BL20" i="2"/>
  <c r="BO20" i="2"/>
  <c r="BE20" i="2"/>
  <c r="BH20" i="2"/>
  <c r="BA20" i="2"/>
  <c r="AX20" i="2"/>
  <c r="AQ20" i="2"/>
  <c r="AJ20" i="2"/>
  <c r="E20" i="2"/>
  <c r="K20" i="2" s="1"/>
  <c r="AC20" i="2"/>
  <c r="AF20" i="2"/>
  <c r="V20" i="2"/>
  <c r="O20" i="2"/>
  <c r="J20" i="2"/>
  <c r="I20" i="2"/>
  <c r="CQ19" i="2"/>
  <c r="CN19" i="2"/>
  <c r="CG19" i="2"/>
  <c r="CJ19" i="2"/>
  <c r="BZ19" i="2"/>
  <c r="CC19" i="2"/>
  <c r="BS19" i="2"/>
  <c r="BL19" i="2"/>
  <c r="BE19" i="2"/>
  <c r="AX19" i="2"/>
  <c r="AQ19" i="2"/>
  <c r="AO19" i="2"/>
  <c r="AT19" i="2"/>
  <c r="AJ19" i="2"/>
  <c r="AF19" i="2"/>
  <c r="AC19" i="2"/>
  <c r="AA19" i="2"/>
  <c r="V19" i="2"/>
  <c r="O19" i="2"/>
  <c r="R19" i="2"/>
  <c r="J19" i="2"/>
  <c r="I19" i="2"/>
  <c r="CN18" i="2"/>
  <c r="CG18" i="2"/>
  <c r="CE18" i="2"/>
  <c r="CJ18" i="2"/>
  <c r="BZ18" i="2"/>
  <c r="BS18" i="2"/>
  <c r="BV18" i="2"/>
  <c r="BL18" i="2"/>
  <c r="BO18" i="2"/>
  <c r="BE18" i="2"/>
  <c r="AX18" i="2"/>
  <c r="BA18" i="2"/>
  <c r="AT18" i="2"/>
  <c r="AQ18" i="2"/>
  <c r="AJ18" i="2"/>
  <c r="AM18" i="2"/>
  <c r="AC18" i="2"/>
  <c r="V18" i="2"/>
  <c r="Y18" i="2"/>
  <c r="O18" i="2"/>
  <c r="J18" i="2"/>
  <c r="I18" i="2"/>
  <c r="CN17" i="2"/>
  <c r="CG17" i="2"/>
  <c r="BZ17" i="2"/>
  <c r="BS17" i="2"/>
  <c r="BL17" i="2"/>
  <c r="BO17" i="2"/>
  <c r="BE17" i="2"/>
  <c r="AX17" i="2"/>
  <c r="BA17" i="2"/>
  <c r="AQ17" i="2"/>
  <c r="AM17" i="2"/>
  <c r="AJ17" i="2"/>
  <c r="AH17" i="2"/>
  <c r="AC17" i="2"/>
  <c r="V17" i="2"/>
  <c r="Y17" i="2"/>
  <c r="O17" i="2"/>
  <c r="R17" i="2"/>
  <c r="J17" i="2"/>
  <c r="I17" i="2"/>
  <c r="CN16" i="2"/>
  <c r="CG16" i="2"/>
  <c r="BZ16" i="2"/>
  <c r="BS16" i="2"/>
  <c r="BL16" i="2"/>
  <c r="BJ16" i="2"/>
  <c r="BE16" i="2"/>
  <c r="AX16" i="2"/>
  <c r="AQ16" i="2"/>
  <c r="AO16" i="2"/>
  <c r="AJ16" i="2"/>
  <c r="AC16" i="2"/>
  <c r="V16" i="2"/>
  <c r="Y16" i="2"/>
  <c r="O16" i="2"/>
  <c r="I16" i="2"/>
  <c r="CN15" i="2"/>
  <c r="CL15" i="2"/>
  <c r="CG15" i="2"/>
  <c r="CE15" i="2"/>
  <c r="BZ15" i="2"/>
  <c r="BS15" i="2"/>
  <c r="BL15" i="2"/>
  <c r="BE15" i="2"/>
  <c r="BC15" i="2"/>
  <c r="AX15" i="2"/>
  <c r="AQ15" i="2"/>
  <c r="AJ15" i="2"/>
  <c r="AC15" i="2"/>
  <c r="V15" i="2"/>
  <c r="I15" i="2"/>
  <c r="CN14" i="2"/>
  <c r="CG14" i="2"/>
  <c r="BZ14" i="2"/>
  <c r="BS14" i="2"/>
  <c r="BL14" i="2"/>
  <c r="BE14" i="2"/>
  <c r="AX14" i="2"/>
  <c r="AQ14" i="2"/>
  <c r="AJ14" i="2"/>
  <c r="AC14" i="2"/>
  <c r="V14" i="2"/>
  <c r="O14" i="2"/>
  <c r="M14" i="2"/>
  <c r="I14" i="2"/>
  <c r="CN13" i="2"/>
  <c r="CQ13" i="2"/>
  <c r="CG13" i="2"/>
  <c r="BZ13" i="2"/>
  <c r="CC13" i="2"/>
  <c r="BS13" i="2"/>
  <c r="BL13" i="2"/>
  <c r="BE13" i="2"/>
  <c r="AX13" i="2"/>
  <c r="AQ13" i="2"/>
  <c r="AJ13" i="2"/>
  <c r="V13" i="2"/>
  <c r="I13" i="2"/>
  <c r="CN12" i="2"/>
  <c r="CG12" i="2"/>
  <c r="CE12" i="2"/>
  <c r="BZ12" i="2"/>
  <c r="BS12" i="2"/>
  <c r="BL12" i="2"/>
  <c r="BJ12" i="2"/>
  <c r="BE12" i="2"/>
  <c r="BC12" i="2"/>
  <c r="AX12" i="2"/>
  <c r="AQ12" i="2"/>
  <c r="AO12" i="2"/>
  <c r="AJ12" i="2"/>
  <c r="AH12" i="2"/>
  <c r="AC12" i="2"/>
  <c r="AF12" i="2"/>
  <c r="V12" i="2"/>
  <c r="O12" i="2"/>
  <c r="I12" i="2"/>
  <c r="CN11" i="2"/>
  <c r="CL11" i="2"/>
  <c r="CG11" i="2"/>
  <c r="CJ11" i="2"/>
  <c r="BZ11" i="2"/>
  <c r="CC11" i="2"/>
  <c r="BS11" i="2"/>
  <c r="BO11" i="2"/>
  <c r="BL11" i="2"/>
  <c r="BJ11" i="2"/>
  <c r="BE11" i="2"/>
  <c r="BH11" i="2"/>
  <c r="BA11" i="2"/>
  <c r="AX11" i="2"/>
  <c r="AQ11" i="2"/>
  <c r="AJ11" i="2"/>
  <c r="AC11" i="2"/>
  <c r="AF11" i="2"/>
  <c r="V11" i="2"/>
  <c r="I11" i="2"/>
  <c r="CN10" i="2"/>
  <c r="CL10" i="2"/>
  <c r="CG10" i="2"/>
  <c r="BZ10" i="2"/>
  <c r="CC10" i="2"/>
  <c r="BS10" i="2"/>
  <c r="BQ10" i="2"/>
  <c r="BL10" i="2"/>
  <c r="BE10" i="2"/>
  <c r="AX10" i="2"/>
  <c r="AV10" i="2"/>
  <c r="AQ10" i="2"/>
  <c r="AJ10" i="2"/>
  <c r="AC10" i="2"/>
  <c r="AF10" i="2"/>
  <c r="O10" i="2"/>
  <c r="R10" i="2"/>
  <c r="I10" i="2"/>
  <c r="CN9" i="2"/>
  <c r="CQ9" i="2"/>
  <c r="CG9" i="2"/>
  <c r="BS9" i="2"/>
  <c r="BV9" i="2"/>
  <c r="BO9" i="2"/>
  <c r="BL9" i="2"/>
  <c r="AV9" i="2"/>
  <c r="AQ9" i="2"/>
  <c r="AJ9" i="2"/>
  <c r="AC9" i="2"/>
  <c r="Y9" i="2"/>
  <c r="T9" i="2"/>
  <c r="O9" i="2"/>
  <c r="I9" i="2"/>
  <c r="CN8" i="2"/>
  <c r="CQ8" i="2"/>
  <c r="CG8" i="2"/>
  <c r="CE8" i="2"/>
  <c r="BZ8" i="2"/>
  <c r="BV8" i="2"/>
  <c r="BS8" i="2"/>
  <c r="BQ8" i="2"/>
  <c r="BL8" i="2"/>
  <c r="BJ8" i="2"/>
  <c r="BE8" i="2"/>
  <c r="AX8" i="2"/>
  <c r="AQ8" i="2"/>
  <c r="AT8" i="2"/>
  <c r="AJ8" i="2"/>
  <c r="AC8" i="2"/>
  <c r="AF8" i="2"/>
  <c r="Y8" i="2"/>
  <c r="V8" i="2"/>
  <c r="R8" i="2"/>
  <c r="I8" i="2"/>
  <c r="CG7" i="2"/>
  <c r="CE7" i="2"/>
  <c r="BZ7" i="2"/>
  <c r="BV7" i="2"/>
  <c r="BS7" i="2"/>
  <c r="BO7" i="2"/>
  <c r="BJ7" i="2"/>
  <c r="BE7" i="2"/>
  <c r="BA7" i="2"/>
  <c r="AX7" i="2"/>
  <c r="AQ7" i="2"/>
  <c r="AH7" i="2"/>
  <c r="AC7" i="2"/>
  <c r="AA7" i="2"/>
  <c r="V7" i="2"/>
  <c r="Y7" i="2"/>
  <c r="R7" i="2"/>
  <c r="I7" i="2"/>
  <c r="CQ6" i="2"/>
  <c r="CE6" i="2"/>
  <c r="BZ6" i="2"/>
  <c r="BV6" i="2"/>
  <c r="BS6" i="2"/>
  <c r="BL6" i="2"/>
  <c r="BC6" i="2"/>
  <c r="AX6" i="2"/>
  <c r="AQ6" i="2"/>
  <c r="AJ6" i="2"/>
  <c r="AF6" i="2"/>
  <c r="AA6" i="2"/>
  <c r="V6" i="2"/>
  <c r="O6" i="2"/>
  <c r="R6" i="2"/>
  <c r="I6" i="2"/>
  <c r="CN5" i="2"/>
  <c r="BZ5" i="2"/>
  <c r="BX5" i="2"/>
  <c r="BS5" i="2"/>
  <c r="BQ5" i="2"/>
  <c r="BL5" i="2"/>
  <c r="AX5" i="2"/>
  <c r="AV5" i="2"/>
  <c r="AQ5" i="2"/>
  <c r="AO5" i="2"/>
  <c r="AJ5" i="2"/>
  <c r="V5" i="2"/>
  <c r="T5" i="2"/>
  <c r="O5" i="2"/>
  <c r="M5" i="2"/>
  <c r="I5" i="2"/>
  <c r="CN4" i="2"/>
  <c r="CL4" i="2"/>
  <c r="CG4" i="2"/>
  <c r="BZ4" i="2"/>
  <c r="BS4" i="2"/>
  <c r="BL4" i="2"/>
  <c r="BJ4" i="2"/>
  <c r="BE4" i="2"/>
  <c r="BH4" i="2"/>
  <c r="AQ4" i="2"/>
  <c r="AJ4" i="2"/>
  <c r="AC4" i="2"/>
  <c r="V4" i="2"/>
  <c r="I4" i="2"/>
  <c r="CQ82" i="1"/>
  <c r="CJ82" i="1"/>
  <c r="CC82" i="1"/>
  <c r="BV82" i="1"/>
  <c r="BO82" i="1"/>
  <c r="BH82" i="1"/>
  <c r="BA82" i="1"/>
  <c r="AT82" i="1"/>
  <c r="Y78" i="1"/>
  <c r="AM77" i="1"/>
  <c r="AF77" i="1"/>
  <c r="Y77" i="1"/>
  <c r="AM76" i="1"/>
  <c r="Y76" i="1"/>
  <c r="AF75" i="1"/>
  <c r="Y75" i="1"/>
  <c r="AM74" i="1"/>
  <c r="AF74" i="1"/>
  <c r="Y74" i="1"/>
  <c r="R74" i="1"/>
  <c r="AM73" i="1"/>
  <c r="AF73" i="1"/>
  <c r="Y73" i="1"/>
  <c r="R72" i="1"/>
  <c r="AM71" i="1"/>
  <c r="AF71" i="1"/>
  <c r="R71" i="1"/>
  <c r="R70" i="1"/>
  <c r="AM69" i="1"/>
  <c r="AF69" i="1"/>
  <c r="Y69" i="1"/>
  <c r="R69" i="1"/>
  <c r="AM68" i="1"/>
  <c r="R68" i="1"/>
  <c r="AM67" i="1"/>
  <c r="AF67" i="1"/>
  <c r="Y67" i="1"/>
  <c r="R67" i="1"/>
  <c r="AF66" i="1"/>
  <c r="Y66" i="1"/>
  <c r="R66" i="1"/>
  <c r="R65" i="1"/>
  <c r="AM64" i="1"/>
  <c r="AF64" i="1"/>
  <c r="Y64" i="1"/>
  <c r="R64" i="1"/>
  <c r="AM63" i="1"/>
  <c r="AF63" i="1"/>
  <c r="Y63" i="1"/>
  <c r="R63" i="1"/>
  <c r="R62" i="1"/>
  <c r="AM61" i="1"/>
  <c r="AF61" i="1"/>
  <c r="Y61" i="1"/>
  <c r="R61" i="1"/>
  <c r="CP57" i="1"/>
  <c r="CJ57" i="1"/>
  <c r="CI57" i="1"/>
  <c r="CH57" i="1"/>
  <c r="CE57" i="1"/>
  <c r="CF57" i="1"/>
  <c r="CB57" i="1"/>
  <c r="CA57" i="1" s="1"/>
  <c r="BZ57" i="1"/>
  <c r="BU57" i="1"/>
  <c r="BR57" i="1"/>
  <c r="BN57" i="1"/>
  <c r="BK57" i="1"/>
  <c r="BJ57" i="1" s="1"/>
  <c r="BG57" i="1"/>
  <c r="BF57" i="1" s="1"/>
  <c r="BD57" i="1"/>
  <c r="AY57" i="1"/>
  <c r="AR57" i="1"/>
  <c r="AR57" i="14" s="1"/>
  <c r="AI57" i="1"/>
  <c r="AD57" i="1"/>
  <c r="W57" i="1"/>
  <c r="N57" i="1"/>
  <c r="CV56" i="1"/>
  <c r="AK56" i="1" s="1"/>
  <c r="CP56" i="1"/>
  <c r="CO56" i="1"/>
  <c r="CI56" i="1"/>
  <c r="CH56" i="1" s="1"/>
  <c r="CB56" i="1"/>
  <c r="CA56" i="1" s="1"/>
  <c r="BY56" i="1"/>
  <c r="CC56" i="1"/>
  <c r="BU56" i="1"/>
  <c r="BT56" i="1" s="1"/>
  <c r="BV56" i="1"/>
  <c r="BN56" i="1"/>
  <c r="BM56" i="1"/>
  <c r="BL56" i="1" s="1"/>
  <c r="BK56" i="1"/>
  <c r="BG56" i="1"/>
  <c r="BF56" i="1"/>
  <c r="BE56" i="1" s="1"/>
  <c r="AP56" i="1"/>
  <c r="AO56" i="1" s="1"/>
  <c r="AD56" i="1"/>
  <c r="AF56" i="1"/>
  <c r="W56" i="1"/>
  <c r="U56" i="1"/>
  <c r="CT54" i="1"/>
  <c r="CP54" i="1"/>
  <c r="CO54" i="1" s="1"/>
  <c r="CN54" i="1" s="1"/>
  <c r="CI54" i="1"/>
  <c r="CB54" i="1"/>
  <c r="CA54" i="1" s="1"/>
  <c r="BZ54" i="1" s="1"/>
  <c r="CC54" i="1"/>
  <c r="BU54" i="1"/>
  <c r="BT54" i="1" s="1"/>
  <c r="BS54" i="1" s="1"/>
  <c r="BV54" i="1"/>
  <c r="BN54" i="1"/>
  <c r="BO54" i="1"/>
  <c r="BG54" i="1"/>
  <c r="AY54" i="1"/>
  <c r="AP54" i="1"/>
  <c r="AO54" i="1" s="1"/>
  <c r="AK54" i="1"/>
  <c r="AI54" i="1"/>
  <c r="AH54" i="1" s="1"/>
  <c r="AB54" i="1"/>
  <c r="AA54" i="1" s="1"/>
  <c r="U54" i="1"/>
  <c r="CU53" i="1"/>
  <c r="CT53" i="1"/>
  <c r="CP53" i="1"/>
  <c r="CO53" i="1"/>
  <c r="CN53" i="1"/>
  <c r="CM53" i="1"/>
  <c r="CL53" i="1" s="1"/>
  <c r="CI53" i="1"/>
  <c r="CH53" i="1" s="1"/>
  <c r="CG53" i="1"/>
  <c r="CB53" i="1"/>
  <c r="CA53" i="1"/>
  <c r="BZ53" i="1" s="1"/>
  <c r="BU53" i="1"/>
  <c r="BT53" i="1"/>
  <c r="BS53" i="1"/>
  <c r="BV53" i="1"/>
  <c r="BN53" i="1"/>
  <c r="BG53" i="1"/>
  <c r="BF53" i="1"/>
  <c r="AY53" i="1"/>
  <c r="AY53" i="14" s="1"/>
  <c r="AK53" i="1"/>
  <c r="AI53" i="1"/>
  <c r="AH53" i="1" s="1"/>
  <c r="AB53" i="1"/>
  <c r="W53" i="1"/>
  <c r="V53" i="1" s="1"/>
  <c r="P53" i="1"/>
  <c r="N53" i="1"/>
  <c r="M53" i="1"/>
  <c r="CV52" i="1"/>
  <c r="CU52" i="1"/>
  <c r="CT52" i="1"/>
  <c r="W52" i="1" s="1"/>
  <c r="CS52" i="1"/>
  <c r="P52" i="1" s="1"/>
  <c r="CP52" i="1"/>
  <c r="CJ52" i="1"/>
  <c r="CI52" i="1"/>
  <c r="CH52" i="1" s="1"/>
  <c r="CB52" i="1"/>
  <c r="CA52" i="1" s="1"/>
  <c r="BZ52" i="1" s="1"/>
  <c r="BY52" i="1"/>
  <c r="BX52" i="1" s="1"/>
  <c r="BU52" i="1"/>
  <c r="BN52" i="1"/>
  <c r="BM52" i="1" s="1"/>
  <c r="BL52" i="1" s="1"/>
  <c r="BG52" i="1"/>
  <c r="BF52" i="1"/>
  <c r="BE52" i="1"/>
  <c r="BA52" i="1"/>
  <c r="AR52" i="1"/>
  <c r="AR52" i="14" s="1"/>
  <c r="U52" i="1"/>
  <c r="T52" i="1" s="1"/>
  <c r="CV51" i="1"/>
  <c r="CU51" i="1"/>
  <c r="CT51" i="1"/>
  <c r="CS51" i="1"/>
  <c r="CP51" i="1"/>
  <c r="CI51" i="1"/>
  <c r="CH51" i="1"/>
  <c r="CF51" i="1"/>
  <c r="CB51" i="1"/>
  <c r="CA51" i="1" s="1"/>
  <c r="BZ51" i="1" s="1"/>
  <c r="BU51" i="1"/>
  <c r="BT51" i="1"/>
  <c r="BR51" i="1"/>
  <c r="BQ51" i="1" s="1"/>
  <c r="BN51" i="1"/>
  <c r="BM51" i="1" s="1"/>
  <c r="BK51" i="1"/>
  <c r="BJ51" i="1" s="1"/>
  <c r="BG51" i="1"/>
  <c r="BF51" i="1" s="1"/>
  <c r="BE51" i="1" s="1"/>
  <c r="BD51" i="1"/>
  <c r="AY51" i="1"/>
  <c r="BA51" i="1"/>
  <c r="AR51" i="1"/>
  <c r="N51" i="1"/>
  <c r="CV50" i="1"/>
  <c r="CU50" i="1"/>
  <c r="CT50" i="1"/>
  <c r="CS50" i="1"/>
  <c r="CP50" i="1"/>
  <c r="CI50" i="1"/>
  <c r="CF50" i="1"/>
  <c r="CE50" i="1" s="1"/>
  <c r="CB50" i="1"/>
  <c r="CC50" i="1"/>
  <c r="BU50" i="1"/>
  <c r="BV50" i="1"/>
  <c r="BN50" i="1"/>
  <c r="BM50" i="1" s="1"/>
  <c r="BL50" i="1" s="1"/>
  <c r="BH50" i="1"/>
  <c r="BG50" i="1"/>
  <c r="BF50" i="1"/>
  <c r="BE50" i="1" s="1"/>
  <c r="BD50" i="1"/>
  <c r="BC50" i="1" s="1"/>
  <c r="AR50" i="1"/>
  <c r="AR50" i="14" s="1"/>
  <c r="W50" i="1"/>
  <c r="U50" i="1"/>
  <c r="CP49" i="1"/>
  <c r="CQ49" i="1"/>
  <c r="CI49" i="1"/>
  <c r="CH49" i="1" s="1"/>
  <c r="CF49" i="1"/>
  <c r="CE49" i="1" s="1"/>
  <c r="CB49" i="1"/>
  <c r="CA49" i="1" s="1"/>
  <c r="BZ49" i="1" s="1"/>
  <c r="BU49" i="1"/>
  <c r="BN49" i="1"/>
  <c r="BM49" i="1" s="1"/>
  <c r="BJ49" i="1"/>
  <c r="BK49" i="1"/>
  <c r="BG49" i="1"/>
  <c r="BF49" i="1" s="1"/>
  <c r="BH49" i="1"/>
  <c r="BA49" i="1"/>
  <c r="AY49" i="1"/>
  <c r="AY49" i="14" s="1"/>
  <c r="AW49" i="1"/>
  <c r="AV49" i="1" s="1"/>
  <c r="AI49" i="1"/>
  <c r="AH49" i="1" s="1"/>
  <c r="CV48" i="1"/>
  <c r="CU48" i="1"/>
  <c r="CT48" i="1"/>
  <c r="CS48" i="1"/>
  <c r="P48" i="1" s="1"/>
  <c r="CP48" i="1"/>
  <c r="CO48" i="1" s="1"/>
  <c r="CN48" i="1" s="1"/>
  <c r="CM48" i="1"/>
  <c r="CL48" i="1" s="1"/>
  <c r="CJ48" i="1"/>
  <c r="CI48" i="1"/>
  <c r="CH48" i="1" s="1"/>
  <c r="CG48" i="1" s="1"/>
  <c r="CF48" i="1"/>
  <c r="CE48" i="1" s="1"/>
  <c r="CB48" i="1"/>
  <c r="BU48" i="1"/>
  <c r="BT48" i="1"/>
  <c r="BS48" i="1" s="1"/>
  <c r="BR48" i="1"/>
  <c r="BQ48" i="1" s="1"/>
  <c r="BV48" i="1"/>
  <c r="BN48" i="1"/>
  <c r="BK48" i="1"/>
  <c r="BJ48" i="1" s="1"/>
  <c r="BG48" i="1"/>
  <c r="BF48" i="1" s="1"/>
  <c r="AY48" i="1"/>
  <c r="AY48" i="14" s="1"/>
  <c r="AR48" i="1"/>
  <c r="AI48" i="1"/>
  <c r="AH48" i="1" s="1"/>
  <c r="W48" i="1"/>
  <c r="V48" i="1" s="1"/>
  <c r="CP47" i="1"/>
  <c r="CO47" i="1"/>
  <c r="CQ47" i="1"/>
  <c r="CJ47" i="1"/>
  <c r="CI47" i="1"/>
  <c r="CH47" i="1"/>
  <c r="CG47" i="1" s="1"/>
  <c r="CB47" i="1"/>
  <c r="CA47" i="1" s="1"/>
  <c r="BZ47" i="1"/>
  <c r="BY47" i="1"/>
  <c r="BX47" i="1" s="1"/>
  <c r="CC47" i="1"/>
  <c r="BU47" i="1"/>
  <c r="BT47" i="1"/>
  <c r="BV47" i="1"/>
  <c r="BN47" i="1"/>
  <c r="BM47" i="1" s="1"/>
  <c r="BH47" i="1"/>
  <c r="BG47" i="1"/>
  <c r="BF47" i="1" s="1"/>
  <c r="BD47" i="1"/>
  <c r="AY47" i="1"/>
  <c r="BA47" i="1"/>
  <c r="AT47" i="1"/>
  <c r="AR47" i="1"/>
  <c r="AR47" i="14" s="1"/>
  <c r="AP47" i="1"/>
  <c r="AO47" i="1" s="1"/>
  <c r="AK47" i="1"/>
  <c r="AJ47" i="1" s="1"/>
  <c r="AB47" i="1"/>
  <c r="AF47" i="1"/>
  <c r="W47" i="1"/>
  <c r="V47" i="1" s="1"/>
  <c r="R47" i="1"/>
  <c r="P47" i="1"/>
  <c r="M47" i="1"/>
  <c r="N47" i="1"/>
  <c r="CP46" i="1"/>
  <c r="CO46" i="1"/>
  <c r="CN46" i="1" s="1"/>
  <c r="CQ46" i="1"/>
  <c r="CI46" i="1"/>
  <c r="CH46" i="1" s="1"/>
  <c r="CB46" i="1"/>
  <c r="BU46" i="1"/>
  <c r="BT46" i="1"/>
  <c r="BN46" i="1"/>
  <c r="BK46" i="1"/>
  <c r="BG46" i="1"/>
  <c r="BF46" i="1" s="1"/>
  <c r="AY46" i="1"/>
  <c r="AY46" i="14" s="1"/>
  <c r="AW46" i="1"/>
  <c r="AV46" i="1" s="1"/>
  <c r="BA46" i="1"/>
  <c r="AR46" i="1"/>
  <c r="AT46" i="1"/>
  <c r="AM46" i="1"/>
  <c r="AD46" i="1"/>
  <c r="P46" i="1"/>
  <c r="CP45" i="1"/>
  <c r="CQ45" i="1"/>
  <c r="CI45" i="1"/>
  <c r="CB45" i="1"/>
  <c r="CA45" i="1" s="1"/>
  <c r="BU45" i="1"/>
  <c r="BT45" i="1"/>
  <c r="BR45" i="1"/>
  <c r="BQ45" i="1" s="1"/>
  <c r="BN45" i="1"/>
  <c r="BM45" i="1"/>
  <c r="BL45" i="1" s="1"/>
  <c r="BK45" i="1"/>
  <c r="BJ45" i="1" s="1"/>
  <c r="BO45" i="1"/>
  <c r="BG45" i="1"/>
  <c r="BE45" i="1" s="1"/>
  <c r="BF45" i="1"/>
  <c r="BD45" i="1"/>
  <c r="BC45" i="1" s="1"/>
  <c r="BH45" i="1"/>
  <c r="AY45" i="1"/>
  <c r="AY45" i="14" s="1"/>
  <c r="AX45" i="1"/>
  <c r="AR45" i="1"/>
  <c r="AR45" i="14" s="1"/>
  <c r="AD45" i="1"/>
  <c r="AB45" i="1"/>
  <c r="W45" i="1"/>
  <c r="V45" i="1" s="1"/>
  <c r="U45" i="1"/>
  <c r="P45" i="1"/>
  <c r="R45" i="1"/>
  <c r="CQ44" i="1"/>
  <c r="CP44" i="1"/>
  <c r="CO44" i="1" s="1"/>
  <c r="CN44" i="1" s="1"/>
  <c r="CM44" i="1"/>
  <c r="CI44" i="1"/>
  <c r="CB44" i="1"/>
  <c r="CA44" i="1"/>
  <c r="BZ44" i="1" s="1"/>
  <c r="BY44" i="1"/>
  <c r="BX44" i="1" s="1"/>
  <c r="CC44" i="1"/>
  <c r="BU44" i="1"/>
  <c r="BV44" i="1"/>
  <c r="BN44" i="1"/>
  <c r="BM44" i="1"/>
  <c r="BL44" i="1"/>
  <c r="BO44" i="1"/>
  <c r="BG44" i="1"/>
  <c r="BF44" i="1" s="1"/>
  <c r="AR44" i="1"/>
  <c r="AR44" i="14" s="1"/>
  <c r="AM44" i="1"/>
  <c r="AK44" i="1"/>
  <c r="AI44" i="1"/>
  <c r="AD44" i="1"/>
  <c r="AF44" i="1"/>
  <c r="U44" i="1"/>
  <c r="T44" i="1" s="1"/>
  <c r="Y44" i="1"/>
  <c r="P44" i="1"/>
  <c r="O44" i="1" s="1"/>
  <c r="CV43" i="1"/>
  <c r="AK43" i="1" s="1"/>
  <c r="CU43" i="1"/>
  <c r="CT43" i="1"/>
  <c r="W43" i="1" s="1"/>
  <c r="CS43" i="1"/>
  <c r="CP43" i="1"/>
  <c r="CO43" i="1"/>
  <c r="CI43" i="1"/>
  <c r="CH43" i="1"/>
  <c r="CF43" i="1"/>
  <c r="CB43" i="1"/>
  <c r="CA43" i="1" s="1"/>
  <c r="BU43" i="1"/>
  <c r="BV43" i="1" s="1"/>
  <c r="BR43" i="1"/>
  <c r="BQ43" i="1" s="1"/>
  <c r="BN43" i="1"/>
  <c r="BM43" i="1"/>
  <c r="BL43" i="1" s="1"/>
  <c r="BG43" i="1"/>
  <c r="BF43" i="1" s="1"/>
  <c r="AY43" i="1"/>
  <c r="AW43" i="1"/>
  <c r="AB43" i="1"/>
  <c r="U43" i="1"/>
  <c r="N43" i="1"/>
  <c r="CO42" i="1"/>
  <c r="CN42" i="1" s="1"/>
  <c r="CH42" i="1"/>
  <c r="CG42" i="1"/>
  <c r="CJ42" i="1"/>
  <c r="CA42" i="1"/>
  <c r="BZ42" i="1"/>
  <c r="BY42" i="1"/>
  <c r="BV42" i="1"/>
  <c r="BT42" i="1"/>
  <c r="BS42" i="1" s="1"/>
  <c r="BR42" i="1"/>
  <c r="BO42" i="1"/>
  <c r="BM42" i="1"/>
  <c r="BL42" i="1" s="1"/>
  <c r="BK42" i="1"/>
  <c r="BJ42" i="1" s="1"/>
  <c r="BF42" i="1"/>
  <c r="BE42" i="1"/>
  <c r="BH42" i="1"/>
  <c r="AY42" i="1"/>
  <c r="AR42" i="1"/>
  <c r="AR42" i="14" s="1"/>
  <c r="AP42" i="1"/>
  <c r="AK42" i="1"/>
  <c r="AJ42" i="1" s="1"/>
  <c r="AD42" i="1"/>
  <c r="AC42" i="1"/>
  <c r="AF42" i="1"/>
  <c r="W42" i="1"/>
  <c r="V42" i="1" s="1"/>
  <c r="U42" i="1"/>
  <c r="P42" i="1"/>
  <c r="O42" i="1" s="1"/>
  <c r="J42" i="1"/>
  <c r="CO41" i="1"/>
  <c r="CN41" i="1" s="1"/>
  <c r="CH41" i="1"/>
  <c r="CG41" i="1" s="1"/>
  <c r="CF41" i="1"/>
  <c r="CE41" i="1" s="1"/>
  <c r="CA41" i="1"/>
  <c r="BZ41" i="1" s="1"/>
  <c r="BY41" i="1"/>
  <c r="BT41" i="1"/>
  <c r="BS41" i="1"/>
  <c r="BR41" i="1"/>
  <c r="BM41" i="1"/>
  <c r="BL41" i="1" s="1"/>
  <c r="BH41" i="1"/>
  <c r="BF41" i="1"/>
  <c r="BE41" i="1" s="1"/>
  <c r="BD41" i="1"/>
  <c r="BC41" i="1" s="1"/>
  <c r="AY41" i="1"/>
  <c r="AY41" i="14" s="1"/>
  <c r="AX41" i="1"/>
  <c r="AT41" i="1"/>
  <c r="AR41" i="1"/>
  <c r="AR41" i="14" s="1"/>
  <c r="AQ41" i="1"/>
  <c r="AP41" i="1"/>
  <c r="AK41" i="1"/>
  <c r="AJ41" i="1" s="1"/>
  <c r="AF41" i="1"/>
  <c r="AD41" i="1"/>
  <c r="AC41" i="1" s="1"/>
  <c r="AB41" i="1"/>
  <c r="AA41" i="1" s="1"/>
  <c r="W41" i="1"/>
  <c r="V41" i="1"/>
  <c r="Y41" i="1"/>
  <c r="P41" i="1"/>
  <c r="O41" i="1" s="1"/>
  <c r="J41" i="1"/>
  <c r="CV40" i="1"/>
  <c r="CU40" i="1"/>
  <c r="CT40" i="1"/>
  <c r="CS40" i="1"/>
  <c r="P40" i="1" s="1"/>
  <c r="O40" i="1" s="1"/>
  <c r="CP40" i="1"/>
  <c r="CO40" i="1" s="1"/>
  <c r="CN40" i="1" s="1"/>
  <c r="CM40" i="1"/>
  <c r="CI40" i="1"/>
  <c r="CF40" i="1"/>
  <c r="CE40" i="1" s="1"/>
  <c r="CB40" i="1"/>
  <c r="BU40" i="1"/>
  <c r="BT40" i="1"/>
  <c r="BS40" i="1" s="1"/>
  <c r="BV40" i="1"/>
  <c r="BN40" i="1"/>
  <c r="BM40" i="1"/>
  <c r="BG40" i="1"/>
  <c r="AY40" i="1"/>
  <c r="AY40" i="14" s="1"/>
  <c r="AM40" i="1"/>
  <c r="AI40" i="1"/>
  <c r="AD40" i="1"/>
  <c r="AB40" i="1"/>
  <c r="AA40" i="1" s="1"/>
  <c r="U40" i="1"/>
  <c r="T40" i="1" s="1"/>
  <c r="E40" i="1"/>
  <c r="CV39" i="1"/>
  <c r="CU39" i="1"/>
  <c r="CT39" i="1"/>
  <c r="CS39" i="1"/>
  <c r="P39" i="1" s="1"/>
  <c r="CP39" i="1"/>
  <c r="CO39" i="1"/>
  <c r="CI39" i="1"/>
  <c r="CH39" i="1" s="1"/>
  <c r="CG39" i="1" s="1"/>
  <c r="CB39" i="1"/>
  <c r="CA39" i="1"/>
  <c r="BZ39" i="1"/>
  <c r="CC39" i="1"/>
  <c r="BU39" i="1"/>
  <c r="BT39" i="1"/>
  <c r="BR39" i="1"/>
  <c r="BQ39" i="1" s="1"/>
  <c r="BN39" i="1"/>
  <c r="BM39" i="1"/>
  <c r="BL39" i="1"/>
  <c r="BO39" i="1"/>
  <c r="BG39" i="1"/>
  <c r="BF39" i="1"/>
  <c r="BE39" i="1" s="1"/>
  <c r="AY39" i="1"/>
  <c r="BA39" i="1"/>
  <c r="AP39" i="1"/>
  <c r="AO39" i="1" s="1"/>
  <c r="AK39" i="1"/>
  <c r="W39" i="1"/>
  <c r="U39" i="1"/>
  <c r="N39" i="1"/>
  <c r="CU38" i="1"/>
  <c r="CT38" i="1"/>
  <c r="CS38" i="1"/>
  <c r="CP38" i="1"/>
  <c r="CQ38" i="1"/>
  <c r="CI38" i="1"/>
  <c r="CH38" i="1" s="1"/>
  <c r="CB38" i="1"/>
  <c r="BZ38" i="1" s="1"/>
  <c r="CA38" i="1"/>
  <c r="BU38" i="1"/>
  <c r="BT38" i="1"/>
  <c r="BR38" i="1"/>
  <c r="BN38" i="1"/>
  <c r="BM38" i="1" s="1"/>
  <c r="BL38" i="1" s="1"/>
  <c r="BG38" i="1"/>
  <c r="AY38" i="1"/>
  <c r="AT38" i="1"/>
  <c r="AQ38" i="1"/>
  <c r="AR38" i="1"/>
  <c r="AR38" i="14" s="1"/>
  <c r="AP38" i="1"/>
  <c r="AO38" i="1" s="1"/>
  <c r="AB38" i="1"/>
  <c r="W38" i="1"/>
  <c r="N38" i="1"/>
  <c r="CT37" i="1"/>
  <c r="CS37" i="1"/>
  <c r="P37" i="1" s="1"/>
  <c r="CP37" i="1"/>
  <c r="CO37" i="1"/>
  <c r="CI37" i="1"/>
  <c r="CH37" i="1" s="1"/>
  <c r="CB37" i="1"/>
  <c r="BU37" i="1"/>
  <c r="BT37" i="1"/>
  <c r="BQ37" i="1"/>
  <c r="BR37" i="1"/>
  <c r="BN37" i="1"/>
  <c r="BM37" i="1"/>
  <c r="BL37" i="1"/>
  <c r="BG37" i="1"/>
  <c r="BD37" i="1"/>
  <c r="AW37" i="1"/>
  <c r="AV37" i="1" s="1"/>
  <c r="AP37" i="1"/>
  <c r="AO37" i="1" s="1"/>
  <c r="AB37" i="1"/>
  <c r="CV36" i="1"/>
  <c r="CU36" i="1"/>
  <c r="CT36" i="1"/>
  <c r="CS36" i="1"/>
  <c r="CP36" i="1"/>
  <c r="CQ36" i="1" s="1"/>
  <c r="CM36" i="1"/>
  <c r="CL36" i="1" s="1"/>
  <c r="CI36" i="1"/>
  <c r="CH36" i="1" s="1"/>
  <c r="CG36" i="1" s="1"/>
  <c r="CJ36" i="1"/>
  <c r="CB36" i="1"/>
  <c r="CA36" i="1"/>
  <c r="BZ36" i="1" s="1"/>
  <c r="BU36" i="1"/>
  <c r="BT36" i="1"/>
  <c r="BR36" i="1"/>
  <c r="BN36" i="1"/>
  <c r="BK36" i="1"/>
  <c r="BG36" i="1"/>
  <c r="BF36" i="1" s="1"/>
  <c r="AY36" i="1"/>
  <c r="AY36" i="14" s="1"/>
  <c r="AT36" i="1"/>
  <c r="AR36" i="1"/>
  <c r="AR36" i="14" s="1"/>
  <c r="AP36" i="1"/>
  <c r="AI36" i="1"/>
  <c r="CO35" i="1"/>
  <c r="CN35" i="1"/>
  <c r="CH35" i="1"/>
  <c r="CG35" i="1" s="1"/>
  <c r="CA35" i="1"/>
  <c r="BZ35" i="1" s="1"/>
  <c r="BY35" i="1"/>
  <c r="CC35" i="1"/>
  <c r="BT35" i="1"/>
  <c r="BS35" i="1" s="1"/>
  <c r="BV35" i="1"/>
  <c r="BM35" i="1"/>
  <c r="BL35" i="1"/>
  <c r="BK35" i="1"/>
  <c r="BJ35" i="1" s="1"/>
  <c r="BO35" i="1"/>
  <c r="BF35" i="1"/>
  <c r="BE35" i="1" s="1"/>
  <c r="BH35" i="1"/>
  <c r="BA35" i="1"/>
  <c r="AY35" i="1"/>
  <c r="AR35" i="1"/>
  <c r="AP35" i="1"/>
  <c r="AO35" i="1" s="1"/>
  <c r="AT35" i="1"/>
  <c r="AK35" i="1"/>
  <c r="AJ35" i="1" s="1"/>
  <c r="AI35" i="1"/>
  <c r="AH35" i="1" s="1"/>
  <c r="AM35" i="1"/>
  <c r="AD35" i="1"/>
  <c r="AC35" i="1" s="1"/>
  <c r="Y35" i="1"/>
  <c r="W35" i="1"/>
  <c r="V35" i="1" s="1"/>
  <c r="U35" i="1"/>
  <c r="P35" i="1"/>
  <c r="O35" i="1"/>
  <c r="J35" i="1"/>
  <c r="B35" i="1"/>
  <c r="CQ34" i="1"/>
  <c r="CO34" i="1"/>
  <c r="CN34" i="1" s="1"/>
  <c r="CH34" i="1"/>
  <c r="CG34" i="1"/>
  <c r="CJ34" i="1"/>
  <c r="CA34" i="1"/>
  <c r="BZ34" i="1" s="1"/>
  <c r="BY34" i="1"/>
  <c r="CC34" i="1"/>
  <c r="BT34" i="1"/>
  <c r="BS34" i="1" s="1"/>
  <c r="BV34" i="1"/>
  <c r="BM34" i="1"/>
  <c r="BL34" i="1" s="1"/>
  <c r="BK34" i="1"/>
  <c r="BF34" i="1"/>
  <c r="BE34" i="1" s="1"/>
  <c r="BH34" i="1"/>
  <c r="AY34" i="1"/>
  <c r="AR34" i="1"/>
  <c r="AR34" i="14" s="1"/>
  <c r="AQ34" i="1"/>
  <c r="AP34" i="1"/>
  <c r="AK34" i="1"/>
  <c r="AJ34" i="1" s="1"/>
  <c r="AM34" i="1"/>
  <c r="AD34" i="1"/>
  <c r="AC34" i="1" s="1"/>
  <c r="AF34" i="1"/>
  <c r="Y34" i="1"/>
  <c r="W34" i="1"/>
  <c r="V34" i="1" s="1"/>
  <c r="U34" i="1"/>
  <c r="P34" i="1"/>
  <c r="O34" i="1"/>
  <c r="N34" i="1"/>
  <c r="J34" i="1"/>
  <c r="CQ33" i="1"/>
  <c r="CO33" i="1"/>
  <c r="CN33" i="1" s="1"/>
  <c r="CL33" i="1"/>
  <c r="CM33" i="1"/>
  <c r="CH33" i="1"/>
  <c r="CG33" i="1"/>
  <c r="CF33" i="1"/>
  <c r="CA33" i="1"/>
  <c r="BZ33" i="1"/>
  <c r="BT33" i="1"/>
  <c r="BS33" i="1" s="1"/>
  <c r="BV33" i="1"/>
  <c r="BM33" i="1"/>
  <c r="BL33" i="1" s="1"/>
  <c r="BF33" i="1"/>
  <c r="BE33" i="1"/>
  <c r="AY33" i="1"/>
  <c r="AY33" i="14" s="1"/>
  <c r="BA33" i="1"/>
  <c r="AR33" i="1"/>
  <c r="AR33" i="14" s="1"/>
  <c r="AQ33" i="1"/>
  <c r="AT33" i="1"/>
  <c r="AM33" i="1"/>
  <c r="AK33" i="1"/>
  <c r="AJ33" i="1" s="1"/>
  <c r="AI33" i="1"/>
  <c r="AD33" i="1"/>
  <c r="AC33" i="1"/>
  <c r="Y33" i="1"/>
  <c r="W33" i="1"/>
  <c r="V33" i="1" s="1"/>
  <c r="U33" i="1"/>
  <c r="Q33" i="1"/>
  <c r="J33" i="1" s="1"/>
  <c r="P33" i="1"/>
  <c r="O33" i="1"/>
  <c r="E33" i="1"/>
  <c r="CO32" i="1"/>
  <c r="CN32" i="1"/>
  <c r="CM32" i="1"/>
  <c r="CL32" i="1" s="1"/>
  <c r="CQ32" i="1"/>
  <c r="CH32" i="1"/>
  <c r="CG32" i="1"/>
  <c r="CF32" i="1"/>
  <c r="CJ32" i="1"/>
  <c r="CA32" i="1"/>
  <c r="BZ32" i="1" s="1"/>
  <c r="BT32" i="1"/>
  <c r="BS32" i="1" s="1"/>
  <c r="BR32" i="1"/>
  <c r="BM32" i="1"/>
  <c r="BL32" i="1"/>
  <c r="BF32" i="1"/>
  <c r="BE32" i="1"/>
  <c r="BH32" i="1"/>
  <c r="AY32" i="1"/>
  <c r="AT32" i="1"/>
  <c r="AR32" i="1"/>
  <c r="AP32" i="1"/>
  <c r="AL32" i="1"/>
  <c r="AI32" i="1"/>
  <c r="AH32" i="1" s="1"/>
  <c r="AE32" i="1"/>
  <c r="AD32" i="1"/>
  <c r="AC32" i="1"/>
  <c r="AB32" i="1"/>
  <c r="AA32" i="1" s="1"/>
  <c r="X32" i="1"/>
  <c r="W32" i="1"/>
  <c r="V32" i="1" s="1"/>
  <c r="Q32" i="1"/>
  <c r="P32" i="1"/>
  <c r="O32" i="1"/>
  <c r="N32" i="1"/>
  <c r="CU31" i="1"/>
  <c r="CT31" i="1"/>
  <c r="CS31" i="1"/>
  <c r="P31" i="1" s="1"/>
  <c r="CP31" i="1"/>
  <c r="CO31" i="1" s="1"/>
  <c r="CI31" i="1"/>
  <c r="CH31" i="1"/>
  <c r="CF31" i="1"/>
  <c r="CE31" i="1" s="1"/>
  <c r="CB31" i="1"/>
  <c r="CA31" i="1"/>
  <c r="BY31" i="1"/>
  <c r="BU31" i="1"/>
  <c r="BT31" i="1"/>
  <c r="BS31" i="1"/>
  <c r="BN31" i="1"/>
  <c r="BM31" i="1"/>
  <c r="BL31" i="1" s="1"/>
  <c r="BO31" i="1"/>
  <c r="BG31" i="1"/>
  <c r="BF31" i="1" s="1"/>
  <c r="BE31" i="1" s="1"/>
  <c r="BH31" i="1"/>
  <c r="AR31" i="1"/>
  <c r="AR31" i="14" s="1"/>
  <c r="AK31" i="1"/>
  <c r="AI31" i="1"/>
  <c r="AB31" i="1"/>
  <c r="AA31" i="1" s="1"/>
  <c r="W31" i="1"/>
  <c r="U31" i="1"/>
  <c r="T31" i="1" s="1"/>
  <c r="CP30" i="1"/>
  <c r="CQ30" i="1" s="1"/>
  <c r="CO30" i="1"/>
  <c r="CM30" i="1"/>
  <c r="CL30" i="1" s="1"/>
  <c r="CI30" i="1"/>
  <c r="CH30" i="1"/>
  <c r="CG30" i="1" s="1"/>
  <c r="CB30" i="1"/>
  <c r="CA30" i="1" s="1"/>
  <c r="BZ30" i="1" s="1"/>
  <c r="BU30" i="1"/>
  <c r="BT30" i="1" s="1"/>
  <c r="BS30" i="1" s="1"/>
  <c r="BN30" i="1"/>
  <c r="BG30" i="1"/>
  <c r="BF30" i="1" s="1"/>
  <c r="AR30" i="1"/>
  <c r="AR30" i="14" s="1"/>
  <c r="AP30" i="1"/>
  <c r="AO30" i="1" s="1"/>
  <c r="AK30" i="1"/>
  <c r="AI30" i="1"/>
  <c r="AH30" i="1" s="1"/>
  <c r="AB30" i="1"/>
  <c r="U30" i="1"/>
  <c r="P30" i="1"/>
  <c r="N30" i="1"/>
  <c r="M30" i="1" s="1"/>
  <c r="CO29" i="1"/>
  <c r="CN29" i="1"/>
  <c r="CH29" i="1"/>
  <c r="CG29" i="1" s="1"/>
  <c r="CF29" i="1"/>
  <c r="CA29" i="1"/>
  <c r="BZ29" i="1" s="1"/>
  <c r="BT29" i="1"/>
  <c r="BS29" i="1" s="1"/>
  <c r="BV29" i="1"/>
  <c r="BM29" i="1"/>
  <c r="BL29" i="1"/>
  <c r="BF29" i="1"/>
  <c r="BE29" i="1" s="1"/>
  <c r="BD29" i="1"/>
  <c r="AY29" i="1"/>
  <c r="AR29" i="1"/>
  <c r="AK29" i="1"/>
  <c r="AJ29" i="1"/>
  <c r="AM29" i="1"/>
  <c r="AF29" i="1"/>
  <c r="AD29" i="1"/>
  <c r="AC29" i="1" s="1"/>
  <c r="Y29" i="1"/>
  <c r="W29" i="1"/>
  <c r="V29" i="1" s="1"/>
  <c r="U29" i="1"/>
  <c r="T29" i="1" s="1"/>
  <c r="R29" i="1"/>
  <c r="P29" i="1"/>
  <c r="O29" i="1" s="1"/>
  <c r="J29" i="1"/>
  <c r="CO28" i="1"/>
  <c r="CN28" i="1" s="1"/>
  <c r="CQ28" i="1"/>
  <c r="CH28" i="1"/>
  <c r="CG28" i="1" s="1"/>
  <c r="CA28" i="1"/>
  <c r="BZ28" i="1" s="1"/>
  <c r="BV28" i="1"/>
  <c r="BT28" i="1"/>
  <c r="BS28" i="1"/>
  <c r="BR28" i="1"/>
  <c r="BM28" i="1"/>
  <c r="BL28" i="1"/>
  <c r="BF28" i="1"/>
  <c r="BE28" i="1"/>
  <c r="BH28" i="1"/>
  <c r="AY28" i="1"/>
  <c r="AR28" i="1"/>
  <c r="AT28" i="1"/>
  <c r="AK28" i="1"/>
  <c r="AJ28" i="1"/>
  <c r="AM28" i="1"/>
  <c r="AD28" i="1"/>
  <c r="AC28" i="1"/>
  <c r="W28" i="1"/>
  <c r="P28" i="1"/>
  <c r="O28" i="1"/>
  <c r="N28" i="1"/>
  <c r="J28" i="1"/>
  <c r="CQ27" i="1"/>
  <c r="CO27" i="1"/>
  <c r="CN27" i="1"/>
  <c r="CM27" i="1"/>
  <c r="CH27" i="1"/>
  <c r="CG27" i="1"/>
  <c r="CA27" i="1"/>
  <c r="BZ27" i="1" s="1"/>
  <c r="BT27" i="1"/>
  <c r="BS27" i="1" s="1"/>
  <c r="BM27" i="1"/>
  <c r="BL27" i="1"/>
  <c r="BO27" i="1"/>
  <c r="BF27" i="1"/>
  <c r="BE27" i="1"/>
  <c r="AY27" i="1"/>
  <c r="AR27" i="1"/>
  <c r="AM27" i="1"/>
  <c r="AK27" i="1"/>
  <c r="AJ27" i="1"/>
  <c r="AI27" i="1"/>
  <c r="AD27" i="1"/>
  <c r="AC27" i="1" s="1"/>
  <c r="AB27" i="1"/>
  <c r="AF27" i="1"/>
  <c r="W27" i="1"/>
  <c r="V27" i="1" s="1"/>
  <c r="P27" i="1"/>
  <c r="O27" i="1" s="1"/>
  <c r="R27" i="1"/>
  <c r="J27" i="1"/>
  <c r="CO26" i="1"/>
  <c r="CN26" i="1" s="1"/>
  <c r="CH26" i="1"/>
  <c r="CG26" i="1"/>
  <c r="CJ26" i="1"/>
  <c r="CA26" i="1"/>
  <c r="BZ26" i="1" s="1"/>
  <c r="BT26" i="1"/>
  <c r="BS26" i="1" s="1"/>
  <c r="BM26" i="1"/>
  <c r="BL26" i="1" s="1"/>
  <c r="BK26" i="1"/>
  <c r="BF26" i="1"/>
  <c r="BE26" i="1"/>
  <c r="BD26" i="1"/>
  <c r="BC26" i="1" s="1"/>
  <c r="BH26" i="1"/>
  <c r="AY26" i="1"/>
  <c r="AR26" i="1"/>
  <c r="AK26" i="1"/>
  <c r="AJ26" i="1" s="1"/>
  <c r="AD26" i="1"/>
  <c r="AC26" i="1"/>
  <c r="AF26" i="1"/>
  <c r="W26" i="1"/>
  <c r="P26" i="1"/>
  <c r="O26" i="1"/>
  <c r="J26" i="1"/>
  <c r="CO25" i="1"/>
  <c r="CN25" i="1" s="1"/>
  <c r="CM25" i="1"/>
  <c r="CL25" i="1" s="1"/>
  <c r="CQ25" i="1"/>
  <c r="CH25" i="1"/>
  <c r="CG25" i="1" s="1"/>
  <c r="CA25" i="1"/>
  <c r="BZ25" i="1" s="1"/>
  <c r="BY25" i="1"/>
  <c r="BT25" i="1"/>
  <c r="BS25" i="1" s="1"/>
  <c r="BR25" i="1"/>
  <c r="BM25" i="1"/>
  <c r="BL25" i="1"/>
  <c r="BO25" i="1"/>
  <c r="BH25" i="1"/>
  <c r="BF25" i="1"/>
  <c r="BE25" i="1" s="1"/>
  <c r="BC25" i="1"/>
  <c r="BD25" i="1"/>
  <c r="AY25" i="1"/>
  <c r="BA25" i="1"/>
  <c r="AR25" i="1"/>
  <c r="AP25" i="1"/>
  <c r="AK25" i="1"/>
  <c r="AJ25" i="1" s="1"/>
  <c r="AI25" i="1"/>
  <c r="AM25" i="1"/>
  <c r="AD25" i="1"/>
  <c r="AC25" i="1" s="1"/>
  <c r="AB25" i="1"/>
  <c r="W25" i="1"/>
  <c r="V25" i="1" s="1"/>
  <c r="U25" i="1"/>
  <c r="T25" i="1" s="1"/>
  <c r="Y25" i="1"/>
  <c r="P25" i="1"/>
  <c r="O25" i="1" s="1"/>
  <c r="J25" i="1"/>
  <c r="CO24" i="1"/>
  <c r="CN24" i="1" s="1"/>
  <c r="CQ24" i="1"/>
  <c r="CJ24" i="1"/>
  <c r="CH24" i="1"/>
  <c r="CG24" i="1" s="1"/>
  <c r="CF24" i="1"/>
  <c r="CE24" i="1" s="1"/>
  <c r="CA24" i="1"/>
  <c r="BZ24" i="1" s="1"/>
  <c r="CC24" i="1"/>
  <c r="BT24" i="1"/>
  <c r="BS24" i="1" s="1"/>
  <c r="BR24" i="1"/>
  <c r="BO24" i="1"/>
  <c r="BM24" i="1"/>
  <c r="BL24" i="1" s="1"/>
  <c r="BF24" i="1"/>
  <c r="BE24" i="1" s="1"/>
  <c r="BH24" i="1"/>
  <c r="AY24" i="1"/>
  <c r="AW24" i="1"/>
  <c r="AV24" i="1" s="1"/>
  <c r="BA24" i="1"/>
  <c r="AR24" i="1"/>
  <c r="AT24" i="1"/>
  <c r="AK24" i="1"/>
  <c r="AJ24" i="1"/>
  <c r="AF24" i="1"/>
  <c r="AD24" i="1"/>
  <c r="AC24" i="1" s="1"/>
  <c r="AB24" i="1"/>
  <c r="AA24" i="1" s="1"/>
  <c r="W24" i="1"/>
  <c r="V24" i="1"/>
  <c r="U24" i="1"/>
  <c r="T24" i="1" s="1"/>
  <c r="Y24" i="1"/>
  <c r="P24" i="1"/>
  <c r="O24" i="1" s="1"/>
  <c r="J24" i="1"/>
  <c r="CO23" i="1"/>
  <c r="CN23" i="1"/>
  <c r="CQ23" i="1"/>
  <c r="CJ23" i="1"/>
  <c r="CH23" i="1"/>
  <c r="CG23" i="1" s="1"/>
  <c r="CA23" i="1"/>
  <c r="BZ23" i="1" s="1"/>
  <c r="BY23" i="1"/>
  <c r="BX23" i="1" s="1"/>
  <c r="CC23" i="1"/>
  <c r="BT23" i="1"/>
  <c r="BS23" i="1" s="1"/>
  <c r="BV23" i="1"/>
  <c r="BM23" i="1"/>
  <c r="BL23" i="1"/>
  <c r="BO23" i="1"/>
  <c r="BF23" i="1"/>
  <c r="BE23" i="1" s="1"/>
  <c r="BH23" i="1"/>
  <c r="AY23" i="1"/>
  <c r="BA23" i="1"/>
  <c r="AR23" i="1"/>
  <c r="AR23" i="14" s="1"/>
  <c r="AQ23" i="1"/>
  <c r="AQ23" i="14" s="1"/>
  <c r="AT23" i="1"/>
  <c r="AK23" i="1"/>
  <c r="AJ23" i="1"/>
  <c r="AI23" i="1"/>
  <c r="AH23" i="1" s="1"/>
  <c r="AF23" i="1"/>
  <c r="AD23" i="1"/>
  <c r="AC23" i="1"/>
  <c r="W23" i="1"/>
  <c r="V23" i="1" s="1"/>
  <c r="Y23" i="1"/>
  <c r="P23" i="1"/>
  <c r="O23" i="1" s="1"/>
  <c r="J23" i="1"/>
  <c r="CO22" i="1"/>
  <c r="CN22" i="1" s="1"/>
  <c r="CH22" i="1"/>
  <c r="CG22" i="1" s="1"/>
  <c r="CF22" i="1"/>
  <c r="CE22" i="1" s="1"/>
  <c r="CJ22" i="1"/>
  <c r="CC22" i="1"/>
  <c r="CA22" i="1"/>
  <c r="BZ22" i="1" s="1"/>
  <c r="BV22" i="1"/>
  <c r="BT22" i="1"/>
  <c r="BS22" i="1" s="1"/>
  <c r="BR22" i="1"/>
  <c r="BQ22" i="1"/>
  <c r="BM22" i="1"/>
  <c r="BL22" i="1" s="1"/>
  <c r="BF22" i="1"/>
  <c r="BE22" i="1"/>
  <c r="BD22" i="1"/>
  <c r="AY22" i="1"/>
  <c r="BA22" i="1"/>
  <c r="AR22" i="1"/>
  <c r="AR22" i="14" s="1"/>
  <c r="AQ22" i="1"/>
  <c r="AQ22" i="14" s="1"/>
  <c r="AT22" i="1"/>
  <c r="AK22" i="1"/>
  <c r="AJ22" i="1"/>
  <c r="AM22" i="1"/>
  <c r="AD22" i="1"/>
  <c r="AC22" i="1"/>
  <c r="AB22" i="1"/>
  <c r="AA22" i="1" s="1"/>
  <c r="AF22" i="1"/>
  <c r="W22" i="1"/>
  <c r="V22" i="1" s="1"/>
  <c r="E22" i="1"/>
  <c r="K22" i="1" s="1"/>
  <c r="P22" i="1"/>
  <c r="O22" i="1"/>
  <c r="N22" i="1"/>
  <c r="R22" i="1"/>
  <c r="J22" i="1"/>
  <c r="CO21" i="1"/>
  <c r="CN21" i="1" s="1"/>
  <c r="CQ21" i="1"/>
  <c r="CH21" i="1"/>
  <c r="CG21" i="1" s="1"/>
  <c r="CJ21" i="1"/>
  <c r="CA21" i="1"/>
  <c r="BZ21" i="1" s="1"/>
  <c r="BV21" i="1"/>
  <c r="BT21" i="1"/>
  <c r="BS21" i="1" s="1"/>
  <c r="BM21" i="1"/>
  <c r="BL21" i="1" s="1"/>
  <c r="BO21" i="1"/>
  <c r="BF21" i="1"/>
  <c r="BE21" i="1" s="1"/>
  <c r="BH21" i="1"/>
  <c r="AY21" i="1"/>
  <c r="AY21" i="14" s="1"/>
  <c r="BA21" i="1"/>
  <c r="AR21" i="1"/>
  <c r="AR21" i="14" s="1"/>
  <c r="AT21" i="1"/>
  <c r="AK21" i="1"/>
  <c r="AJ21" i="1" s="1"/>
  <c r="AM21" i="1"/>
  <c r="AD21" i="1"/>
  <c r="AC21" i="1"/>
  <c r="AF21" i="1"/>
  <c r="W21" i="1"/>
  <c r="U21" i="1"/>
  <c r="T21" i="1" s="1"/>
  <c r="P21" i="1"/>
  <c r="O21" i="1"/>
  <c r="R21" i="1"/>
  <c r="J21" i="1"/>
  <c r="CO20" i="1"/>
  <c r="CN20" i="1" s="1"/>
  <c r="CH20" i="1"/>
  <c r="CG20" i="1" s="1"/>
  <c r="CF20" i="1"/>
  <c r="CE20" i="1" s="1"/>
  <c r="CA20" i="1"/>
  <c r="BZ20" i="1" s="1"/>
  <c r="CC20" i="1"/>
  <c r="BT20" i="1"/>
  <c r="BS20" i="1" s="1"/>
  <c r="BV20" i="1"/>
  <c r="BM20" i="1"/>
  <c r="BL20" i="1" s="1"/>
  <c r="BO20" i="1"/>
  <c r="BF20" i="1"/>
  <c r="BE20" i="1" s="1"/>
  <c r="BH20" i="1"/>
  <c r="AY20" i="1"/>
  <c r="BA20" i="1"/>
  <c r="AR20" i="1"/>
  <c r="AK20" i="1"/>
  <c r="AJ20" i="1" s="1"/>
  <c r="AM20" i="1"/>
  <c r="AD20" i="1"/>
  <c r="AC20" i="1" s="1"/>
  <c r="W20" i="1"/>
  <c r="Y20" i="1"/>
  <c r="P20" i="1"/>
  <c r="O20" i="1"/>
  <c r="R20" i="1"/>
  <c r="J20" i="1"/>
  <c r="CO19" i="1"/>
  <c r="CN19" i="1" s="1"/>
  <c r="CQ19" i="1"/>
  <c r="CJ19" i="1"/>
  <c r="CH19" i="1"/>
  <c r="CG19" i="1" s="1"/>
  <c r="CC19" i="1"/>
  <c r="CA19" i="1"/>
  <c r="BZ19" i="1" s="1"/>
  <c r="BY19" i="1"/>
  <c r="BX19" i="1" s="1"/>
  <c r="BT19" i="1"/>
  <c r="BS19" i="1" s="1"/>
  <c r="BV19" i="1"/>
  <c r="BM19" i="1"/>
  <c r="BL19" i="1"/>
  <c r="BK19" i="1"/>
  <c r="BF19" i="1"/>
  <c r="BE19" i="1" s="1"/>
  <c r="BH19" i="1"/>
  <c r="AY19" i="1"/>
  <c r="BA19" i="1"/>
  <c r="AR19" i="1"/>
  <c r="AT19" i="1"/>
  <c r="AK19" i="1"/>
  <c r="AJ19" i="1"/>
  <c r="AM19" i="1"/>
  <c r="AD19" i="1"/>
  <c r="AC19" i="1" s="1"/>
  <c r="Y19" i="1"/>
  <c r="W19" i="1"/>
  <c r="V19" i="1" s="1"/>
  <c r="U19" i="1"/>
  <c r="T19" i="1" s="1"/>
  <c r="P19" i="1"/>
  <c r="O19" i="1"/>
  <c r="N19" i="1"/>
  <c r="J19" i="1"/>
  <c r="CO18" i="1"/>
  <c r="CN18" i="1" s="1"/>
  <c r="CH18" i="1"/>
  <c r="CG18" i="1"/>
  <c r="CJ18" i="1"/>
  <c r="CA18" i="1"/>
  <c r="BZ18" i="1" s="1"/>
  <c r="BT18" i="1"/>
  <c r="BS18" i="1" s="1"/>
  <c r="BR18" i="1"/>
  <c r="BV18" i="1"/>
  <c r="BM18" i="1"/>
  <c r="BL18" i="1" s="1"/>
  <c r="BO18" i="1"/>
  <c r="BF18" i="1"/>
  <c r="BE18" i="1"/>
  <c r="BH18" i="1"/>
  <c r="AY18" i="1"/>
  <c r="BA18" i="1"/>
  <c r="AR18" i="1"/>
  <c r="AT18" i="1"/>
  <c r="AK18" i="1"/>
  <c r="AJ18" i="1" s="1"/>
  <c r="AI18" i="1"/>
  <c r="AH18" i="1" s="1"/>
  <c r="AM18" i="1"/>
  <c r="AD18" i="1"/>
  <c r="AC18" i="1"/>
  <c r="Y18" i="1"/>
  <c r="W18" i="1"/>
  <c r="V18" i="1" s="1"/>
  <c r="P18" i="1"/>
  <c r="O18" i="1" s="1"/>
  <c r="R18" i="1"/>
  <c r="J18" i="1"/>
  <c r="E18" i="1"/>
  <c r="K18" i="1" s="1"/>
  <c r="CO17" i="1"/>
  <c r="CN17" i="1"/>
  <c r="CH17" i="1"/>
  <c r="CG17" i="1" s="1"/>
  <c r="CJ17" i="1"/>
  <c r="CA17" i="1"/>
  <c r="BZ17" i="1"/>
  <c r="BY17" i="1"/>
  <c r="BX17" i="1" s="1"/>
  <c r="CC17" i="1"/>
  <c r="BT17" i="1"/>
  <c r="BS17" i="1" s="1"/>
  <c r="BV17" i="1"/>
  <c r="BO17" i="1"/>
  <c r="BM17" i="1"/>
  <c r="BL17" i="1" s="1"/>
  <c r="BK17" i="1"/>
  <c r="BJ17" i="1" s="1"/>
  <c r="BF17" i="1"/>
  <c r="BE17" i="1" s="1"/>
  <c r="BH17" i="1"/>
  <c r="BA17" i="1"/>
  <c r="AY17" i="1"/>
  <c r="AY17" i="14" s="1"/>
  <c r="AW17" i="1"/>
  <c r="AR17" i="1"/>
  <c r="AT17" i="1"/>
  <c r="AM17" i="1"/>
  <c r="AK17" i="1"/>
  <c r="AJ17" i="1" s="1"/>
  <c r="AI17" i="1"/>
  <c r="AH17" i="1" s="1"/>
  <c r="AD17" i="1"/>
  <c r="AC17" i="1" s="1"/>
  <c r="AF17" i="1"/>
  <c r="W17" i="1"/>
  <c r="V17" i="1"/>
  <c r="Y17" i="1"/>
  <c r="P17" i="1"/>
  <c r="O17" i="1" s="1"/>
  <c r="J17" i="1"/>
  <c r="CV16" i="1"/>
  <c r="CU16" i="1"/>
  <c r="CT16" i="1"/>
  <c r="W16" i="1" s="1"/>
  <c r="CS16" i="1"/>
  <c r="CP16" i="1"/>
  <c r="CO16" i="1" s="1"/>
  <c r="CI16" i="1"/>
  <c r="CH16" i="1"/>
  <c r="CG16" i="1" s="1"/>
  <c r="CB16" i="1"/>
  <c r="CC16" i="1" s="1"/>
  <c r="BY16" i="1"/>
  <c r="BU16" i="1"/>
  <c r="BR16" i="1"/>
  <c r="BN16" i="1"/>
  <c r="BM16" i="1" s="1"/>
  <c r="BK16" i="1"/>
  <c r="BG16" i="1"/>
  <c r="BF16" i="1"/>
  <c r="BH16" i="1"/>
  <c r="AW16" i="1"/>
  <c r="AR16" i="1"/>
  <c r="AR16" i="14" s="1"/>
  <c r="AB16" i="1"/>
  <c r="AA16" i="1" s="1"/>
  <c r="V16" i="1"/>
  <c r="CV15" i="1"/>
  <c r="CU15" i="1"/>
  <c r="CT15" i="1"/>
  <c r="W15" i="1" s="1"/>
  <c r="CS15" i="1"/>
  <c r="CQ15" i="1"/>
  <c r="CP15" i="1"/>
  <c r="CN15" i="1" s="1"/>
  <c r="CO15" i="1"/>
  <c r="CM15" i="1"/>
  <c r="CI15" i="1"/>
  <c r="CF15" i="1"/>
  <c r="CE15" i="1" s="1"/>
  <c r="CB15" i="1"/>
  <c r="CA15" i="1" s="1"/>
  <c r="BZ15" i="1" s="1"/>
  <c r="BY15" i="1"/>
  <c r="BU15" i="1"/>
  <c r="BT15" i="1" s="1"/>
  <c r="BS15" i="1" s="1"/>
  <c r="BN15" i="1"/>
  <c r="BM15" i="1"/>
  <c r="BL15" i="1"/>
  <c r="BO15" i="1"/>
  <c r="BG15" i="1"/>
  <c r="BD15" i="1"/>
  <c r="AY15" i="1"/>
  <c r="AY15" i="14" s="1"/>
  <c r="AW15" i="1"/>
  <c r="AI15" i="1"/>
  <c r="U15" i="1"/>
  <c r="T15" i="1" s="1"/>
  <c r="E15" i="1"/>
  <c r="CV14" i="1"/>
  <c r="CU14" i="1"/>
  <c r="CT14" i="1"/>
  <c r="CS14" i="1"/>
  <c r="CP14" i="1"/>
  <c r="CO14" i="1"/>
  <c r="CM14" i="1"/>
  <c r="CL14" i="1" s="1"/>
  <c r="CI14" i="1"/>
  <c r="CH14" i="1" s="1"/>
  <c r="CC14" i="1"/>
  <c r="CB14" i="1"/>
  <c r="CA14" i="1" s="1"/>
  <c r="BZ14" i="1"/>
  <c r="BY14" i="1"/>
  <c r="BU14" i="1"/>
  <c r="BT14" i="1"/>
  <c r="BR14" i="1"/>
  <c r="BN14" i="1"/>
  <c r="BL14" i="1" s="1"/>
  <c r="BM14" i="1"/>
  <c r="BG14" i="1"/>
  <c r="BF14" i="1"/>
  <c r="BE14" i="1" s="1"/>
  <c r="AY14" i="1"/>
  <c r="AP14" i="1"/>
  <c r="AO14" i="1" s="1"/>
  <c r="AK14" i="1"/>
  <c r="U14" i="1"/>
  <c r="N14" i="1"/>
  <c r="CV13" i="1"/>
  <c r="CT13" i="1"/>
  <c r="CS13" i="1"/>
  <c r="CP13" i="1"/>
  <c r="CI13" i="1"/>
  <c r="CJ13" i="1" s="1"/>
  <c r="CB13" i="1"/>
  <c r="CA13" i="1" s="1"/>
  <c r="BU13" i="1"/>
  <c r="BV13" i="1" s="1"/>
  <c r="BT13" i="1"/>
  <c r="BS13" i="1"/>
  <c r="BR13" i="1"/>
  <c r="BN13" i="1"/>
  <c r="BM13" i="1" s="1"/>
  <c r="BG13" i="1"/>
  <c r="BF13" i="1"/>
  <c r="AX13" i="1"/>
  <c r="AY13" i="1"/>
  <c r="AY13" i="14" s="1"/>
  <c r="AW13" i="1"/>
  <c r="AV13" i="1" s="1"/>
  <c r="AR13" i="1"/>
  <c r="AR13" i="14" s="1"/>
  <c r="AQ13" i="1"/>
  <c r="AI13" i="1"/>
  <c r="AB13" i="1"/>
  <c r="P13" i="1"/>
  <c r="O13" i="1"/>
  <c r="R13" i="1"/>
  <c r="CV12" i="1"/>
  <c r="CU12" i="1"/>
  <c r="AD12" i="1" s="1"/>
  <c r="CT12" i="1"/>
  <c r="CS12" i="1"/>
  <c r="CP12" i="1"/>
  <c r="CN12" i="1" s="1"/>
  <c r="CO12" i="1"/>
  <c r="CQ12" i="1"/>
  <c r="CI12" i="1"/>
  <c r="CH12" i="1"/>
  <c r="CG12" i="1"/>
  <c r="CJ12" i="1"/>
  <c r="CB12" i="1"/>
  <c r="BU12" i="1"/>
  <c r="BQ12" i="1"/>
  <c r="BR12" i="1"/>
  <c r="BN12" i="1"/>
  <c r="BM12" i="1"/>
  <c r="BL12" i="1"/>
  <c r="BH12" i="1"/>
  <c r="BG12" i="1"/>
  <c r="BD12" i="1"/>
  <c r="AY12" i="1"/>
  <c r="AY12" i="14" s="1"/>
  <c r="AW12" i="1"/>
  <c r="AV12" i="1" s="1"/>
  <c r="AR12" i="1"/>
  <c r="AR12" i="14" s="1"/>
  <c r="AP12" i="1"/>
  <c r="AO12" i="1" s="1"/>
  <c r="AB12" i="1"/>
  <c r="U12" i="1"/>
  <c r="T12" i="1" s="1"/>
  <c r="P12" i="1"/>
  <c r="CP11" i="1"/>
  <c r="CQ11" i="1"/>
  <c r="CI11" i="1"/>
  <c r="CH11" i="1" s="1"/>
  <c r="CB11" i="1"/>
  <c r="CA11" i="1" s="1"/>
  <c r="CC11" i="1"/>
  <c r="BU11" i="1"/>
  <c r="BT11" i="1" s="1"/>
  <c r="BS11" i="1" s="1"/>
  <c r="BR11" i="1"/>
  <c r="BN11" i="1"/>
  <c r="BM11" i="1"/>
  <c r="BO11" i="1"/>
  <c r="BG11" i="1"/>
  <c r="BE11" i="1" s="1"/>
  <c r="BF11" i="1"/>
  <c r="AY11" i="1"/>
  <c r="AR11" i="1"/>
  <c r="AR11" i="14" s="1"/>
  <c r="AT11" i="1"/>
  <c r="AM11" i="1"/>
  <c r="AI11" i="1"/>
  <c r="AH11" i="1" s="1"/>
  <c r="AD11" i="1"/>
  <c r="Y11" i="1"/>
  <c r="P11" i="1"/>
  <c r="O11" i="1" s="1"/>
  <c r="R11" i="1"/>
  <c r="CV10" i="1"/>
  <c r="AK10" i="1" s="1"/>
  <c r="AJ10" i="1" s="1"/>
  <c r="CU10" i="1"/>
  <c r="CT10" i="1"/>
  <c r="CS10" i="1"/>
  <c r="CP10" i="1"/>
  <c r="CO10" i="1"/>
  <c r="CN10" i="1" s="1"/>
  <c r="CQ10" i="1"/>
  <c r="CJ10" i="1"/>
  <c r="CI10" i="1"/>
  <c r="CG10" i="1" s="1"/>
  <c r="CH10" i="1"/>
  <c r="CF10" i="1"/>
  <c r="CE10" i="1" s="1"/>
  <c r="CB10" i="1"/>
  <c r="CC10" i="1"/>
  <c r="BU10" i="1"/>
  <c r="BV10" i="1"/>
  <c r="BN10" i="1"/>
  <c r="BG10" i="1"/>
  <c r="BF10" i="1"/>
  <c r="BE10" i="1"/>
  <c r="BD10" i="1"/>
  <c r="AY10" i="1"/>
  <c r="AY10" i="14" s="1"/>
  <c r="AI10" i="1"/>
  <c r="AH10" i="1" s="1"/>
  <c r="CV9" i="1"/>
  <c r="AK9" i="1" s="1"/>
  <c r="CU9" i="1"/>
  <c r="CT9" i="1"/>
  <c r="CS9" i="1"/>
  <c r="CP9" i="1"/>
  <c r="CO9" i="1"/>
  <c r="CQ9" i="1"/>
  <c r="CI9" i="1"/>
  <c r="CH9" i="1" s="1"/>
  <c r="CB9" i="1"/>
  <c r="CA9" i="1" s="1"/>
  <c r="BY9" i="1"/>
  <c r="BX9" i="1" s="1"/>
  <c r="BU9" i="1"/>
  <c r="BT9" i="1"/>
  <c r="BS9" i="1"/>
  <c r="BN9" i="1"/>
  <c r="BM9" i="1" s="1"/>
  <c r="BG9" i="1"/>
  <c r="BA9" i="1"/>
  <c r="AY9" i="1"/>
  <c r="AY9" i="14" s="1"/>
  <c r="AW9" i="1"/>
  <c r="AR9" i="1"/>
  <c r="AR9" i="14" s="1"/>
  <c r="AI9" i="1"/>
  <c r="AH9" i="1" s="1"/>
  <c r="AB9" i="1"/>
  <c r="W9" i="1"/>
  <c r="M9" i="1"/>
  <c r="N9" i="1"/>
  <c r="CP8" i="1"/>
  <c r="CO8" i="1"/>
  <c r="CQ8" i="1"/>
  <c r="CI8" i="1"/>
  <c r="CH8" i="1" s="1"/>
  <c r="CG8" i="1" s="1"/>
  <c r="CJ8" i="1"/>
  <c r="CB8" i="1"/>
  <c r="CA8" i="1" s="1"/>
  <c r="BZ8" i="1"/>
  <c r="CC8" i="1"/>
  <c r="BU8" i="1"/>
  <c r="BV8" i="1"/>
  <c r="BN8" i="1"/>
  <c r="BM8" i="1" s="1"/>
  <c r="BK8" i="1"/>
  <c r="BG8" i="1"/>
  <c r="BF8" i="1"/>
  <c r="BE8" i="1" s="1"/>
  <c r="BA8" i="1"/>
  <c r="AY8" i="1"/>
  <c r="AY8" i="14" s="1"/>
  <c r="AW8" i="1"/>
  <c r="AV8" i="1" s="1"/>
  <c r="AT8" i="1"/>
  <c r="AK8" i="1"/>
  <c r="AI8" i="1"/>
  <c r="AD8" i="1"/>
  <c r="AF8" i="1"/>
  <c r="Y8" i="1"/>
  <c r="U8" i="1"/>
  <c r="P8" i="1"/>
  <c r="R8" i="1"/>
  <c r="CV7" i="1"/>
  <c r="CS7" i="1"/>
  <c r="CP7" i="1"/>
  <c r="CO7" i="1"/>
  <c r="CM7" i="1"/>
  <c r="CI7" i="1"/>
  <c r="CH7" i="1" s="1"/>
  <c r="CB7" i="1"/>
  <c r="CC7" i="1" s="1"/>
  <c r="CA7" i="1"/>
  <c r="BY7" i="1"/>
  <c r="BV7" i="1"/>
  <c r="BU7" i="1"/>
  <c r="BT7" i="1"/>
  <c r="BS7" i="1"/>
  <c r="BR7" i="1"/>
  <c r="BQ7" i="1" s="1"/>
  <c r="BN7" i="1"/>
  <c r="BM7" i="1" s="1"/>
  <c r="BL7" i="1" s="1"/>
  <c r="BO7" i="1"/>
  <c r="BG7" i="1"/>
  <c r="BF7" i="1"/>
  <c r="BE7" i="1" s="1"/>
  <c r="BH7" i="1"/>
  <c r="AX7" i="1"/>
  <c r="AY7" i="1"/>
  <c r="AY7" i="14" s="1"/>
  <c r="AT7" i="1"/>
  <c r="AI7" i="1"/>
  <c r="AD7" i="1"/>
  <c r="W7" i="1"/>
  <c r="U7" i="1"/>
  <c r="CP6" i="1"/>
  <c r="CO6" i="1" s="1"/>
  <c r="CM6" i="1"/>
  <c r="CI6" i="1"/>
  <c r="CF6" i="1"/>
  <c r="CB6" i="1"/>
  <c r="CA6" i="1"/>
  <c r="BZ6" i="1"/>
  <c r="BY6" i="1"/>
  <c r="BU6" i="1"/>
  <c r="BS6" i="1" s="1"/>
  <c r="BT6" i="1"/>
  <c r="BV6" i="1"/>
  <c r="BN6" i="1"/>
  <c r="BM6" i="1"/>
  <c r="BL6" i="1"/>
  <c r="BG6" i="1"/>
  <c r="BD6" i="1"/>
  <c r="BC6" i="1" s="1"/>
  <c r="AY6" i="1"/>
  <c r="AY6" i="14" s="1"/>
  <c r="AW6" i="1"/>
  <c r="AR6" i="1"/>
  <c r="AR6" i="14" s="1"/>
  <c r="AK6" i="1"/>
  <c r="AI6" i="1"/>
  <c r="AD6" i="1"/>
  <c r="AB6" i="1"/>
  <c r="AA6" i="1" s="1"/>
  <c r="P6" i="1"/>
  <c r="O6" i="1" s="1"/>
  <c r="CV5" i="1"/>
  <c r="CU5" i="1"/>
  <c r="CU4" i="1" s="1"/>
  <c r="CT5" i="1"/>
  <c r="CT4" i="1" s="1"/>
  <c r="CS5" i="1"/>
  <c r="CP5" i="1"/>
  <c r="CO5" i="1" s="1"/>
  <c r="CM5" i="1"/>
  <c r="CI5" i="1"/>
  <c r="CH5" i="1" s="1"/>
  <c r="CB5" i="1"/>
  <c r="CA5" i="1"/>
  <c r="BY5" i="1"/>
  <c r="BV5" i="1"/>
  <c r="BU5" i="1"/>
  <c r="BS5" i="1" s="1"/>
  <c r="BT5" i="1"/>
  <c r="BR5" i="1"/>
  <c r="BQ5" i="1" s="1"/>
  <c r="BN5" i="1"/>
  <c r="BM5" i="1"/>
  <c r="BL5" i="1" s="1"/>
  <c r="BO5" i="1"/>
  <c r="BG5" i="1"/>
  <c r="BF5" i="1"/>
  <c r="BE5" i="1" s="1"/>
  <c r="AY5" i="1"/>
  <c r="AY5" i="14" s="1"/>
  <c r="AP5" i="1"/>
  <c r="AK5" i="1"/>
  <c r="AI5" i="1"/>
  <c r="AD5" i="1"/>
  <c r="E5" i="1"/>
  <c r="U5" i="1"/>
  <c r="N5" i="1"/>
  <c r="CP4" i="1"/>
  <c r="CO4" i="1"/>
  <c r="CN4" i="1"/>
  <c r="CQ4" i="1"/>
  <c r="CI4" i="1"/>
  <c r="CD55" i="1"/>
  <c r="CD58" i="1" s="1"/>
  <c r="CB4" i="1"/>
  <c r="BU4" i="1"/>
  <c r="BT4" i="1"/>
  <c r="BN4" i="1"/>
  <c r="BK4" i="1"/>
  <c r="BG4" i="1"/>
  <c r="BG55" i="1" s="1"/>
  <c r="BD4" i="1"/>
  <c r="AR4" i="1"/>
  <c r="AR4" i="14" s="1"/>
  <c r="AQ4" i="1"/>
  <c r="AP4" i="1"/>
  <c r="H34" i="13" l="1"/>
  <c r="H32" i="13"/>
  <c r="H15" i="13"/>
  <c r="H35" i="13"/>
  <c r="K49" i="13"/>
  <c r="K33" i="13"/>
  <c r="K43" i="13"/>
  <c r="K56" i="9"/>
  <c r="K9" i="9"/>
  <c r="K5" i="9"/>
  <c r="K32" i="8"/>
  <c r="K9" i="8"/>
  <c r="K39" i="7"/>
  <c r="K10" i="7"/>
  <c r="K26" i="6"/>
  <c r="K9" i="6"/>
  <c r="K31" i="6"/>
  <c r="K42" i="6"/>
  <c r="K16" i="6"/>
  <c r="I45" i="10"/>
  <c r="K10" i="10"/>
  <c r="K40" i="10"/>
  <c r="K7" i="10"/>
  <c r="AR48" i="14"/>
  <c r="I43" i="10"/>
  <c r="K52" i="10"/>
  <c r="K20" i="4"/>
  <c r="K35" i="3"/>
  <c r="K54" i="3"/>
  <c r="K9" i="3"/>
  <c r="AX41" i="14"/>
  <c r="AQ41" i="14"/>
  <c r="AX57" i="1"/>
  <c r="AY57" i="14"/>
  <c r="AX57" i="14"/>
  <c r="AX28" i="1"/>
  <c r="AX28" i="14" s="1"/>
  <c r="AY28" i="14"/>
  <c r="AX19" i="1"/>
  <c r="AX19" i="14" s="1"/>
  <c r="AY19" i="14"/>
  <c r="I26" i="1"/>
  <c r="K33" i="1"/>
  <c r="AX33" i="1"/>
  <c r="AX47" i="1"/>
  <c r="AY47" i="14"/>
  <c r="AX47" i="14"/>
  <c r="AX24" i="1"/>
  <c r="AX24" i="14" s="1"/>
  <c r="AY24" i="14"/>
  <c r="AX23" i="1"/>
  <c r="AX23" i="14" s="1"/>
  <c r="H23" i="14" s="1"/>
  <c r="AY23" i="14"/>
  <c r="I23" i="14" s="1"/>
  <c r="AX29" i="1"/>
  <c r="AX29" i="14" s="1"/>
  <c r="AY29" i="14"/>
  <c r="AX35" i="1"/>
  <c r="AY35" i="14"/>
  <c r="AX51" i="1"/>
  <c r="AX51" i="14" s="1"/>
  <c r="AY51" i="14"/>
  <c r="AX54" i="1"/>
  <c r="AX54" i="14" s="1"/>
  <c r="AY54" i="14"/>
  <c r="AX20" i="1"/>
  <c r="AX20" i="14" s="1"/>
  <c r="AY20" i="14"/>
  <c r="I21" i="14"/>
  <c r="AX25" i="1"/>
  <c r="AX25" i="14" s="1"/>
  <c r="AY25" i="14"/>
  <c r="AX39" i="1"/>
  <c r="AX39" i="14" s="1"/>
  <c r="AY39" i="14"/>
  <c r="AX42" i="1"/>
  <c r="AX42" i="14" s="1"/>
  <c r="AY42" i="14"/>
  <c r="I42" i="14" s="1"/>
  <c r="AX35" i="14"/>
  <c r="AX33" i="14"/>
  <c r="AX5" i="14"/>
  <c r="AX14" i="1"/>
  <c r="AX14" i="14" s="1"/>
  <c r="AY14" i="14"/>
  <c r="AX43" i="1"/>
  <c r="AX43" i="14" s="1"/>
  <c r="AY43" i="14"/>
  <c r="AX5" i="1"/>
  <c r="AX11" i="1"/>
  <c r="AX11" i="14" s="1"/>
  <c r="AY11" i="14"/>
  <c r="I21" i="1"/>
  <c r="AX22" i="1"/>
  <c r="AX22" i="14" s="1"/>
  <c r="H22" i="14" s="1"/>
  <c r="AY22" i="14"/>
  <c r="I22" i="14" s="1"/>
  <c r="AX26" i="1"/>
  <c r="AX26" i="14" s="1"/>
  <c r="AY26" i="14"/>
  <c r="I33" i="14"/>
  <c r="AX34" i="1"/>
  <c r="AX34" i="14" s="1"/>
  <c r="AY34" i="14"/>
  <c r="I34" i="14" s="1"/>
  <c r="AX7" i="14"/>
  <c r="AX38" i="1"/>
  <c r="AY38" i="14"/>
  <c r="AX8" i="1"/>
  <c r="AX8" i="14" s="1"/>
  <c r="AX17" i="1"/>
  <c r="AX17" i="14" s="1"/>
  <c r="AX18" i="1"/>
  <c r="AX18" i="14" s="1"/>
  <c r="AY18" i="14"/>
  <c r="I20" i="1"/>
  <c r="AX21" i="1"/>
  <c r="AX21" i="14" s="1"/>
  <c r="AX27" i="1"/>
  <c r="AX27" i="14" s="1"/>
  <c r="AY27" i="14"/>
  <c r="AX32" i="1"/>
  <c r="AX32" i="14" s="1"/>
  <c r="AY32" i="14"/>
  <c r="AX13" i="14"/>
  <c r="AX45" i="14"/>
  <c r="AX38" i="14"/>
  <c r="AQ57" i="1"/>
  <c r="AQ57" i="14" s="1"/>
  <c r="AQ13" i="14"/>
  <c r="AQ34" i="14"/>
  <c r="AQ20" i="1"/>
  <c r="AQ20" i="14" s="1"/>
  <c r="AR20" i="14"/>
  <c r="AQ4" i="14"/>
  <c r="AQ38" i="14"/>
  <c r="AQ32" i="14"/>
  <c r="AQ29" i="1"/>
  <c r="AQ29" i="14" s="1"/>
  <c r="AR29" i="14"/>
  <c r="AQ33" i="14"/>
  <c r="AQ24" i="1"/>
  <c r="AQ24" i="14" s="1"/>
  <c r="AR24" i="14"/>
  <c r="AQ27" i="1"/>
  <c r="AQ27" i="14" s="1"/>
  <c r="AR27" i="14"/>
  <c r="AQ19" i="1"/>
  <c r="AQ19" i="14" s="1"/>
  <c r="AR19" i="14"/>
  <c r="AQ32" i="1"/>
  <c r="AR32" i="14"/>
  <c r="AQ9" i="1"/>
  <c r="AQ17" i="1"/>
  <c r="AQ17" i="14" s="1"/>
  <c r="AR17" i="14"/>
  <c r="I17" i="14" s="1"/>
  <c r="AQ18" i="1"/>
  <c r="AQ18" i="14" s="1"/>
  <c r="AR18" i="14"/>
  <c r="AQ21" i="1"/>
  <c r="AQ21" i="14" s="1"/>
  <c r="AQ51" i="1"/>
  <c r="AQ51" i="14" s="1"/>
  <c r="AR51" i="14"/>
  <c r="AQ28" i="1"/>
  <c r="AQ28" i="14" s="1"/>
  <c r="AR28" i="14"/>
  <c r="AQ25" i="1"/>
  <c r="AQ25" i="14" s="1"/>
  <c r="AR25" i="14"/>
  <c r="I27" i="1"/>
  <c r="AQ26" i="1"/>
  <c r="AQ26" i="14" s="1"/>
  <c r="AR26" i="14"/>
  <c r="AQ35" i="1"/>
  <c r="AR35" i="14"/>
  <c r="AQ11" i="1"/>
  <c r="AQ11" i="14" s="1"/>
  <c r="AQ16" i="1"/>
  <c r="AQ16" i="14" s="1"/>
  <c r="AQ46" i="1"/>
  <c r="AQ46" i="14" s="1"/>
  <c r="AR46" i="14"/>
  <c r="AQ9" i="14"/>
  <c r="AQ35" i="14"/>
  <c r="H48" i="13"/>
  <c r="AC48" i="14"/>
  <c r="J32" i="14"/>
  <c r="AE58" i="13"/>
  <c r="AE58" i="14" s="1"/>
  <c r="AF58" i="14" s="1"/>
  <c r="AE55" i="14"/>
  <c r="AF55" i="14" s="1"/>
  <c r="H10" i="13"/>
  <c r="J33" i="14"/>
  <c r="K37" i="13"/>
  <c r="H47" i="13"/>
  <c r="BL47" i="14"/>
  <c r="H13" i="13"/>
  <c r="H56" i="13"/>
  <c r="CN56" i="14"/>
  <c r="H5" i="13"/>
  <c r="AJ5" i="14"/>
  <c r="H54" i="13"/>
  <c r="BL54" i="14"/>
  <c r="K10" i="13"/>
  <c r="H44" i="13"/>
  <c r="H12" i="13"/>
  <c r="AC12" i="14"/>
  <c r="H45" i="13"/>
  <c r="V45" i="14"/>
  <c r="H33" i="13"/>
  <c r="H7" i="13"/>
  <c r="BS7" i="14"/>
  <c r="H8" i="13"/>
  <c r="H50" i="13"/>
  <c r="V50" i="14"/>
  <c r="H49" i="13"/>
  <c r="CG49" i="14"/>
  <c r="H57" i="13"/>
  <c r="BE57" i="14"/>
  <c r="H46" i="13"/>
  <c r="V46" i="14"/>
  <c r="H6" i="13"/>
  <c r="H51" i="13"/>
  <c r="AC51" i="14"/>
  <c r="H11" i="13"/>
  <c r="BE11" i="14"/>
  <c r="H30" i="13"/>
  <c r="CG30" i="14"/>
  <c r="H43" i="13"/>
  <c r="BZ43" i="14"/>
  <c r="H9" i="13"/>
  <c r="F40" i="13"/>
  <c r="AH40" i="14"/>
  <c r="F11" i="13"/>
  <c r="AA11" i="14"/>
  <c r="F38" i="13"/>
  <c r="T38" i="14"/>
  <c r="AG58" i="9"/>
  <c r="AI58" i="9" s="1"/>
  <c r="AI55" i="9"/>
  <c r="H36" i="9"/>
  <c r="S58" i="9"/>
  <c r="U58" i="9" s="1"/>
  <c r="U55" i="9"/>
  <c r="L58" i="9"/>
  <c r="N58" i="9" s="1"/>
  <c r="N55" i="9"/>
  <c r="H38" i="9"/>
  <c r="H40" i="9"/>
  <c r="AN58" i="9"/>
  <c r="AP58" i="9" s="1"/>
  <c r="AP55" i="9"/>
  <c r="K36" i="9"/>
  <c r="I12" i="9"/>
  <c r="C26" i="9"/>
  <c r="F40" i="9"/>
  <c r="S58" i="8"/>
  <c r="U58" i="8" s="1"/>
  <c r="U55" i="8"/>
  <c r="H36" i="8"/>
  <c r="K12" i="8"/>
  <c r="L58" i="8"/>
  <c r="N58" i="8" s="1"/>
  <c r="N55" i="8"/>
  <c r="AG58" i="8"/>
  <c r="AI58" i="8" s="1"/>
  <c r="AI55" i="8"/>
  <c r="AC57" i="8"/>
  <c r="H57" i="8" s="1"/>
  <c r="I48" i="8"/>
  <c r="O43" i="8"/>
  <c r="H43" i="8" s="1"/>
  <c r="K14" i="8"/>
  <c r="Z58" i="8"/>
  <c r="AB58" i="8" s="1"/>
  <c r="AB55" i="8"/>
  <c r="AT58" i="8"/>
  <c r="AP55" i="8"/>
  <c r="F48" i="8"/>
  <c r="AM37" i="7"/>
  <c r="I39" i="7"/>
  <c r="AF37" i="7"/>
  <c r="K9" i="7"/>
  <c r="J37" i="7"/>
  <c r="K37" i="7" s="1"/>
  <c r="K52" i="7"/>
  <c r="H5" i="7"/>
  <c r="Z58" i="7"/>
  <c r="AB58" i="7" s="1"/>
  <c r="AB55" i="7"/>
  <c r="V54" i="7"/>
  <c r="H54" i="7" s="1"/>
  <c r="O34" i="7"/>
  <c r="H34" i="7" s="1"/>
  <c r="L58" i="7"/>
  <c r="N58" i="7" s="1"/>
  <c r="N55" i="7"/>
  <c r="I52" i="7"/>
  <c r="K48" i="7"/>
  <c r="H26" i="7"/>
  <c r="AC32" i="7"/>
  <c r="H32" i="7" s="1"/>
  <c r="AG58" i="7"/>
  <c r="AI58" i="7" s="1"/>
  <c r="AI55" i="7"/>
  <c r="F36" i="7"/>
  <c r="O43" i="7"/>
  <c r="H43" i="7" s="1"/>
  <c r="S58" i="7"/>
  <c r="U58" i="7" s="1"/>
  <c r="U55" i="7"/>
  <c r="K54" i="7"/>
  <c r="F52" i="7"/>
  <c r="K56" i="7"/>
  <c r="F27" i="7"/>
  <c r="Z58" i="6"/>
  <c r="AB58" i="6" s="1"/>
  <c r="AB55" i="6"/>
  <c r="H33" i="6"/>
  <c r="F21" i="6"/>
  <c r="I5" i="6"/>
  <c r="AJ48" i="6"/>
  <c r="H48" i="6" s="1"/>
  <c r="H42" i="6"/>
  <c r="O43" i="6"/>
  <c r="H43" i="6" s="1"/>
  <c r="AJ42" i="6"/>
  <c r="L58" i="6"/>
  <c r="N58" i="6" s="1"/>
  <c r="N55" i="6"/>
  <c r="S58" i="6"/>
  <c r="U58" i="6" s="1"/>
  <c r="U55" i="6"/>
  <c r="F37" i="6"/>
  <c r="AT58" i="6"/>
  <c r="H20" i="6"/>
  <c r="K17" i="6"/>
  <c r="AJ15" i="6"/>
  <c r="F20" i="6"/>
  <c r="I32" i="6"/>
  <c r="AG58" i="6"/>
  <c r="AI58" i="6" s="1"/>
  <c r="AI55" i="6"/>
  <c r="C21" i="6"/>
  <c r="BZ43" i="10"/>
  <c r="BB58" i="10"/>
  <c r="BD58" i="10" s="1"/>
  <c r="BD55" i="10"/>
  <c r="H32" i="10"/>
  <c r="CD58" i="10"/>
  <c r="CF58" i="10" s="1"/>
  <c r="CF55" i="10"/>
  <c r="AN58" i="10"/>
  <c r="AP58" i="10" s="1"/>
  <c r="AP55" i="10"/>
  <c r="S58" i="10"/>
  <c r="U58" i="10" s="1"/>
  <c r="U55" i="10"/>
  <c r="BP58" i="10"/>
  <c r="BR58" i="10" s="1"/>
  <c r="BR55" i="10"/>
  <c r="K16" i="10"/>
  <c r="AG58" i="10"/>
  <c r="AI58" i="10" s="1"/>
  <c r="AI55" i="10"/>
  <c r="AU58" i="10"/>
  <c r="AW58" i="10" s="1"/>
  <c r="AW55" i="10"/>
  <c r="K5" i="10"/>
  <c r="I11" i="10"/>
  <c r="Z58" i="10"/>
  <c r="AB58" i="10" s="1"/>
  <c r="AB55" i="10"/>
  <c r="O33" i="10"/>
  <c r="H33" i="10" s="1"/>
  <c r="I14" i="10"/>
  <c r="BW58" i="10"/>
  <c r="BY58" i="10" s="1"/>
  <c r="BY55" i="10"/>
  <c r="I9" i="10"/>
  <c r="BI58" i="10"/>
  <c r="BK58" i="10" s="1"/>
  <c r="BK55" i="10"/>
  <c r="CK58" i="10"/>
  <c r="CM58" i="10" s="1"/>
  <c r="CM55" i="10"/>
  <c r="L58" i="10"/>
  <c r="N58" i="10" s="1"/>
  <c r="N55" i="10"/>
  <c r="K17" i="5"/>
  <c r="K25" i="5"/>
  <c r="O24" i="5"/>
  <c r="H24" i="5" s="1"/>
  <c r="S58" i="5"/>
  <c r="U58" i="5" s="1"/>
  <c r="U55" i="5"/>
  <c r="AC14" i="5"/>
  <c r="H14" i="5" s="1"/>
  <c r="AG58" i="5"/>
  <c r="AI58" i="5" s="1"/>
  <c r="AI55" i="5"/>
  <c r="I26" i="5"/>
  <c r="H7" i="5"/>
  <c r="K12" i="5"/>
  <c r="O33" i="5"/>
  <c r="H33" i="5" s="1"/>
  <c r="L58" i="5"/>
  <c r="N58" i="5" s="1"/>
  <c r="N55" i="5"/>
  <c r="AJ12" i="5"/>
  <c r="H12" i="5" s="1"/>
  <c r="I27" i="5"/>
  <c r="Z58" i="5"/>
  <c r="AB58" i="5" s="1"/>
  <c r="AB55" i="5"/>
  <c r="K26" i="5"/>
  <c r="I16" i="5"/>
  <c r="K24" i="5"/>
  <c r="I6" i="5"/>
  <c r="C47" i="5"/>
  <c r="F13" i="5"/>
  <c r="S58" i="4"/>
  <c r="U58" i="4" s="1"/>
  <c r="U55" i="4"/>
  <c r="I26" i="4"/>
  <c r="K36" i="4"/>
  <c r="F19" i="4"/>
  <c r="O14" i="4"/>
  <c r="H14" i="4" s="1"/>
  <c r="V9" i="4"/>
  <c r="O6" i="4"/>
  <c r="H6" i="4" s="1"/>
  <c r="K53" i="4"/>
  <c r="L58" i="4"/>
  <c r="N58" i="4" s="1"/>
  <c r="N55" i="4"/>
  <c r="K43" i="4"/>
  <c r="AG58" i="4"/>
  <c r="AI58" i="4" s="1"/>
  <c r="AI55" i="4"/>
  <c r="AN58" i="4"/>
  <c r="AP58" i="4" s="1"/>
  <c r="AP55" i="4"/>
  <c r="O28" i="4"/>
  <c r="H28" i="4" s="1"/>
  <c r="V53" i="4"/>
  <c r="H53" i="4" s="1"/>
  <c r="H32" i="4"/>
  <c r="O12" i="4"/>
  <c r="H12" i="4" s="1"/>
  <c r="Y55" i="4"/>
  <c r="Z58" i="4"/>
  <c r="AB58" i="4" s="1"/>
  <c r="AB55" i="4"/>
  <c r="K12" i="4"/>
  <c r="C50" i="4"/>
  <c r="F21" i="4"/>
  <c r="C13" i="4"/>
  <c r="F27" i="3"/>
  <c r="F43" i="3"/>
  <c r="C27" i="3"/>
  <c r="H38" i="13"/>
  <c r="BZ55" i="13"/>
  <c r="CN55" i="13"/>
  <c r="CN55" i="14" s="1"/>
  <c r="H31" i="13"/>
  <c r="K9" i="13"/>
  <c r="AX55" i="13"/>
  <c r="AQ55" i="13"/>
  <c r="H37" i="13"/>
  <c r="H40" i="13"/>
  <c r="H16" i="13"/>
  <c r="K14" i="13"/>
  <c r="K57" i="13"/>
  <c r="K32" i="13"/>
  <c r="H14" i="13"/>
  <c r="F52" i="4"/>
  <c r="D53" i="5"/>
  <c r="T48" i="5"/>
  <c r="F48" i="5" s="1"/>
  <c r="D7" i="5"/>
  <c r="D48" i="6"/>
  <c r="BP58" i="7"/>
  <c r="BV55" i="7"/>
  <c r="F10" i="8"/>
  <c r="C10" i="8"/>
  <c r="D28" i="8"/>
  <c r="AH28" i="8"/>
  <c r="D35" i="4"/>
  <c r="D48" i="5"/>
  <c r="T37" i="5"/>
  <c r="F37" i="5" s="1"/>
  <c r="D10" i="5"/>
  <c r="G42" i="6"/>
  <c r="AA42" i="6"/>
  <c r="C42" i="6" s="1"/>
  <c r="BX10" i="5"/>
  <c r="C6" i="5"/>
  <c r="G54" i="6"/>
  <c r="D12" i="6"/>
  <c r="AO12" i="6"/>
  <c r="D12" i="8"/>
  <c r="G12" i="8"/>
  <c r="D16" i="8"/>
  <c r="BJ16" i="8"/>
  <c r="AH35" i="9"/>
  <c r="C35" i="9" s="1"/>
  <c r="G32" i="9"/>
  <c r="AH32" i="9"/>
  <c r="F32" i="9" s="1"/>
  <c r="G27" i="9"/>
  <c r="D50" i="6"/>
  <c r="AA50" i="6"/>
  <c r="D24" i="6"/>
  <c r="AV24" i="6"/>
  <c r="D7" i="7"/>
  <c r="AO7" i="7"/>
  <c r="C7" i="7" s="1"/>
  <c r="G57" i="4"/>
  <c r="D39" i="4"/>
  <c r="CC55" i="4"/>
  <c r="BJ52" i="4"/>
  <c r="D25" i="4"/>
  <c r="AA56" i="5"/>
  <c r="C56" i="5" s="1"/>
  <c r="BA55" i="5"/>
  <c r="F16" i="5"/>
  <c r="T19" i="6"/>
  <c r="G37" i="7"/>
  <c r="T37" i="7"/>
  <c r="D38" i="7"/>
  <c r="G42" i="8"/>
  <c r="D42" i="8"/>
  <c r="AA42" i="8"/>
  <c r="T37" i="8"/>
  <c r="F37" i="8" s="1"/>
  <c r="G37" i="8"/>
  <c r="AU58" i="9"/>
  <c r="BA58" i="9"/>
  <c r="D18" i="9"/>
  <c r="BC57" i="4"/>
  <c r="D50" i="4"/>
  <c r="D4" i="5"/>
  <c r="D23" i="5"/>
  <c r="G22" i="6"/>
  <c r="D32" i="6"/>
  <c r="T32" i="6"/>
  <c r="D11" i="6"/>
  <c r="BI58" i="6"/>
  <c r="BO55" i="6"/>
  <c r="G18" i="6"/>
  <c r="AA18" i="6"/>
  <c r="F18" i="6" s="1"/>
  <c r="G54" i="7"/>
  <c r="BH58" i="7"/>
  <c r="D27" i="7"/>
  <c r="AV27" i="7"/>
  <c r="D18" i="7"/>
  <c r="D57" i="8"/>
  <c r="D26" i="8"/>
  <c r="D4" i="4"/>
  <c r="D24" i="4"/>
  <c r="D9" i="4"/>
  <c r="D54" i="5"/>
  <c r="G54" i="5"/>
  <c r="D20" i="6"/>
  <c r="D18" i="6"/>
  <c r="F15" i="6"/>
  <c r="D10" i="6"/>
  <c r="T54" i="7"/>
  <c r="CK58" i="7"/>
  <c r="CQ58" i="7"/>
  <c r="BW58" i="7"/>
  <c r="CC55" i="7"/>
  <c r="BJ48" i="8"/>
  <c r="C48" i="8" s="1"/>
  <c r="G17" i="8"/>
  <c r="D43" i="9"/>
  <c r="D52" i="9"/>
  <c r="G52" i="9"/>
  <c r="D36" i="9"/>
  <c r="T24" i="9"/>
  <c r="F24" i="9" s="1"/>
  <c r="B55" i="9"/>
  <c r="B58" i="9" s="1"/>
  <c r="D35" i="5"/>
  <c r="C25" i="4"/>
  <c r="G39" i="4"/>
  <c r="T40" i="5"/>
  <c r="G7" i="5"/>
  <c r="D15" i="6"/>
  <c r="D23" i="6"/>
  <c r="D30" i="7"/>
  <c r="D47" i="9"/>
  <c r="AA34" i="9"/>
  <c r="F34" i="9" s="1"/>
  <c r="D33" i="9"/>
  <c r="F5" i="13"/>
  <c r="D22" i="13"/>
  <c r="D46" i="10"/>
  <c r="I12" i="10"/>
  <c r="BT55" i="10"/>
  <c r="BT58" i="10" s="1"/>
  <c r="G12" i="13"/>
  <c r="G44" i="13"/>
  <c r="F10" i="5"/>
  <c r="D49" i="6"/>
  <c r="G51" i="6"/>
  <c r="D28" i="6"/>
  <c r="D51" i="6"/>
  <c r="D38" i="6"/>
  <c r="D53" i="8"/>
  <c r="G47" i="8"/>
  <c r="F7" i="8"/>
  <c r="D34" i="9"/>
  <c r="D53" i="10"/>
  <c r="K51" i="10"/>
  <c r="G32" i="10"/>
  <c r="AH39" i="10"/>
  <c r="V55" i="13"/>
  <c r="G22" i="13"/>
  <c r="D28" i="13"/>
  <c r="D29" i="13"/>
  <c r="BE55" i="13"/>
  <c r="CG55" i="13"/>
  <c r="G14" i="6"/>
  <c r="K57" i="10"/>
  <c r="K38" i="10"/>
  <c r="AR55" i="10"/>
  <c r="AR58" i="10" s="1"/>
  <c r="D34" i="10"/>
  <c r="G16" i="10"/>
  <c r="G52" i="13"/>
  <c r="D54" i="13"/>
  <c r="H53" i="13"/>
  <c r="G29" i="13"/>
  <c r="BS55" i="13"/>
  <c r="K12" i="13"/>
  <c r="G57" i="7"/>
  <c r="D34" i="6"/>
  <c r="D15" i="7"/>
  <c r="D22" i="8"/>
  <c r="CQ55" i="9"/>
  <c r="G47" i="9"/>
  <c r="I46" i="10"/>
  <c r="C14" i="10"/>
  <c r="D32" i="10"/>
  <c r="D15" i="10"/>
  <c r="I15" i="10"/>
  <c r="I5" i="10"/>
  <c r="D57" i="13"/>
  <c r="G48" i="13"/>
  <c r="G34" i="13"/>
  <c r="C15" i="13"/>
  <c r="J55" i="13"/>
  <c r="J58" i="13" s="1"/>
  <c r="J59" i="13" s="1"/>
  <c r="G14" i="9"/>
  <c r="G21" i="6"/>
  <c r="M18" i="5"/>
  <c r="G18" i="5"/>
  <c r="F14" i="4"/>
  <c r="D18" i="4"/>
  <c r="D50" i="5"/>
  <c r="D26" i="5"/>
  <c r="D46" i="6"/>
  <c r="AA47" i="6"/>
  <c r="C24" i="6"/>
  <c r="D36" i="7"/>
  <c r="AA22" i="7"/>
  <c r="T10" i="7"/>
  <c r="C10" i="7" s="1"/>
  <c r="G22" i="8"/>
  <c r="AA23" i="8"/>
  <c r="C23" i="8" s="1"/>
  <c r="F8" i="8"/>
  <c r="T41" i="9"/>
  <c r="C41" i="9" s="1"/>
  <c r="D27" i="9"/>
  <c r="Y49" i="10"/>
  <c r="AQ45" i="10"/>
  <c r="H45" i="10" s="1"/>
  <c r="K31" i="10"/>
  <c r="D52" i="10"/>
  <c r="D37" i="10"/>
  <c r="D19" i="10"/>
  <c r="G33" i="10"/>
  <c r="AK55" i="10"/>
  <c r="AK58" i="10" s="1"/>
  <c r="H52" i="13"/>
  <c r="D38" i="13"/>
  <c r="K36" i="13"/>
  <c r="D43" i="13"/>
  <c r="K38" i="13"/>
  <c r="K5" i="13"/>
  <c r="H36" i="13"/>
  <c r="K30" i="13"/>
  <c r="D10" i="13"/>
  <c r="AH18" i="4"/>
  <c r="G17" i="5"/>
  <c r="G36" i="5"/>
  <c r="D21" i="5"/>
  <c r="B55" i="5"/>
  <c r="B58" i="5" s="1"/>
  <c r="G52" i="6"/>
  <c r="C36" i="7"/>
  <c r="D8" i="8"/>
  <c r="D14" i="8"/>
  <c r="D32" i="9"/>
  <c r="I44" i="10"/>
  <c r="K39" i="10"/>
  <c r="AA18" i="10"/>
  <c r="C18" i="10" s="1"/>
  <c r="AA34" i="10"/>
  <c r="C34" i="10" s="1"/>
  <c r="V9" i="10"/>
  <c r="I10" i="10"/>
  <c r="AY55" i="10"/>
  <c r="AY58" i="10" s="1"/>
  <c r="D6" i="10"/>
  <c r="K6" i="10"/>
  <c r="AH52" i="13"/>
  <c r="G14" i="13"/>
  <c r="G38" i="13"/>
  <c r="G12" i="9"/>
  <c r="I36" i="10"/>
  <c r="D16" i="10"/>
  <c r="G27" i="10"/>
  <c r="I6" i="10"/>
  <c r="AA22" i="13"/>
  <c r="D18" i="5"/>
  <c r="F56" i="13"/>
  <c r="C56" i="13"/>
  <c r="F33" i="13"/>
  <c r="C33" i="13"/>
  <c r="C39" i="13"/>
  <c r="F39" i="13"/>
  <c r="F49" i="13"/>
  <c r="C49" i="13"/>
  <c r="F47" i="13"/>
  <c r="C47" i="13"/>
  <c r="F26" i="13"/>
  <c r="C26" i="13"/>
  <c r="F17" i="13"/>
  <c r="C17" i="13"/>
  <c r="C9" i="13"/>
  <c r="C22" i="13"/>
  <c r="F13" i="13"/>
  <c r="C13" i="13"/>
  <c r="F24" i="13"/>
  <c r="C24" i="13"/>
  <c r="C32" i="13"/>
  <c r="G53" i="13"/>
  <c r="D53" i="13"/>
  <c r="D50" i="13"/>
  <c r="G50" i="13"/>
  <c r="M50" i="13"/>
  <c r="M50" i="14" s="1"/>
  <c r="D35" i="13"/>
  <c r="T35" i="13"/>
  <c r="T35" i="14" s="1"/>
  <c r="AA43" i="13"/>
  <c r="G23" i="13"/>
  <c r="D23" i="13"/>
  <c r="D16" i="13"/>
  <c r="G16" i="13"/>
  <c r="K39" i="13"/>
  <c r="F32" i="13"/>
  <c r="T18" i="13"/>
  <c r="T18" i="14" s="1"/>
  <c r="BQ10" i="13"/>
  <c r="BQ10" i="14" s="1"/>
  <c r="CE4" i="13"/>
  <c r="G21" i="13"/>
  <c r="D21" i="13"/>
  <c r="F15" i="13"/>
  <c r="G19" i="13"/>
  <c r="D19" i="13"/>
  <c r="G8" i="13"/>
  <c r="BO55" i="13"/>
  <c r="BN58" i="13"/>
  <c r="F25" i="13"/>
  <c r="C25" i="13"/>
  <c r="C7" i="13"/>
  <c r="F7" i="13"/>
  <c r="CI58" i="13"/>
  <c r="CJ55" i="13"/>
  <c r="G27" i="13"/>
  <c r="D27" i="13"/>
  <c r="C29" i="13"/>
  <c r="BU58" i="13"/>
  <c r="BV55" i="13"/>
  <c r="BL55" i="13"/>
  <c r="G56" i="13"/>
  <c r="D56" i="13"/>
  <c r="F42" i="13"/>
  <c r="D39" i="13"/>
  <c r="G45" i="13"/>
  <c r="D45" i="13"/>
  <c r="AV42" i="13"/>
  <c r="BJ44" i="13"/>
  <c r="AO11" i="13"/>
  <c r="AO11" i="14" s="1"/>
  <c r="AZ58" i="13"/>
  <c r="BA55" i="13"/>
  <c r="C40" i="13"/>
  <c r="F29" i="13"/>
  <c r="E55" i="13"/>
  <c r="K4" i="13"/>
  <c r="G13" i="13"/>
  <c r="D13" i="13"/>
  <c r="BX55" i="13"/>
  <c r="D8" i="13"/>
  <c r="F41" i="13"/>
  <c r="C41" i="13"/>
  <c r="D26" i="13"/>
  <c r="G26" i="13"/>
  <c r="G24" i="13"/>
  <c r="D24" i="13"/>
  <c r="F54" i="13"/>
  <c r="C54" i="13"/>
  <c r="D49" i="13"/>
  <c r="G49" i="13"/>
  <c r="G46" i="13"/>
  <c r="C38" i="13"/>
  <c r="C28" i="13"/>
  <c r="F28" i="13"/>
  <c r="F10" i="13"/>
  <c r="C10" i="13"/>
  <c r="X58" i="13"/>
  <c r="X58" i="14" s="1"/>
  <c r="Y58" i="14" s="1"/>
  <c r="Y55" i="13"/>
  <c r="G30" i="13"/>
  <c r="D30" i="13"/>
  <c r="M30" i="13"/>
  <c r="M30" i="14" s="1"/>
  <c r="D34" i="13"/>
  <c r="D4" i="13"/>
  <c r="G4" i="13"/>
  <c r="AS58" i="13"/>
  <c r="AT55" i="13"/>
  <c r="F9" i="13"/>
  <c r="C34" i="13"/>
  <c r="F34" i="13"/>
  <c r="F44" i="13"/>
  <c r="AA48" i="13"/>
  <c r="AA48" i="14" s="1"/>
  <c r="G41" i="13"/>
  <c r="D41" i="13"/>
  <c r="F37" i="13"/>
  <c r="C37" i="13"/>
  <c r="D31" i="13"/>
  <c r="C16" i="13"/>
  <c r="F16" i="13"/>
  <c r="F6" i="13"/>
  <c r="AH8" i="13"/>
  <c r="AH8" i="14" s="1"/>
  <c r="BQ4" i="13"/>
  <c r="BQ4" i="14" s="1"/>
  <c r="L58" i="13"/>
  <c r="R55" i="13"/>
  <c r="G25" i="13"/>
  <c r="D25" i="13"/>
  <c r="AO4" i="13"/>
  <c r="G17" i="13"/>
  <c r="D17" i="13"/>
  <c r="D18" i="13"/>
  <c r="F36" i="13"/>
  <c r="C36" i="13"/>
  <c r="D48" i="13"/>
  <c r="M45" i="13"/>
  <c r="M45" i="14" s="1"/>
  <c r="G33" i="13"/>
  <c r="D33" i="13"/>
  <c r="D46" i="13"/>
  <c r="G39" i="13"/>
  <c r="C20" i="13"/>
  <c r="F20" i="13"/>
  <c r="D37" i="13"/>
  <c r="D47" i="13"/>
  <c r="G47" i="13"/>
  <c r="G31" i="13"/>
  <c r="T14" i="13"/>
  <c r="T14" i="14" s="1"/>
  <c r="AM55" i="13"/>
  <c r="AL58" i="13"/>
  <c r="AL58" i="14" s="1"/>
  <c r="AM58" i="14" s="1"/>
  <c r="BH55" i="13"/>
  <c r="BG58" i="13"/>
  <c r="B55" i="13"/>
  <c r="B58" i="13" s="1"/>
  <c r="BC6" i="13"/>
  <c r="G7" i="13"/>
  <c r="D7" i="13"/>
  <c r="AE59" i="13"/>
  <c r="AF58" i="13"/>
  <c r="D6" i="13"/>
  <c r="AC55" i="13"/>
  <c r="K53" i="13"/>
  <c r="G51" i="13"/>
  <c r="D51" i="13"/>
  <c r="M51" i="13"/>
  <c r="M51" i="14" s="1"/>
  <c r="G40" i="13"/>
  <c r="D40" i="13"/>
  <c r="G36" i="13"/>
  <c r="D36" i="13"/>
  <c r="F31" i="13"/>
  <c r="C31" i="13"/>
  <c r="G20" i="13"/>
  <c r="D20" i="13"/>
  <c r="G32" i="13"/>
  <c r="D32" i="13"/>
  <c r="D14" i="13"/>
  <c r="AA4" i="13"/>
  <c r="AA4" i="14" s="1"/>
  <c r="AV4" i="13"/>
  <c r="AV4" i="14" s="1"/>
  <c r="D5" i="13"/>
  <c r="AF55" i="13"/>
  <c r="K6" i="13"/>
  <c r="H4" i="13"/>
  <c r="K48" i="13"/>
  <c r="F57" i="13"/>
  <c r="C57" i="13"/>
  <c r="M53" i="13"/>
  <c r="M53" i="14" s="1"/>
  <c r="K56" i="13"/>
  <c r="T46" i="13"/>
  <c r="G35" i="13"/>
  <c r="M23" i="13"/>
  <c r="M23" i="14" s="1"/>
  <c r="CL55" i="13"/>
  <c r="F12" i="13"/>
  <c r="C12" i="13"/>
  <c r="CC55" i="13"/>
  <c r="CB58" i="13"/>
  <c r="H39" i="13"/>
  <c r="C8" i="13"/>
  <c r="F8" i="13"/>
  <c r="CP58" i="13"/>
  <c r="CQ55" i="13"/>
  <c r="AJ55" i="13"/>
  <c r="M21" i="13"/>
  <c r="M21" i="14" s="1"/>
  <c r="D9" i="13"/>
  <c r="M19" i="13"/>
  <c r="M19" i="14" s="1"/>
  <c r="C5" i="13"/>
  <c r="T4" i="13"/>
  <c r="T4" i="14" s="1"/>
  <c r="M27" i="13"/>
  <c r="M27" i="14" s="1"/>
  <c r="F49" i="10"/>
  <c r="C49" i="10"/>
  <c r="H38" i="10"/>
  <c r="C57" i="10"/>
  <c r="F57" i="10"/>
  <c r="H51" i="10"/>
  <c r="BL55" i="10"/>
  <c r="BL58" i="10" s="1"/>
  <c r="F44" i="10"/>
  <c r="C44" i="10"/>
  <c r="F42" i="10"/>
  <c r="C42" i="10"/>
  <c r="C43" i="10"/>
  <c r="F29" i="10"/>
  <c r="C29" i="10"/>
  <c r="AV55" i="10"/>
  <c r="AV58" i="10" s="1"/>
  <c r="Y55" i="10"/>
  <c r="X58" i="10"/>
  <c r="H43" i="10"/>
  <c r="CE52" i="10"/>
  <c r="C52" i="10" s="1"/>
  <c r="D38" i="10"/>
  <c r="M38" i="10"/>
  <c r="G38" i="10"/>
  <c r="C51" i="10"/>
  <c r="AA46" i="10"/>
  <c r="F46" i="10" s="1"/>
  <c r="D51" i="10"/>
  <c r="T37" i="10"/>
  <c r="K50" i="10"/>
  <c r="I30" i="10"/>
  <c r="D23" i="10"/>
  <c r="CJ55" i="10"/>
  <c r="CI58" i="10"/>
  <c r="BF55" i="10"/>
  <c r="BF58" i="10" s="1"/>
  <c r="AH10" i="10"/>
  <c r="G9" i="10"/>
  <c r="C19" i="10"/>
  <c r="I32" i="10"/>
  <c r="K12" i="10"/>
  <c r="CH55" i="10"/>
  <c r="CH58" i="10" s="1"/>
  <c r="AA7" i="10"/>
  <c r="F7" i="10" s="1"/>
  <c r="AA5" i="10"/>
  <c r="H16" i="10"/>
  <c r="H7" i="10"/>
  <c r="B55" i="10"/>
  <c r="B58" i="10" s="1"/>
  <c r="BJ4" i="10"/>
  <c r="BJ55" i="10" s="1"/>
  <c r="BJ58" i="10" s="1"/>
  <c r="H57" i="10"/>
  <c r="I56" i="10"/>
  <c r="C56" i="10"/>
  <c r="F56" i="10"/>
  <c r="K37" i="10"/>
  <c r="G45" i="10"/>
  <c r="M45" i="10"/>
  <c r="D45" i="10"/>
  <c r="D40" i="10"/>
  <c r="G40" i="10"/>
  <c r="M40" i="10"/>
  <c r="G46" i="10"/>
  <c r="I40" i="10"/>
  <c r="C39" i="10"/>
  <c r="F39" i="10"/>
  <c r="D33" i="10"/>
  <c r="H30" i="10"/>
  <c r="C32" i="10"/>
  <c r="F32" i="10"/>
  <c r="G29" i="10"/>
  <c r="D29" i="10"/>
  <c r="F27" i="10"/>
  <c r="AA13" i="10"/>
  <c r="F13" i="10" s="1"/>
  <c r="V10" i="10"/>
  <c r="H10" i="10" s="1"/>
  <c r="F8" i="10"/>
  <c r="C8" i="10"/>
  <c r="T33" i="10"/>
  <c r="F33" i="10" s="1"/>
  <c r="D25" i="10"/>
  <c r="G25" i="10"/>
  <c r="T25" i="10"/>
  <c r="F25" i="10" s="1"/>
  <c r="BQ11" i="10"/>
  <c r="C11" i="10" s="1"/>
  <c r="D10" i="10"/>
  <c r="O14" i="10"/>
  <c r="H14" i="10" s="1"/>
  <c r="H6" i="10"/>
  <c r="O5" i="10"/>
  <c r="H5" i="10" s="1"/>
  <c r="D8" i="10"/>
  <c r="D54" i="10"/>
  <c r="F52" i="10"/>
  <c r="I54" i="10"/>
  <c r="BC53" i="10"/>
  <c r="BC55" i="10" s="1"/>
  <c r="BC58" i="10" s="1"/>
  <c r="G57" i="10"/>
  <c r="D57" i="10"/>
  <c r="CG46" i="10"/>
  <c r="CG55" i="10" s="1"/>
  <c r="CG58" i="10" s="1"/>
  <c r="D44" i="10"/>
  <c r="G44" i="10"/>
  <c r="I48" i="10"/>
  <c r="F50" i="10"/>
  <c r="C50" i="10"/>
  <c r="I53" i="10"/>
  <c r="H15" i="10"/>
  <c r="AH35" i="10"/>
  <c r="C35" i="10" s="1"/>
  <c r="AO55" i="10"/>
  <c r="AO58" i="10" s="1"/>
  <c r="O12" i="10"/>
  <c r="H12" i="10" s="1"/>
  <c r="F9" i="10"/>
  <c r="C9" i="10"/>
  <c r="C28" i="10"/>
  <c r="F28" i="10"/>
  <c r="D39" i="10"/>
  <c r="D13" i="10"/>
  <c r="V4" i="10"/>
  <c r="CA55" i="10"/>
  <c r="CA58" i="10" s="1"/>
  <c r="BZ4" i="10"/>
  <c r="BZ55" i="10" s="1"/>
  <c r="BZ58" i="10" s="1"/>
  <c r="I8" i="10"/>
  <c r="AE55" i="10"/>
  <c r="AF4" i="10"/>
  <c r="AD4" i="10"/>
  <c r="AC4" i="10"/>
  <c r="AQ55" i="10"/>
  <c r="AQ58" i="10" s="1"/>
  <c r="G54" i="10"/>
  <c r="C53" i="10"/>
  <c r="F53" i="10"/>
  <c r="CN55" i="10"/>
  <c r="CN58" i="10" s="1"/>
  <c r="F20" i="10"/>
  <c r="C20" i="10"/>
  <c r="G20" i="10"/>
  <c r="D20" i="10"/>
  <c r="G22" i="10"/>
  <c r="D22" i="10"/>
  <c r="M22" i="10"/>
  <c r="BG58" i="10"/>
  <c r="BH55" i="10"/>
  <c r="E55" i="10"/>
  <c r="E58" i="10" s="1"/>
  <c r="K4" i="10"/>
  <c r="AT55" i="10"/>
  <c r="AS58" i="10"/>
  <c r="CC55" i="10"/>
  <c r="CB58" i="10"/>
  <c r="AH6" i="10"/>
  <c r="C6" i="10" s="1"/>
  <c r="G6" i="10"/>
  <c r="AJ55" i="10"/>
  <c r="AJ58" i="10" s="1"/>
  <c r="H56" i="10"/>
  <c r="H53" i="10"/>
  <c r="H40" i="10"/>
  <c r="I51" i="10"/>
  <c r="G42" i="10"/>
  <c r="D49" i="10"/>
  <c r="G49" i="10"/>
  <c r="G35" i="10"/>
  <c r="D5" i="10"/>
  <c r="G5" i="10"/>
  <c r="I38" i="10"/>
  <c r="F34" i="10"/>
  <c r="G26" i="10"/>
  <c r="D26" i="10"/>
  <c r="M26" i="10"/>
  <c r="H13" i="10"/>
  <c r="F11" i="10"/>
  <c r="BM55" i="10"/>
  <c r="BM58" i="10" s="1"/>
  <c r="F4" i="10"/>
  <c r="G8" i="10"/>
  <c r="BS8" i="10"/>
  <c r="H8" i="10" s="1"/>
  <c r="W49" i="10"/>
  <c r="V49" i="10" s="1"/>
  <c r="H48" i="10"/>
  <c r="D48" i="10"/>
  <c r="H50" i="10"/>
  <c r="K32" i="10"/>
  <c r="AH36" i="10"/>
  <c r="AX44" i="10"/>
  <c r="AX55" i="10" s="1"/>
  <c r="AX58" i="10" s="1"/>
  <c r="F30" i="10"/>
  <c r="C30" i="10"/>
  <c r="F21" i="10"/>
  <c r="C21" i="10"/>
  <c r="CO55" i="10"/>
  <c r="CO58" i="10" s="1"/>
  <c r="K15" i="10"/>
  <c r="G12" i="10"/>
  <c r="D12" i="10"/>
  <c r="BN58" i="10"/>
  <c r="BO55" i="10"/>
  <c r="D31" i="10"/>
  <c r="AH31" i="10"/>
  <c r="F31" i="10" s="1"/>
  <c r="G31" i="10"/>
  <c r="G24" i="10"/>
  <c r="D24" i="10"/>
  <c r="H11" i="10"/>
  <c r="G34" i="10"/>
  <c r="F15" i="10"/>
  <c r="C15" i="10"/>
  <c r="I13" i="10"/>
  <c r="F18" i="10"/>
  <c r="I7" i="10"/>
  <c r="BS55" i="10"/>
  <c r="BS58" i="10" s="1"/>
  <c r="H54" i="10"/>
  <c r="I57" i="10"/>
  <c r="AD49" i="10"/>
  <c r="AC49" i="10" s="1"/>
  <c r="G56" i="10"/>
  <c r="D56" i="10"/>
  <c r="I50" i="10"/>
  <c r="I52" i="10"/>
  <c r="O52" i="10"/>
  <c r="H52" i="10" s="1"/>
  <c r="AF49" i="10"/>
  <c r="F41" i="10"/>
  <c r="C41" i="10"/>
  <c r="H47" i="10"/>
  <c r="H39" i="10"/>
  <c r="C25" i="10"/>
  <c r="G30" i="10"/>
  <c r="D30" i="10"/>
  <c r="F16" i="10"/>
  <c r="C16" i="10"/>
  <c r="H36" i="10"/>
  <c r="F43" i="10"/>
  <c r="H9" i="10"/>
  <c r="G21" i="10"/>
  <c r="D21" i="10"/>
  <c r="D18" i="10"/>
  <c r="BE4" i="10"/>
  <c r="BE55" i="10" s="1"/>
  <c r="BE58" i="10" s="1"/>
  <c r="M12" i="10"/>
  <c r="M24" i="10"/>
  <c r="H31" i="10"/>
  <c r="I4" i="10"/>
  <c r="BA55" i="10"/>
  <c r="AZ58" i="10"/>
  <c r="I16" i="10"/>
  <c r="AM55" i="10"/>
  <c r="AL58" i="10"/>
  <c r="BU58" i="10"/>
  <c r="BV55" i="10"/>
  <c r="F54" i="10"/>
  <c r="C54" i="10"/>
  <c r="P49" i="10"/>
  <c r="O49" i="10" s="1"/>
  <c r="J49" i="10"/>
  <c r="J55" i="10" s="1"/>
  <c r="AA48" i="10"/>
  <c r="C48" i="10" s="1"/>
  <c r="G47" i="10"/>
  <c r="D47" i="10"/>
  <c r="M47" i="10"/>
  <c r="D42" i="10"/>
  <c r="D36" i="10"/>
  <c r="T36" i="10"/>
  <c r="C36" i="10" s="1"/>
  <c r="AD37" i="10"/>
  <c r="AC37" i="10" s="1"/>
  <c r="G41" i="10"/>
  <c r="D41" i="10"/>
  <c r="G50" i="10"/>
  <c r="D50" i="10"/>
  <c r="I47" i="10"/>
  <c r="I39" i="10"/>
  <c r="D27" i="10"/>
  <c r="AA23" i="10"/>
  <c r="C23" i="10" s="1"/>
  <c r="C27" i="10"/>
  <c r="BX55" i="10"/>
  <c r="BX58" i="10" s="1"/>
  <c r="T17" i="10"/>
  <c r="K14" i="10"/>
  <c r="AF37" i="10"/>
  <c r="I31" i="10"/>
  <c r="G19" i="10"/>
  <c r="D17" i="10"/>
  <c r="O37" i="10"/>
  <c r="CQ55" i="10"/>
  <c r="CP58" i="10"/>
  <c r="Q55" i="10"/>
  <c r="G4" i="10"/>
  <c r="D4" i="10"/>
  <c r="G7" i="10"/>
  <c r="CL4" i="10"/>
  <c r="CL55" i="10" s="1"/>
  <c r="CL58" i="10" s="1"/>
  <c r="C29" i="9"/>
  <c r="F29" i="9"/>
  <c r="BQ55" i="9"/>
  <c r="BQ58" i="9" s="1"/>
  <c r="C54" i="9"/>
  <c r="F54" i="9"/>
  <c r="C49" i="9"/>
  <c r="Y55" i="9"/>
  <c r="X58" i="9"/>
  <c r="C42" i="9"/>
  <c r="D54" i="9"/>
  <c r="D48" i="9"/>
  <c r="G48" i="9"/>
  <c r="I48" i="9"/>
  <c r="C40" i="9"/>
  <c r="F42" i="9"/>
  <c r="H52" i="9"/>
  <c r="D24" i="9"/>
  <c r="D20" i="9"/>
  <c r="G25" i="9"/>
  <c r="D25" i="9"/>
  <c r="AV32" i="9"/>
  <c r="C32" i="9" s="1"/>
  <c r="D16" i="9"/>
  <c r="G33" i="9"/>
  <c r="BJ5" i="9"/>
  <c r="C5" i="9" s="1"/>
  <c r="T18" i="9"/>
  <c r="C18" i="9" s="1"/>
  <c r="D7" i="9"/>
  <c r="I5" i="9"/>
  <c r="F5" i="9"/>
  <c r="AK55" i="9"/>
  <c r="AK58" i="9" s="1"/>
  <c r="C56" i="9"/>
  <c r="I51" i="9"/>
  <c r="O51" i="9"/>
  <c r="H51" i="9" s="1"/>
  <c r="CP59" i="9"/>
  <c r="CQ58" i="9"/>
  <c r="C48" i="9"/>
  <c r="F48" i="9"/>
  <c r="AA37" i="9"/>
  <c r="G28" i="9"/>
  <c r="D28" i="9"/>
  <c r="C23" i="9"/>
  <c r="F23" i="9"/>
  <c r="C13" i="9"/>
  <c r="F13" i="9"/>
  <c r="F22" i="9"/>
  <c r="C22" i="9"/>
  <c r="D14" i="9"/>
  <c r="AV14" i="9"/>
  <c r="C14" i="9" s="1"/>
  <c r="F10" i="9"/>
  <c r="C10" i="9"/>
  <c r="F6" i="9"/>
  <c r="F14" i="9"/>
  <c r="P55" i="9"/>
  <c r="P58" i="9" s="1"/>
  <c r="I4" i="9"/>
  <c r="AM55" i="9"/>
  <c r="AL58" i="9"/>
  <c r="AA52" i="9"/>
  <c r="F52" i="9" s="1"/>
  <c r="G45" i="9"/>
  <c r="D45" i="9"/>
  <c r="W37" i="9"/>
  <c r="V37" i="9" s="1"/>
  <c r="H37" i="9" s="1"/>
  <c r="Y37" i="9"/>
  <c r="C43" i="9"/>
  <c r="F43" i="9"/>
  <c r="BX33" i="9"/>
  <c r="D26" i="9"/>
  <c r="C19" i="9"/>
  <c r="F19" i="9"/>
  <c r="T17" i="9"/>
  <c r="C12" i="9"/>
  <c r="F12" i="9"/>
  <c r="AO7" i="9"/>
  <c r="AO55" i="9" s="1"/>
  <c r="AO58" i="9" s="1"/>
  <c r="CC55" i="9"/>
  <c r="BW58" i="9"/>
  <c r="C16" i="9"/>
  <c r="D9" i="9"/>
  <c r="G9" i="9"/>
  <c r="G22" i="9"/>
  <c r="D22" i="9"/>
  <c r="CL4" i="9"/>
  <c r="CL55" i="9" s="1"/>
  <c r="CL58" i="9" s="1"/>
  <c r="F26" i="9"/>
  <c r="G10" i="9"/>
  <c r="D10" i="9"/>
  <c r="D6" i="9"/>
  <c r="O12" i="9"/>
  <c r="H12" i="9" s="1"/>
  <c r="F36" i="9"/>
  <c r="C36" i="9"/>
  <c r="AS59" i="9"/>
  <c r="AT58" i="9"/>
  <c r="C44" i="9"/>
  <c r="F44" i="9"/>
  <c r="F27" i="9"/>
  <c r="F41" i="9"/>
  <c r="G29" i="9"/>
  <c r="D29" i="9"/>
  <c r="BC27" i="9"/>
  <c r="C27" i="9" s="1"/>
  <c r="T4" i="9"/>
  <c r="F4" i="9" s="1"/>
  <c r="M9" i="9"/>
  <c r="BJ4" i="9"/>
  <c r="F16" i="9"/>
  <c r="AH11" i="9"/>
  <c r="AH55" i="9" s="1"/>
  <c r="AH58" i="9" s="1"/>
  <c r="R58" i="9"/>
  <c r="Q59" i="9"/>
  <c r="BP58" i="9"/>
  <c r="BV55" i="9"/>
  <c r="G7" i="9"/>
  <c r="F53" i="9"/>
  <c r="C53" i="9"/>
  <c r="F46" i="9"/>
  <c r="C46" i="9"/>
  <c r="F57" i="9"/>
  <c r="C57" i="9"/>
  <c r="F47" i="9"/>
  <c r="K52" i="9"/>
  <c r="D44" i="9"/>
  <c r="G44" i="9"/>
  <c r="F38" i="9"/>
  <c r="C38" i="9"/>
  <c r="F33" i="9"/>
  <c r="C33" i="9"/>
  <c r="C31" i="9"/>
  <c r="F31" i="9"/>
  <c r="C24" i="9"/>
  <c r="C21" i="9"/>
  <c r="F21" i="9"/>
  <c r="G56" i="9"/>
  <c r="G53" i="9"/>
  <c r="D53" i="9"/>
  <c r="G57" i="9"/>
  <c r="D57" i="9"/>
  <c r="BC47" i="9"/>
  <c r="C47" i="9" s="1"/>
  <c r="D41" i="9"/>
  <c r="G51" i="9"/>
  <c r="D40" i="9"/>
  <c r="D49" i="9"/>
  <c r="F39" i="9"/>
  <c r="C39" i="9"/>
  <c r="K32" i="9"/>
  <c r="D17" i="9"/>
  <c r="V26" i="9"/>
  <c r="H26" i="9" s="1"/>
  <c r="I26" i="9"/>
  <c r="F35" i="9"/>
  <c r="T20" i="9"/>
  <c r="BX55" i="9"/>
  <c r="BX58" i="9" s="1"/>
  <c r="D8" i="9"/>
  <c r="E55" i="9"/>
  <c r="E58" i="9" s="1"/>
  <c r="K4" i="9"/>
  <c r="D21" i="9"/>
  <c r="G21" i="9"/>
  <c r="D19" i="9"/>
  <c r="G19" i="9"/>
  <c r="T15" i="9"/>
  <c r="F15" i="9" s="1"/>
  <c r="D15" i="9"/>
  <c r="AV6" i="9"/>
  <c r="C6" i="9" s="1"/>
  <c r="AC9" i="9"/>
  <c r="H9" i="9" s="1"/>
  <c r="D56" i="9"/>
  <c r="D50" i="9"/>
  <c r="K33" i="9"/>
  <c r="D51" i="9"/>
  <c r="AA50" i="9"/>
  <c r="G46" i="9"/>
  <c r="D42" i="9"/>
  <c r="D38" i="9"/>
  <c r="G38" i="9"/>
  <c r="I50" i="9"/>
  <c r="D37" i="9"/>
  <c r="G31" i="9"/>
  <c r="D31" i="9"/>
  <c r="C28" i="9"/>
  <c r="F28" i="9"/>
  <c r="F30" i="9"/>
  <c r="C30" i="9"/>
  <c r="V4" i="9"/>
  <c r="CE4" i="9"/>
  <c r="CE55" i="9" s="1"/>
  <c r="CE58" i="9" s="1"/>
  <c r="T8" i="9"/>
  <c r="G6" i="9"/>
  <c r="AD55" i="9"/>
  <c r="AD58" i="9" s="1"/>
  <c r="C51" i="9"/>
  <c r="F51" i="9"/>
  <c r="D46" i="9"/>
  <c r="M45" i="9"/>
  <c r="D39" i="9"/>
  <c r="G39" i="9"/>
  <c r="J37" i="9"/>
  <c r="J55" i="9" s="1"/>
  <c r="M25" i="9"/>
  <c r="G30" i="9"/>
  <c r="D30" i="9"/>
  <c r="D35" i="9"/>
  <c r="G4" i="9"/>
  <c r="D4" i="9"/>
  <c r="D23" i="9"/>
  <c r="G23" i="9"/>
  <c r="F7" i="9"/>
  <c r="C7" i="9"/>
  <c r="G8" i="9"/>
  <c r="AJ4" i="9"/>
  <c r="AJ55" i="9" s="1"/>
  <c r="AJ58" i="9" s="1"/>
  <c r="AF55" i="9"/>
  <c r="AE58" i="9"/>
  <c r="AL58" i="8"/>
  <c r="AM55" i="8"/>
  <c r="BC55" i="8"/>
  <c r="BC58" i="8" s="1"/>
  <c r="C51" i="8"/>
  <c r="F51" i="8"/>
  <c r="F50" i="8"/>
  <c r="C50" i="8"/>
  <c r="C15" i="8"/>
  <c r="F15" i="8"/>
  <c r="F54" i="8"/>
  <c r="C54" i="8"/>
  <c r="F30" i="8"/>
  <c r="C30" i="8"/>
  <c r="CL55" i="8"/>
  <c r="CL58" i="8" s="1"/>
  <c r="C57" i="8"/>
  <c r="AC55" i="8"/>
  <c r="AC58" i="8" s="1"/>
  <c r="R55" i="8"/>
  <c r="Q58" i="8"/>
  <c r="C53" i="8"/>
  <c r="F53" i="8"/>
  <c r="AH45" i="8"/>
  <c r="C45" i="8" s="1"/>
  <c r="F52" i="8"/>
  <c r="C52" i="8"/>
  <c r="K48" i="8"/>
  <c r="G56" i="8"/>
  <c r="BJ36" i="8"/>
  <c r="BJ55" i="8" s="1"/>
  <c r="BJ58" i="8" s="1"/>
  <c r="O50" i="8"/>
  <c r="H50" i="8" s="1"/>
  <c r="AX55" i="8"/>
  <c r="AX58" i="8" s="1"/>
  <c r="AH18" i="8"/>
  <c r="C18" i="8" s="1"/>
  <c r="D27" i="8"/>
  <c r="BX55" i="8"/>
  <c r="BX58" i="8" s="1"/>
  <c r="I16" i="8"/>
  <c r="C7" i="8"/>
  <c r="C5" i="8"/>
  <c r="G53" i="8"/>
  <c r="G52" i="8"/>
  <c r="M41" i="8"/>
  <c r="G41" i="8"/>
  <c r="D41" i="8"/>
  <c r="F42" i="8"/>
  <c r="C42" i="8"/>
  <c r="G33" i="8"/>
  <c r="D33" i="8"/>
  <c r="G30" i="8"/>
  <c r="D30" i="8"/>
  <c r="F25" i="8"/>
  <c r="C25" i="8"/>
  <c r="F17" i="8"/>
  <c r="C17" i="8"/>
  <c r="G24" i="8"/>
  <c r="D24" i="8"/>
  <c r="M24" i="8"/>
  <c r="G28" i="8"/>
  <c r="G20" i="8"/>
  <c r="D20" i="8"/>
  <c r="F5" i="8"/>
  <c r="H4" i="8"/>
  <c r="AZ59" i="8"/>
  <c r="BA58" i="8"/>
  <c r="D52" i="8"/>
  <c r="D45" i="8"/>
  <c r="M33" i="8"/>
  <c r="CE13" i="8"/>
  <c r="CE55" i="8" s="1"/>
  <c r="CE58" i="8" s="1"/>
  <c r="F14" i="8"/>
  <c r="C14" i="8"/>
  <c r="AV8" i="8"/>
  <c r="C8" i="8" s="1"/>
  <c r="AV4" i="8"/>
  <c r="C4" i="8" s="1"/>
  <c r="C28" i="8"/>
  <c r="F28" i="8"/>
  <c r="O14" i="8"/>
  <c r="H14" i="8" s="1"/>
  <c r="D4" i="8"/>
  <c r="BI58" i="8"/>
  <c r="BO58" i="8"/>
  <c r="F23" i="8"/>
  <c r="I4" i="8"/>
  <c r="G49" i="8"/>
  <c r="M49" i="8"/>
  <c r="D49" i="8"/>
  <c r="D44" i="8"/>
  <c r="F32" i="8"/>
  <c r="C32" i="8"/>
  <c r="K36" i="8"/>
  <c r="AN58" i="8"/>
  <c r="AP58" i="8" s="1"/>
  <c r="AT55" i="8"/>
  <c r="G21" i="8"/>
  <c r="D21" i="8"/>
  <c r="D11" i="8"/>
  <c r="G11" i="8"/>
  <c r="E55" i="8"/>
  <c r="E58" i="8" s="1"/>
  <c r="M20" i="8"/>
  <c r="I26" i="8"/>
  <c r="AD55" i="8"/>
  <c r="AD58" i="8" s="1"/>
  <c r="G50" i="8"/>
  <c r="D50" i="8"/>
  <c r="CC58" i="8"/>
  <c r="CB59" i="8"/>
  <c r="C43" i="8"/>
  <c r="F43" i="8"/>
  <c r="F31" i="8"/>
  <c r="C31" i="8"/>
  <c r="G51" i="8"/>
  <c r="D51" i="8"/>
  <c r="K43" i="8"/>
  <c r="C44" i="8"/>
  <c r="F44" i="8"/>
  <c r="D29" i="8"/>
  <c r="F35" i="8"/>
  <c r="C35" i="8"/>
  <c r="F40" i="8"/>
  <c r="C40" i="8"/>
  <c r="W37" i="8"/>
  <c r="W55" i="8" s="1"/>
  <c r="W58" i="8" s="1"/>
  <c r="D34" i="8"/>
  <c r="F22" i="8"/>
  <c r="C22" i="8"/>
  <c r="F13" i="8"/>
  <c r="D23" i="8"/>
  <c r="M11" i="8"/>
  <c r="AE58" i="8"/>
  <c r="AF55" i="8"/>
  <c r="BU59" i="8"/>
  <c r="BV58" i="8"/>
  <c r="F46" i="8"/>
  <c r="C46" i="8"/>
  <c r="D31" i="8"/>
  <c r="G31" i="8"/>
  <c r="G43" i="8"/>
  <c r="C47" i="8"/>
  <c r="F47" i="8"/>
  <c r="D43" i="8"/>
  <c r="G35" i="8"/>
  <c r="D35" i="8"/>
  <c r="D37" i="8"/>
  <c r="AK37" i="8"/>
  <c r="D19" i="8"/>
  <c r="O27" i="8"/>
  <c r="H27" i="8" s="1"/>
  <c r="X55" i="8"/>
  <c r="M21" i="8"/>
  <c r="AH13" i="8"/>
  <c r="G26" i="8"/>
  <c r="D18" i="8"/>
  <c r="O10" i="8"/>
  <c r="H10" i="8" s="1"/>
  <c r="F18" i="8"/>
  <c r="AJ5" i="8"/>
  <c r="H5" i="8" s="1"/>
  <c r="I5" i="8"/>
  <c r="AK49" i="8"/>
  <c r="AJ49" i="8" s="1"/>
  <c r="D46" i="8"/>
  <c r="G46" i="8"/>
  <c r="AM49" i="8"/>
  <c r="AA39" i="8"/>
  <c r="C39" i="8" s="1"/>
  <c r="D56" i="8"/>
  <c r="F38" i="8"/>
  <c r="C38" i="8"/>
  <c r="G57" i="8"/>
  <c r="D47" i="8"/>
  <c r="C34" i="8"/>
  <c r="F34" i="8"/>
  <c r="AA29" i="8"/>
  <c r="F29" i="8" s="1"/>
  <c r="AA36" i="8"/>
  <c r="T26" i="8"/>
  <c r="C26" i="8" s="1"/>
  <c r="BQ55" i="8"/>
  <c r="BQ58" i="8" s="1"/>
  <c r="C19" i="8"/>
  <c r="F19" i="8"/>
  <c r="G15" i="8"/>
  <c r="D15" i="8"/>
  <c r="D13" i="8"/>
  <c r="G13" i="8"/>
  <c r="I9" i="8"/>
  <c r="I37" i="8"/>
  <c r="D17" i="8"/>
  <c r="AA16" i="8"/>
  <c r="C16" i="8" s="1"/>
  <c r="O16" i="8"/>
  <c r="H16" i="8" s="1"/>
  <c r="K5" i="8"/>
  <c r="J49" i="8"/>
  <c r="K49" i="8" s="1"/>
  <c r="P49" i="8"/>
  <c r="D54" i="8"/>
  <c r="G54" i="8"/>
  <c r="F56" i="8"/>
  <c r="C56" i="8"/>
  <c r="F57" i="8"/>
  <c r="G25" i="8"/>
  <c r="D25" i="8"/>
  <c r="G34" i="8"/>
  <c r="G32" i="8"/>
  <c r="D32" i="8"/>
  <c r="G40" i="8"/>
  <c r="D40" i="8"/>
  <c r="Y37" i="8"/>
  <c r="V12" i="8"/>
  <c r="F6" i="8"/>
  <c r="C6" i="8"/>
  <c r="AO27" i="8"/>
  <c r="C27" i="8" s="1"/>
  <c r="T12" i="8"/>
  <c r="AA9" i="8"/>
  <c r="J37" i="8"/>
  <c r="K37" i="8" s="1"/>
  <c r="G29" i="8"/>
  <c r="CK58" i="8"/>
  <c r="CQ55" i="8"/>
  <c r="B55" i="8"/>
  <c r="B58" i="8" s="1"/>
  <c r="G9" i="8"/>
  <c r="C44" i="7"/>
  <c r="F44" i="7"/>
  <c r="C56" i="7"/>
  <c r="F26" i="7"/>
  <c r="C26" i="7"/>
  <c r="CE55" i="7"/>
  <c r="CE58" i="7" s="1"/>
  <c r="C48" i="7"/>
  <c r="F48" i="7"/>
  <c r="F42" i="7"/>
  <c r="C42" i="7"/>
  <c r="BJ55" i="7"/>
  <c r="BJ58" i="7" s="1"/>
  <c r="F16" i="7"/>
  <c r="C16" i="7"/>
  <c r="F21" i="7"/>
  <c r="C21" i="7"/>
  <c r="C6" i="7"/>
  <c r="F6" i="7"/>
  <c r="AM55" i="7"/>
  <c r="AL58" i="7"/>
  <c r="CL55" i="7"/>
  <c r="CL58" i="7" s="1"/>
  <c r="F29" i="7"/>
  <c r="C29" i="7"/>
  <c r="AE58" i="7"/>
  <c r="AF55" i="7"/>
  <c r="C15" i="7"/>
  <c r="D57" i="7"/>
  <c r="D47" i="7"/>
  <c r="G52" i="7"/>
  <c r="G51" i="7"/>
  <c r="D51" i="7"/>
  <c r="AC48" i="7"/>
  <c r="H48" i="7" s="1"/>
  <c r="G49" i="7"/>
  <c r="G35" i="7"/>
  <c r="D35" i="7"/>
  <c r="AA32" i="7"/>
  <c r="F50" i="7"/>
  <c r="C50" i="7"/>
  <c r="T13" i="7"/>
  <c r="F13" i="7" s="1"/>
  <c r="O39" i="7"/>
  <c r="H39" i="7" s="1"/>
  <c r="D12" i="7"/>
  <c r="AO8" i="7"/>
  <c r="AO55" i="7" s="1"/>
  <c r="Y55" i="7"/>
  <c r="X58" i="7"/>
  <c r="D13" i="7"/>
  <c r="AU58" i="7"/>
  <c r="BA55" i="7"/>
  <c r="R49" i="7"/>
  <c r="P49" i="7"/>
  <c r="O49" i="7" s="1"/>
  <c r="O55" i="7" s="1"/>
  <c r="O58" i="7" s="1"/>
  <c r="J49" i="7"/>
  <c r="J55" i="7" s="1"/>
  <c r="AC56" i="7"/>
  <c r="H56" i="7" s="1"/>
  <c r="D56" i="7"/>
  <c r="F37" i="7"/>
  <c r="C37" i="7"/>
  <c r="O35" i="7"/>
  <c r="H35" i="7" s="1"/>
  <c r="D34" i="7"/>
  <c r="G34" i="7"/>
  <c r="C35" i="7"/>
  <c r="F35" i="7"/>
  <c r="G41" i="7"/>
  <c r="D41" i="7"/>
  <c r="D24" i="7"/>
  <c r="G24" i="7"/>
  <c r="AA19" i="7"/>
  <c r="C19" i="7" s="1"/>
  <c r="G29" i="7"/>
  <c r="D29" i="7"/>
  <c r="D21" i="7"/>
  <c r="G21" i="7"/>
  <c r="AA14" i="7"/>
  <c r="C14" i="7" s="1"/>
  <c r="BC55" i="7"/>
  <c r="BC58" i="7" s="1"/>
  <c r="G19" i="7"/>
  <c r="M5" i="7"/>
  <c r="V19" i="7"/>
  <c r="H19" i="7" s="1"/>
  <c r="BQ5" i="7"/>
  <c r="BQ55" i="7" s="1"/>
  <c r="BQ58" i="7" s="1"/>
  <c r="P55" i="7"/>
  <c r="P58" i="7" s="1"/>
  <c r="D44" i="7"/>
  <c r="G44" i="7"/>
  <c r="AA30" i="7"/>
  <c r="G32" i="7"/>
  <c r="AA39" i="7"/>
  <c r="C18" i="7"/>
  <c r="F18" i="7"/>
  <c r="AV11" i="7"/>
  <c r="D20" i="7"/>
  <c r="G11" i="7"/>
  <c r="M11" i="7"/>
  <c r="D11" i="7"/>
  <c r="G9" i="7"/>
  <c r="D9" i="7"/>
  <c r="D10" i="7"/>
  <c r="I22" i="7"/>
  <c r="F15" i="7"/>
  <c r="CB59" i="7"/>
  <c r="CC58" i="7"/>
  <c r="AC52" i="7"/>
  <c r="F46" i="7"/>
  <c r="C46" i="7"/>
  <c r="K40" i="7"/>
  <c r="D42" i="7"/>
  <c r="G42" i="7"/>
  <c r="M24" i="7"/>
  <c r="G26" i="7"/>
  <c r="D26" i="7"/>
  <c r="G25" i="7"/>
  <c r="D25" i="7"/>
  <c r="F20" i="7"/>
  <c r="C20" i="7"/>
  <c r="D4" i="7"/>
  <c r="AH4" i="7"/>
  <c r="AH55" i="7" s="1"/>
  <c r="AH58" i="7" s="1"/>
  <c r="E55" i="7"/>
  <c r="E58" i="7" s="1"/>
  <c r="F12" i="7"/>
  <c r="C12" i="7"/>
  <c r="BI58" i="7"/>
  <c r="BO58" i="7"/>
  <c r="BO55" i="7"/>
  <c r="F54" i="7"/>
  <c r="C54" i="7"/>
  <c r="C52" i="7"/>
  <c r="F47" i="7"/>
  <c r="C47" i="7"/>
  <c r="C53" i="7"/>
  <c r="F53" i="7"/>
  <c r="G48" i="7"/>
  <c r="D48" i="7"/>
  <c r="I30" i="7"/>
  <c r="V30" i="7"/>
  <c r="H30" i="7" s="1"/>
  <c r="T38" i="7"/>
  <c r="F38" i="7" s="1"/>
  <c r="D28" i="7"/>
  <c r="G28" i="7"/>
  <c r="M28" i="7"/>
  <c r="G17" i="7"/>
  <c r="M17" i="7"/>
  <c r="D17" i="7"/>
  <c r="F9" i="7"/>
  <c r="C9" i="7"/>
  <c r="D5" i="7"/>
  <c r="G5" i="7"/>
  <c r="H16" i="7"/>
  <c r="G16" i="7"/>
  <c r="D16" i="7"/>
  <c r="H52" i="7"/>
  <c r="D52" i="7"/>
  <c r="AO57" i="7"/>
  <c r="C57" i="7" s="1"/>
  <c r="D46" i="7"/>
  <c r="D49" i="7"/>
  <c r="G53" i="7"/>
  <c r="D53" i="7"/>
  <c r="AD37" i="7"/>
  <c r="AC37" i="7"/>
  <c r="T49" i="7"/>
  <c r="G30" i="7"/>
  <c r="H42" i="7"/>
  <c r="M34" i="7"/>
  <c r="C43" i="7"/>
  <c r="F43" i="7"/>
  <c r="D40" i="7"/>
  <c r="M40" i="7"/>
  <c r="G40" i="7"/>
  <c r="G45" i="7"/>
  <c r="D45" i="7"/>
  <c r="D50" i="7"/>
  <c r="G50" i="7"/>
  <c r="M45" i="7"/>
  <c r="G38" i="7"/>
  <c r="M25" i="7"/>
  <c r="K22" i="7"/>
  <c r="H9" i="7"/>
  <c r="T23" i="7"/>
  <c r="K5" i="7"/>
  <c r="G15" i="7"/>
  <c r="F8" i="7"/>
  <c r="I16" i="7"/>
  <c r="F57" i="7"/>
  <c r="F56" i="7"/>
  <c r="K53" i="7"/>
  <c r="I42" i="7"/>
  <c r="H40" i="7"/>
  <c r="AJ36" i="7"/>
  <c r="G43" i="7"/>
  <c r="D43" i="7"/>
  <c r="F31" i="7"/>
  <c r="C31" i="7"/>
  <c r="F33" i="7"/>
  <c r="C33" i="7"/>
  <c r="G6" i="7"/>
  <c r="Q55" i="7"/>
  <c r="D14" i="7"/>
  <c r="BX55" i="7"/>
  <c r="BX58" i="7" s="1"/>
  <c r="G20" i="7"/>
  <c r="G8" i="7"/>
  <c r="D8" i="7"/>
  <c r="B55" i="7"/>
  <c r="B58" i="7" s="1"/>
  <c r="F7" i="7"/>
  <c r="K49" i="7"/>
  <c r="AD49" i="7"/>
  <c r="AC49" i="7" s="1"/>
  <c r="M51" i="7"/>
  <c r="D37" i="7"/>
  <c r="AK37" i="7"/>
  <c r="AJ37" i="7" s="1"/>
  <c r="H36" i="7"/>
  <c r="G31" i="7"/>
  <c r="D31" i="7"/>
  <c r="M41" i="7"/>
  <c r="G33" i="7"/>
  <c r="D33" i="7"/>
  <c r="K50" i="7"/>
  <c r="G23" i="7"/>
  <c r="D22" i="7"/>
  <c r="C27" i="7"/>
  <c r="F19" i="7"/>
  <c r="K21" i="7"/>
  <c r="K12" i="7"/>
  <c r="W55" i="7"/>
  <c r="W58" i="7" s="1"/>
  <c r="V4" i="7"/>
  <c r="H4" i="7" s="1"/>
  <c r="AV55" i="7"/>
  <c r="AV58" i="7" s="1"/>
  <c r="BQ55" i="6"/>
  <c r="BQ58" i="6" s="1"/>
  <c r="F31" i="6"/>
  <c r="C31" i="6"/>
  <c r="BX55" i="6"/>
  <c r="BX58" i="6" s="1"/>
  <c r="H10" i="6"/>
  <c r="G39" i="6"/>
  <c r="D39" i="6"/>
  <c r="I28" i="6"/>
  <c r="V28" i="6"/>
  <c r="H28" i="6" s="1"/>
  <c r="F8" i="6"/>
  <c r="F43" i="6"/>
  <c r="C43" i="6"/>
  <c r="G57" i="6"/>
  <c r="D57" i="6"/>
  <c r="I52" i="6"/>
  <c r="AA28" i="6"/>
  <c r="C28" i="6" s="1"/>
  <c r="AO37" i="6"/>
  <c r="C37" i="6" s="1"/>
  <c r="AV20" i="6"/>
  <c r="AV55" i="6" s="1"/>
  <c r="AV58" i="6" s="1"/>
  <c r="D25" i="6"/>
  <c r="AA38" i="6"/>
  <c r="V32" i="6"/>
  <c r="H32" i="6" s="1"/>
  <c r="AK37" i="6"/>
  <c r="AJ37" i="6" s="1"/>
  <c r="AM37" i="6"/>
  <c r="F42" i="6"/>
  <c r="D19" i="6"/>
  <c r="D26" i="6"/>
  <c r="G5" i="6"/>
  <c r="D5" i="6"/>
  <c r="G4" i="6"/>
  <c r="D4" i="6"/>
  <c r="D13" i="6"/>
  <c r="T4" i="6"/>
  <c r="D44" i="6"/>
  <c r="G44" i="6"/>
  <c r="M44" i="6"/>
  <c r="BG59" i="6"/>
  <c r="BH58" i="6"/>
  <c r="K43" i="6"/>
  <c r="G40" i="6"/>
  <c r="D40" i="6"/>
  <c r="M40" i="6"/>
  <c r="F25" i="6"/>
  <c r="C25" i="6"/>
  <c r="G46" i="6"/>
  <c r="C19" i="6"/>
  <c r="F19" i="6"/>
  <c r="C12" i="6"/>
  <c r="F12" i="6"/>
  <c r="D8" i="6"/>
  <c r="O16" i="6"/>
  <c r="H16" i="6" s="1"/>
  <c r="G32" i="6"/>
  <c r="T10" i="6"/>
  <c r="F10" i="6" s="1"/>
  <c r="AF49" i="6"/>
  <c r="AD49" i="6"/>
  <c r="I49" i="6" s="1"/>
  <c r="AC49" i="6"/>
  <c r="H49" i="6" s="1"/>
  <c r="AA56" i="6"/>
  <c r="BN59" i="6"/>
  <c r="BO58" i="6"/>
  <c r="AC50" i="6"/>
  <c r="H50" i="6" s="1"/>
  <c r="D45" i="6"/>
  <c r="T45" i="6"/>
  <c r="F48" i="6"/>
  <c r="C48" i="6"/>
  <c r="C50" i="6"/>
  <c r="F50" i="6"/>
  <c r="C49" i="6"/>
  <c r="F49" i="6"/>
  <c r="V39" i="6"/>
  <c r="H39" i="6" s="1"/>
  <c r="G33" i="6"/>
  <c r="D33" i="6"/>
  <c r="M33" i="6"/>
  <c r="I38" i="6"/>
  <c r="G36" i="6"/>
  <c r="D36" i="6"/>
  <c r="F29" i="6"/>
  <c r="C29" i="6"/>
  <c r="F27" i="6"/>
  <c r="C27" i="6"/>
  <c r="C23" i="6"/>
  <c r="F23" i="6"/>
  <c r="G31" i="6"/>
  <c r="D31" i="6"/>
  <c r="BP58" i="6"/>
  <c r="BV55" i="6"/>
  <c r="G23" i="6"/>
  <c r="G17" i="6"/>
  <c r="T11" i="6"/>
  <c r="M9" i="6"/>
  <c r="D9" i="6"/>
  <c r="G9" i="6"/>
  <c r="B55" i="6"/>
  <c r="B58" i="6" s="1"/>
  <c r="AQ55" i="6"/>
  <c r="AQ58" i="6" s="1"/>
  <c r="G13" i="6"/>
  <c r="D56" i="6"/>
  <c r="BX52" i="6"/>
  <c r="G53" i="6"/>
  <c r="D53" i="6"/>
  <c r="M53" i="6"/>
  <c r="M39" i="6"/>
  <c r="BJ38" i="6"/>
  <c r="V22" i="6"/>
  <c r="H22" i="6" s="1"/>
  <c r="BW58" i="6"/>
  <c r="CC55" i="6"/>
  <c r="D22" i="6"/>
  <c r="T22" i="6"/>
  <c r="G27" i="6"/>
  <c r="D27" i="6"/>
  <c r="F46" i="6"/>
  <c r="C46" i="6"/>
  <c r="Q55" i="6"/>
  <c r="O4" i="6"/>
  <c r="J4" i="6"/>
  <c r="BC16" i="6"/>
  <c r="C16" i="6" s="1"/>
  <c r="I11" i="6"/>
  <c r="H36" i="6"/>
  <c r="BE55" i="6"/>
  <c r="BE58" i="6" s="1"/>
  <c r="AO7" i="6"/>
  <c r="O5" i="6"/>
  <c r="H5" i="6" s="1"/>
  <c r="G11" i="6"/>
  <c r="AL55" i="6"/>
  <c r="AK4" i="6"/>
  <c r="AJ4" i="6"/>
  <c r="BJ20" i="6"/>
  <c r="BJ55" i="6" s="1"/>
  <c r="BJ58" i="6" s="1"/>
  <c r="F52" i="6"/>
  <c r="C52" i="6"/>
  <c r="D47" i="6"/>
  <c r="AU58" i="6"/>
  <c r="BA58" i="6"/>
  <c r="H26" i="6"/>
  <c r="O38" i="6"/>
  <c r="H38" i="6" s="1"/>
  <c r="G29" i="6"/>
  <c r="D29" i="6"/>
  <c r="G28" i="6"/>
  <c r="F30" i="6"/>
  <c r="C30" i="6"/>
  <c r="AN58" i="6"/>
  <c r="AP58" i="6" s="1"/>
  <c r="AT55" i="6"/>
  <c r="CL4" i="6"/>
  <c r="CL55" i="6" s="1"/>
  <c r="CL58" i="6" s="1"/>
  <c r="I36" i="6"/>
  <c r="AH17" i="6"/>
  <c r="G8" i="6"/>
  <c r="X55" i="6"/>
  <c r="Y4" i="6"/>
  <c r="W4" i="6"/>
  <c r="W55" i="6" s="1"/>
  <c r="W58" i="6" s="1"/>
  <c r="C15" i="6"/>
  <c r="H12" i="6"/>
  <c r="G41" i="6"/>
  <c r="D41" i="6"/>
  <c r="F36" i="6"/>
  <c r="C36" i="6"/>
  <c r="J37" i="6"/>
  <c r="K37" i="6" s="1"/>
  <c r="P37" i="6"/>
  <c r="O37" i="6"/>
  <c r="AH55" i="6"/>
  <c r="AH58" i="6" s="1"/>
  <c r="C47" i="6"/>
  <c r="F47" i="6"/>
  <c r="K32" i="6"/>
  <c r="M57" i="6"/>
  <c r="G45" i="6"/>
  <c r="D42" i="6"/>
  <c r="M41" i="6"/>
  <c r="D43" i="6"/>
  <c r="C26" i="6"/>
  <c r="F26" i="6"/>
  <c r="O19" i="6"/>
  <c r="H19" i="6" s="1"/>
  <c r="G34" i="6"/>
  <c r="D30" i="6"/>
  <c r="G30" i="6"/>
  <c r="CE55" i="6"/>
  <c r="CE58" i="6" s="1"/>
  <c r="D14" i="6"/>
  <c r="C8" i="6"/>
  <c r="C18" i="6"/>
  <c r="F14" i="6"/>
  <c r="C14" i="6"/>
  <c r="E55" i="6"/>
  <c r="E58" i="6" s="1"/>
  <c r="I12" i="6"/>
  <c r="M5" i="6"/>
  <c r="H15" i="6"/>
  <c r="I10" i="6"/>
  <c r="F32" i="6"/>
  <c r="C32" i="6"/>
  <c r="C38" i="6"/>
  <c r="F38" i="6"/>
  <c r="T54" i="6"/>
  <c r="D54" i="6"/>
  <c r="F51" i="6"/>
  <c r="C51" i="6"/>
  <c r="K49" i="6"/>
  <c r="O52" i="6"/>
  <c r="H52" i="6" s="1"/>
  <c r="C34" i="6"/>
  <c r="F34" i="6"/>
  <c r="G35" i="6"/>
  <c r="D35" i="6"/>
  <c r="M35" i="6"/>
  <c r="K38" i="6"/>
  <c r="O24" i="6"/>
  <c r="H24" i="6" s="1"/>
  <c r="I9" i="6"/>
  <c r="R4" i="6"/>
  <c r="T7" i="6"/>
  <c r="D7" i="6"/>
  <c r="F6" i="6"/>
  <c r="C6" i="6"/>
  <c r="M4" i="6"/>
  <c r="BC4" i="6"/>
  <c r="T13" i="6"/>
  <c r="C13" i="6" s="1"/>
  <c r="AE55" i="6"/>
  <c r="AD4" i="6"/>
  <c r="AF4" i="6"/>
  <c r="AJ17" i="6"/>
  <c r="H17" i="6" s="1"/>
  <c r="F49" i="5"/>
  <c r="C49" i="5"/>
  <c r="C27" i="5"/>
  <c r="F27" i="5"/>
  <c r="F46" i="5"/>
  <c r="C46" i="5"/>
  <c r="F51" i="5"/>
  <c r="C51" i="5"/>
  <c r="AA50" i="5"/>
  <c r="G45" i="5"/>
  <c r="D45" i="5"/>
  <c r="M45" i="5"/>
  <c r="T34" i="5"/>
  <c r="D47" i="5"/>
  <c r="I51" i="5"/>
  <c r="H53" i="5"/>
  <c r="F47" i="5"/>
  <c r="G41" i="5"/>
  <c r="BX26" i="5"/>
  <c r="BX55" i="5" s="1"/>
  <c r="BX58" i="5" s="1"/>
  <c r="D40" i="5"/>
  <c r="D36" i="5"/>
  <c r="H31" i="5"/>
  <c r="D31" i="5"/>
  <c r="I31" i="5"/>
  <c r="G4" i="5"/>
  <c r="D29" i="5"/>
  <c r="T4" i="5"/>
  <c r="D25" i="5"/>
  <c r="F11" i="5"/>
  <c r="C11" i="5"/>
  <c r="AH23" i="5"/>
  <c r="BQ55" i="5"/>
  <c r="BQ58" i="5" s="1"/>
  <c r="AH21" i="5"/>
  <c r="C21" i="5" s="1"/>
  <c r="V16" i="5"/>
  <c r="H16" i="5" s="1"/>
  <c r="G22" i="5"/>
  <c r="D22" i="5"/>
  <c r="V17" i="5"/>
  <c r="W55" i="5"/>
  <c r="W58" i="5" s="1"/>
  <c r="C10" i="5"/>
  <c r="AT58" i="5"/>
  <c r="AN58" i="5"/>
  <c r="AP58" i="5" s="1"/>
  <c r="F6" i="5"/>
  <c r="I13" i="5"/>
  <c r="C13" i="5"/>
  <c r="F53" i="5"/>
  <c r="AF49" i="5"/>
  <c r="AD49" i="5"/>
  <c r="G51" i="5"/>
  <c r="D51" i="5"/>
  <c r="F43" i="5"/>
  <c r="C43" i="5"/>
  <c r="AA54" i="5"/>
  <c r="F54" i="5" s="1"/>
  <c r="C31" i="5"/>
  <c r="F31" i="5"/>
  <c r="AH29" i="5"/>
  <c r="F29" i="5" s="1"/>
  <c r="G28" i="5"/>
  <c r="O25" i="5"/>
  <c r="H25" i="5" s="1"/>
  <c r="T20" i="5"/>
  <c r="AV16" i="5"/>
  <c r="CE12" i="5"/>
  <c r="CE55" i="5" s="1"/>
  <c r="CE58" i="5" s="1"/>
  <c r="F17" i="5"/>
  <c r="C17" i="5"/>
  <c r="AL55" i="5"/>
  <c r="AK4" i="5"/>
  <c r="AJ4" i="5"/>
  <c r="Y55" i="5"/>
  <c r="X58" i="5"/>
  <c r="C26" i="5"/>
  <c r="AK49" i="5"/>
  <c r="AJ49" i="5" s="1"/>
  <c r="AM49" i="5"/>
  <c r="G43" i="5"/>
  <c r="D43" i="5"/>
  <c r="G46" i="5"/>
  <c r="D46" i="5"/>
  <c r="AA36" i="5"/>
  <c r="F36" i="5" s="1"/>
  <c r="G50" i="5"/>
  <c r="G34" i="5"/>
  <c r="F30" i="5"/>
  <c r="C30" i="5"/>
  <c r="H26" i="5"/>
  <c r="G39" i="5"/>
  <c r="D39" i="5"/>
  <c r="AH32" i="5"/>
  <c r="C32" i="5" s="1"/>
  <c r="G33" i="5"/>
  <c r="P37" i="5"/>
  <c r="O37" i="5"/>
  <c r="R37" i="5"/>
  <c r="J37" i="5"/>
  <c r="K37" i="5" s="1"/>
  <c r="E55" i="5"/>
  <c r="E58" i="5" s="1"/>
  <c r="K4" i="5"/>
  <c r="D28" i="5"/>
  <c r="D27" i="5"/>
  <c r="G27" i="5"/>
  <c r="M14" i="5"/>
  <c r="F19" i="5"/>
  <c r="C19" i="5"/>
  <c r="H13" i="5"/>
  <c r="F8" i="5"/>
  <c r="C8" i="5"/>
  <c r="G21" i="5"/>
  <c r="D12" i="5"/>
  <c r="BJ55" i="5"/>
  <c r="BJ58" i="5" s="1"/>
  <c r="AV53" i="5"/>
  <c r="C53" i="5" s="1"/>
  <c r="C39" i="5"/>
  <c r="F39" i="5"/>
  <c r="AO35" i="5"/>
  <c r="C35" i="5" s="1"/>
  <c r="AF37" i="5"/>
  <c r="AD37" i="5"/>
  <c r="AC37" i="5" s="1"/>
  <c r="G30" i="5"/>
  <c r="D30" i="5"/>
  <c r="C42" i="5"/>
  <c r="F42" i="5"/>
  <c r="AC32" i="5"/>
  <c r="H32" i="5" s="1"/>
  <c r="AH4" i="5"/>
  <c r="G14" i="5"/>
  <c r="D14" i="5"/>
  <c r="V10" i="5"/>
  <c r="H10" i="5" s="1"/>
  <c r="F57" i="5"/>
  <c r="C57" i="5"/>
  <c r="G52" i="5"/>
  <c r="D52" i="5"/>
  <c r="M52" i="5"/>
  <c r="G44" i="5"/>
  <c r="D44" i="5"/>
  <c r="D49" i="5"/>
  <c r="G49" i="5"/>
  <c r="D33" i="5"/>
  <c r="CD58" i="5"/>
  <c r="CJ58" i="5"/>
  <c r="F12" i="5"/>
  <c r="F5" i="5"/>
  <c r="C5" i="5"/>
  <c r="D16" i="5"/>
  <c r="F24" i="5"/>
  <c r="C24" i="5"/>
  <c r="D20" i="5"/>
  <c r="Q55" i="5"/>
  <c r="O5" i="5"/>
  <c r="H5" i="5" s="1"/>
  <c r="BI58" i="5"/>
  <c r="BO55" i="5"/>
  <c r="F40" i="5"/>
  <c r="C40" i="5"/>
  <c r="G57" i="5"/>
  <c r="D57" i="5"/>
  <c r="J49" i="5"/>
  <c r="K49" i="5" s="1"/>
  <c r="F35" i="5"/>
  <c r="G38" i="5"/>
  <c r="D38" i="5"/>
  <c r="M38" i="5"/>
  <c r="C33" i="5"/>
  <c r="F33" i="5"/>
  <c r="G32" i="5"/>
  <c r="G31" i="5"/>
  <c r="V50" i="5"/>
  <c r="H50" i="5" s="1"/>
  <c r="F32" i="5"/>
  <c r="F28" i="5"/>
  <c r="C28" i="5"/>
  <c r="D19" i="5"/>
  <c r="K5" i="5"/>
  <c r="G24" i="5"/>
  <c r="D24" i="5"/>
  <c r="AM4" i="5"/>
  <c r="CC55" i="5"/>
  <c r="BW58" i="5"/>
  <c r="D56" i="5"/>
  <c r="K40" i="5"/>
  <c r="K28" i="5"/>
  <c r="I48" i="5"/>
  <c r="O48" i="5"/>
  <c r="H48" i="5" s="1"/>
  <c r="M44" i="5"/>
  <c r="G47" i="5"/>
  <c r="BA58" i="5"/>
  <c r="AZ59" i="5"/>
  <c r="O43" i="5"/>
  <c r="H43" i="5" s="1"/>
  <c r="G42" i="5"/>
  <c r="D42" i="5"/>
  <c r="H38" i="5"/>
  <c r="D37" i="5"/>
  <c r="G23" i="5"/>
  <c r="BC55" i="5"/>
  <c r="BC58" i="5" s="1"/>
  <c r="BB58" i="5"/>
  <c r="BH55" i="5"/>
  <c r="CL4" i="5"/>
  <c r="CL55" i="5" s="1"/>
  <c r="CL58" i="5" s="1"/>
  <c r="AE55" i="5"/>
  <c r="K22" i="5"/>
  <c r="AO4" i="5"/>
  <c r="F9" i="5"/>
  <c r="C9" i="5"/>
  <c r="P55" i="5"/>
  <c r="P58" i="5" s="1"/>
  <c r="C41" i="5"/>
  <c r="F41" i="5"/>
  <c r="H51" i="5"/>
  <c r="AA41" i="5"/>
  <c r="O36" i="5"/>
  <c r="H36" i="5" s="1"/>
  <c r="F7" i="5"/>
  <c r="C7" i="5"/>
  <c r="C25" i="5"/>
  <c r="F25" i="5"/>
  <c r="F21" i="5"/>
  <c r="H17" i="5"/>
  <c r="O22" i="5"/>
  <c r="H22" i="5" s="1"/>
  <c r="M22" i="5"/>
  <c r="F15" i="5"/>
  <c r="C15" i="5"/>
  <c r="V4" i="5"/>
  <c r="G16" i="5"/>
  <c r="C48" i="4"/>
  <c r="F48" i="4"/>
  <c r="F20" i="4"/>
  <c r="C20" i="4"/>
  <c r="C39" i="4"/>
  <c r="F39" i="4"/>
  <c r="BQ55" i="4"/>
  <c r="BQ58" i="4" s="1"/>
  <c r="C33" i="4"/>
  <c r="F33" i="4"/>
  <c r="C40" i="4"/>
  <c r="F40" i="4"/>
  <c r="C52" i="4"/>
  <c r="C14" i="4"/>
  <c r="F27" i="4"/>
  <c r="C7" i="4"/>
  <c r="C30" i="4"/>
  <c r="F47" i="4"/>
  <c r="C47" i="4"/>
  <c r="F41" i="4"/>
  <c r="C41" i="4"/>
  <c r="AV55" i="4"/>
  <c r="AV58" i="4" s="1"/>
  <c r="H52" i="4"/>
  <c r="AS59" i="4"/>
  <c r="AT58" i="4"/>
  <c r="I52" i="4"/>
  <c r="AJ38" i="4"/>
  <c r="H38" i="4" s="1"/>
  <c r="D33" i="4"/>
  <c r="G45" i="4"/>
  <c r="D45" i="4"/>
  <c r="H26" i="4"/>
  <c r="D26" i="4"/>
  <c r="D27" i="4"/>
  <c r="G22" i="4"/>
  <c r="D22" i="4"/>
  <c r="CE15" i="4"/>
  <c r="CE55" i="4" s="1"/>
  <c r="CE58" i="4" s="1"/>
  <c r="BC18" i="4"/>
  <c r="BC55" i="4" s="1"/>
  <c r="BC58" i="4" s="1"/>
  <c r="F18" i="4"/>
  <c r="C18" i="4"/>
  <c r="D15" i="4"/>
  <c r="AA26" i="4"/>
  <c r="C26" i="4" s="1"/>
  <c r="G23" i="4"/>
  <c r="D23" i="4"/>
  <c r="M23" i="4"/>
  <c r="G27" i="4"/>
  <c r="D16" i="4"/>
  <c r="AE55" i="4"/>
  <c r="AF4" i="4"/>
  <c r="AD55" i="4"/>
  <c r="AD58" i="4" s="1"/>
  <c r="AO5" i="4"/>
  <c r="AO55" i="4" s="1"/>
  <c r="AO58" i="4" s="1"/>
  <c r="F7" i="4"/>
  <c r="E55" i="4"/>
  <c r="E58" i="4" s="1"/>
  <c r="G9" i="4"/>
  <c r="W49" i="4"/>
  <c r="J49" i="4"/>
  <c r="V42" i="4"/>
  <c r="H42" i="4" s="1"/>
  <c r="D41" i="4"/>
  <c r="F56" i="4"/>
  <c r="C56" i="4"/>
  <c r="CB59" i="4"/>
  <c r="CC58" i="4"/>
  <c r="AD37" i="4"/>
  <c r="AC37" i="4"/>
  <c r="AF37" i="4"/>
  <c r="D28" i="4"/>
  <c r="CL55" i="4"/>
  <c r="CL58" i="4" s="1"/>
  <c r="G21" i="4"/>
  <c r="D21" i="4"/>
  <c r="CD58" i="4"/>
  <c r="CJ55" i="4"/>
  <c r="Q55" i="4"/>
  <c r="J4" i="4"/>
  <c r="O4" i="4"/>
  <c r="D46" i="4"/>
  <c r="G46" i="4"/>
  <c r="G44" i="4"/>
  <c r="D44" i="4"/>
  <c r="C42" i="4"/>
  <c r="F42" i="4"/>
  <c r="BG59" i="4"/>
  <c r="BH58" i="4"/>
  <c r="D42" i="4"/>
  <c r="G42" i="4"/>
  <c r="G36" i="4"/>
  <c r="R37" i="4"/>
  <c r="J37" i="4"/>
  <c r="K37" i="4" s="1"/>
  <c r="P37" i="4"/>
  <c r="O37" i="4" s="1"/>
  <c r="T38" i="4"/>
  <c r="F38" i="4" s="1"/>
  <c r="D38" i="4"/>
  <c r="G32" i="4"/>
  <c r="D32" i="4"/>
  <c r="AH55" i="4"/>
  <c r="AH58" i="4" s="1"/>
  <c r="M32" i="4"/>
  <c r="BJ22" i="4"/>
  <c r="BJ55" i="4" s="1"/>
  <c r="BJ58" i="4" s="1"/>
  <c r="T35" i="4"/>
  <c r="C35" i="4" s="1"/>
  <c r="C27" i="4"/>
  <c r="D14" i="4"/>
  <c r="BP58" i="4"/>
  <c r="BV55" i="4"/>
  <c r="C4" i="4"/>
  <c r="F30" i="4"/>
  <c r="G8" i="4"/>
  <c r="D8" i="4"/>
  <c r="D56" i="4"/>
  <c r="G56" i="4"/>
  <c r="D54" i="4"/>
  <c r="G54" i="4"/>
  <c r="G53" i="4"/>
  <c r="D53" i="4"/>
  <c r="F43" i="4"/>
  <c r="C43" i="4"/>
  <c r="O43" i="4"/>
  <c r="H43" i="4" s="1"/>
  <c r="F9" i="4"/>
  <c r="C9" i="4"/>
  <c r="F12" i="4"/>
  <c r="C12" i="4"/>
  <c r="C34" i="4"/>
  <c r="F34" i="4"/>
  <c r="BX24" i="4"/>
  <c r="C24" i="4" s="1"/>
  <c r="F17" i="4"/>
  <c r="C17" i="4"/>
  <c r="V20" i="4"/>
  <c r="H20" i="4" s="1"/>
  <c r="F25" i="4"/>
  <c r="F6" i="4"/>
  <c r="C6" i="4"/>
  <c r="D7" i="4"/>
  <c r="F57" i="4"/>
  <c r="C57" i="4"/>
  <c r="G48" i="4"/>
  <c r="D48" i="4"/>
  <c r="F54" i="4"/>
  <c r="C54" i="4"/>
  <c r="H50" i="4"/>
  <c r="G43" i="4"/>
  <c r="D43" i="4"/>
  <c r="G37" i="4"/>
  <c r="F50" i="4"/>
  <c r="C36" i="4"/>
  <c r="F36" i="4"/>
  <c r="H22" i="4"/>
  <c r="G20" i="4"/>
  <c r="D20" i="4"/>
  <c r="O16" i="4"/>
  <c r="H16" i="4" s="1"/>
  <c r="G6" i="4"/>
  <c r="D6" i="4"/>
  <c r="F8" i="4"/>
  <c r="C8" i="4"/>
  <c r="F4" i="4"/>
  <c r="G50" i="4"/>
  <c r="D47" i="4"/>
  <c r="G41" i="4"/>
  <c r="F35" i="4"/>
  <c r="D51" i="4"/>
  <c r="G51" i="4"/>
  <c r="M53" i="4"/>
  <c r="G40" i="4"/>
  <c r="D40" i="4"/>
  <c r="D37" i="4"/>
  <c r="AK37" i="4"/>
  <c r="AJ37" i="4" s="1"/>
  <c r="B55" i="4"/>
  <c r="B58" i="4" s="1"/>
  <c r="G34" i="4"/>
  <c r="D34" i="4"/>
  <c r="D30" i="4"/>
  <c r="G30" i="4"/>
  <c r="G17" i="4"/>
  <c r="D17" i="4"/>
  <c r="G29" i="4"/>
  <c r="T29" i="4"/>
  <c r="BA55" i="4"/>
  <c r="AU58" i="4"/>
  <c r="C21" i="4"/>
  <c r="H9" i="4"/>
  <c r="F10" i="4"/>
  <c r="C10" i="4"/>
  <c r="AC5" i="4"/>
  <c r="H5" i="4" s="1"/>
  <c r="K49" i="4"/>
  <c r="F37" i="4"/>
  <c r="C37" i="4"/>
  <c r="O49" i="4"/>
  <c r="M51" i="4"/>
  <c r="K51" i="4"/>
  <c r="G38" i="4"/>
  <c r="F31" i="4"/>
  <c r="C31" i="4"/>
  <c r="T28" i="4"/>
  <c r="C28" i="4" s="1"/>
  <c r="F24" i="4"/>
  <c r="M46" i="4"/>
  <c r="G35" i="4"/>
  <c r="AJ36" i="4"/>
  <c r="H36" i="4" s="1"/>
  <c r="D31" i="4"/>
  <c r="CQ55" i="4"/>
  <c r="CK58" i="4"/>
  <c r="AA16" i="4"/>
  <c r="C19" i="4"/>
  <c r="F11" i="4"/>
  <c r="C11" i="4"/>
  <c r="AL55" i="4"/>
  <c r="G10" i="4"/>
  <c r="D10" i="4"/>
  <c r="AK49" i="4"/>
  <c r="AM49" i="4"/>
  <c r="D49" i="4"/>
  <c r="G49" i="4"/>
  <c r="M49" i="4"/>
  <c r="G47" i="4"/>
  <c r="Y49" i="4"/>
  <c r="M44" i="4"/>
  <c r="BN59" i="4"/>
  <c r="BO58" i="4"/>
  <c r="X59" i="4"/>
  <c r="Y58" i="4"/>
  <c r="K24" i="4"/>
  <c r="V33" i="4"/>
  <c r="H33" i="4" s="1"/>
  <c r="I33" i="4"/>
  <c r="M45" i="4"/>
  <c r="M22" i="4"/>
  <c r="D19" i="4"/>
  <c r="F15" i="4"/>
  <c r="C15" i="4"/>
  <c r="AA5" i="4"/>
  <c r="F5" i="4" s="1"/>
  <c r="F6" i="3"/>
  <c r="C6" i="3"/>
  <c r="C13" i="3"/>
  <c r="F34" i="3"/>
  <c r="C34" i="3"/>
  <c r="F16" i="3"/>
  <c r="C16" i="3"/>
  <c r="F9" i="3"/>
  <c r="C9" i="3"/>
  <c r="CL55" i="3"/>
  <c r="CL58" i="3" s="1"/>
  <c r="F19" i="3"/>
  <c r="C19" i="3"/>
  <c r="F10" i="3"/>
  <c r="C10" i="3"/>
  <c r="AV55" i="3"/>
  <c r="AV58" i="3" s="1"/>
  <c r="C48" i="3"/>
  <c r="F8" i="3"/>
  <c r="C8" i="3"/>
  <c r="CQ55" i="3"/>
  <c r="C53" i="3"/>
  <c r="F53" i="3"/>
  <c r="D45" i="3"/>
  <c r="G45" i="3"/>
  <c r="F42" i="3"/>
  <c r="C42" i="3"/>
  <c r="D52" i="3"/>
  <c r="K50" i="3"/>
  <c r="W37" i="3"/>
  <c r="I37" i="3" s="1"/>
  <c r="V37" i="3"/>
  <c r="Y37" i="3"/>
  <c r="D31" i="3"/>
  <c r="D37" i="3"/>
  <c r="G37" i="3"/>
  <c r="D30" i="3"/>
  <c r="D27" i="3"/>
  <c r="C11" i="3"/>
  <c r="F11" i="3"/>
  <c r="G17" i="3"/>
  <c r="D17" i="3"/>
  <c r="M17" i="3"/>
  <c r="BJ5" i="3"/>
  <c r="BJ55" i="3" s="1"/>
  <c r="BJ58" i="3" s="1"/>
  <c r="F13" i="3"/>
  <c r="AQ55" i="3"/>
  <c r="AQ58" i="3" s="1"/>
  <c r="V9" i="3"/>
  <c r="H9" i="3" s="1"/>
  <c r="F4" i="3"/>
  <c r="K22" i="3"/>
  <c r="I14" i="3"/>
  <c r="F49" i="3"/>
  <c r="C49" i="3"/>
  <c r="D53" i="3"/>
  <c r="F44" i="3"/>
  <c r="C44" i="3"/>
  <c r="F41" i="3"/>
  <c r="C41" i="3"/>
  <c r="G47" i="3"/>
  <c r="C50" i="3"/>
  <c r="F50" i="3"/>
  <c r="AA40" i="3"/>
  <c r="F40" i="3" s="1"/>
  <c r="F29" i="3"/>
  <c r="C29" i="3"/>
  <c r="G34" i="3"/>
  <c r="D34" i="3"/>
  <c r="BQ26" i="3"/>
  <c r="BQ55" i="3" s="1"/>
  <c r="BQ58" i="3" s="1"/>
  <c r="G20" i="3"/>
  <c r="D20" i="3"/>
  <c r="T25" i="3"/>
  <c r="F25" i="3" s="1"/>
  <c r="C23" i="3"/>
  <c r="F23" i="3"/>
  <c r="G6" i="3"/>
  <c r="D6" i="3"/>
  <c r="AU58" i="3"/>
  <c r="BA55" i="3"/>
  <c r="BA58" i="3"/>
  <c r="O12" i="3"/>
  <c r="H12" i="3" s="1"/>
  <c r="BC55" i="3"/>
  <c r="BC58" i="3" s="1"/>
  <c r="AN58" i="3"/>
  <c r="AT55" i="3"/>
  <c r="D22" i="3"/>
  <c r="G22" i="3"/>
  <c r="H15" i="3"/>
  <c r="I5" i="3"/>
  <c r="K49" i="3"/>
  <c r="I52" i="3"/>
  <c r="AD49" i="3"/>
  <c r="AC49" i="3" s="1"/>
  <c r="AC55" i="3" s="1"/>
  <c r="AC58" i="3" s="1"/>
  <c r="C52" i="3"/>
  <c r="F52" i="3"/>
  <c r="H53" i="3"/>
  <c r="F46" i="3"/>
  <c r="C46" i="3"/>
  <c r="F31" i="3"/>
  <c r="C31" i="3"/>
  <c r="D47" i="3"/>
  <c r="I30" i="3"/>
  <c r="C30" i="3"/>
  <c r="F30" i="3"/>
  <c r="D18" i="3"/>
  <c r="G18" i="3"/>
  <c r="G28" i="3"/>
  <c r="D28" i="3"/>
  <c r="K25" i="3"/>
  <c r="I25" i="3"/>
  <c r="T7" i="3"/>
  <c r="B55" i="3"/>
  <c r="B58" i="3" s="1"/>
  <c r="BV58" i="3"/>
  <c r="AK49" i="3"/>
  <c r="AK55" i="3" s="1"/>
  <c r="AK58" i="3" s="1"/>
  <c r="G46" i="3"/>
  <c r="D46" i="3"/>
  <c r="C47" i="3"/>
  <c r="F47" i="3"/>
  <c r="H40" i="3"/>
  <c r="AH35" i="3"/>
  <c r="C35" i="3" s="1"/>
  <c r="O34" i="3"/>
  <c r="H34" i="3" s="1"/>
  <c r="H37" i="3"/>
  <c r="D21" i="3"/>
  <c r="G21" i="3"/>
  <c r="BO55" i="3"/>
  <c r="BI58" i="3"/>
  <c r="BO58" i="3"/>
  <c r="H25" i="3"/>
  <c r="M21" i="3"/>
  <c r="G9" i="3"/>
  <c r="D9" i="3"/>
  <c r="G10" i="3"/>
  <c r="D10" i="3"/>
  <c r="AH55" i="3"/>
  <c r="H14" i="3"/>
  <c r="C14" i="3"/>
  <c r="F14" i="3"/>
  <c r="CE4" i="3"/>
  <c r="CE55" i="3" s="1"/>
  <c r="CE58" i="3" s="1"/>
  <c r="D57" i="3"/>
  <c r="F38" i="3"/>
  <c r="C38" i="3"/>
  <c r="F51" i="3"/>
  <c r="C51" i="3"/>
  <c r="C43" i="3"/>
  <c r="C39" i="3"/>
  <c r="F39" i="3"/>
  <c r="G35" i="3"/>
  <c r="D33" i="3"/>
  <c r="M33" i="3"/>
  <c r="G33" i="3"/>
  <c r="M28" i="3"/>
  <c r="G29" i="3"/>
  <c r="M18" i="3"/>
  <c r="G8" i="3"/>
  <c r="D8" i="3"/>
  <c r="D15" i="3"/>
  <c r="K14" i="3"/>
  <c r="AH57" i="3"/>
  <c r="C57" i="3" s="1"/>
  <c r="W49" i="3"/>
  <c r="I49" i="3" s="1"/>
  <c r="Y49" i="3"/>
  <c r="F54" i="3"/>
  <c r="C54" i="3"/>
  <c r="D42" i="3"/>
  <c r="D38" i="3"/>
  <c r="G36" i="3"/>
  <c r="D36" i="3"/>
  <c r="M36" i="3"/>
  <c r="F32" i="3"/>
  <c r="C32" i="3"/>
  <c r="D29" i="3"/>
  <c r="G25" i="3"/>
  <c r="F15" i="3"/>
  <c r="C15" i="3"/>
  <c r="AA5" i="3"/>
  <c r="D14" i="3"/>
  <c r="G14" i="3"/>
  <c r="AD55" i="3"/>
  <c r="AD58" i="3" s="1"/>
  <c r="T12" i="3"/>
  <c r="D5" i="3"/>
  <c r="CC58" i="3"/>
  <c r="G54" i="3"/>
  <c r="D54" i="3"/>
  <c r="AF49" i="3"/>
  <c r="G51" i="3"/>
  <c r="D51" i="3"/>
  <c r="D40" i="3"/>
  <c r="K37" i="3"/>
  <c r="G41" i="3"/>
  <c r="D41" i="3"/>
  <c r="M20" i="3"/>
  <c r="G16" i="3"/>
  <c r="D16" i="3"/>
  <c r="BX55" i="3"/>
  <c r="BX58" i="3" s="1"/>
  <c r="N55" i="3"/>
  <c r="N58" i="3" s="1"/>
  <c r="D13" i="3"/>
  <c r="AE55" i="3"/>
  <c r="D4" i="3"/>
  <c r="AL55" i="3"/>
  <c r="D56" i="3"/>
  <c r="CQ58" i="3"/>
  <c r="T56" i="3"/>
  <c r="D48" i="3"/>
  <c r="M45" i="3"/>
  <c r="D39" i="3"/>
  <c r="G50" i="3"/>
  <c r="D50" i="3"/>
  <c r="I40" i="3"/>
  <c r="T37" i="3"/>
  <c r="F37" i="3" s="1"/>
  <c r="AH30" i="3"/>
  <c r="K34" i="3"/>
  <c r="D23" i="3"/>
  <c r="G23" i="3"/>
  <c r="G19" i="3"/>
  <c r="G24" i="3"/>
  <c r="D24" i="3"/>
  <c r="M24" i="3"/>
  <c r="CD58" i="3"/>
  <c r="CJ55" i="3"/>
  <c r="Q55" i="3"/>
  <c r="J4" i="3"/>
  <c r="O4" i="3"/>
  <c r="X55" i="3"/>
  <c r="W4" i="3"/>
  <c r="V4" i="3"/>
  <c r="Y4" i="3"/>
  <c r="M22" i="3"/>
  <c r="E55" i="3"/>
  <c r="E58" i="3" s="1"/>
  <c r="AO55" i="3"/>
  <c r="AO58" i="3" s="1"/>
  <c r="AD15" i="1"/>
  <c r="AF15" i="1"/>
  <c r="P38" i="1"/>
  <c r="O38" i="1"/>
  <c r="AP49" i="1"/>
  <c r="AO49" i="1" s="1"/>
  <c r="AI51" i="1"/>
  <c r="AH51" i="1" s="1"/>
  <c r="AM51" i="1"/>
  <c r="AR54" i="1"/>
  <c r="AR54" i="14" s="1"/>
  <c r="AT54" i="1"/>
  <c r="CQ54" i="1"/>
  <c r="CM54" i="1"/>
  <c r="CL54" i="1" s="1"/>
  <c r="BH9" i="2"/>
  <c r="BE9" i="2"/>
  <c r="AM6" i="1"/>
  <c r="AF7" i="1"/>
  <c r="BO8" i="1"/>
  <c r="AX9" i="1"/>
  <c r="BV9" i="1"/>
  <c r="BA10" i="1"/>
  <c r="N13" i="1"/>
  <c r="E14" i="1"/>
  <c r="CJ14" i="1"/>
  <c r="Y16" i="1"/>
  <c r="CA16" i="1"/>
  <c r="BZ16" i="1" s="1"/>
  <c r="BD18" i="1"/>
  <c r="BC18" i="1" s="1"/>
  <c r="AP19" i="1"/>
  <c r="AO19" i="1" s="1"/>
  <c r="E20" i="1"/>
  <c r="K20" i="1" s="1"/>
  <c r="CJ20" i="1"/>
  <c r="AI21" i="1"/>
  <c r="AH21" i="1" s="1"/>
  <c r="I22" i="1"/>
  <c r="AI22" i="1"/>
  <c r="BR23" i="1"/>
  <c r="BQ23" i="1" s="1"/>
  <c r="AP28" i="1"/>
  <c r="AB29" i="1"/>
  <c r="AA29" i="1" s="1"/>
  <c r="CE29" i="1"/>
  <c r="O30" i="1"/>
  <c r="BX31" i="1"/>
  <c r="CJ31" i="1"/>
  <c r="AW33" i="1"/>
  <c r="AV33" i="1" s="1"/>
  <c r="AQ36" i="1"/>
  <c r="AQ36" i="14" s="1"/>
  <c r="BO38" i="1"/>
  <c r="BV39" i="1"/>
  <c r="BS39" i="1"/>
  <c r="BL40" i="1"/>
  <c r="CC41" i="1"/>
  <c r="BX41" i="1"/>
  <c r="AB42" i="1"/>
  <c r="AA42" i="1" s="1"/>
  <c r="CF42" i="1"/>
  <c r="CE42" i="1" s="1"/>
  <c r="BA43" i="1"/>
  <c r="AV43" i="1"/>
  <c r="BT44" i="1"/>
  <c r="BS44" i="1" s="1"/>
  <c r="AR49" i="1"/>
  <c r="AR49" i="14" s="1"/>
  <c r="CC52" i="1"/>
  <c r="BA54" i="1"/>
  <c r="BR54" i="1"/>
  <c r="BQ54" i="1" s="1"/>
  <c r="BH56" i="1"/>
  <c r="BD56" i="1"/>
  <c r="BC56" i="1" s="1"/>
  <c r="R82" i="1"/>
  <c r="CS49" i="1" s="1"/>
  <c r="T15" i="2"/>
  <c r="H18" i="1"/>
  <c r="BV25" i="1"/>
  <c r="E29" i="1"/>
  <c r="K29" i="1" s="1"/>
  <c r="N29" i="1"/>
  <c r="CM31" i="1"/>
  <c r="CQ31" i="1"/>
  <c r="CF45" i="1"/>
  <c r="CJ45" i="1"/>
  <c r="BM46" i="1"/>
  <c r="BL46" i="1" s="1"/>
  <c r="CG49" i="1"/>
  <c r="W54" i="1"/>
  <c r="V54" i="1"/>
  <c r="BE57" i="1"/>
  <c r="BN55" i="1"/>
  <c r="BV11" i="1"/>
  <c r="N15" i="1"/>
  <c r="V21" i="1"/>
  <c r="BD21" i="1"/>
  <c r="BC21" i="1" s="1"/>
  <c r="CM23" i="1"/>
  <c r="AO25" i="1"/>
  <c r="BK27" i="1"/>
  <c r="H29" i="1"/>
  <c r="BR29" i="1"/>
  <c r="BQ29" i="1" s="1"/>
  <c r="CJ29" i="1"/>
  <c r="BJ34" i="1"/>
  <c r="I35" i="1"/>
  <c r="CN37" i="1"/>
  <c r="BK39" i="1"/>
  <c r="BJ39" i="1" s="1"/>
  <c r="BY39" i="1"/>
  <c r="BR40" i="1"/>
  <c r="AF43" i="1"/>
  <c r="AD43" i="1"/>
  <c r="AC43" i="1" s="1"/>
  <c r="CE51" i="1"/>
  <c r="AP52" i="1"/>
  <c r="AO52" i="1" s="1"/>
  <c r="AT52" i="1"/>
  <c r="J57" i="1"/>
  <c r="P57" i="1"/>
  <c r="AW31" i="1"/>
  <c r="AV31" i="1" s="1"/>
  <c r="N42" i="1"/>
  <c r="R42" i="1"/>
  <c r="AF45" i="1"/>
  <c r="CM49" i="1"/>
  <c r="CL49" i="1" s="1"/>
  <c r="BO51" i="1"/>
  <c r="BD54" i="1"/>
  <c r="BC54" i="1"/>
  <c r="BH54" i="1"/>
  <c r="J56" i="1"/>
  <c r="CJ56" i="1"/>
  <c r="Y57" i="1"/>
  <c r="Y34" i="2"/>
  <c r="T34" i="2"/>
  <c r="CO50" i="1"/>
  <c r="CN50" i="1"/>
  <c r="BU55" i="1"/>
  <c r="BJ8" i="1"/>
  <c r="BV16" i="1"/>
  <c r="AP22" i="1"/>
  <c r="AO22" i="1" s="1"/>
  <c r="BD32" i="1"/>
  <c r="AB35" i="1"/>
  <c r="AF35" i="1"/>
  <c r="BS36" i="1"/>
  <c r="AM38" i="1"/>
  <c r="AI38" i="1"/>
  <c r="BV38" i="1"/>
  <c r="BS38" i="1"/>
  <c r="N45" i="1"/>
  <c r="AX46" i="1"/>
  <c r="AX46" i="14" s="1"/>
  <c r="CH50" i="1"/>
  <c r="CG50" i="1"/>
  <c r="B7" i="1"/>
  <c r="N11" i="1"/>
  <c r="BO9" i="1"/>
  <c r="H22" i="1"/>
  <c r="AT25" i="1"/>
  <c r="H27" i="1"/>
  <c r="AI29" i="1"/>
  <c r="BH5" i="1"/>
  <c r="BR6" i="1"/>
  <c r="BQ6" i="1" s="1"/>
  <c r="AP7" i="1"/>
  <c r="O8" i="1"/>
  <c r="BL8" i="1"/>
  <c r="BK9" i="1"/>
  <c r="BE13" i="1"/>
  <c r="CC13" i="1"/>
  <c r="AT14" i="1"/>
  <c r="BV15" i="1"/>
  <c r="AT16" i="1"/>
  <c r="CM19" i="1"/>
  <c r="CL19" i="1" s="1"/>
  <c r="CM28" i="1"/>
  <c r="CL28" i="1" s="1"/>
  <c r="BH29" i="1"/>
  <c r="AW34" i="1"/>
  <c r="BA34" i="1"/>
  <c r="BO34" i="1"/>
  <c r="BV36" i="1"/>
  <c r="CN36" i="1"/>
  <c r="CG37" i="1"/>
  <c r="E39" i="1"/>
  <c r="BQ41" i="1"/>
  <c r="E43" i="1"/>
  <c r="CJ50" i="1"/>
  <c r="CM8" i="1"/>
  <c r="CM9" i="1"/>
  <c r="CL9" i="1" s="1"/>
  <c r="CM10" i="1"/>
  <c r="BD7" i="1"/>
  <c r="N8" i="1"/>
  <c r="M8" i="1" s="1"/>
  <c r="AF9" i="1"/>
  <c r="BK11" i="1"/>
  <c r="BJ11" i="1" s="1"/>
  <c r="AB17" i="1"/>
  <c r="AA17" i="1" s="1"/>
  <c r="BK18" i="1"/>
  <c r="BJ18" i="1" s="1"/>
  <c r="AP23" i="1"/>
  <c r="AO23" i="1" s="1"/>
  <c r="AZ55" i="1"/>
  <c r="CN8" i="1"/>
  <c r="AT5" i="1"/>
  <c r="BD5" i="1"/>
  <c r="AV9" i="1"/>
  <c r="BL9" i="1"/>
  <c r="AW10" i="1"/>
  <c r="AV10" i="1" s="1"/>
  <c r="BO10" i="1"/>
  <c r="BL11" i="1"/>
  <c r="BA13" i="1"/>
  <c r="BO13" i="1"/>
  <c r="BZ13" i="1"/>
  <c r="Y14" i="1"/>
  <c r="BA15" i="1"/>
  <c r="BE16" i="1"/>
  <c r="CQ16" i="1"/>
  <c r="U20" i="1"/>
  <c r="T20" i="1" s="1"/>
  <c r="AW25" i="1"/>
  <c r="AV25" i="1" s="1"/>
  <c r="R28" i="1"/>
  <c r="BD28" i="1"/>
  <c r="BO29" i="1"/>
  <c r="BK29" i="1"/>
  <c r="BJ29" i="1" s="1"/>
  <c r="AY30" i="1"/>
  <c r="CC30" i="1"/>
  <c r="CN30" i="1"/>
  <c r="CG31" i="1"/>
  <c r="CO36" i="1"/>
  <c r="AY37" i="1"/>
  <c r="CA40" i="1"/>
  <c r="BZ40" i="1" s="1"/>
  <c r="U41" i="1"/>
  <c r="T41" i="1" s="1"/>
  <c r="CJ41" i="1"/>
  <c r="BE43" i="1"/>
  <c r="BS45" i="1"/>
  <c r="AQ50" i="1"/>
  <c r="AQ50" i="14" s="1"/>
  <c r="BD52" i="1"/>
  <c r="BC52" i="1" s="1"/>
  <c r="BH52" i="1"/>
  <c r="AY56" i="1"/>
  <c r="R23" i="2"/>
  <c r="BR46" i="1"/>
  <c r="BV46" i="1"/>
  <c r="CQ57" i="1"/>
  <c r="Y82" i="1"/>
  <c r="CT49" i="1" s="1"/>
  <c r="BQ12" i="2"/>
  <c r="BV12" i="2"/>
  <c r="CJ14" i="2"/>
  <c r="AF28" i="2"/>
  <c r="BX44" i="2"/>
  <c r="CC44" i="2"/>
  <c r="BX49" i="2"/>
  <c r="CC49" i="2"/>
  <c r="BH5" i="2"/>
  <c r="AT6" i="2"/>
  <c r="AH16" i="2"/>
  <c r="CJ22" i="2"/>
  <c r="CE22" i="2"/>
  <c r="CC24" i="2"/>
  <c r="BX24" i="2"/>
  <c r="AF32" i="2"/>
  <c r="AA32" i="2"/>
  <c r="O33" i="2"/>
  <c r="M36" i="2"/>
  <c r="M4" i="2"/>
  <c r="AM20" i="2"/>
  <c r="AH20" i="2"/>
  <c r="AT33" i="2"/>
  <c r="AO33" i="2"/>
  <c r="G57" i="2"/>
  <c r="T17" i="2"/>
  <c r="AV18" i="2"/>
  <c r="BJ44" i="2"/>
  <c r="CQ45" i="2"/>
  <c r="CL45" i="2"/>
  <c r="BV10" i="2"/>
  <c r="AH11" i="2"/>
  <c r="AM11" i="2"/>
  <c r="CJ13" i="2"/>
  <c r="BO24" i="2"/>
  <c r="BJ24" i="2"/>
  <c r="BA36" i="1"/>
  <c r="CQ37" i="1"/>
  <c r="BH43" i="1"/>
  <c r="CG43" i="1"/>
  <c r="CH44" i="1"/>
  <c r="CG44" i="1" s="1"/>
  <c r="AF48" i="1"/>
  <c r="BH48" i="1"/>
  <c r="Y49" i="1"/>
  <c r="CO49" i="1"/>
  <c r="CN49" i="1"/>
  <c r="AF50" i="1"/>
  <c r="CN56" i="1"/>
  <c r="AM82" i="1"/>
  <c r="CV49" i="1" s="1"/>
  <c r="CC6" i="2"/>
  <c r="BH7" i="2"/>
  <c r="BC9" i="2"/>
  <c r="J13" i="2"/>
  <c r="AT16" i="2"/>
  <c r="E17" i="2"/>
  <c r="K17" i="2" s="1"/>
  <c r="CC25" i="2"/>
  <c r="BX25" i="2"/>
  <c r="Y35" i="2"/>
  <c r="T35" i="2"/>
  <c r="BV31" i="1"/>
  <c r="CC31" i="1"/>
  <c r="AF32" i="1"/>
  <c r="T33" i="1"/>
  <c r="AO41" i="1"/>
  <c r="BD42" i="1"/>
  <c r="BC42" i="1" s="1"/>
  <c r="BD43" i="1"/>
  <c r="BC43" i="1" s="1"/>
  <c r="AI46" i="1"/>
  <c r="AH46" i="1" s="1"/>
  <c r="U49" i="1"/>
  <c r="T49" i="1" s="1"/>
  <c r="E53" i="1"/>
  <c r="Y54" i="1"/>
  <c r="R56" i="1"/>
  <c r="Z55" i="2"/>
  <c r="Z58" i="2" s="1"/>
  <c r="BA4" i="2"/>
  <c r="BH6" i="2"/>
  <c r="J7" i="2"/>
  <c r="BC7" i="2"/>
  <c r="AA8" i="2"/>
  <c r="BH8" i="2"/>
  <c r="BX9" i="2"/>
  <c r="BC10" i="2"/>
  <c r="Y13" i="2"/>
  <c r="J15" i="2"/>
  <c r="O15" i="2"/>
  <c r="BO15" i="2"/>
  <c r="BX17" i="2"/>
  <c r="CC17" i="2"/>
  <c r="AT24" i="2"/>
  <c r="AT31" i="2"/>
  <c r="AT32" i="2"/>
  <c r="AO32" i="2"/>
  <c r="AH48" i="2"/>
  <c r="Q55" i="2"/>
  <c r="CJ4" i="2"/>
  <c r="CQ5" i="2"/>
  <c r="BA6" i="2"/>
  <c r="T10" i="2"/>
  <c r="AT10" i="2"/>
  <c r="AM13" i="2"/>
  <c r="CJ16" i="2"/>
  <c r="CJ20" i="2"/>
  <c r="CJ28" i="2"/>
  <c r="BX31" i="2"/>
  <c r="BV43" i="2"/>
  <c r="Y44" i="2"/>
  <c r="BH47" i="2"/>
  <c r="BA52" i="2"/>
  <c r="BH56" i="2"/>
  <c r="CJ57" i="2"/>
  <c r="BX21" i="2"/>
  <c r="R33" i="2"/>
  <c r="CC40" i="2"/>
  <c r="AC48" i="2"/>
  <c r="CL49" i="2"/>
  <c r="T47" i="2"/>
  <c r="AF21" i="2"/>
  <c r="CC21" i="2"/>
  <c r="BC20" i="2"/>
  <c r="BJ22" i="2"/>
  <c r="AH25" i="2"/>
  <c r="H34" i="2"/>
  <c r="T41" i="2"/>
  <c r="AH45" i="2"/>
  <c r="AO46" i="2"/>
  <c r="BX46" i="2"/>
  <c r="E47" i="2"/>
  <c r="K47" i="2" s="1"/>
  <c r="BC47" i="2"/>
  <c r="AM49" i="2"/>
  <c r="BH49" i="2"/>
  <c r="AF56" i="2"/>
  <c r="J57" i="2"/>
  <c r="AT48" i="1"/>
  <c r="BA50" i="1"/>
  <c r="BO53" i="1"/>
  <c r="CQ53" i="1"/>
  <c r="BA56" i="1"/>
  <c r="BA57" i="1"/>
  <c r="Y6" i="2"/>
  <c r="CJ6" i="2"/>
  <c r="J8" i="2"/>
  <c r="AT9" i="2"/>
  <c r="CC9" i="2"/>
  <c r="R12" i="2"/>
  <c r="BH14" i="2"/>
  <c r="CJ23" i="2"/>
  <c r="AT30" i="2"/>
  <c r="AT37" i="2"/>
  <c r="Y43" i="2"/>
  <c r="CE44" i="2"/>
  <c r="Y47" i="2"/>
  <c r="CQ47" i="2"/>
  <c r="Y49" i="2"/>
  <c r="CC51" i="2"/>
  <c r="BJ52" i="2"/>
  <c r="AM56" i="2"/>
  <c r="AM57" i="2"/>
  <c r="BX57" i="2"/>
  <c r="AQ47" i="1"/>
  <c r="AQ47" i="14" s="1"/>
  <c r="CJ49" i="1"/>
  <c r="CJ53" i="1"/>
  <c r="AF82" i="1"/>
  <c r="CU49" i="1" s="1"/>
  <c r="AD49" i="1" s="1"/>
  <c r="AC49" i="1" s="1"/>
  <c r="CC4" i="2"/>
  <c r="AF5" i="2"/>
  <c r="CJ5" i="2"/>
  <c r="CJ10" i="2"/>
  <c r="AM15" i="2"/>
  <c r="R20" i="2"/>
  <c r="B28" i="2"/>
  <c r="AF30" i="2"/>
  <c r="Y41" i="2"/>
  <c r="H42" i="2"/>
  <c r="CJ42" i="2"/>
  <c r="BC44" i="2"/>
  <c r="E46" i="2"/>
  <c r="K46" i="2" s="1"/>
  <c r="CC46" i="2"/>
  <c r="AA47" i="2"/>
  <c r="B48" i="2"/>
  <c r="CJ48" i="2"/>
  <c r="AF49" i="2"/>
  <c r="AO49" i="2"/>
  <c r="Y56" i="2"/>
  <c r="CC56" i="2"/>
  <c r="CQ56" i="2"/>
  <c r="AI14" i="1"/>
  <c r="AH14" i="1"/>
  <c r="U28" i="1"/>
  <c r="Y28" i="1"/>
  <c r="BD30" i="1"/>
  <c r="BH30" i="1"/>
  <c r="AW32" i="1"/>
  <c r="BA32" i="1"/>
  <c r="N41" i="1"/>
  <c r="M41" i="1"/>
  <c r="AI42" i="1"/>
  <c r="G42" i="1" s="1"/>
  <c r="AM42" i="1"/>
  <c r="AM47" i="1"/>
  <c r="AI47" i="1"/>
  <c r="AH47" i="1" s="1"/>
  <c r="AP53" i="1"/>
  <c r="AO53" i="1" s="1"/>
  <c r="B5" i="1"/>
  <c r="AW5" i="1"/>
  <c r="AV5" i="1" s="1"/>
  <c r="BA5" i="1"/>
  <c r="Y6" i="1"/>
  <c r="U6" i="1"/>
  <c r="CE6" i="1"/>
  <c r="CF8" i="1"/>
  <c r="E10" i="1"/>
  <c r="CM11" i="1"/>
  <c r="CL11" i="1" s="1"/>
  <c r="AB15" i="1"/>
  <c r="AA15" i="1" s="1"/>
  <c r="AP16" i="1"/>
  <c r="AO16" i="1" s="1"/>
  <c r="B17" i="1"/>
  <c r="AP20" i="1"/>
  <c r="AO20" i="1" s="1"/>
  <c r="AT20" i="1"/>
  <c r="CM21" i="1"/>
  <c r="CL21" i="1" s="1"/>
  <c r="BO22" i="1"/>
  <c r="BK22" i="1"/>
  <c r="BJ22" i="1" s="1"/>
  <c r="B24" i="1"/>
  <c r="BQ24" i="1"/>
  <c r="BV24" i="1"/>
  <c r="AA30" i="1"/>
  <c r="AM30" i="1"/>
  <c r="BC30" i="1"/>
  <c r="BR31" i="1"/>
  <c r="AV32" i="1"/>
  <c r="N33" i="1"/>
  <c r="AB33" i="1"/>
  <c r="AF33" i="1"/>
  <c r="W36" i="1"/>
  <c r="V36" i="1"/>
  <c r="CJ37" i="1"/>
  <c r="CF37" i="1"/>
  <c r="CE37" i="1" s="1"/>
  <c r="O39" i="1"/>
  <c r="W40" i="1"/>
  <c r="V40" i="1" s="1"/>
  <c r="W44" i="1"/>
  <c r="V44" i="1" s="1"/>
  <c r="AP44" i="1"/>
  <c r="AT44" i="1"/>
  <c r="CL44" i="1"/>
  <c r="T45" i="1"/>
  <c r="Y45" i="1"/>
  <c r="AP45" i="1"/>
  <c r="AT45" i="1"/>
  <c r="Y47" i="1"/>
  <c r="E47" i="1"/>
  <c r="K47" i="1" s="1"/>
  <c r="AM12" i="1"/>
  <c r="AI12" i="1"/>
  <c r="CQ13" i="1"/>
  <c r="CM13" i="1"/>
  <c r="CL13" i="1" s="1"/>
  <c r="AP18" i="1"/>
  <c r="AO18" i="1" s="1"/>
  <c r="BX21" i="1"/>
  <c r="CC21" i="1"/>
  <c r="CJ27" i="1"/>
  <c r="CF27" i="1"/>
  <c r="AW29" i="1"/>
  <c r="AV29" i="1" s="1"/>
  <c r="BA29" i="1"/>
  <c r="G30" i="1"/>
  <c r="CF34" i="1"/>
  <c r="CE34" i="1" s="1"/>
  <c r="BO36" i="1"/>
  <c r="P36" i="1"/>
  <c r="O36" i="1" s="1"/>
  <c r="CM38" i="1"/>
  <c r="CL38" i="1" s="1"/>
  <c r="CM41" i="1"/>
  <c r="CQ41" i="1"/>
  <c r="AB46" i="1"/>
  <c r="AF46" i="1"/>
  <c r="BD46" i="1"/>
  <c r="BC46" i="1" s="1"/>
  <c r="BH46" i="1"/>
  <c r="AC5" i="1"/>
  <c r="N7" i="1"/>
  <c r="M7" i="1" s="1"/>
  <c r="U10" i="1"/>
  <c r="T10" i="1" s="1"/>
  <c r="BQ14" i="1"/>
  <c r="U16" i="1"/>
  <c r="T16" i="1" s="1"/>
  <c r="N18" i="1"/>
  <c r="M18" i="1" s="1"/>
  <c r="BJ19" i="1"/>
  <c r="BO19" i="1"/>
  <c r="AB21" i="1"/>
  <c r="AA21" i="1" s="1"/>
  <c r="BY21" i="1"/>
  <c r="B34" i="1"/>
  <c r="R35" i="1"/>
  <c r="N35" i="1"/>
  <c r="G35" i="1" s="1"/>
  <c r="BK38" i="1"/>
  <c r="BJ38" i="1" s="1"/>
  <c r="AW40" i="1"/>
  <c r="AV40" i="1" s="1"/>
  <c r="BK41" i="1"/>
  <c r="BO41" i="1"/>
  <c r="CM42" i="1"/>
  <c r="CL42" i="1" s="1"/>
  <c r="CQ42" i="1"/>
  <c r="AB44" i="1"/>
  <c r="AA44" i="1" s="1"/>
  <c r="AA46" i="1"/>
  <c r="AK50" i="1"/>
  <c r="AJ50" i="1" s="1"/>
  <c r="AA52" i="1"/>
  <c r="AB52" i="1"/>
  <c r="CL4" i="1"/>
  <c r="CJ6" i="1"/>
  <c r="AB20" i="1"/>
  <c r="AA20" i="1" s="1"/>
  <c r="AF20" i="1"/>
  <c r="BD24" i="1"/>
  <c r="BC24" i="1" s="1"/>
  <c r="BO28" i="1"/>
  <c r="BY28" i="1"/>
  <c r="CC28" i="1"/>
  <c r="E31" i="1"/>
  <c r="BD34" i="1"/>
  <c r="BC34" i="1" s="1"/>
  <c r="AH36" i="1"/>
  <c r="AI41" i="1"/>
  <c r="AM41" i="1"/>
  <c r="AT42" i="1"/>
  <c r="BV45" i="1"/>
  <c r="P54" i="1"/>
  <c r="O54" i="1" s="1"/>
  <c r="AA12" i="1"/>
  <c r="AF5" i="1"/>
  <c r="M5" i="1"/>
  <c r="BR20" i="1"/>
  <c r="BQ20" i="1" s="1"/>
  <c r="BV32" i="1"/>
  <c r="R36" i="1"/>
  <c r="BA38" i="1"/>
  <c r="AW38" i="1"/>
  <c r="AV38" i="1" s="1"/>
  <c r="AW42" i="1"/>
  <c r="BA42" i="1"/>
  <c r="CC45" i="1"/>
  <c r="BV49" i="1"/>
  <c r="BR49" i="1"/>
  <c r="BQ49" i="1" s="1"/>
  <c r="BC10" i="1"/>
  <c r="CQ22" i="1"/>
  <c r="CM22" i="1"/>
  <c r="CL22" i="1" s="1"/>
  <c r="AP8" i="1"/>
  <c r="AO8" i="1" s="1"/>
  <c r="CM4" i="1"/>
  <c r="BX6" i="1"/>
  <c r="AJ9" i="1"/>
  <c r="AG55" i="1"/>
  <c r="AG58" i="1" s="1"/>
  <c r="AM9" i="1"/>
  <c r="CF9" i="1"/>
  <c r="CE9" i="1" s="1"/>
  <c r="BK13" i="1"/>
  <c r="BJ13" i="1" s="1"/>
  <c r="BC15" i="1"/>
  <c r="AF6" i="1"/>
  <c r="BO14" i="1"/>
  <c r="BK14" i="1"/>
  <c r="BJ14" i="1" s="1"/>
  <c r="AC16" i="1"/>
  <c r="AD16" i="1"/>
  <c r="AW19" i="1"/>
  <c r="U23" i="1"/>
  <c r="T23" i="1" s="1"/>
  <c r="AJ30" i="1"/>
  <c r="BV30" i="1"/>
  <c r="BY32" i="1"/>
  <c r="CC32" i="1"/>
  <c r="CJ33" i="1"/>
  <c r="BY43" i="1"/>
  <c r="BX43" i="1" s="1"/>
  <c r="BD44" i="1"/>
  <c r="BC44" i="1" s="1"/>
  <c r="BH44" i="1"/>
  <c r="BR44" i="1"/>
  <c r="CF44" i="1"/>
  <c r="CE44" i="1" s="1"/>
  <c r="CJ44" i="1"/>
  <c r="BY45" i="1"/>
  <c r="BX45" i="1" s="1"/>
  <c r="N46" i="1"/>
  <c r="M46" i="1" s="1"/>
  <c r="R46" i="1"/>
  <c r="B48" i="1"/>
  <c r="G50" i="2"/>
  <c r="AD10" i="1"/>
  <c r="AC10" i="1" s="1"/>
  <c r="W8" i="1"/>
  <c r="V8" i="1" s="1"/>
  <c r="AA9" i="1"/>
  <c r="BR15" i="1"/>
  <c r="BQ15" i="1" s="1"/>
  <c r="CM17" i="1"/>
  <c r="CL17" i="1" s="1"/>
  <c r="CQ17" i="1"/>
  <c r="CF18" i="1"/>
  <c r="CE18" i="1" s="1"/>
  <c r="AV19" i="1"/>
  <c r="BK21" i="1"/>
  <c r="BJ21" i="1" s="1"/>
  <c r="AW23" i="1"/>
  <c r="AV23" i="1" s="1"/>
  <c r="BX25" i="1"/>
  <c r="CC25" i="1"/>
  <c r="AB26" i="1"/>
  <c r="AA26" i="1" s="1"/>
  <c r="CF26" i="1"/>
  <c r="CE26" i="1" s="1"/>
  <c r="BK28" i="1"/>
  <c r="BJ28" i="1" s="1"/>
  <c r="CQ29" i="1"/>
  <c r="CM29" i="1"/>
  <c r="BC4" i="1"/>
  <c r="AO4" i="1"/>
  <c r="E7" i="1"/>
  <c r="Y7" i="1"/>
  <c r="V7" i="1"/>
  <c r="AW7" i="1"/>
  <c r="AV7" i="1" s="1"/>
  <c r="BA7" i="1"/>
  <c r="J8" i="1"/>
  <c r="BH11" i="1"/>
  <c r="BD11" i="1"/>
  <c r="AT13" i="1"/>
  <c r="AP13" i="1"/>
  <c r="AO13" i="1" s="1"/>
  <c r="BQ18" i="1"/>
  <c r="BD20" i="1"/>
  <c r="BC20" i="1" s="1"/>
  <c r="AI28" i="1"/>
  <c r="AH28" i="1" s="1"/>
  <c r="M29" i="1"/>
  <c r="BY29" i="1"/>
  <c r="BX29" i="1" s="1"/>
  <c r="CC29" i="1"/>
  <c r="W30" i="1"/>
  <c r="V30" i="1" s="1"/>
  <c r="BR30" i="1"/>
  <c r="BQ30" i="1" s="1"/>
  <c r="BK32" i="1"/>
  <c r="BJ32" i="1" s="1"/>
  <c r="BO32" i="1"/>
  <c r="BD33" i="1"/>
  <c r="BH33" i="1"/>
  <c r="BY33" i="1"/>
  <c r="BX33" i="1" s="1"/>
  <c r="CC33" i="1"/>
  <c r="CF35" i="1"/>
  <c r="CE35" i="1" s="1"/>
  <c r="CJ35" i="1"/>
  <c r="N36" i="1"/>
  <c r="M36" i="1" s="1"/>
  <c r="CL40" i="1"/>
  <c r="AJ44" i="1"/>
  <c r="AK46" i="1"/>
  <c r="AJ46" i="1" s="1"/>
  <c r="CF46" i="1"/>
  <c r="CE46" i="1"/>
  <c r="CJ46" i="1"/>
  <c r="AD47" i="1"/>
  <c r="AC47" i="1" s="1"/>
  <c r="AM48" i="1"/>
  <c r="T5" i="1"/>
  <c r="CC5" i="1"/>
  <c r="W6" i="1"/>
  <c r="V6" i="1" s="1"/>
  <c r="AM10" i="1"/>
  <c r="BH10" i="1"/>
  <c r="M13" i="1"/>
  <c r="R14" i="1"/>
  <c r="AV15" i="1"/>
  <c r="AV16" i="1"/>
  <c r="BJ16" i="1"/>
  <c r="CM16" i="1"/>
  <c r="CL16" i="1" s="1"/>
  <c r="B27" i="1"/>
  <c r="M28" i="1"/>
  <c r="AO28" i="1"/>
  <c r="BY30" i="1"/>
  <c r="T34" i="1"/>
  <c r="AI34" i="1"/>
  <c r="BC37" i="1"/>
  <c r="BQ40" i="1"/>
  <c r="AD48" i="1"/>
  <c r="AC48" i="1" s="1"/>
  <c r="CQ48" i="1"/>
  <c r="V52" i="1"/>
  <c r="V57" i="1"/>
  <c r="E6" i="2"/>
  <c r="O7" i="2"/>
  <c r="CC7" i="2"/>
  <c r="CQ7" i="2"/>
  <c r="BO8" i="2"/>
  <c r="BA9" i="2"/>
  <c r="E10" i="2"/>
  <c r="BA10" i="2"/>
  <c r="CQ11" i="2"/>
  <c r="AM12" i="2"/>
  <c r="O13" i="2"/>
  <c r="BH18" i="2"/>
  <c r="CQ18" i="2"/>
  <c r="BA19" i="2"/>
  <c r="BV19" i="2"/>
  <c r="AT21" i="2"/>
  <c r="AT22" i="2"/>
  <c r="CJ24" i="2"/>
  <c r="AF27" i="2"/>
  <c r="AA28" i="2"/>
  <c r="BV29" i="2"/>
  <c r="E30" i="2"/>
  <c r="Y31" i="2"/>
  <c r="BV32" i="2"/>
  <c r="BA33" i="2"/>
  <c r="CL35" i="2"/>
  <c r="AV36" i="2"/>
  <c r="AF37" i="2"/>
  <c r="AM44" i="2"/>
  <c r="BV44" i="2"/>
  <c r="AT45" i="2"/>
  <c r="BA46" i="2"/>
  <c r="AM47" i="2"/>
  <c r="BA47" i="2"/>
  <c r="BA50" i="2"/>
  <c r="CJ50" i="2"/>
  <c r="BO51" i="2"/>
  <c r="M57" i="2"/>
  <c r="Y57" i="2"/>
  <c r="AJ6" i="1"/>
  <c r="V9" i="1"/>
  <c r="AC15" i="1"/>
  <c r="AV17" i="1"/>
  <c r="CL23" i="1"/>
  <c r="E30" i="1"/>
  <c r="Y31" i="1"/>
  <c r="M38" i="1"/>
  <c r="V38" i="1"/>
  <c r="AF39" i="1"/>
  <c r="B46" i="1"/>
  <c r="BJ46" i="1"/>
  <c r="Y48" i="1"/>
  <c r="Y52" i="1"/>
  <c r="AF53" i="1"/>
  <c r="AM53" i="1"/>
  <c r="B56" i="1"/>
  <c r="B4" i="2"/>
  <c r="Y4" i="2"/>
  <c r="AX4" i="2"/>
  <c r="AC5" i="2"/>
  <c r="BE5" i="2"/>
  <c r="CG5" i="2"/>
  <c r="AC6" i="2"/>
  <c r="AC55" i="2" s="1"/>
  <c r="AC58" i="2" s="1"/>
  <c r="CN6" i="2"/>
  <c r="CJ7" i="2"/>
  <c r="AM8" i="2"/>
  <c r="V9" i="2"/>
  <c r="J10" i="2"/>
  <c r="AM16" i="2"/>
  <c r="H21" i="2"/>
  <c r="M23" i="2"/>
  <c r="BQ23" i="2"/>
  <c r="Y24" i="2"/>
  <c r="AM26" i="2"/>
  <c r="BA26" i="2"/>
  <c r="BO28" i="2"/>
  <c r="CE28" i="2"/>
  <c r="BH29" i="2"/>
  <c r="BH39" i="2"/>
  <c r="CJ43" i="2"/>
  <c r="CQ44" i="2"/>
  <c r="R45" i="2"/>
  <c r="BH45" i="2"/>
  <c r="O48" i="2"/>
  <c r="AX48" i="2"/>
  <c r="BH48" i="2"/>
  <c r="BS48" i="2"/>
  <c r="E49" i="2"/>
  <c r="V49" i="2"/>
  <c r="AQ49" i="2"/>
  <c r="AQ55" i="2" s="1"/>
  <c r="BE49" i="2"/>
  <c r="BO49" i="2"/>
  <c r="CN49" i="2"/>
  <c r="CC50" i="2"/>
  <c r="CQ50" i="2"/>
  <c r="BH51" i="2"/>
  <c r="BV51" i="2"/>
  <c r="V52" i="2"/>
  <c r="E53" i="2"/>
  <c r="AX53" i="2"/>
  <c r="BV53" i="2"/>
  <c r="AC54" i="2"/>
  <c r="H54" i="2" s="1"/>
  <c r="BA54" i="2"/>
  <c r="CN56" i="2"/>
  <c r="AF57" i="2"/>
  <c r="CE45" i="2"/>
  <c r="J48" i="2"/>
  <c r="BQ56" i="1"/>
  <c r="BQ57" i="1"/>
  <c r="AO4" i="2"/>
  <c r="BJ6" i="2"/>
  <c r="BX6" i="2"/>
  <c r="AM7" i="2"/>
  <c r="D8" i="2"/>
  <c r="AO8" i="2"/>
  <c r="BQ9" i="2"/>
  <c r="M10" i="2"/>
  <c r="AA10" i="2"/>
  <c r="CE10" i="2"/>
  <c r="M12" i="2"/>
  <c r="BO14" i="2"/>
  <c r="BX15" i="2"/>
  <c r="AO17" i="2"/>
  <c r="AH18" i="2"/>
  <c r="BQ21" i="2"/>
  <c r="AA26" i="2"/>
  <c r="H29" i="2"/>
  <c r="CL30" i="2"/>
  <c r="AA33" i="2"/>
  <c r="T36" i="2"/>
  <c r="BC37" i="2"/>
  <c r="AO41" i="2"/>
  <c r="CC43" i="2"/>
  <c r="J45" i="2"/>
  <c r="BQ49" i="2"/>
  <c r="T50" i="2"/>
  <c r="CE52" i="2"/>
  <c r="AO57" i="2"/>
  <c r="BO57" i="2"/>
  <c r="CL57" i="2"/>
  <c r="AM50" i="1"/>
  <c r="BY50" i="1"/>
  <c r="BX50" i="1" s="1"/>
  <c r="AF52" i="1"/>
  <c r="AW52" i="1"/>
  <c r="BR56" i="1"/>
  <c r="AF4" i="2"/>
  <c r="BQ4" i="2"/>
  <c r="B5" i="2"/>
  <c r="AH6" i="2"/>
  <c r="B7" i="2"/>
  <c r="B9" i="2"/>
  <c r="AA9" i="2"/>
  <c r="AO11" i="2"/>
  <c r="H12" i="2"/>
  <c r="E13" i="2"/>
  <c r="T13" i="2"/>
  <c r="BX13" i="2"/>
  <c r="T14" i="2"/>
  <c r="BC14" i="2"/>
  <c r="CE14" i="2"/>
  <c r="AT15" i="2"/>
  <c r="CQ15" i="2"/>
  <c r="G16" i="2"/>
  <c r="BQ16" i="2"/>
  <c r="CE16" i="2"/>
  <c r="BQ18" i="2"/>
  <c r="H19" i="2"/>
  <c r="Y20" i="2"/>
  <c r="BX20" i="2"/>
  <c r="T21" i="2"/>
  <c r="CL22" i="2"/>
  <c r="R24" i="2"/>
  <c r="AO25" i="2"/>
  <c r="AO27" i="2"/>
  <c r="AH29" i="2"/>
  <c r="T31" i="2"/>
  <c r="BJ31" i="2"/>
  <c r="BJ33" i="2"/>
  <c r="AA34" i="2"/>
  <c r="E36" i="2"/>
  <c r="BX36" i="2"/>
  <c r="CL40" i="2"/>
  <c r="M41" i="2"/>
  <c r="BO41" i="2"/>
  <c r="Y42" i="2"/>
  <c r="CQ42" i="2"/>
  <c r="T43" i="2"/>
  <c r="BQ43" i="2"/>
  <c r="BJ45" i="2"/>
  <c r="AO48" i="2"/>
  <c r="BJ48" i="2"/>
  <c r="CE54" i="2"/>
  <c r="T56" i="2"/>
  <c r="B57" i="2"/>
  <c r="R57" i="2"/>
  <c r="BC57" i="2"/>
  <c r="BQ57" i="2"/>
  <c r="CC57" i="2"/>
  <c r="AI50" i="1"/>
  <c r="AW50" i="1"/>
  <c r="AV50" i="1" s="1"/>
  <c r="R53" i="1"/>
  <c r="BK54" i="1"/>
  <c r="BJ54" i="1" s="1"/>
  <c r="BX54" i="1"/>
  <c r="N56" i="1"/>
  <c r="M56" i="1" s="1"/>
  <c r="E5" i="2"/>
  <c r="T6" i="2"/>
  <c r="AV6" i="2"/>
  <c r="CJ8" i="2"/>
  <c r="M11" i="2"/>
  <c r="BC11" i="2"/>
  <c r="AO13" i="2"/>
  <c r="BJ15" i="2"/>
  <c r="BC16" i="2"/>
  <c r="AT17" i="2"/>
  <c r="CL18" i="2"/>
  <c r="AV19" i="2"/>
  <c r="CE19" i="2"/>
  <c r="BJ20" i="2"/>
  <c r="BC21" i="2"/>
  <c r="BC22" i="2"/>
  <c r="T28" i="2"/>
  <c r="BQ29" i="2"/>
  <c r="R30" i="2"/>
  <c r="AV30" i="2"/>
  <c r="CC30" i="2"/>
  <c r="BQ32" i="2"/>
  <c r="AV33" i="2"/>
  <c r="AH38" i="2"/>
  <c r="BX38" i="2"/>
  <c r="AA39" i="2"/>
  <c r="H41" i="2"/>
  <c r="CE43" i="2"/>
  <c r="CL44" i="2"/>
  <c r="M45" i="2"/>
  <c r="AO45" i="2"/>
  <c r="BC45" i="2"/>
  <c r="T46" i="2"/>
  <c r="AV46" i="2"/>
  <c r="AH47" i="2"/>
  <c r="BV47" i="2"/>
  <c r="CE47" i="2"/>
  <c r="E48" i="2"/>
  <c r="K48" i="2" s="1"/>
  <c r="BC48" i="2"/>
  <c r="BX48" i="2"/>
  <c r="M49" i="2"/>
  <c r="BJ49" i="2"/>
  <c r="CE50" i="2"/>
  <c r="BJ51" i="2"/>
  <c r="BV54" i="2"/>
  <c r="CQ57" i="2"/>
  <c r="J49" i="1"/>
  <c r="CL6" i="1"/>
  <c r="R7" i="1"/>
  <c r="AC7" i="1"/>
  <c r="R9" i="1"/>
  <c r="AF10" i="1"/>
  <c r="BA12" i="1"/>
  <c r="BX16" i="1"/>
  <c r="B28" i="1"/>
  <c r="Y30" i="1"/>
  <c r="R38" i="1"/>
  <c r="T43" i="1"/>
  <c r="BO46" i="1"/>
  <c r="AW47" i="1"/>
  <c r="AV47" i="1" s="1"/>
  <c r="CF47" i="1"/>
  <c r="CE47" i="1" s="1"/>
  <c r="AB48" i="1"/>
  <c r="AA48" i="1" s="1"/>
  <c r="AT49" i="1"/>
  <c r="AJ53" i="1"/>
  <c r="BY54" i="1"/>
  <c r="AH4" i="2"/>
  <c r="AS55" i="2"/>
  <c r="AS58" i="2" s="1"/>
  <c r="J5" i="2"/>
  <c r="K5" i="2" s="1"/>
  <c r="AM5" i="2"/>
  <c r="BA5" i="2"/>
  <c r="BO5" i="2"/>
  <c r="CC5" i="2"/>
  <c r="BO6" i="2"/>
  <c r="AF7" i="2"/>
  <c r="CL7" i="2"/>
  <c r="AH8" i="2"/>
  <c r="R9" i="2"/>
  <c r="AF9" i="2"/>
  <c r="BJ10" i="2"/>
  <c r="BX10" i="2"/>
  <c r="J11" i="2"/>
  <c r="BJ13" i="2"/>
  <c r="AO14" i="2"/>
  <c r="CC14" i="2"/>
  <c r="AH15" i="2"/>
  <c r="R16" i="2"/>
  <c r="BV16" i="2"/>
  <c r="M17" i="2"/>
  <c r="AA20" i="2"/>
  <c r="AO22" i="2"/>
  <c r="E24" i="2"/>
  <c r="K24" i="2" s="1"/>
  <c r="T24" i="2"/>
  <c r="AT25" i="2"/>
  <c r="AH26" i="2"/>
  <c r="AV26" i="2"/>
  <c r="H28" i="2"/>
  <c r="BJ28" i="2"/>
  <c r="BX28" i="2"/>
  <c r="BC29" i="2"/>
  <c r="BO33" i="2"/>
  <c r="CE34" i="2"/>
  <c r="R37" i="2"/>
  <c r="CE37" i="2"/>
  <c r="BX40" i="2"/>
  <c r="BJ42" i="2"/>
  <c r="B43" i="2"/>
  <c r="E44" i="2"/>
  <c r="K44" i="2" s="1"/>
  <c r="AA44" i="2"/>
  <c r="CJ45" i="2"/>
  <c r="BJ46" i="2"/>
  <c r="CL48" i="2"/>
  <c r="BV49" i="2"/>
  <c r="M50" i="2"/>
  <c r="AM51" i="2"/>
  <c r="CE51" i="2"/>
  <c r="M52" i="2"/>
  <c r="CJ54" i="2"/>
  <c r="AH56" i="2"/>
  <c r="BJ56" i="2"/>
  <c r="BX56" i="2"/>
  <c r="T57" i="2"/>
  <c r="AT57" i="2"/>
  <c r="R5" i="1"/>
  <c r="T7" i="1"/>
  <c r="CJ9" i="1"/>
  <c r="BC12" i="1"/>
  <c r="W13" i="1"/>
  <c r="V13" i="1" s="1"/>
  <c r="P14" i="1"/>
  <c r="O14" i="1" s="1"/>
  <c r="E24" i="1"/>
  <c r="K24" i="1" s="1"/>
  <c r="V31" i="1"/>
  <c r="AJ31" i="1"/>
  <c r="BX35" i="1"/>
  <c r="Y36" i="1"/>
  <c r="BQ38" i="1"/>
  <c r="CC38" i="1"/>
  <c r="CQ40" i="1"/>
  <c r="AH44" i="1"/>
  <c r="AW51" i="1"/>
  <c r="AV51" i="1" s="1"/>
  <c r="CF52" i="1"/>
  <c r="CE52" i="1" s="1"/>
  <c r="AW57" i="1"/>
  <c r="AV57" i="1" s="1"/>
  <c r="E4" i="2"/>
  <c r="R5" i="2"/>
  <c r="AA5" i="2"/>
  <c r="AT5" i="2"/>
  <c r="BC5" i="2"/>
  <c r="BV5" i="2"/>
  <c r="CE5" i="2"/>
  <c r="AM6" i="2"/>
  <c r="AT7" i="2"/>
  <c r="BX8" i="2"/>
  <c r="CL8" i="2"/>
  <c r="AX9" i="2"/>
  <c r="B10" i="2"/>
  <c r="R11" i="2"/>
  <c r="AT11" i="2"/>
  <c r="R13" i="2"/>
  <c r="J14" i="2"/>
  <c r="BX14" i="2"/>
  <c r="BH15" i="2"/>
  <c r="M16" i="2"/>
  <c r="H17" i="2"/>
  <c r="AV17" i="2"/>
  <c r="M20" i="2"/>
  <c r="CE20" i="2"/>
  <c r="BH22" i="2"/>
  <c r="T23" i="2"/>
  <c r="BX23" i="2"/>
  <c r="BQ25" i="2"/>
  <c r="H26" i="2"/>
  <c r="H27" i="2"/>
  <c r="E29" i="2"/>
  <c r="K29" i="2" s="1"/>
  <c r="BA30" i="2"/>
  <c r="CE30" i="2"/>
  <c r="AO31" i="2"/>
  <c r="CC31" i="2"/>
  <c r="CL32" i="2"/>
  <c r="AF34" i="2"/>
  <c r="BV34" i="2"/>
  <c r="M35" i="2"/>
  <c r="BQ35" i="2"/>
  <c r="Y36" i="2"/>
  <c r="CC36" i="2"/>
  <c r="G37" i="2"/>
  <c r="AM38" i="2"/>
  <c r="BJ38" i="2"/>
  <c r="M39" i="2"/>
  <c r="T40" i="2"/>
  <c r="BJ40" i="2"/>
  <c r="B41" i="2"/>
  <c r="AH41" i="2"/>
  <c r="BQ41" i="2"/>
  <c r="AV42" i="2"/>
  <c r="BX45" i="2"/>
  <c r="Y48" i="2"/>
  <c r="AT48" i="2"/>
  <c r="BA49" i="2"/>
  <c r="CG50" i="2"/>
  <c r="BL51" i="2"/>
  <c r="BJ54" i="2"/>
  <c r="CL54" i="2"/>
  <c r="CL56" i="2"/>
  <c r="CE57" i="2"/>
  <c r="AO20" i="2"/>
  <c r="BQ14" i="2"/>
  <c r="AV15" i="2"/>
  <c r="B16" i="2"/>
  <c r="BC19" i="2"/>
  <c r="CE21" i="2"/>
  <c r="R25" i="2"/>
  <c r="E25" i="2"/>
  <c r="K25" i="2" s="1"/>
  <c r="B25" i="2"/>
  <c r="AA25" i="2"/>
  <c r="AF25" i="2"/>
  <c r="BO26" i="2"/>
  <c r="BJ26" i="2"/>
  <c r="BO30" i="2"/>
  <c r="BJ30" i="2"/>
  <c r="G32" i="2"/>
  <c r="AM32" i="2"/>
  <c r="M38" i="2"/>
  <c r="E38" i="2"/>
  <c r="R38" i="2"/>
  <c r="B38" i="2"/>
  <c r="BQ38" i="2"/>
  <c r="BV38" i="2"/>
  <c r="BH50" i="2"/>
  <c r="BC50" i="2"/>
  <c r="X55" i="2"/>
  <c r="AG55" i="2"/>
  <c r="AG58" i="2" s="1"/>
  <c r="AZ55" i="2"/>
  <c r="BI55" i="2"/>
  <c r="BI58" i="2" s="1"/>
  <c r="CB55" i="2"/>
  <c r="CK55" i="2"/>
  <c r="CK58" i="2" s="1"/>
  <c r="B6" i="2"/>
  <c r="J6" i="2"/>
  <c r="K6" i="2" s="1"/>
  <c r="G8" i="2"/>
  <c r="O8" i="2"/>
  <c r="H8" i="2" s="1"/>
  <c r="AM9" i="2"/>
  <c r="CJ9" i="2"/>
  <c r="BH10" i="2"/>
  <c r="E11" i="2"/>
  <c r="K11" i="2" s="1"/>
  <c r="O11" i="2"/>
  <c r="H11" i="2" s="1"/>
  <c r="Y11" i="2"/>
  <c r="BV11" i="2"/>
  <c r="AT12" i="2"/>
  <c r="CJ12" i="2"/>
  <c r="AC13" i="2"/>
  <c r="H13" i="2" s="1"/>
  <c r="AF13" i="2"/>
  <c r="CL13" i="2"/>
  <c r="R14" i="2"/>
  <c r="B14" i="2"/>
  <c r="AF18" i="2"/>
  <c r="AA18" i="2"/>
  <c r="AF22" i="2"/>
  <c r="AA22" i="2"/>
  <c r="BQ22" i="2"/>
  <c r="AT23" i="2"/>
  <c r="AO23" i="2"/>
  <c r="BC23" i="2"/>
  <c r="BH23" i="2"/>
  <c r="M25" i="2"/>
  <c r="CJ26" i="2"/>
  <c r="CE26" i="2"/>
  <c r="BH28" i="2"/>
  <c r="BC28" i="2"/>
  <c r="AH30" i="2"/>
  <c r="AM30" i="2"/>
  <c r="AA31" i="2"/>
  <c r="AF31" i="2"/>
  <c r="E31" i="2"/>
  <c r="CL33" i="2"/>
  <c r="CQ33" i="2"/>
  <c r="BV37" i="2"/>
  <c r="BQ37" i="2"/>
  <c r="H38" i="2"/>
  <c r="BS39" i="2"/>
  <c r="BS55" i="2" s="1"/>
  <c r="BS58" i="2" s="1"/>
  <c r="BV39" i="2"/>
  <c r="CE41" i="2"/>
  <c r="CJ41" i="2"/>
  <c r="Y45" i="2"/>
  <c r="E45" i="2"/>
  <c r="K45" i="2" s="1"/>
  <c r="B45" i="2"/>
  <c r="AV45" i="2"/>
  <c r="BA45" i="2"/>
  <c r="BC46" i="2"/>
  <c r="BH46" i="2"/>
  <c r="O4" i="2"/>
  <c r="BE6" i="2"/>
  <c r="CG6" i="2"/>
  <c r="AJ7" i="2"/>
  <c r="BL7" i="2"/>
  <c r="BL55" i="2" s="1"/>
  <c r="BL58" i="2" s="1"/>
  <c r="CN7" i="2"/>
  <c r="BC8" i="2"/>
  <c r="BZ9" i="2"/>
  <c r="V10" i="2"/>
  <c r="H10" i="2" s="1"/>
  <c r="D10" i="2"/>
  <c r="CE11" i="2"/>
  <c r="AV12" i="2"/>
  <c r="BX12" i="2"/>
  <c r="CC12" i="2"/>
  <c r="CQ12" i="2"/>
  <c r="CL12" i="2"/>
  <c r="AF14" i="2"/>
  <c r="BV14" i="2"/>
  <c r="BA15" i="2"/>
  <c r="H16" i="2"/>
  <c r="AF16" i="2"/>
  <c r="CQ16" i="2"/>
  <c r="CL16" i="2"/>
  <c r="BV17" i="2"/>
  <c r="BQ17" i="2"/>
  <c r="CE17" i="2"/>
  <c r="CJ17" i="2"/>
  <c r="BX18" i="2"/>
  <c r="CC18" i="2"/>
  <c r="BH19" i="2"/>
  <c r="CQ20" i="2"/>
  <c r="CL20" i="2"/>
  <c r="CJ21" i="2"/>
  <c r="CL23" i="2"/>
  <c r="CQ24" i="2"/>
  <c r="CL24" i="2"/>
  <c r="M27" i="2"/>
  <c r="CC27" i="2"/>
  <c r="BX27" i="2"/>
  <c r="T30" i="2"/>
  <c r="B30" i="2"/>
  <c r="Y30" i="2"/>
  <c r="J31" i="2"/>
  <c r="R31" i="2"/>
  <c r="BC32" i="2"/>
  <c r="AM34" i="2"/>
  <c r="AH34" i="2"/>
  <c r="V40" i="2"/>
  <c r="H40" i="2" s="1"/>
  <c r="Y40" i="2"/>
  <c r="BU55" i="2"/>
  <c r="CD55" i="2"/>
  <c r="CD58" i="2" s="1"/>
  <c r="J12" i="2"/>
  <c r="AV13" i="2"/>
  <c r="BA13" i="2"/>
  <c r="E16" i="2"/>
  <c r="B18" i="2"/>
  <c r="M18" i="2"/>
  <c r="E18" i="2"/>
  <c r="K18" i="2" s="1"/>
  <c r="CL21" i="2"/>
  <c r="B22" i="2"/>
  <c r="AF23" i="2"/>
  <c r="AA23" i="2"/>
  <c r="BJ23" i="2"/>
  <c r="BA25" i="2"/>
  <c r="AV25" i="2"/>
  <c r="CE25" i="2"/>
  <c r="BO29" i="2"/>
  <c r="CQ34" i="2"/>
  <c r="CL34" i="2"/>
  <c r="AX36" i="2"/>
  <c r="H36" i="2" s="1"/>
  <c r="BA36" i="2"/>
  <c r="CQ36" i="2"/>
  <c r="CL36" i="2"/>
  <c r="AH37" i="2"/>
  <c r="AM37" i="2"/>
  <c r="M44" i="2"/>
  <c r="R44" i="2"/>
  <c r="B44" i="2"/>
  <c r="AQ54" i="2"/>
  <c r="AT54" i="2"/>
  <c r="AT4" i="2"/>
  <c r="AO6" i="2"/>
  <c r="CL14" i="2"/>
  <c r="BQ15" i="2"/>
  <c r="BH17" i="2"/>
  <c r="BJ18" i="2"/>
  <c r="CQ23" i="2"/>
  <c r="AT28" i="2"/>
  <c r="CQ28" i="2"/>
  <c r="CL28" i="2"/>
  <c r="BJ29" i="2"/>
  <c r="AM31" i="2"/>
  <c r="AH31" i="2"/>
  <c r="AO34" i="2"/>
  <c r="AT34" i="2"/>
  <c r="AH35" i="2"/>
  <c r="Y37" i="2"/>
  <c r="E37" i="2"/>
  <c r="CJ39" i="2"/>
  <c r="Q58" i="2"/>
  <c r="Y5" i="2"/>
  <c r="BJ5" i="2"/>
  <c r="BX7" i="2"/>
  <c r="AA11" i="2"/>
  <c r="AV11" i="2"/>
  <c r="AT14" i="2"/>
  <c r="E15" i="2"/>
  <c r="R15" i="2"/>
  <c r="B15" i="2"/>
  <c r="AV16" i="2"/>
  <c r="J4" i="2"/>
  <c r="S55" i="2"/>
  <c r="S58" i="2" s="1"/>
  <c r="AL55" i="2"/>
  <c r="AU55" i="2"/>
  <c r="AU58" i="2" s="1"/>
  <c r="BC4" i="2"/>
  <c r="BN55" i="2"/>
  <c r="BW55" i="2"/>
  <c r="BW58" i="2" s="1"/>
  <c r="CE4" i="2"/>
  <c r="CP55" i="2"/>
  <c r="G5" i="2"/>
  <c r="CL5" i="2"/>
  <c r="M6" i="2"/>
  <c r="BQ6" i="2"/>
  <c r="G7" i="2"/>
  <c r="D7" i="2"/>
  <c r="B8" i="2"/>
  <c r="T8" i="2"/>
  <c r="E9" i="2"/>
  <c r="AH9" i="2"/>
  <c r="BJ9" i="2"/>
  <c r="CQ10" i="2"/>
  <c r="T11" i="2"/>
  <c r="BA12" i="2"/>
  <c r="B13" i="2"/>
  <c r="BH13" i="2"/>
  <c r="BO13" i="2"/>
  <c r="BA14" i="2"/>
  <c r="AV14" i="2"/>
  <c r="AF15" i="2"/>
  <c r="AA15" i="2"/>
  <c r="AF17" i="2"/>
  <c r="BC17" i="2"/>
  <c r="R18" i="2"/>
  <c r="Y19" i="2"/>
  <c r="B19" i="2"/>
  <c r="G19" i="2"/>
  <c r="AM19" i="2"/>
  <c r="BO19" i="2"/>
  <c r="B21" i="2"/>
  <c r="BA21" i="2"/>
  <c r="AV21" i="2"/>
  <c r="BJ21" i="2"/>
  <c r="BO21" i="2"/>
  <c r="CQ21" i="2"/>
  <c r="H22" i="2"/>
  <c r="H23" i="2"/>
  <c r="AM24" i="2"/>
  <c r="B24" i="2"/>
  <c r="AV24" i="2"/>
  <c r="BA24" i="2"/>
  <c r="BH25" i="2"/>
  <c r="CJ25" i="2"/>
  <c r="AO28" i="2"/>
  <c r="CJ29" i="2"/>
  <c r="AT36" i="2"/>
  <c r="J39" i="2"/>
  <c r="CE39" i="2"/>
  <c r="I55" i="2"/>
  <c r="I58" i="2" s="1"/>
  <c r="AA4" i="2"/>
  <c r="BV4" i="2"/>
  <c r="Y10" i="2"/>
  <c r="B12" i="2"/>
  <c r="T12" i="2"/>
  <c r="AH13" i="2"/>
  <c r="H14" i="2"/>
  <c r="AH14" i="2"/>
  <c r="AM14" i="2"/>
  <c r="Y15" i="2"/>
  <c r="CL17" i="2"/>
  <c r="T4" i="2"/>
  <c r="AM4" i="2"/>
  <c r="AV4" i="2"/>
  <c r="BO4" i="2"/>
  <c r="BX4" i="2"/>
  <c r="CQ4" i="2"/>
  <c r="CL6" i="2"/>
  <c r="E7" i="2"/>
  <c r="K7" i="2" s="1"/>
  <c r="M7" i="2"/>
  <c r="AO7" i="2"/>
  <c r="BQ7" i="2"/>
  <c r="CC8" i="2"/>
  <c r="CE9" i="2"/>
  <c r="BO10" i="2"/>
  <c r="B11" i="2"/>
  <c r="BQ11" i="2"/>
  <c r="E12" i="2"/>
  <c r="BH12" i="2"/>
  <c r="M13" i="2"/>
  <c r="BC13" i="2"/>
  <c r="BV13" i="2"/>
  <c r="BQ13" i="2"/>
  <c r="E14" i="2"/>
  <c r="CQ14" i="2"/>
  <c r="H15" i="2"/>
  <c r="BV15" i="2"/>
  <c r="J16" i="2"/>
  <c r="BA16" i="2"/>
  <c r="B17" i="2"/>
  <c r="T19" i="2"/>
  <c r="H20" i="2"/>
  <c r="BQ20" i="2"/>
  <c r="BV20" i="2"/>
  <c r="E22" i="2"/>
  <c r="K22" i="2" s="1"/>
  <c r="R22" i="2"/>
  <c r="B23" i="2"/>
  <c r="AH23" i="2"/>
  <c r="BO23" i="2"/>
  <c r="AH24" i="2"/>
  <c r="BC25" i="2"/>
  <c r="CE29" i="2"/>
  <c r="BV30" i="2"/>
  <c r="J30" i="2"/>
  <c r="AX31" i="2"/>
  <c r="H31" i="2" s="1"/>
  <c r="BA31" i="2"/>
  <c r="B32" i="2"/>
  <c r="AM35" i="2"/>
  <c r="AO36" i="2"/>
  <c r="BO36" i="2"/>
  <c r="BJ36" i="2"/>
  <c r="B37" i="2"/>
  <c r="J53" i="2"/>
  <c r="K53" i="2" s="1"/>
  <c r="V53" i="2"/>
  <c r="AT53" i="2"/>
  <c r="BH53" i="2"/>
  <c r="BB55" i="2"/>
  <c r="BB58" i="2" s="1"/>
  <c r="R4" i="2"/>
  <c r="AV8" i="2"/>
  <c r="AO9" i="2"/>
  <c r="CL9" i="2"/>
  <c r="AH10" i="2"/>
  <c r="BX11" i="2"/>
  <c r="L55" i="2"/>
  <c r="L58" i="2" s="1"/>
  <c r="AE55" i="2"/>
  <c r="AN55" i="2"/>
  <c r="AN58" i="2" s="1"/>
  <c r="BG55" i="2"/>
  <c r="BP55" i="2"/>
  <c r="BP58" i="2" s="1"/>
  <c r="CI55" i="2"/>
  <c r="E8" i="2"/>
  <c r="K8" i="2" s="1"/>
  <c r="M8" i="2"/>
  <c r="BA8" i="2"/>
  <c r="J9" i="2"/>
  <c r="AM10" i="2"/>
  <c r="D12" i="2"/>
  <c r="Y12" i="2"/>
  <c r="CC15" i="2"/>
  <c r="BH16" i="2"/>
  <c r="G17" i="2"/>
  <c r="BJ17" i="2"/>
  <c r="CQ17" i="2"/>
  <c r="H18" i="2"/>
  <c r="AT20" i="2"/>
  <c r="B20" i="2"/>
  <c r="AH21" i="2"/>
  <c r="H24" i="2"/>
  <c r="BH24" i="2"/>
  <c r="BC24" i="2"/>
  <c r="B26" i="2"/>
  <c r="E26" i="2"/>
  <c r="K26" i="2" s="1"/>
  <c r="M26" i="2"/>
  <c r="BC27" i="2"/>
  <c r="M28" i="2"/>
  <c r="E28" i="2"/>
  <c r="K28" i="2" s="1"/>
  <c r="R28" i="2"/>
  <c r="G30" i="2"/>
  <c r="M30" i="2"/>
  <c r="BC31" i="2"/>
  <c r="BH31" i="2"/>
  <c r="BC33" i="2"/>
  <c r="BH33" i="2"/>
  <c r="B33" i="2"/>
  <c r="M34" i="2"/>
  <c r="R34" i="2"/>
  <c r="E34" i="2"/>
  <c r="K34" i="2" s="1"/>
  <c r="B34" i="2"/>
  <c r="BJ37" i="2"/>
  <c r="BO37" i="2"/>
  <c r="J38" i="2"/>
  <c r="BA38" i="2"/>
  <c r="AV38" i="2"/>
  <c r="AO53" i="2"/>
  <c r="BC53" i="2"/>
  <c r="CC53" i="2"/>
  <c r="BX53" i="2"/>
  <c r="BH54" i="2"/>
  <c r="BC54" i="2"/>
  <c r="BX16" i="2"/>
  <c r="T18" i="2"/>
  <c r="BQ19" i="2"/>
  <c r="G20" i="2"/>
  <c r="AA27" i="2"/>
  <c r="BQ28" i="2"/>
  <c r="CC29" i="2"/>
  <c r="BX29" i="2"/>
  <c r="H30" i="2"/>
  <c r="BH30" i="2"/>
  <c r="CL31" i="2"/>
  <c r="CQ31" i="2"/>
  <c r="R32" i="2"/>
  <c r="E32" i="2"/>
  <c r="K32" i="2" s="1"/>
  <c r="BQ33" i="2"/>
  <c r="CJ33" i="2"/>
  <c r="CE33" i="2"/>
  <c r="BH34" i="2"/>
  <c r="BC34" i="2"/>
  <c r="CE35" i="2"/>
  <c r="CJ35" i="2"/>
  <c r="BC36" i="2"/>
  <c r="BH36" i="2"/>
  <c r="BA37" i="2"/>
  <c r="AV37" i="2"/>
  <c r="AO39" i="2"/>
  <c r="G41" i="2"/>
  <c r="AT43" i="2"/>
  <c r="AO43" i="2"/>
  <c r="BE43" i="2"/>
  <c r="BH43" i="2"/>
  <c r="J51" i="2"/>
  <c r="AA13" i="2"/>
  <c r="CC16" i="2"/>
  <c r="T22" i="2"/>
  <c r="G24" i="2"/>
  <c r="B27" i="2"/>
  <c r="AF29" i="2"/>
  <c r="AA29" i="2"/>
  <c r="AO29" i="2"/>
  <c r="AT29" i="2"/>
  <c r="CJ30" i="2"/>
  <c r="BO32" i="2"/>
  <c r="BJ32" i="2"/>
  <c r="BX32" i="2"/>
  <c r="CC32" i="2"/>
  <c r="H33" i="2"/>
  <c r="AA35" i="2"/>
  <c r="B35" i="2"/>
  <c r="E35" i="2"/>
  <c r="K35" i="2" s="1"/>
  <c r="AA36" i="2"/>
  <c r="AF36" i="2"/>
  <c r="AJ37" i="2"/>
  <c r="J37" i="2"/>
  <c r="Y38" i="2"/>
  <c r="T38" i="2"/>
  <c r="AM40" i="2"/>
  <c r="CE40" i="2"/>
  <c r="CJ40" i="2"/>
  <c r="BC41" i="2"/>
  <c r="Y50" i="2"/>
  <c r="V50" i="2"/>
  <c r="H50" i="2" s="1"/>
  <c r="BJ50" i="2"/>
  <c r="BO50" i="2"/>
  <c r="BO12" i="2"/>
  <c r="CJ15" i="2"/>
  <c r="BO16" i="2"/>
  <c r="AO18" i="2"/>
  <c r="BC18" i="2"/>
  <c r="BX19" i="2"/>
  <c r="CL19" i="2"/>
  <c r="T20" i="2"/>
  <c r="AV22" i="2"/>
  <c r="CE23" i="2"/>
  <c r="M24" i="2"/>
  <c r="AA24" i="2"/>
  <c r="AO24" i="2"/>
  <c r="BQ24" i="2"/>
  <c r="CE24" i="2"/>
  <c r="H25" i="2"/>
  <c r="BQ26" i="2"/>
  <c r="Y27" i="2"/>
  <c r="T27" i="2"/>
  <c r="CE27" i="2"/>
  <c r="CL29" i="2"/>
  <c r="CE31" i="2"/>
  <c r="Y32" i="2"/>
  <c r="T32" i="2"/>
  <c r="BH38" i="2"/>
  <c r="BC38" i="2"/>
  <c r="CL38" i="2"/>
  <c r="BQ39" i="2"/>
  <c r="AH40" i="2"/>
  <c r="BA40" i="2"/>
  <c r="BV40" i="2"/>
  <c r="BQ40" i="2"/>
  <c r="CL43" i="2"/>
  <c r="CQ43" i="2"/>
  <c r="CE46" i="2"/>
  <c r="CJ46" i="2"/>
  <c r="AQ52" i="2"/>
  <c r="AT52" i="2"/>
  <c r="AT13" i="2"/>
  <c r="CE13" i="2"/>
  <c r="Y14" i="2"/>
  <c r="BJ14" i="2"/>
  <c r="AO15" i="2"/>
  <c r="M19" i="2"/>
  <c r="E21" i="2"/>
  <c r="K21" i="2" s="1"/>
  <c r="M21" i="2"/>
  <c r="AO21" i="2"/>
  <c r="Y22" i="2"/>
  <c r="BX22" i="2"/>
  <c r="AO26" i="2"/>
  <c r="BC26" i="2"/>
  <c r="BQ27" i="2"/>
  <c r="AM28" i="2"/>
  <c r="AH28" i="2"/>
  <c r="B29" i="2"/>
  <c r="AV29" i="2"/>
  <c r="BA32" i="2"/>
  <c r="AV32" i="2"/>
  <c r="CE32" i="2"/>
  <c r="H35" i="2"/>
  <c r="AF35" i="2"/>
  <c r="BE37" i="2"/>
  <c r="BH37" i="2"/>
  <c r="G39" i="2"/>
  <c r="T39" i="2"/>
  <c r="Y39" i="2"/>
  <c r="B39" i="2"/>
  <c r="BH41" i="2"/>
  <c r="BO25" i="2"/>
  <c r="Y26" i="2"/>
  <c r="CC26" i="2"/>
  <c r="AM27" i="2"/>
  <c r="CQ27" i="2"/>
  <c r="BA28" i="2"/>
  <c r="M33" i="2"/>
  <c r="E33" i="2"/>
  <c r="K33" i="2" s="1"/>
  <c r="AV34" i="2"/>
  <c r="AO35" i="2"/>
  <c r="B36" i="2"/>
  <c r="R36" i="2"/>
  <c r="BV36" i="2"/>
  <c r="BQ36" i="2"/>
  <c r="CE36" i="2"/>
  <c r="CJ36" i="2"/>
  <c r="CC37" i="2"/>
  <c r="BX37" i="2"/>
  <c r="CL37" i="2"/>
  <c r="CQ37" i="2"/>
  <c r="AF38" i="2"/>
  <c r="AA38" i="2"/>
  <c r="AO38" i="2"/>
  <c r="AT38" i="2"/>
  <c r="J40" i="2"/>
  <c r="AV40" i="2"/>
  <c r="AO47" i="2"/>
  <c r="AT47" i="2"/>
  <c r="B50" i="2"/>
  <c r="B51" i="2"/>
  <c r="T51" i="2"/>
  <c r="Y51" i="2"/>
  <c r="AM52" i="2"/>
  <c r="AH52" i="2"/>
  <c r="H56" i="2"/>
  <c r="J43" i="2"/>
  <c r="H44" i="2"/>
  <c r="AV44" i="2"/>
  <c r="BA44" i="2"/>
  <c r="CQ46" i="2"/>
  <c r="CJ49" i="2"/>
  <c r="CL51" i="2"/>
  <c r="CQ51" i="2"/>
  <c r="R53" i="2"/>
  <c r="M53" i="2"/>
  <c r="B53" i="2"/>
  <c r="BV31" i="2"/>
  <c r="H32" i="2"/>
  <c r="J36" i="2"/>
  <c r="CQ39" i="2"/>
  <c r="CL39" i="2"/>
  <c r="AT40" i="2"/>
  <c r="BC40" i="2"/>
  <c r="BH40" i="2"/>
  <c r="E41" i="2"/>
  <c r="K41" i="2" s="1"/>
  <c r="BA41" i="2"/>
  <c r="B42" i="2"/>
  <c r="M42" i="2"/>
  <c r="E42" i="2"/>
  <c r="K42" i="2" s="1"/>
  <c r="AO42" i="2"/>
  <c r="AF43" i="2"/>
  <c r="BA43" i="2"/>
  <c r="BJ43" i="2"/>
  <c r="J44" i="2"/>
  <c r="CL46" i="2"/>
  <c r="H47" i="2"/>
  <c r="BQ47" i="2"/>
  <c r="G49" i="2"/>
  <c r="B49" i="2"/>
  <c r="AA49" i="2"/>
  <c r="CE49" i="2"/>
  <c r="BH52" i="2"/>
  <c r="CE53" i="2"/>
  <c r="R54" i="2"/>
  <c r="E54" i="2"/>
  <c r="B54" i="2"/>
  <c r="BJ25" i="2"/>
  <c r="T26" i="2"/>
  <c r="BX26" i="2"/>
  <c r="AH27" i="2"/>
  <c r="CL27" i="2"/>
  <c r="AV28" i="2"/>
  <c r="AA30" i="2"/>
  <c r="AH33" i="2"/>
  <c r="BQ34" i="2"/>
  <c r="BJ35" i="2"/>
  <c r="CQ38" i="2"/>
  <c r="AT39" i="2"/>
  <c r="BO39" i="2"/>
  <c r="BX39" i="2"/>
  <c r="CC39" i="2"/>
  <c r="B40" i="2"/>
  <c r="R40" i="2"/>
  <c r="E40" i="2"/>
  <c r="AA40" i="2"/>
  <c r="AF40" i="2"/>
  <c r="AO40" i="2"/>
  <c r="AV41" i="2"/>
  <c r="AA42" i="2"/>
  <c r="E43" i="2"/>
  <c r="K43" i="2" s="1"/>
  <c r="AV43" i="2"/>
  <c r="AF45" i="2"/>
  <c r="D49" i="2"/>
  <c r="BX51" i="2"/>
  <c r="BC52" i="2"/>
  <c r="CC52" i="2"/>
  <c r="CJ52" i="2"/>
  <c r="E19" i="2"/>
  <c r="K19" i="2" s="1"/>
  <c r="E23" i="2"/>
  <c r="K23" i="2" s="1"/>
  <c r="E27" i="2"/>
  <c r="K27" i="2" s="1"/>
  <c r="T29" i="2"/>
  <c r="BX30" i="2"/>
  <c r="B31" i="2"/>
  <c r="BQ31" i="2"/>
  <c r="T33" i="2"/>
  <c r="AV35" i="2"/>
  <c r="AH36" i="2"/>
  <c r="M37" i="2"/>
  <c r="AA37" i="2"/>
  <c r="AO37" i="2"/>
  <c r="BO38" i="2"/>
  <c r="CJ38" i="2"/>
  <c r="CE38" i="2"/>
  <c r="R39" i="2"/>
  <c r="AM39" i="2"/>
  <c r="AH39" i="2"/>
  <c r="AV39" i="2"/>
  <c r="BA39" i="2"/>
  <c r="BJ39" i="2"/>
  <c r="M40" i="2"/>
  <c r="AT42" i="2"/>
  <c r="CC42" i="2"/>
  <c r="BX42" i="2"/>
  <c r="AJ43" i="2"/>
  <c r="AM43" i="2"/>
  <c r="H45" i="2"/>
  <c r="AA45" i="2"/>
  <c r="H46" i="2"/>
  <c r="AV48" i="2"/>
  <c r="CN48" i="2"/>
  <c r="CQ48" i="2"/>
  <c r="J49" i="2"/>
  <c r="K49" i="2" s="1"/>
  <c r="O49" i="2"/>
  <c r="H49" i="2" s="1"/>
  <c r="AH50" i="2"/>
  <c r="AM50" i="2"/>
  <c r="E50" i="2"/>
  <c r="BX52" i="2"/>
  <c r="CQ52" i="2"/>
  <c r="CL52" i="2"/>
  <c r="CJ53" i="2"/>
  <c r="B56" i="2"/>
  <c r="E56" i="2"/>
  <c r="R56" i="2"/>
  <c r="B46" i="2"/>
  <c r="H51" i="2"/>
  <c r="BQ52" i="2"/>
  <c r="BV52" i="2"/>
  <c r="AO54" i="2"/>
  <c r="CC45" i="2"/>
  <c r="J46" i="2"/>
  <c r="B47" i="2"/>
  <c r="G48" i="2"/>
  <c r="CC48" i="2"/>
  <c r="B52" i="2"/>
  <c r="BJ41" i="2"/>
  <c r="T42" i="2"/>
  <c r="CL42" i="2"/>
  <c r="AH43" i="2"/>
  <c r="T44" i="2"/>
  <c r="AA46" i="2"/>
  <c r="CL47" i="2"/>
  <c r="AM48" i="2"/>
  <c r="BC49" i="2"/>
  <c r="AO50" i="2"/>
  <c r="BJ53" i="2"/>
  <c r="Y54" i="2"/>
  <c r="AM54" i="2"/>
  <c r="BQ56" i="2"/>
  <c r="BV56" i="2"/>
  <c r="E39" i="2"/>
  <c r="BC42" i="2"/>
  <c r="BQ44" i="2"/>
  <c r="M47" i="2"/>
  <c r="J47" i="2"/>
  <c r="BJ47" i="2"/>
  <c r="T48" i="2"/>
  <c r="F48" i="2" s="1"/>
  <c r="J50" i="2"/>
  <c r="BX50" i="2"/>
  <c r="M51" i="2"/>
  <c r="E51" i="2"/>
  <c r="R51" i="2"/>
  <c r="AO51" i="2"/>
  <c r="BC51" i="2"/>
  <c r="E52" i="2"/>
  <c r="K52" i="2" s="1"/>
  <c r="Y53" i="2"/>
  <c r="T53" i="2"/>
  <c r="AM53" i="2"/>
  <c r="AH53" i="2"/>
  <c r="T54" i="2"/>
  <c r="AH54" i="2"/>
  <c r="BV50" i="2"/>
  <c r="BA51" i="2"/>
  <c r="J52" i="2"/>
  <c r="AF52" i="2"/>
  <c r="CQ53" i="2"/>
  <c r="J54" i="2"/>
  <c r="AT56" i="2"/>
  <c r="AV52" i="2"/>
  <c r="D57" i="2"/>
  <c r="AJ57" i="2"/>
  <c r="CN57" i="2"/>
  <c r="R50" i="2"/>
  <c r="AV51" i="2"/>
  <c r="BQ51" i="2"/>
  <c r="BQ54" i="2"/>
  <c r="H57" i="2"/>
  <c r="AV57" i="2"/>
  <c r="AV50" i="2"/>
  <c r="CJ51" i="2"/>
  <c r="BO52" i="2"/>
  <c r="AA53" i="2"/>
  <c r="BQ53" i="2"/>
  <c r="AV54" i="2"/>
  <c r="J56" i="2"/>
  <c r="AO56" i="2"/>
  <c r="E57" i="2"/>
  <c r="K57" i="2" s="1"/>
  <c r="W4" i="1"/>
  <c r="AK7" i="1"/>
  <c r="AJ7" i="1" s="1"/>
  <c r="J7" i="1"/>
  <c r="K7" i="1" s="1"/>
  <c r="J10" i="1"/>
  <c r="K10" i="1" s="1"/>
  <c r="P10" i="1"/>
  <c r="O10" i="1" s="1"/>
  <c r="R10" i="1"/>
  <c r="AF14" i="1"/>
  <c r="AD14" i="1"/>
  <c r="AC14" i="1" s="1"/>
  <c r="BF6" i="1"/>
  <c r="AK13" i="1"/>
  <c r="AJ13" i="1" s="1"/>
  <c r="S55" i="1"/>
  <c r="S58" i="1" s="1"/>
  <c r="U4" i="1"/>
  <c r="T4" i="1" s="1"/>
  <c r="AD4" i="1"/>
  <c r="AC4" i="1" s="1"/>
  <c r="BG58" i="1"/>
  <c r="BP55" i="1"/>
  <c r="BP58" i="1" s="1"/>
  <c r="BR4" i="1"/>
  <c r="BQ4" i="1" s="1"/>
  <c r="CB55" i="1"/>
  <c r="BO6" i="1"/>
  <c r="Y9" i="1"/>
  <c r="U9" i="1"/>
  <c r="T9" i="1"/>
  <c r="F9" i="1" s="1"/>
  <c r="B9" i="1"/>
  <c r="AT9" i="1"/>
  <c r="AQ10" i="1"/>
  <c r="AQ10" i="14" s="1"/>
  <c r="BR10" i="1"/>
  <c r="BQ10" i="1" s="1"/>
  <c r="W12" i="1"/>
  <c r="V12" i="1"/>
  <c r="J13" i="1"/>
  <c r="U13" i="1"/>
  <c r="AM13" i="1"/>
  <c r="AW14" i="1"/>
  <c r="AV14" i="1" s="1"/>
  <c r="BA14" i="1"/>
  <c r="AF4" i="1"/>
  <c r="AY4" i="1"/>
  <c r="AY4" i="14" s="1"/>
  <c r="BH4" i="1"/>
  <c r="BS4" i="1"/>
  <c r="CC4" i="1"/>
  <c r="CV4" i="1"/>
  <c r="AO5" i="1"/>
  <c r="BZ5" i="1"/>
  <c r="CJ5" i="1"/>
  <c r="T6" i="1"/>
  <c r="AC6" i="1"/>
  <c r="AV6" i="1"/>
  <c r="BH6" i="1"/>
  <c r="CH6" i="1"/>
  <c r="CG6" i="1" s="1"/>
  <c r="CQ6" i="1"/>
  <c r="AO7" i="1"/>
  <c r="BZ7" i="1"/>
  <c r="CJ7" i="1"/>
  <c r="B8" i="1"/>
  <c r="CE8" i="1"/>
  <c r="J9" i="1"/>
  <c r="AP9" i="1"/>
  <c r="AO9" i="1" s="1"/>
  <c r="CG9" i="1"/>
  <c r="CN9" i="1"/>
  <c r="BY11" i="1"/>
  <c r="BX11" i="1" s="1"/>
  <c r="N12" i="1"/>
  <c r="E12" i="1"/>
  <c r="R12" i="1"/>
  <c r="Y12" i="1"/>
  <c r="AX12" i="1"/>
  <c r="AX12" i="14" s="1"/>
  <c r="BK12" i="1"/>
  <c r="BJ12" i="1" s="1"/>
  <c r="BO12" i="1"/>
  <c r="BV12" i="1"/>
  <c r="AH13" i="1"/>
  <c r="BV14" i="1"/>
  <c r="BS14" i="1"/>
  <c r="BA16" i="1"/>
  <c r="AY16" i="1"/>
  <c r="W11" i="1"/>
  <c r="BA11" i="1"/>
  <c r="AW11" i="1"/>
  <c r="AV11" i="1" s="1"/>
  <c r="CO11" i="1"/>
  <c r="CN11" i="1" s="1"/>
  <c r="BY12" i="1"/>
  <c r="BX12" i="1" s="1"/>
  <c r="BU58" i="1"/>
  <c r="AK11" i="1"/>
  <c r="AJ11" i="1" s="1"/>
  <c r="R6" i="1"/>
  <c r="B6" i="1"/>
  <c r="AP6" i="1"/>
  <c r="AO6" i="1" s="1"/>
  <c r="AH8" i="1"/>
  <c r="BD9" i="1"/>
  <c r="BC9" i="1" s="1"/>
  <c r="W10" i="1"/>
  <c r="V10" i="1" s="1"/>
  <c r="Y4" i="1"/>
  <c r="AI4" i="1"/>
  <c r="BA6" i="1"/>
  <c r="BK6" i="1"/>
  <c r="BJ6" i="1" s="1"/>
  <c r="AH7" i="1"/>
  <c r="BK7" i="1"/>
  <c r="BJ7" i="1" s="1"/>
  <c r="BZ9" i="1"/>
  <c r="N10" i="1"/>
  <c r="M10" i="1" s="1"/>
  <c r="B10" i="1"/>
  <c r="Y10" i="1"/>
  <c r="AB11" i="1"/>
  <c r="AA11" i="1" s="1"/>
  <c r="AF11" i="1"/>
  <c r="B11" i="1"/>
  <c r="CF11" i="1"/>
  <c r="CE11" i="1" s="1"/>
  <c r="CJ11" i="1"/>
  <c r="B12" i="1"/>
  <c r="AC12" i="1"/>
  <c r="AQ12" i="1"/>
  <c r="AQ12" i="14" s="1"/>
  <c r="CC12" i="1"/>
  <c r="AK12" i="1"/>
  <c r="AJ12" i="1" s="1"/>
  <c r="Y13" i="1"/>
  <c r="BH14" i="1"/>
  <c r="BD14" i="1"/>
  <c r="J16" i="1"/>
  <c r="AK16" i="1"/>
  <c r="AJ16" i="1" s="1"/>
  <c r="AB18" i="1"/>
  <c r="AA18" i="1" s="1"/>
  <c r="B18" i="1"/>
  <c r="AF18" i="1"/>
  <c r="H23" i="1"/>
  <c r="H25" i="1"/>
  <c r="L55" i="1"/>
  <c r="L58" i="1" s="1"/>
  <c r="N4" i="1"/>
  <c r="M4" i="1" s="1"/>
  <c r="E4" i="1"/>
  <c r="AX6" i="1"/>
  <c r="AX6" i="14" s="1"/>
  <c r="CL7" i="1"/>
  <c r="BH8" i="1"/>
  <c r="W14" i="1"/>
  <c r="V14" i="1"/>
  <c r="J14" i="1"/>
  <c r="K14" i="1" s="1"/>
  <c r="AR15" i="1"/>
  <c r="CJ16" i="1"/>
  <c r="CF16" i="1"/>
  <c r="CE16" i="1" s="1"/>
  <c r="AB19" i="1"/>
  <c r="G19" i="1" s="1"/>
  <c r="E19" i="1"/>
  <c r="K19" i="1" s="1"/>
  <c r="AF19" i="1"/>
  <c r="BV4" i="1"/>
  <c r="CF4" i="1"/>
  <c r="AH5" i="1"/>
  <c r="BK5" i="1"/>
  <c r="BJ5" i="1" s="1"/>
  <c r="N6" i="1"/>
  <c r="AQ6" i="1"/>
  <c r="AQ6" i="14" s="1"/>
  <c r="BD8" i="1"/>
  <c r="BY8" i="1"/>
  <c r="BX8" i="1" s="1"/>
  <c r="BF9" i="1"/>
  <c r="BE9" i="1" s="1"/>
  <c r="Z55" i="1"/>
  <c r="Z58" i="1" s="1"/>
  <c r="AU55" i="1"/>
  <c r="AU58" i="1" s="1"/>
  <c r="BA4" i="1"/>
  <c r="BM4" i="1"/>
  <c r="BW55" i="1"/>
  <c r="BW58" i="1" s="1"/>
  <c r="BY4" i="1"/>
  <c r="CI55" i="1"/>
  <c r="CH4" i="1"/>
  <c r="P5" i="1"/>
  <c r="O5" i="1" s="1"/>
  <c r="BC5" i="1"/>
  <c r="CF5" i="1"/>
  <c r="CE5" i="1" s="1"/>
  <c r="CN5" i="1"/>
  <c r="E6" i="1"/>
  <c r="AH6" i="1"/>
  <c r="P7" i="1"/>
  <c r="O7" i="1" s="1"/>
  <c r="BC7" i="1"/>
  <c r="CF7" i="1"/>
  <c r="CE7" i="1"/>
  <c r="CN7" i="1"/>
  <c r="AB8" i="1"/>
  <c r="G8" i="1" s="1"/>
  <c r="AJ8" i="1"/>
  <c r="E9" i="1"/>
  <c r="BH9" i="1"/>
  <c r="BR9" i="1"/>
  <c r="BQ9" i="1" s="1"/>
  <c r="BM10" i="1"/>
  <c r="BL10" i="1" s="1"/>
  <c r="BY10" i="1"/>
  <c r="BX10" i="1" s="1"/>
  <c r="AP11" i="1"/>
  <c r="AO11" i="1" s="1"/>
  <c r="AF12" i="1"/>
  <c r="CM12" i="1"/>
  <c r="B13" i="1"/>
  <c r="CO13" i="1"/>
  <c r="CN13" i="1" s="1"/>
  <c r="BC14" i="1"/>
  <c r="CN14" i="1"/>
  <c r="G15" i="1"/>
  <c r="M15" i="1"/>
  <c r="AK15" i="1"/>
  <c r="AJ15" i="1" s="1"/>
  <c r="AM15" i="1"/>
  <c r="H19" i="1"/>
  <c r="H21" i="1"/>
  <c r="CS4" i="1"/>
  <c r="CG5" i="1"/>
  <c r="CN6" i="1"/>
  <c r="AZ58" i="1"/>
  <c r="E8" i="1"/>
  <c r="K8" i="1" s="1"/>
  <c r="AR8" i="1"/>
  <c r="AR8" i="14" s="1"/>
  <c r="B4" i="1"/>
  <c r="AR5" i="1"/>
  <c r="CL5" i="1"/>
  <c r="AR7" i="1"/>
  <c r="BN58" i="1"/>
  <c r="CJ4" i="1"/>
  <c r="AB5" i="1"/>
  <c r="D5" i="1" s="1"/>
  <c r="AJ5" i="1"/>
  <c r="CQ5" i="1"/>
  <c r="AB7" i="1"/>
  <c r="G7" i="1" s="1"/>
  <c r="CG7" i="1"/>
  <c r="CQ7" i="1"/>
  <c r="AC8" i="1"/>
  <c r="AM8" i="1"/>
  <c r="BR8" i="1"/>
  <c r="BQ8" i="1" s="1"/>
  <c r="P9" i="1"/>
  <c r="AT10" i="1"/>
  <c r="AP10" i="1"/>
  <c r="AO10" i="1" s="1"/>
  <c r="CA10" i="1"/>
  <c r="BZ10" i="1" s="1"/>
  <c r="AD13" i="1"/>
  <c r="AC13" i="1" s="1"/>
  <c r="BH13" i="1"/>
  <c r="BD13" i="1"/>
  <c r="BC13" i="1" s="1"/>
  <c r="B16" i="1"/>
  <c r="AB4" i="1"/>
  <c r="AN55" i="1"/>
  <c r="AN58" i="1" s="1"/>
  <c r="AT4" i="1"/>
  <c r="AW4" i="1"/>
  <c r="BF4" i="1"/>
  <c r="BO4" i="1"/>
  <c r="CA4" i="1"/>
  <c r="BZ4" i="1" s="1"/>
  <c r="CK55" i="1"/>
  <c r="CK58" i="1" s="1"/>
  <c r="AM5" i="1"/>
  <c r="BX5" i="1"/>
  <c r="J6" i="1"/>
  <c r="AT6" i="1"/>
  <c r="CC6" i="1"/>
  <c r="AM7" i="1"/>
  <c r="BX7" i="1"/>
  <c r="T8" i="1"/>
  <c r="BT8" i="1"/>
  <c r="BS8" i="1" s="1"/>
  <c r="CL8" i="1"/>
  <c r="AD9" i="1"/>
  <c r="AC9" i="1" s="1"/>
  <c r="BJ9" i="1"/>
  <c r="AB10" i="1"/>
  <c r="AA10" i="1" s="1"/>
  <c r="AR10" i="1"/>
  <c r="AR10" i="14" s="1"/>
  <c r="J11" i="1"/>
  <c r="BC11" i="1"/>
  <c r="CG11" i="1"/>
  <c r="J12" i="1"/>
  <c r="AH12" i="1"/>
  <c r="BE12" i="1"/>
  <c r="BF12" i="1"/>
  <c r="BT12" i="1"/>
  <c r="BS12" i="1" s="1"/>
  <c r="CF12" i="1"/>
  <c r="CE12" i="1" s="1"/>
  <c r="AF13" i="1"/>
  <c r="CF13" i="1"/>
  <c r="CE13" i="1" s="1"/>
  <c r="CF14" i="1"/>
  <c r="CE14" i="1" s="1"/>
  <c r="N16" i="1"/>
  <c r="M16" i="1"/>
  <c r="R16" i="1"/>
  <c r="E16" i="1"/>
  <c r="N17" i="1"/>
  <c r="M17" i="1" s="1"/>
  <c r="E17" i="1"/>
  <c r="K17" i="1" s="1"/>
  <c r="R17" i="1"/>
  <c r="CQ18" i="1"/>
  <c r="CM18" i="1"/>
  <c r="CL18" i="1" s="1"/>
  <c r="CC9" i="1"/>
  <c r="BK10" i="1"/>
  <c r="BJ10" i="1" s="1"/>
  <c r="M11" i="1"/>
  <c r="AT12" i="1"/>
  <c r="CA12" i="1"/>
  <c r="BZ12" i="1"/>
  <c r="BY13" i="1"/>
  <c r="BX13" i="1" s="1"/>
  <c r="T14" i="1"/>
  <c r="BH15" i="1"/>
  <c r="CH15" i="1"/>
  <c r="CG15" i="1" s="1"/>
  <c r="P16" i="1"/>
  <c r="O16" i="1" s="1"/>
  <c r="BO16" i="1"/>
  <c r="B21" i="1"/>
  <c r="N21" i="1"/>
  <c r="M21" i="1" s="1"/>
  <c r="E21" i="1"/>
  <c r="K21" i="1" s="1"/>
  <c r="AB23" i="1"/>
  <c r="AA23" i="1"/>
  <c r="AM24" i="1"/>
  <c r="I25" i="1"/>
  <c r="BO26" i="1"/>
  <c r="BQ28" i="1"/>
  <c r="CJ28" i="1"/>
  <c r="CF28" i="1"/>
  <c r="CE28" i="1"/>
  <c r="U37" i="1"/>
  <c r="T37" i="1" s="1"/>
  <c r="Y37" i="1"/>
  <c r="AD38" i="1"/>
  <c r="I38" i="1" s="1"/>
  <c r="AF38" i="1"/>
  <c r="J15" i="1"/>
  <c r="K15" i="1" s="1"/>
  <c r="I18" i="1"/>
  <c r="U18" i="1"/>
  <c r="B20" i="1"/>
  <c r="Y21" i="1"/>
  <c r="AW22" i="1"/>
  <c r="AV22" i="1" s="1"/>
  <c r="I23" i="1"/>
  <c r="AM23" i="1"/>
  <c r="I24" i="1"/>
  <c r="R24" i="1"/>
  <c r="AF25" i="1"/>
  <c r="R26" i="1"/>
  <c r="E26" i="1"/>
  <c r="K26" i="1" s="1"/>
  <c r="N26" i="1"/>
  <c r="AT26" i="1"/>
  <c r="AP26" i="1"/>
  <c r="BV26" i="1"/>
  <c r="BR26" i="1"/>
  <c r="BQ26" i="1" s="1"/>
  <c r="Y27" i="1"/>
  <c r="U27" i="1"/>
  <c r="T27" i="1" s="1"/>
  <c r="BA27" i="1"/>
  <c r="AW27" i="1"/>
  <c r="AV27" i="1"/>
  <c r="AF28" i="1"/>
  <c r="AB28" i="1"/>
  <c r="AM32" i="1"/>
  <c r="AK32" i="1"/>
  <c r="I32" i="1" s="1"/>
  <c r="BK33" i="1"/>
  <c r="BJ33" i="1" s="1"/>
  <c r="BO33" i="1"/>
  <c r="H34" i="1"/>
  <c r="M35" i="1"/>
  <c r="AD39" i="1"/>
  <c r="AC39" i="1"/>
  <c r="BQ13" i="1"/>
  <c r="B14" i="1"/>
  <c r="M14" i="1"/>
  <c r="R15" i="1"/>
  <c r="B15" i="1"/>
  <c r="V15" i="1"/>
  <c r="AP15" i="1"/>
  <c r="AO15" i="1"/>
  <c r="AX15" i="1"/>
  <c r="AX15" i="14" s="1"/>
  <c r="CJ15" i="1"/>
  <c r="BQ16" i="1"/>
  <c r="I17" i="1"/>
  <c r="AP17" i="1"/>
  <c r="AO17" i="1"/>
  <c r="B19" i="1"/>
  <c r="R19" i="1"/>
  <c r="BD19" i="1"/>
  <c r="BC19" i="1" s="1"/>
  <c r="V20" i="1"/>
  <c r="H20" i="1" s="1"/>
  <c r="AI20" i="1"/>
  <c r="AH20" i="1" s="1"/>
  <c r="BR21" i="1"/>
  <c r="BQ21" i="1" s="1"/>
  <c r="BH22" i="1"/>
  <c r="CF23" i="1"/>
  <c r="CE23" i="1" s="1"/>
  <c r="BK24" i="1"/>
  <c r="BJ24" i="1" s="1"/>
  <c r="AH25" i="1"/>
  <c r="BQ25" i="1"/>
  <c r="M26" i="1"/>
  <c r="AO26" i="1"/>
  <c r="E27" i="1"/>
  <c r="K27" i="1" s="1"/>
  <c r="CJ30" i="1"/>
  <c r="CF30" i="1"/>
  <c r="CE30" i="1" s="1"/>
  <c r="AD36" i="1"/>
  <c r="AR14" i="1"/>
  <c r="BK15" i="1"/>
  <c r="BJ15" i="1" s="1"/>
  <c r="CL15" i="1"/>
  <c r="U17" i="1"/>
  <c r="T17" i="1" s="1"/>
  <c r="CF17" i="1"/>
  <c r="CE17" i="1" s="1"/>
  <c r="BY18" i="1"/>
  <c r="BX18" i="1" s="1"/>
  <c r="M19" i="1"/>
  <c r="AI19" i="1"/>
  <c r="AH19" i="1" s="1"/>
  <c r="N20" i="1"/>
  <c r="BY20" i="1"/>
  <c r="BX20" i="1" s="1"/>
  <c r="AW21" i="1"/>
  <c r="AV21" i="1" s="1"/>
  <c r="BK23" i="1"/>
  <c r="BJ23" i="1" s="1"/>
  <c r="AP24" i="1"/>
  <c r="AO24" i="1" s="1"/>
  <c r="B25" i="1"/>
  <c r="N25" i="1"/>
  <c r="M25" i="1" s="1"/>
  <c r="E25" i="1"/>
  <c r="K25" i="1" s="1"/>
  <c r="CF25" i="1"/>
  <c r="CE25" i="1" s="1"/>
  <c r="CJ25" i="1"/>
  <c r="B26" i="1"/>
  <c r="I29" i="1"/>
  <c r="AF31" i="1"/>
  <c r="AD31" i="1"/>
  <c r="AC31" i="1" s="1"/>
  <c r="BD36" i="1"/>
  <c r="BC36" i="1" s="1"/>
  <c r="BH36" i="1"/>
  <c r="AI37" i="1"/>
  <c r="AH37" i="1" s="1"/>
  <c r="AH15" i="1"/>
  <c r="AM16" i="1"/>
  <c r="BT16" i="1"/>
  <c r="BS16" i="1" s="1"/>
  <c r="CM20" i="1"/>
  <c r="CL20" i="1" s="1"/>
  <c r="U22" i="1"/>
  <c r="G22" i="1" s="1"/>
  <c r="BD27" i="1"/>
  <c r="BC27" i="1" s="1"/>
  <c r="BH27" i="1"/>
  <c r="BR27" i="1"/>
  <c r="BQ27" i="1"/>
  <c r="AD30" i="1"/>
  <c r="AC30" i="1" s="1"/>
  <c r="J30" i="1"/>
  <c r="K30" i="1" s="1"/>
  <c r="CM39" i="1"/>
  <c r="CL39" i="1" s="1"/>
  <c r="CQ39" i="1"/>
  <c r="BA41" i="1"/>
  <c r="AW41" i="1"/>
  <c r="AV41" i="1"/>
  <c r="B41" i="1"/>
  <c r="AP21" i="1"/>
  <c r="AO21" i="1" s="1"/>
  <c r="B23" i="1"/>
  <c r="R23" i="1"/>
  <c r="BD23" i="1"/>
  <c r="BC23" i="1" s="1"/>
  <c r="AI24" i="1"/>
  <c r="AH24" i="1"/>
  <c r="Y26" i="1"/>
  <c r="AW26" i="1"/>
  <c r="AV26" i="1" s="1"/>
  <c r="BA26" i="1"/>
  <c r="CC26" i="1"/>
  <c r="AW28" i="1"/>
  <c r="AV28" i="1" s="1"/>
  <c r="BA28" i="1"/>
  <c r="BO43" i="1"/>
  <c r="BK43" i="1"/>
  <c r="BJ43" i="1"/>
  <c r="AS55" i="1"/>
  <c r="BI55" i="1"/>
  <c r="BI58" i="1" s="1"/>
  <c r="AX10" i="1"/>
  <c r="AX10" i="14" s="1"/>
  <c r="U11" i="1"/>
  <c r="AC11" i="1"/>
  <c r="BZ11" i="1"/>
  <c r="BL13" i="1"/>
  <c r="AB14" i="1"/>
  <c r="G14" i="1" s="1"/>
  <c r="AJ14" i="1"/>
  <c r="CG14" i="1"/>
  <c r="CQ14" i="1"/>
  <c r="P15" i="1"/>
  <c r="AT15" i="1"/>
  <c r="CC15" i="1"/>
  <c r="AI16" i="1"/>
  <c r="AH16" i="1" s="1"/>
  <c r="CN16" i="1"/>
  <c r="BD17" i="1"/>
  <c r="BC17" i="1" s="1"/>
  <c r="AW18" i="1"/>
  <c r="AV18" i="1" s="1"/>
  <c r="CC18" i="1"/>
  <c r="I19" i="1"/>
  <c r="BR19" i="1"/>
  <c r="BQ19" i="1" s="1"/>
  <c r="AW20" i="1"/>
  <c r="AV20" i="1" s="1"/>
  <c r="CF21" i="1"/>
  <c r="CE21" i="1" s="1"/>
  <c r="BC22" i="1"/>
  <c r="BY22" i="1"/>
  <c r="BX22" i="1" s="1"/>
  <c r="N24" i="1"/>
  <c r="BY24" i="1"/>
  <c r="BX24" i="1" s="1"/>
  <c r="R25" i="1"/>
  <c r="AA25" i="1"/>
  <c r="BK25" i="1"/>
  <c r="BJ25" i="1" s="1"/>
  <c r="U26" i="1"/>
  <c r="T26" i="1" s="1"/>
  <c r="AI26" i="1"/>
  <c r="AH26" i="1" s="1"/>
  <c r="AM26" i="1"/>
  <c r="BJ26" i="1"/>
  <c r="BY26" i="1"/>
  <c r="BX26" i="1" s="1"/>
  <c r="CM26" i="1"/>
  <c r="CQ26" i="1"/>
  <c r="N27" i="1"/>
  <c r="M27" i="1" s="1"/>
  <c r="AP27" i="1"/>
  <c r="AO27" i="1" s="1"/>
  <c r="AT27" i="1"/>
  <c r="BV27" i="1"/>
  <c r="AP29" i="1"/>
  <c r="D29" i="1" s="1"/>
  <c r="AT29" i="1"/>
  <c r="O31" i="1"/>
  <c r="H33" i="1"/>
  <c r="AF36" i="1"/>
  <c r="AB36" i="1"/>
  <c r="AA36" i="1" s="1"/>
  <c r="AR39" i="1"/>
  <c r="AT39" i="1"/>
  <c r="BB55" i="1"/>
  <c r="BB58" i="1" s="1"/>
  <c r="BJ4" i="1"/>
  <c r="CP55" i="1"/>
  <c r="BT10" i="1"/>
  <c r="BS10" i="1" s="1"/>
  <c r="CL10" i="1"/>
  <c r="BQ11" i="1"/>
  <c r="O12" i="1"/>
  <c r="AA13" i="1"/>
  <c r="CH13" i="1"/>
  <c r="CG13" i="1" s="1"/>
  <c r="AM14" i="1"/>
  <c r="BX14" i="1"/>
  <c r="Y15" i="1"/>
  <c r="BF15" i="1"/>
  <c r="BE15" i="1" s="1"/>
  <c r="BX15" i="1"/>
  <c r="AF16" i="1"/>
  <c r="BD16" i="1"/>
  <c r="BC16" i="1" s="1"/>
  <c r="BL16" i="1"/>
  <c r="BR17" i="1"/>
  <c r="BQ17" i="1"/>
  <c r="CF19" i="1"/>
  <c r="CE19" i="1" s="1"/>
  <c r="BK20" i="1"/>
  <c r="BJ20" i="1" s="1"/>
  <c r="CQ20" i="1"/>
  <c r="B22" i="1"/>
  <c r="M22" i="1"/>
  <c r="Y22" i="1"/>
  <c r="AH22" i="1"/>
  <c r="E23" i="1"/>
  <c r="K23" i="1" s="1"/>
  <c r="N23" i="1"/>
  <c r="H24" i="1"/>
  <c r="CM24" i="1"/>
  <c r="CL24" i="1" s="1"/>
  <c r="V26" i="1"/>
  <c r="H26" i="1" s="1"/>
  <c r="CL26" i="1"/>
  <c r="BJ27" i="1"/>
  <c r="CC27" i="1"/>
  <c r="BY27" i="1"/>
  <c r="BX27" i="1" s="1"/>
  <c r="V28" i="1"/>
  <c r="H28" i="1" s="1"/>
  <c r="I28" i="1"/>
  <c r="BK30" i="1"/>
  <c r="BJ30" i="1" s="1"/>
  <c r="B30" i="1"/>
  <c r="BO30" i="1"/>
  <c r="Y32" i="1"/>
  <c r="U32" i="1"/>
  <c r="G32" i="1" s="1"/>
  <c r="T32" i="1"/>
  <c r="E32" i="1"/>
  <c r="AR37" i="1"/>
  <c r="R30" i="1"/>
  <c r="N37" i="1"/>
  <c r="R37" i="1"/>
  <c r="E37" i="1"/>
  <c r="BY37" i="1"/>
  <c r="BX37" i="1" s="1"/>
  <c r="CF38" i="1"/>
  <c r="CE38" i="1" s="1"/>
  <c r="BO40" i="1"/>
  <c r="BK40" i="1"/>
  <c r="BJ40" i="1" s="1"/>
  <c r="CJ40" i="1"/>
  <c r="CH40" i="1"/>
  <c r="CG40" i="1"/>
  <c r="AT30" i="1"/>
  <c r="AY31" i="1"/>
  <c r="AY31" i="14" s="1"/>
  <c r="CN31" i="1"/>
  <c r="J32" i="1"/>
  <c r="R33" i="1"/>
  <c r="B33" i="1"/>
  <c r="E36" i="1"/>
  <c r="BJ36" i="1"/>
  <c r="CU37" i="1"/>
  <c r="AE55" i="1" s="1"/>
  <c r="Y39" i="1"/>
  <c r="CF39" i="1"/>
  <c r="CE39" i="1" s="1"/>
  <c r="AK40" i="1"/>
  <c r="AJ40" i="1" s="1"/>
  <c r="AA27" i="1"/>
  <c r="CE27" i="1"/>
  <c r="T28" i="1"/>
  <c r="BC28" i="1"/>
  <c r="BX28" i="1"/>
  <c r="T30" i="1"/>
  <c r="F30" i="1" s="1"/>
  <c r="AW30" i="1"/>
  <c r="AV30" i="1" s="1"/>
  <c r="BE30" i="1"/>
  <c r="AM31" i="1"/>
  <c r="BA31" i="1"/>
  <c r="BK31" i="1"/>
  <c r="BJ31" i="1" s="1"/>
  <c r="CE32" i="1"/>
  <c r="M33" i="1"/>
  <c r="AH33" i="1"/>
  <c r="BR33" i="1"/>
  <c r="BQ33" i="1" s="1"/>
  <c r="M34" i="1"/>
  <c r="R34" i="1"/>
  <c r="BX34" i="1"/>
  <c r="CM34" i="1"/>
  <c r="CL34" i="1" s="1"/>
  <c r="CQ35" i="1"/>
  <c r="CM35" i="1"/>
  <c r="CL35" i="1" s="1"/>
  <c r="AX36" i="1"/>
  <c r="AX36" i="14" s="1"/>
  <c r="CC36" i="1"/>
  <c r="BY36" i="1"/>
  <c r="BX36" i="1" s="1"/>
  <c r="AM36" i="1"/>
  <c r="AK36" i="1"/>
  <c r="AJ36" i="1" s="1"/>
  <c r="BA37" i="1"/>
  <c r="CC37" i="1"/>
  <c r="CV37" i="1"/>
  <c r="AM37" i="1" s="1"/>
  <c r="Y38" i="1"/>
  <c r="CJ38" i="1"/>
  <c r="B39" i="1"/>
  <c r="AC40" i="1"/>
  <c r="AF40" i="1"/>
  <c r="R43" i="1"/>
  <c r="J43" i="1"/>
  <c r="K43" i="1" s="1"/>
  <c r="P43" i="1"/>
  <c r="O43" i="1" s="1"/>
  <c r="CM43" i="1"/>
  <c r="CL43" i="1"/>
  <c r="CQ43" i="1"/>
  <c r="AW44" i="1"/>
  <c r="AV44" i="1"/>
  <c r="BA44" i="1"/>
  <c r="BA45" i="1"/>
  <c r="AW45" i="1"/>
  <c r="AV45" i="1" s="1"/>
  <c r="BM48" i="1"/>
  <c r="BL48" i="1"/>
  <c r="AP31" i="1"/>
  <c r="AO31" i="1" s="1"/>
  <c r="AO34" i="1"/>
  <c r="AO36" i="1"/>
  <c r="BM36" i="1"/>
  <c r="BL36" i="1" s="1"/>
  <c r="B37" i="1"/>
  <c r="CM37" i="1"/>
  <c r="CL37" i="1" s="1"/>
  <c r="B38" i="1"/>
  <c r="J39" i="1"/>
  <c r="K39" i="1" s="1"/>
  <c r="BH39" i="1"/>
  <c r="BD39" i="1"/>
  <c r="BC39" i="1" s="1"/>
  <c r="CJ39" i="1"/>
  <c r="AH40" i="1"/>
  <c r="CH45" i="1"/>
  <c r="CG45" i="1" s="1"/>
  <c r="R31" i="1"/>
  <c r="B31" i="1"/>
  <c r="AQ31" i="1"/>
  <c r="AQ31" i="14" s="1"/>
  <c r="BD31" i="1"/>
  <c r="BC31" i="1" s="1"/>
  <c r="J31" i="1"/>
  <c r="K31" i="1" s="1"/>
  <c r="I33" i="1"/>
  <c r="H35" i="1"/>
  <c r="BF37" i="1"/>
  <c r="BE37" i="1" s="1"/>
  <c r="AI39" i="1"/>
  <c r="AM39" i="1"/>
  <c r="BH40" i="1"/>
  <c r="BD40" i="1"/>
  <c r="BC40" i="1" s="1"/>
  <c r="AP43" i="1"/>
  <c r="AO43" i="1" s="1"/>
  <c r="AT43" i="1"/>
  <c r="AQ30" i="1"/>
  <c r="AQ30" i="14" s="1"/>
  <c r="BA30" i="1"/>
  <c r="AT31" i="1"/>
  <c r="R32" i="1"/>
  <c r="B32" i="1"/>
  <c r="BX32" i="1"/>
  <c r="E34" i="1"/>
  <c r="K34" i="1" s="1"/>
  <c r="BR35" i="1"/>
  <c r="BQ35" i="1" s="1"/>
  <c r="B36" i="1"/>
  <c r="BH37" i="1"/>
  <c r="BS37" i="1"/>
  <c r="J38" i="1"/>
  <c r="U38" i="1"/>
  <c r="T38" i="1" s="1"/>
  <c r="BH38" i="1"/>
  <c r="BD38" i="1"/>
  <c r="BC38" i="1" s="1"/>
  <c r="CO38" i="1"/>
  <c r="CN38" i="1" s="1"/>
  <c r="V39" i="1"/>
  <c r="AH39" i="1"/>
  <c r="AW39" i="1"/>
  <c r="AV39" i="1" s="1"/>
  <c r="CN39" i="1"/>
  <c r="R40" i="1"/>
  <c r="B40" i="1"/>
  <c r="AP40" i="1"/>
  <c r="AO40" i="1" s="1"/>
  <c r="AT40" i="1"/>
  <c r="AQ42" i="1"/>
  <c r="AQ42" i="14" s="1"/>
  <c r="H42" i="14" s="1"/>
  <c r="I42" i="1"/>
  <c r="CC43" i="1"/>
  <c r="BZ43" i="1"/>
  <c r="W46" i="1"/>
  <c r="E11" i="1"/>
  <c r="K11" i="1" s="1"/>
  <c r="E13" i="1"/>
  <c r="AH27" i="1"/>
  <c r="CL27" i="1"/>
  <c r="B29" i="1"/>
  <c r="AH29" i="1"/>
  <c r="BC29" i="1"/>
  <c r="CL29" i="1"/>
  <c r="AF30" i="1"/>
  <c r="BM30" i="1"/>
  <c r="BL30" i="1"/>
  <c r="BX30" i="1"/>
  <c r="N31" i="1"/>
  <c r="BQ31" i="1"/>
  <c r="BZ31" i="1"/>
  <c r="M32" i="1"/>
  <c r="BC32" i="1"/>
  <c r="AP33" i="1"/>
  <c r="I34" i="1"/>
  <c r="AH34" i="1"/>
  <c r="AT34" i="1"/>
  <c r="E35" i="1"/>
  <c r="K35" i="1" s="1"/>
  <c r="T35" i="1"/>
  <c r="BD35" i="1"/>
  <c r="BC35" i="1" s="1"/>
  <c r="CF36" i="1"/>
  <c r="CE36" i="1" s="1"/>
  <c r="W37" i="1"/>
  <c r="V37" i="1" s="1"/>
  <c r="BK37" i="1"/>
  <c r="BJ37" i="1" s="1"/>
  <c r="BO37" i="1"/>
  <c r="BV37" i="1"/>
  <c r="AH38" i="1"/>
  <c r="BF38" i="1"/>
  <c r="BE38" i="1" s="1"/>
  <c r="M39" i="1"/>
  <c r="N40" i="1"/>
  <c r="AR40" i="1"/>
  <c r="H41" i="1"/>
  <c r="H42" i="1"/>
  <c r="BY46" i="1"/>
  <c r="BX46" i="1" s="1"/>
  <c r="CC46" i="1"/>
  <c r="R44" i="1"/>
  <c r="B44" i="1"/>
  <c r="N48" i="1"/>
  <c r="M48" i="1" s="1"/>
  <c r="E48" i="1"/>
  <c r="AW48" i="1"/>
  <c r="AV48" i="1"/>
  <c r="BO48" i="1"/>
  <c r="BY49" i="1"/>
  <c r="BX49" i="1"/>
  <c r="CQ50" i="1"/>
  <c r="CM50" i="1"/>
  <c r="CL50" i="1" s="1"/>
  <c r="B50" i="1"/>
  <c r="W51" i="1"/>
  <c r="V51" i="1"/>
  <c r="Y51" i="1"/>
  <c r="AX40" i="1"/>
  <c r="AX40" i="14" s="1"/>
  <c r="Y43" i="1"/>
  <c r="AJ43" i="1"/>
  <c r="J45" i="1"/>
  <c r="AO45" i="1"/>
  <c r="O46" i="1"/>
  <c r="AO46" i="1"/>
  <c r="B47" i="1"/>
  <c r="I47" i="1"/>
  <c r="AK49" i="1"/>
  <c r="AJ49" i="1" s="1"/>
  <c r="AD51" i="1"/>
  <c r="AC51" i="1" s="1"/>
  <c r="BT52" i="1"/>
  <c r="BS52" i="1" s="1"/>
  <c r="R54" i="1"/>
  <c r="N54" i="1"/>
  <c r="M54" i="1" s="1"/>
  <c r="B54" i="1"/>
  <c r="E54" i="1"/>
  <c r="P49" i="1"/>
  <c r="BA40" i="1"/>
  <c r="G41" i="1"/>
  <c r="T42" i="1"/>
  <c r="BX42" i="1"/>
  <c r="AM43" i="1"/>
  <c r="CJ43" i="1"/>
  <c r="N44" i="1"/>
  <c r="AQ44" i="1"/>
  <c r="AQ44" i="14" s="1"/>
  <c r="BQ44" i="1"/>
  <c r="AP46" i="1"/>
  <c r="BS46" i="1"/>
  <c r="AA47" i="1"/>
  <c r="BR47" i="1"/>
  <c r="BQ47" i="1" s="1"/>
  <c r="CN47" i="1"/>
  <c r="R48" i="1"/>
  <c r="AK48" i="1"/>
  <c r="AJ48" i="1" s="1"/>
  <c r="BA48" i="1"/>
  <c r="CC48" i="1"/>
  <c r="BY48" i="1"/>
  <c r="BX48" i="1"/>
  <c r="B49" i="1"/>
  <c r="AX49" i="1"/>
  <c r="AX49" i="14" s="1"/>
  <c r="CC49" i="1"/>
  <c r="AC45" i="1"/>
  <c r="U46" i="1"/>
  <c r="T46" i="1" s="1"/>
  <c r="BE47" i="1"/>
  <c r="CA48" i="1"/>
  <c r="BZ48" i="1" s="1"/>
  <c r="AP51" i="1"/>
  <c r="AO51" i="1" s="1"/>
  <c r="AT51" i="1"/>
  <c r="J50" i="1"/>
  <c r="P50" i="1"/>
  <c r="O50" i="1"/>
  <c r="CQ52" i="1"/>
  <c r="CO52" i="1"/>
  <c r="CN52" i="1" s="1"/>
  <c r="J54" i="1"/>
  <c r="AD54" i="1"/>
  <c r="AC54" i="1" s="1"/>
  <c r="CH54" i="1"/>
  <c r="CG54" i="1" s="1"/>
  <c r="AK38" i="1"/>
  <c r="AJ38" i="1"/>
  <c r="AB39" i="1"/>
  <c r="G39" i="1" s="1"/>
  <c r="AA39" i="1"/>
  <c r="AJ39" i="1"/>
  <c r="CC40" i="1"/>
  <c r="D41" i="1"/>
  <c r="D42" i="1"/>
  <c r="Y42" i="1"/>
  <c r="CC42" i="1"/>
  <c r="AR43" i="1"/>
  <c r="AR43" i="14" s="1"/>
  <c r="CN43" i="1"/>
  <c r="E44" i="1"/>
  <c r="K44" i="1" s="1"/>
  <c r="J44" i="1"/>
  <c r="AY44" i="1"/>
  <c r="BK44" i="1"/>
  <c r="BJ44" i="1" s="1"/>
  <c r="AI45" i="1"/>
  <c r="AH45" i="1"/>
  <c r="B45" i="1"/>
  <c r="E45" i="1"/>
  <c r="K45" i="1" s="1"/>
  <c r="J46" i="1"/>
  <c r="Y46" i="1"/>
  <c r="CA46" i="1"/>
  <c r="BZ46" i="1" s="1"/>
  <c r="CM46" i="1"/>
  <c r="CL46" i="1" s="1"/>
  <c r="J47" i="1"/>
  <c r="U47" i="1"/>
  <c r="G47" i="1" s="1"/>
  <c r="BK47" i="1"/>
  <c r="BJ47" i="1" s="1"/>
  <c r="U48" i="1"/>
  <c r="T48" i="1" s="1"/>
  <c r="BD48" i="1"/>
  <c r="BC48" i="1" s="1"/>
  <c r="O53" i="1"/>
  <c r="AH31" i="1"/>
  <c r="CL31" i="1"/>
  <c r="AO32" i="1"/>
  <c r="BQ32" i="1"/>
  <c r="AA33" i="1"/>
  <c r="BC33" i="1"/>
  <c r="CE33" i="1"/>
  <c r="AV34" i="1"/>
  <c r="BR34" i="1"/>
  <c r="BQ34" i="1" s="1"/>
  <c r="AA35" i="1"/>
  <c r="AW35" i="1"/>
  <c r="J36" i="1"/>
  <c r="AW36" i="1"/>
  <c r="AV36" i="1" s="1"/>
  <c r="BE36" i="1"/>
  <c r="BQ36" i="1"/>
  <c r="O37" i="1"/>
  <c r="AA37" i="1"/>
  <c r="AA38" i="1"/>
  <c r="R39" i="1"/>
  <c r="BX39" i="1"/>
  <c r="Y40" i="1"/>
  <c r="BF40" i="1"/>
  <c r="E41" i="1"/>
  <c r="K41" i="1" s="1"/>
  <c r="R41" i="1"/>
  <c r="BV41" i="1"/>
  <c r="B42" i="1"/>
  <c r="AV42" i="1"/>
  <c r="V43" i="1"/>
  <c r="BT43" i="1"/>
  <c r="BS43" i="1" s="1"/>
  <c r="AC44" i="1"/>
  <c r="M45" i="1"/>
  <c r="AK45" i="1"/>
  <c r="BZ45" i="1"/>
  <c r="CM45" i="1"/>
  <c r="CL45" i="1" s="1"/>
  <c r="BE46" i="1"/>
  <c r="J48" i="1"/>
  <c r="AQ48" i="1"/>
  <c r="AQ48" i="14" s="1"/>
  <c r="R49" i="1"/>
  <c r="E49" i="1"/>
  <c r="N49" i="1"/>
  <c r="E28" i="1"/>
  <c r="K28" i="1" s="1"/>
  <c r="AB34" i="1"/>
  <c r="D34" i="1" s="1"/>
  <c r="U36" i="1"/>
  <c r="G36" i="1" s="1"/>
  <c r="AT37" i="1"/>
  <c r="CA37" i="1"/>
  <c r="BZ37" i="1"/>
  <c r="BY38" i="1"/>
  <c r="BX38" i="1" s="1"/>
  <c r="CG38" i="1"/>
  <c r="T39" i="1"/>
  <c r="BY40" i="1"/>
  <c r="BX40" i="1" s="1"/>
  <c r="J40" i="1"/>
  <c r="K40" i="1" s="1"/>
  <c r="I41" i="1"/>
  <c r="M43" i="1"/>
  <c r="AI43" i="1"/>
  <c r="G43" i="1" s="1"/>
  <c r="B43" i="1"/>
  <c r="O45" i="1"/>
  <c r="AM45" i="1"/>
  <c r="CO45" i="1"/>
  <c r="CN45" i="1" s="1"/>
  <c r="G46" i="1"/>
  <c r="BO47" i="1"/>
  <c r="AM49" i="1"/>
  <c r="R51" i="1"/>
  <c r="P51" i="1"/>
  <c r="J51" i="1"/>
  <c r="AM52" i="1"/>
  <c r="AK52" i="1"/>
  <c r="AJ52" i="1" s="1"/>
  <c r="BT50" i="1"/>
  <c r="BS50" i="1" s="1"/>
  <c r="U51" i="1"/>
  <c r="T51" i="1" s="1"/>
  <c r="E51" i="1"/>
  <c r="B51" i="1"/>
  <c r="CM51" i="1"/>
  <c r="CL51" i="1" s="1"/>
  <c r="AR53" i="1"/>
  <c r="AR53" i="14" s="1"/>
  <c r="BR53" i="1"/>
  <c r="BQ53" i="1" s="1"/>
  <c r="AW54" i="1"/>
  <c r="AV54" i="1" s="1"/>
  <c r="BE54" i="1"/>
  <c r="P56" i="1"/>
  <c r="AR56" i="1"/>
  <c r="AR56" i="14" s="1"/>
  <c r="AQ56" i="1"/>
  <c r="AQ56" i="14" s="1"/>
  <c r="AK57" i="1"/>
  <c r="AJ57" i="1"/>
  <c r="N50" i="1"/>
  <c r="M50" i="1" s="1"/>
  <c r="E50" i="1"/>
  <c r="V50" i="1"/>
  <c r="CO51" i="1"/>
  <c r="CN51" i="1"/>
  <c r="BV52" i="1"/>
  <c r="AJ54" i="1"/>
  <c r="AP57" i="1"/>
  <c r="AO57" i="1" s="1"/>
  <c r="BT49" i="1"/>
  <c r="BS49" i="1" s="1"/>
  <c r="Y50" i="1"/>
  <c r="AY50" i="1"/>
  <c r="BK50" i="1"/>
  <c r="BJ50" i="1" s="1"/>
  <c r="AD50" i="1"/>
  <c r="AC50" i="1" s="1"/>
  <c r="AK51" i="1"/>
  <c r="AJ51" i="1"/>
  <c r="CQ51" i="1"/>
  <c r="AT53" i="1"/>
  <c r="AM54" i="1"/>
  <c r="CJ54" i="1"/>
  <c r="CF54" i="1"/>
  <c r="CE54" i="1" s="1"/>
  <c r="T56" i="1"/>
  <c r="AI56" i="1"/>
  <c r="AH56" i="1" s="1"/>
  <c r="AM56" i="1"/>
  <c r="AV56" i="1"/>
  <c r="BX56" i="1"/>
  <c r="CM56" i="1"/>
  <c r="CL56" i="1" s="1"/>
  <c r="CQ56" i="1"/>
  <c r="M57" i="1"/>
  <c r="AB57" i="1"/>
  <c r="AF57" i="1"/>
  <c r="AT50" i="1"/>
  <c r="AP50" i="1"/>
  <c r="AO50" i="1" s="1"/>
  <c r="M51" i="1"/>
  <c r="AB51" i="1"/>
  <c r="AA51" i="1" s="1"/>
  <c r="AF51" i="1"/>
  <c r="R52" i="1"/>
  <c r="B52" i="1"/>
  <c r="E52" i="1"/>
  <c r="N52" i="1"/>
  <c r="AV52" i="1"/>
  <c r="BR52" i="1"/>
  <c r="BQ52" i="1" s="1"/>
  <c r="AA53" i="1"/>
  <c r="CF53" i="1"/>
  <c r="CE53" i="1" s="1"/>
  <c r="T54" i="1"/>
  <c r="AW56" i="1"/>
  <c r="BO57" i="1"/>
  <c r="BM57" i="1"/>
  <c r="BL57" i="1" s="1"/>
  <c r="BD49" i="1"/>
  <c r="BC49" i="1" s="1"/>
  <c r="BL49" i="1"/>
  <c r="R50" i="1"/>
  <c r="AB50" i="1"/>
  <c r="AA50" i="1" s="1"/>
  <c r="CA50" i="1"/>
  <c r="BZ50" i="1" s="1"/>
  <c r="BS51" i="1"/>
  <c r="AY52" i="1"/>
  <c r="BO52" i="1"/>
  <c r="BK52" i="1"/>
  <c r="BJ52" i="1" s="1"/>
  <c r="AD53" i="1"/>
  <c r="AX53" i="1"/>
  <c r="AX53" i="14" s="1"/>
  <c r="BK53" i="1"/>
  <c r="BJ53" i="1" s="1"/>
  <c r="CC53" i="1"/>
  <c r="BY53" i="1"/>
  <c r="BX53" i="1" s="1"/>
  <c r="V56" i="1"/>
  <c r="Y56" i="1"/>
  <c r="AJ56" i="1"/>
  <c r="O57" i="1"/>
  <c r="R57" i="1"/>
  <c r="AT57" i="1"/>
  <c r="AH41" i="1"/>
  <c r="F41" i="1" s="1"/>
  <c r="BJ41" i="1"/>
  <c r="CL41" i="1"/>
  <c r="E42" i="1"/>
  <c r="K42" i="1" s="1"/>
  <c r="M42" i="1"/>
  <c r="AO42" i="1"/>
  <c r="BQ42" i="1"/>
  <c r="AA43" i="1"/>
  <c r="CE43" i="1"/>
  <c r="AO44" i="1"/>
  <c r="BE44" i="1"/>
  <c r="AA45" i="1"/>
  <c r="AQ45" i="1"/>
  <c r="AQ45" i="14" s="1"/>
  <c r="CE45" i="1"/>
  <c r="E46" i="1"/>
  <c r="K46" i="1" s="1"/>
  <c r="AC46" i="1"/>
  <c r="BQ46" i="1"/>
  <c r="CG46" i="1"/>
  <c r="O47" i="1"/>
  <c r="BC47" i="1"/>
  <c r="BL47" i="1"/>
  <c r="BS47" i="1"/>
  <c r="AX48" i="1"/>
  <c r="BE48" i="1"/>
  <c r="AA49" i="1"/>
  <c r="BE49" i="1"/>
  <c r="BO49" i="1"/>
  <c r="BO50" i="1"/>
  <c r="BH51" i="1"/>
  <c r="BL51" i="1"/>
  <c r="BV51" i="1"/>
  <c r="CG51" i="1"/>
  <c r="J52" i="1"/>
  <c r="O52" i="1"/>
  <c r="CG52" i="1"/>
  <c r="Y53" i="1"/>
  <c r="U53" i="1"/>
  <c r="T53" i="1" s="1"/>
  <c r="B53" i="1"/>
  <c r="BA53" i="1"/>
  <c r="BM53" i="1"/>
  <c r="BL53" i="1" s="1"/>
  <c r="E56" i="1"/>
  <c r="K56" i="1" s="1"/>
  <c r="BO56" i="1"/>
  <c r="BJ56" i="1"/>
  <c r="BS56" i="1"/>
  <c r="B57" i="1"/>
  <c r="AM57" i="1"/>
  <c r="AH57" i="1"/>
  <c r="BT57" i="1"/>
  <c r="BS57" i="1" s="1"/>
  <c r="BV57" i="1"/>
  <c r="E38" i="1"/>
  <c r="CM47" i="1"/>
  <c r="CL47" i="1" s="1"/>
  <c r="O48" i="1"/>
  <c r="AP48" i="1"/>
  <c r="AO48" i="1" s="1"/>
  <c r="AB49" i="1"/>
  <c r="T50" i="1"/>
  <c r="AH50" i="1"/>
  <c r="BR50" i="1"/>
  <c r="BQ50" i="1" s="1"/>
  <c r="BC51" i="1"/>
  <c r="BY51" i="1"/>
  <c r="BX51" i="1"/>
  <c r="CC51" i="1"/>
  <c r="CJ51" i="1"/>
  <c r="AD52" i="1"/>
  <c r="J53" i="1"/>
  <c r="K53" i="1" s="1"/>
  <c r="BD53" i="1"/>
  <c r="BC53" i="1" s="1"/>
  <c r="BH53" i="1"/>
  <c r="BF54" i="1"/>
  <c r="AC56" i="1"/>
  <c r="CG56" i="1"/>
  <c r="CF56" i="1"/>
  <c r="CE56" i="1"/>
  <c r="BH57" i="1"/>
  <c r="BC57" i="1"/>
  <c r="CG57" i="1"/>
  <c r="BY57" i="1"/>
  <c r="BX57" i="1"/>
  <c r="CC57" i="1"/>
  <c r="CM57" i="1"/>
  <c r="CL57" i="1" s="1"/>
  <c r="CM52" i="1"/>
  <c r="CL52" i="1" s="1"/>
  <c r="AW53" i="1"/>
  <c r="AV53" i="1" s="1"/>
  <c r="BE53" i="1"/>
  <c r="AF54" i="1"/>
  <c r="BM54" i="1"/>
  <c r="BL54" i="1" s="1"/>
  <c r="AC57" i="1"/>
  <c r="CO57" i="1"/>
  <c r="CN57" i="1"/>
  <c r="AI52" i="1"/>
  <c r="AH52" i="1" s="1"/>
  <c r="AQ52" i="1"/>
  <c r="AB56" i="1"/>
  <c r="AA56" i="1"/>
  <c r="F56" i="1" s="1"/>
  <c r="AT56" i="1"/>
  <c r="BZ56" i="1"/>
  <c r="U57" i="1"/>
  <c r="G57" i="1" s="1"/>
  <c r="T57" i="1"/>
  <c r="E57" i="1"/>
  <c r="K57" i="1" s="1"/>
  <c r="I24" i="14" l="1"/>
  <c r="I28" i="14"/>
  <c r="I35" i="14"/>
  <c r="H20" i="14"/>
  <c r="I26" i="14"/>
  <c r="I19" i="14"/>
  <c r="I25" i="14"/>
  <c r="I27" i="14"/>
  <c r="H25" i="14"/>
  <c r="H27" i="14"/>
  <c r="I20" i="14"/>
  <c r="H28" i="14"/>
  <c r="H24" i="14"/>
  <c r="I32" i="14"/>
  <c r="H18" i="14"/>
  <c r="AZ55" i="14"/>
  <c r="BA55" i="14" s="1"/>
  <c r="H26" i="14"/>
  <c r="AX48" i="14"/>
  <c r="AX9" i="14"/>
  <c r="K15" i="2"/>
  <c r="AQ52" i="14"/>
  <c r="K13" i="2"/>
  <c r="AS55" i="14"/>
  <c r="AT55" i="14" s="1"/>
  <c r="AX56" i="1"/>
  <c r="AX56" i="14" s="1"/>
  <c r="AY56" i="14"/>
  <c r="AX44" i="1"/>
  <c r="AX44" i="14" s="1"/>
  <c r="AY44" i="14"/>
  <c r="AX50" i="1"/>
  <c r="AX50" i="14" s="1"/>
  <c r="AY50" i="14"/>
  <c r="AX16" i="1"/>
  <c r="AX16" i="14" s="1"/>
  <c r="AY16" i="14"/>
  <c r="AX37" i="1"/>
  <c r="AX37" i="14" s="1"/>
  <c r="AY37" i="14"/>
  <c r="H17" i="14"/>
  <c r="I29" i="14"/>
  <c r="H21" i="14"/>
  <c r="H29" i="14"/>
  <c r="AX52" i="1"/>
  <c r="AX52" i="14" s="1"/>
  <c r="AY52" i="14"/>
  <c r="AX30" i="1"/>
  <c r="AX30" i="14" s="1"/>
  <c r="AY30" i="14"/>
  <c r="I18" i="14"/>
  <c r="H19" i="14"/>
  <c r="H17" i="1"/>
  <c r="K32" i="1"/>
  <c r="AQ15" i="1"/>
  <c r="AQ15" i="14" s="1"/>
  <c r="AR15" i="14"/>
  <c r="AQ7" i="1"/>
  <c r="AQ7" i="14" s="1"/>
  <c r="AR7" i="14"/>
  <c r="AQ43" i="1"/>
  <c r="AQ43" i="14" s="1"/>
  <c r="AQ54" i="1"/>
  <c r="AQ54" i="14" s="1"/>
  <c r="AQ5" i="1"/>
  <c r="AQ5" i="14" s="1"/>
  <c r="AR5" i="14"/>
  <c r="AQ39" i="1"/>
  <c r="AQ39" i="14" s="1"/>
  <c r="AR39" i="14"/>
  <c r="AQ14" i="1"/>
  <c r="AQ14" i="14" s="1"/>
  <c r="AR14" i="14"/>
  <c r="AQ53" i="1"/>
  <c r="AQ53" i="14" s="1"/>
  <c r="I39" i="1"/>
  <c r="AQ49" i="1"/>
  <c r="AQ49" i="14" s="1"/>
  <c r="K49" i="1"/>
  <c r="AQ40" i="1"/>
  <c r="AQ40" i="14" s="1"/>
  <c r="AR40" i="14"/>
  <c r="AQ37" i="1"/>
  <c r="AQ37" i="14" s="1"/>
  <c r="AR37" i="14"/>
  <c r="AT58" i="13"/>
  <c r="BO58" i="13"/>
  <c r="BN58" i="14"/>
  <c r="BO58" i="14" s="1"/>
  <c r="BS58" i="13"/>
  <c r="BS58" i="14" s="1"/>
  <c r="BS55" i="14"/>
  <c r="V58" i="13"/>
  <c r="V58" i="14" s="1"/>
  <c r="V55" i="14"/>
  <c r="CN58" i="13"/>
  <c r="CN58" i="14" s="1"/>
  <c r="BZ58" i="13"/>
  <c r="BZ58" i="14" s="1"/>
  <c r="BZ55" i="14"/>
  <c r="BA58" i="13"/>
  <c r="CC58" i="13"/>
  <c r="CB58" i="14"/>
  <c r="CC58" i="14" s="1"/>
  <c r="CJ58" i="13"/>
  <c r="CI58" i="14"/>
  <c r="CJ58" i="14" s="1"/>
  <c r="BL58" i="13"/>
  <c r="BL58" i="14" s="1"/>
  <c r="BL55" i="14"/>
  <c r="CG58" i="13"/>
  <c r="CG58" i="14" s="1"/>
  <c r="CG55" i="14"/>
  <c r="AQ58" i="13"/>
  <c r="AJ58" i="13"/>
  <c r="AJ58" i="14" s="1"/>
  <c r="AJ55" i="14"/>
  <c r="AC58" i="13"/>
  <c r="AC58" i="14" s="1"/>
  <c r="AC55" i="14"/>
  <c r="BH58" i="13"/>
  <c r="BG58" i="14"/>
  <c r="BH58" i="14" s="1"/>
  <c r="BE58" i="13"/>
  <c r="BE58" i="14" s="1"/>
  <c r="BE55" i="14"/>
  <c r="AX58" i="13"/>
  <c r="BV58" i="13"/>
  <c r="BU58" i="14"/>
  <c r="BV58" i="14" s="1"/>
  <c r="CQ58" i="13"/>
  <c r="CP58" i="14"/>
  <c r="CQ58" i="14" s="1"/>
  <c r="CL58" i="13"/>
  <c r="CL58" i="14" s="1"/>
  <c r="CL55" i="14"/>
  <c r="CM58" i="14"/>
  <c r="CM55" i="14"/>
  <c r="CF58" i="14"/>
  <c r="CF55" i="14"/>
  <c r="CE55" i="13"/>
  <c r="CE4" i="14"/>
  <c r="BY58" i="14"/>
  <c r="BY55" i="14"/>
  <c r="BX58" i="13"/>
  <c r="BX58" i="14" s="1"/>
  <c r="BX55" i="14"/>
  <c r="BR58" i="14"/>
  <c r="BR55" i="14"/>
  <c r="C44" i="13"/>
  <c r="BJ44" i="14"/>
  <c r="BK58" i="14"/>
  <c r="BK55" i="14"/>
  <c r="BC55" i="13"/>
  <c r="BC6" i="14"/>
  <c r="BD58" i="14"/>
  <c r="BD55" i="14"/>
  <c r="BC58" i="13"/>
  <c r="BC58" i="14" s="1"/>
  <c r="BC55" i="14"/>
  <c r="C42" i="13"/>
  <c r="AV42" i="14"/>
  <c r="AW58" i="14"/>
  <c r="AW55" i="14"/>
  <c r="C11" i="13"/>
  <c r="AP58" i="14"/>
  <c r="AP55" i="14"/>
  <c r="AO55" i="13"/>
  <c r="AO4" i="14"/>
  <c r="C52" i="13"/>
  <c r="AH52" i="14"/>
  <c r="AH55" i="13"/>
  <c r="AH58" i="13" s="1"/>
  <c r="AH58" i="14" s="1"/>
  <c r="AI58" i="14"/>
  <c r="AI55" i="14"/>
  <c r="AH55" i="14"/>
  <c r="F22" i="13"/>
  <c r="AA22" i="14"/>
  <c r="F43" i="13"/>
  <c r="AA43" i="14"/>
  <c r="AB58" i="14"/>
  <c r="AB55" i="14"/>
  <c r="F4" i="13"/>
  <c r="F46" i="13"/>
  <c r="T46" i="14"/>
  <c r="U58" i="14"/>
  <c r="U55" i="14"/>
  <c r="N58" i="14"/>
  <c r="N55" i="14"/>
  <c r="O55" i="9"/>
  <c r="O58" i="9" s="1"/>
  <c r="C15" i="9"/>
  <c r="H4" i="9"/>
  <c r="H55" i="9" s="1"/>
  <c r="H58" i="9" s="1"/>
  <c r="AA55" i="9"/>
  <c r="AA58" i="9" s="1"/>
  <c r="C52" i="9"/>
  <c r="F18" i="9"/>
  <c r="I49" i="8"/>
  <c r="I55" i="8" s="1"/>
  <c r="I58" i="8" s="1"/>
  <c r="AK55" i="8"/>
  <c r="AK58" i="8" s="1"/>
  <c r="V37" i="8"/>
  <c r="V55" i="8" s="1"/>
  <c r="V58" i="8" s="1"/>
  <c r="F45" i="8"/>
  <c r="C37" i="8"/>
  <c r="AH55" i="8"/>
  <c r="AH58" i="8" s="1"/>
  <c r="C13" i="8"/>
  <c r="C36" i="8"/>
  <c r="F10" i="7"/>
  <c r="AJ55" i="7"/>
  <c r="AJ58" i="7" s="1"/>
  <c r="I37" i="7"/>
  <c r="T55" i="7"/>
  <c r="T58" i="7" s="1"/>
  <c r="C38" i="7"/>
  <c r="H37" i="6"/>
  <c r="AD55" i="6"/>
  <c r="AD58" i="6" s="1"/>
  <c r="I37" i="6"/>
  <c r="AJ55" i="6"/>
  <c r="AJ58" i="6" s="1"/>
  <c r="AA55" i="6"/>
  <c r="AA58" i="6" s="1"/>
  <c r="C10" i="6"/>
  <c r="AK55" i="6"/>
  <c r="AK58" i="6" s="1"/>
  <c r="V4" i="6"/>
  <c r="V55" i="6" s="1"/>
  <c r="V58" i="6" s="1"/>
  <c r="J55" i="6"/>
  <c r="K55" i="6" s="1"/>
  <c r="F28" i="6"/>
  <c r="K49" i="10"/>
  <c r="H46" i="10"/>
  <c r="C46" i="10"/>
  <c r="F48" i="10"/>
  <c r="V55" i="5"/>
  <c r="V58" i="5" s="1"/>
  <c r="F56" i="5"/>
  <c r="AO55" i="5"/>
  <c r="AO58" i="5" s="1"/>
  <c r="C37" i="5"/>
  <c r="C36" i="5"/>
  <c r="AK55" i="4"/>
  <c r="AK58" i="4" s="1"/>
  <c r="C38" i="4"/>
  <c r="I49" i="4"/>
  <c r="AJ49" i="4"/>
  <c r="AA55" i="4"/>
  <c r="AA58" i="4" s="1"/>
  <c r="F26" i="4"/>
  <c r="CE55" i="2"/>
  <c r="CE58" i="2" s="1"/>
  <c r="BX55" i="2"/>
  <c r="BX58" i="2" s="1"/>
  <c r="BQ55" i="2"/>
  <c r="BQ58" i="2" s="1"/>
  <c r="F57" i="2"/>
  <c r="C11" i="2"/>
  <c r="F11" i="2"/>
  <c r="F35" i="3"/>
  <c r="AA55" i="3"/>
  <c r="AA58" i="3" s="1"/>
  <c r="C40" i="3"/>
  <c r="C25" i="3"/>
  <c r="C37" i="3"/>
  <c r="G55" i="3"/>
  <c r="G58" i="3" s="1"/>
  <c r="H55" i="13"/>
  <c r="H58" i="13" s="1"/>
  <c r="M55" i="8"/>
  <c r="M58" i="8" s="1"/>
  <c r="C54" i="5"/>
  <c r="AV55" i="5"/>
  <c r="AV58" i="5" s="1"/>
  <c r="BC55" i="6"/>
  <c r="BC58" i="6" s="1"/>
  <c r="G55" i="7"/>
  <c r="G58" i="7" s="1"/>
  <c r="C13" i="7"/>
  <c r="AO58" i="7"/>
  <c r="AD55" i="10"/>
  <c r="AD58" i="10" s="1"/>
  <c r="AA55" i="13"/>
  <c r="C43" i="13"/>
  <c r="G55" i="4"/>
  <c r="G58" i="4" s="1"/>
  <c r="BX55" i="4"/>
  <c r="BX58" i="4" s="1"/>
  <c r="F6" i="10"/>
  <c r="F23" i="10"/>
  <c r="C33" i="10"/>
  <c r="F18" i="5"/>
  <c r="C18" i="5"/>
  <c r="F14" i="7"/>
  <c r="T55" i="13"/>
  <c r="C6" i="13"/>
  <c r="F52" i="13"/>
  <c r="G55" i="9"/>
  <c r="G58" i="9" s="1"/>
  <c r="C34" i="9"/>
  <c r="C4" i="5"/>
  <c r="F4" i="7"/>
  <c r="D55" i="4"/>
  <c r="D58" i="4" s="1"/>
  <c r="M55" i="5"/>
  <c r="M58" i="5" s="1"/>
  <c r="BJ55" i="9"/>
  <c r="BJ58" i="9" s="1"/>
  <c r="M55" i="13"/>
  <c r="BQ55" i="13"/>
  <c r="C5" i="4"/>
  <c r="D55" i="5"/>
  <c r="D58" i="5" s="1"/>
  <c r="C4" i="7"/>
  <c r="G55" i="8"/>
  <c r="G58" i="8" s="1"/>
  <c r="CE55" i="10"/>
  <c r="CE58" i="10" s="1"/>
  <c r="AH55" i="10"/>
  <c r="AH58" i="10" s="1"/>
  <c r="C22" i="7"/>
  <c r="F22" i="7"/>
  <c r="C48" i="5"/>
  <c r="G55" i="13"/>
  <c r="G58" i="13" s="1"/>
  <c r="F45" i="13"/>
  <c r="C45" i="13"/>
  <c r="C18" i="13"/>
  <c r="F18" i="13"/>
  <c r="F27" i="13"/>
  <c r="C27" i="13"/>
  <c r="C4" i="13"/>
  <c r="K55" i="13"/>
  <c r="E58" i="13"/>
  <c r="K58" i="13" s="1"/>
  <c r="C35" i="13"/>
  <c r="F35" i="13"/>
  <c r="C51" i="13"/>
  <c r="F51" i="13"/>
  <c r="C46" i="13"/>
  <c r="D55" i="13"/>
  <c r="D58" i="13" s="1"/>
  <c r="BJ55" i="13"/>
  <c r="F50" i="13"/>
  <c r="C50" i="13"/>
  <c r="F19" i="13"/>
  <c r="C19" i="13"/>
  <c r="C14" i="13"/>
  <c r="F14" i="13"/>
  <c r="AL59" i="13"/>
  <c r="AM58" i="13"/>
  <c r="X59" i="13"/>
  <c r="Y58" i="13"/>
  <c r="C48" i="13"/>
  <c r="F48" i="13"/>
  <c r="F23" i="13"/>
  <c r="C23" i="13"/>
  <c r="C21" i="13"/>
  <c r="F21" i="13"/>
  <c r="F53" i="13"/>
  <c r="C53" i="13"/>
  <c r="AV55" i="13"/>
  <c r="F30" i="13"/>
  <c r="C30" i="13"/>
  <c r="I49" i="10"/>
  <c r="F36" i="10"/>
  <c r="C4" i="10"/>
  <c r="F26" i="10"/>
  <c r="C26" i="10"/>
  <c r="F35" i="10"/>
  <c r="C31" i="10"/>
  <c r="C38" i="10"/>
  <c r="F38" i="10"/>
  <c r="Q58" i="10"/>
  <c r="R55" i="10"/>
  <c r="H49" i="10"/>
  <c r="C12" i="10"/>
  <c r="F12" i="10"/>
  <c r="H44" i="10"/>
  <c r="M55" i="10"/>
  <c r="M58" i="10" s="1"/>
  <c r="AS59" i="10"/>
  <c r="AT58" i="10"/>
  <c r="AC55" i="10"/>
  <c r="AC58" i="10" s="1"/>
  <c r="V55" i="10"/>
  <c r="V58" i="10" s="1"/>
  <c r="C40" i="10"/>
  <c r="F40" i="10"/>
  <c r="BA58" i="10"/>
  <c r="AZ59" i="10"/>
  <c r="W55" i="10"/>
  <c r="W58" i="10" s="1"/>
  <c r="BQ55" i="10"/>
  <c r="BQ58" i="10" s="1"/>
  <c r="CQ58" i="10"/>
  <c r="CP59" i="10"/>
  <c r="C17" i="10"/>
  <c r="F17" i="10"/>
  <c r="F47" i="10"/>
  <c r="C47" i="10"/>
  <c r="BO58" i="10"/>
  <c r="BN59" i="10"/>
  <c r="J58" i="10"/>
  <c r="K55" i="10"/>
  <c r="AA55" i="10"/>
  <c r="AA58" i="10" s="1"/>
  <c r="F37" i="10"/>
  <c r="C37" i="10"/>
  <c r="F5" i="10"/>
  <c r="H4" i="10"/>
  <c r="AE58" i="10"/>
  <c r="AF55" i="10"/>
  <c r="C10" i="10"/>
  <c r="F10" i="10"/>
  <c r="C5" i="10"/>
  <c r="O55" i="10"/>
  <c r="O58" i="10" s="1"/>
  <c r="H37" i="10"/>
  <c r="BV58" i="10"/>
  <c r="BU59" i="10"/>
  <c r="P55" i="10"/>
  <c r="P58" i="10" s="1"/>
  <c r="C45" i="10"/>
  <c r="F45" i="10"/>
  <c r="D55" i="10"/>
  <c r="D58" i="10" s="1"/>
  <c r="C7" i="10"/>
  <c r="I37" i="10"/>
  <c r="I55" i="10" s="1"/>
  <c r="I58" i="10" s="1"/>
  <c r="BH58" i="10"/>
  <c r="BG59" i="10"/>
  <c r="CI59" i="10"/>
  <c r="CJ58" i="10"/>
  <c r="T55" i="10"/>
  <c r="T58" i="10" s="1"/>
  <c r="C13" i="10"/>
  <c r="G55" i="10"/>
  <c r="G58" i="10" s="1"/>
  <c r="AL59" i="10"/>
  <c r="AM58" i="10"/>
  <c r="C24" i="10"/>
  <c r="F24" i="10"/>
  <c r="CB59" i="10"/>
  <c r="CC58" i="10"/>
  <c r="F22" i="10"/>
  <c r="C22" i="10"/>
  <c r="X59" i="10"/>
  <c r="Y58" i="10"/>
  <c r="J58" i="9"/>
  <c r="K55" i="9"/>
  <c r="F25" i="9"/>
  <c r="C25" i="9"/>
  <c r="F50" i="9"/>
  <c r="M55" i="9"/>
  <c r="M58" i="9" s="1"/>
  <c r="W55" i="9"/>
  <c r="W58" i="9" s="1"/>
  <c r="AL59" i="9"/>
  <c r="AM58" i="9"/>
  <c r="C37" i="9"/>
  <c r="F37" i="9"/>
  <c r="AE59" i="9"/>
  <c r="AF58" i="9"/>
  <c r="D55" i="9"/>
  <c r="D58" i="9" s="1"/>
  <c r="C50" i="9"/>
  <c r="AC55" i="9"/>
  <c r="AC58" i="9" s="1"/>
  <c r="K37" i="9"/>
  <c r="I37" i="9"/>
  <c r="I55" i="9" s="1"/>
  <c r="I58" i="9" s="1"/>
  <c r="C8" i="9"/>
  <c r="F8" i="9"/>
  <c r="F17" i="9"/>
  <c r="C17" i="9"/>
  <c r="AV55" i="9"/>
  <c r="AV58" i="9" s="1"/>
  <c r="F11" i="9"/>
  <c r="C11" i="9"/>
  <c r="F45" i="9"/>
  <c r="C45" i="9"/>
  <c r="BC55" i="9"/>
  <c r="BC58" i="9" s="1"/>
  <c r="V55" i="9"/>
  <c r="V58" i="9" s="1"/>
  <c r="C9" i="9"/>
  <c r="F9" i="9"/>
  <c r="C4" i="9"/>
  <c r="T55" i="9"/>
  <c r="T58" i="9" s="1"/>
  <c r="X59" i="9"/>
  <c r="Y58" i="9"/>
  <c r="C20" i="9"/>
  <c r="F20" i="9"/>
  <c r="AJ37" i="8"/>
  <c r="H37" i="8" s="1"/>
  <c r="C29" i="8"/>
  <c r="AV55" i="8"/>
  <c r="AV58" i="8" s="1"/>
  <c r="F24" i="8"/>
  <c r="C24" i="8"/>
  <c r="Q59" i="8"/>
  <c r="R58" i="8"/>
  <c r="F21" i="8"/>
  <c r="C21" i="8"/>
  <c r="AF58" i="8"/>
  <c r="AE59" i="8"/>
  <c r="O49" i="8"/>
  <c r="H49" i="8" s="1"/>
  <c r="F36" i="8"/>
  <c r="D55" i="8"/>
  <c r="D58" i="8" s="1"/>
  <c r="J55" i="8"/>
  <c r="X58" i="8"/>
  <c r="Y55" i="8"/>
  <c r="F49" i="8"/>
  <c r="C49" i="8"/>
  <c r="T55" i="8"/>
  <c r="T58" i="8" s="1"/>
  <c r="F26" i="8"/>
  <c r="F20" i="8"/>
  <c r="C20" i="8"/>
  <c r="F16" i="8"/>
  <c r="F9" i="8"/>
  <c r="C9" i="8"/>
  <c r="F11" i="8"/>
  <c r="C11" i="8"/>
  <c r="F39" i="8"/>
  <c r="P55" i="8"/>
  <c r="P58" i="8" s="1"/>
  <c r="C33" i="8"/>
  <c r="F33" i="8"/>
  <c r="O55" i="8"/>
  <c r="O58" i="8" s="1"/>
  <c r="AO55" i="8"/>
  <c r="AO58" i="8" s="1"/>
  <c r="H12" i="8"/>
  <c r="AA55" i="8"/>
  <c r="AA58" i="8" s="1"/>
  <c r="C12" i="8"/>
  <c r="F12" i="8"/>
  <c r="C41" i="8"/>
  <c r="F41" i="8"/>
  <c r="AM58" i="8"/>
  <c r="AL59" i="8"/>
  <c r="H37" i="7"/>
  <c r="F49" i="7"/>
  <c r="C49" i="7"/>
  <c r="C32" i="7"/>
  <c r="F32" i="7"/>
  <c r="AL59" i="7"/>
  <c r="AM58" i="7"/>
  <c r="C25" i="7"/>
  <c r="F25" i="7"/>
  <c r="F40" i="7"/>
  <c r="C40" i="7"/>
  <c r="H49" i="7"/>
  <c r="V55" i="7"/>
  <c r="V58" i="7" s="1"/>
  <c r="C51" i="7"/>
  <c r="F51" i="7"/>
  <c r="F17" i="7"/>
  <c r="C17" i="7"/>
  <c r="AA55" i="7"/>
  <c r="AA58" i="7" s="1"/>
  <c r="AK55" i="7"/>
  <c r="AK58" i="7" s="1"/>
  <c r="F41" i="7"/>
  <c r="C41" i="7"/>
  <c r="F45" i="7"/>
  <c r="C45" i="7"/>
  <c r="J58" i="7"/>
  <c r="K55" i="7"/>
  <c r="F28" i="7"/>
  <c r="C28" i="7"/>
  <c r="F39" i="7"/>
  <c r="C39" i="7"/>
  <c r="AE59" i="7"/>
  <c r="AF58" i="7"/>
  <c r="C34" i="7"/>
  <c r="F34" i="7"/>
  <c r="AD55" i="7"/>
  <c r="AD58" i="7" s="1"/>
  <c r="AC55" i="7"/>
  <c r="AC58" i="7" s="1"/>
  <c r="R55" i="7"/>
  <c r="Q58" i="7"/>
  <c r="C23" i="7"/>
  <c r="F23" i="7"/>
  <c r="D55" i="7"/>
  <c r="D58" i="7" s="1"/>
  <c r="F24" i="7"/>
  <c r="C24" i="7"/>
  <c r="C11" i="7"/>
  <c r="F11" i="7"/>
  <c r="C30" i="7"/>
  <c r="F30" i="7"/>
  <c r="C8" i="7"/>
  <c r="F5" i="7"/>
  <c r="C5" i="7"/>
  <c r="M55" i="7"/>
  <c r="M58" i="7" s="1"/>
  <c r="I49" i="7"/>
  <c r="X59" i="7"/>
  <c r="Y58" i="7"/>
  <c r="O55" i="6"/>
  <c r="O58" i="6" s="1"/>
  <c r="AC4" i="6"/>
  <c r="AC55" i="6" s="1"/>
  <c r="AC58" i="6" s="1"/>
  <c r="F5" i="6"/>
  <c r="C5" i="6"/>
  <c r="C57" i="6"/>
  <c r="F57" i="6"/>
  <c r="F40" i="6"/>
  <c r="C40" i="6"/>
  <c r="C20" i="6"/>
  <c r="C7" i="6"/>
  <c r="F7" i="6"/>
  <c r="C54" i="6"/>
  <c r="F54" i="6"/>
  <c r="F33" i="6"/>
  <c r="C33" i="6"/>
  <c r="C56" i="6"/>
  <c r="F56" i="6"/>
  <c r="T55" i="6"/>
  <c r="T58" i="6" s="1"/>
  <c r="AE58" i="6"/>
  <c r="AF55" i="6"/>
  <c r="K4" i="6"/>
  <c r="X58" i="6"/>
  <c r="Y55" i="6"/>
  <c r="F39" i="6"/>
  <c r="C39" i="6"/>
  <c r="F13" i="6"/>
  <c r="C45" i="6"/>
  <c r="F45" i="6"/>
  <c r="AM55" i="6"/>
  <c r="AL58" i="6"/>
  <c r="C22" i="6"/>
  <c r="F22" i="6"/>
  <c r="F53" i="6"/>
  <c r="C53" i="6"/>
  <c r="M55" i="6"/>
  <c r="M58" i="6" s="1"/>
  <c r="F4" i="6"/>
  <c r="C4" i="6"/>
  <c r="C41" i="6"/>
  <c r="F41" i="6"/>
  <c r="P55" i="6"/>
  <c r="P58" i="6" s="1"/>
  <c r="I4" i="6"/>
  <c r="I55" i="6" s="1"/>
  <c r="I58" i="6" s="1"/>
  <c r="D55" i="6"/>
  <c r="D58" i="6" s="1"/>
  <c r="F17" i="6"/>
  <c r="C17" i="6"/>
  <c r="AO55" i="6"/>
  <c r="AO58" i="6" s="1"/>
  <c r="Q58" i="6"/>
  <c r="R55" i="6"/>
  <c r="F9" i="6"/>
  <c r="C9" i="6"/>
  <c r="F44" i="6"/>
  <c r="C44" i="6"/>
  <c r="G55" i="6"/>
  <c r="G58" i="6" s="1"/>
  <c r="C35" i="6"/>
  <c r="F35" i="6"/>
  <c r="C11" i="6"/>
  <c r="F11" i="6"/>
  <c r="C44" i="5"/>
  <c r="F44" i="5"/>
  <c r="F38" i="5"/>
  <c r="C38" i="5"/>
  <c r="C16" i="5"/>
  <c r="C23" i="5"/>
  <c r="F23" i="5"/>
  <c r="F50" i="5"/>
  <c r="C50" i="5"/>
  <c r="AF55" i="5"/>
  <c r="AE58" i="5"/>
  <c r="X59" i="5"/>
  <c r="Y58" i="5"/>
  <c r="F22" i="5"/>
  <c r="C22" i="5"/>
  <c r="AH55" i="5"/>
  <c r="AH58" i="5" s="1"/>
  <c r="AD55" i="5"/>
  <c r="AD58" i="5" s="1"/>
  <c r="AJ55" i="5"/>
  <c r="AJ58" i="5" s="1"/>
  <c r="C20" i="5"/>
  <c r="F20" i="5"/>
  <c r="J55" i="5"/>
  <c r="R55" i="5"/>
  <c r="Q58" i="5"/>
  <c r="C12" i="5"/>
  <c r="AK55" i="5"/>
  <c r="AK58" i="5" s="1"/>
  <c r="I4" i="5"/>
  <c r="I49" i="5"/>
  <c r="T55" i="5"/>
  <c r="T58" i="5" s="1"/>
  <c r="C34" i="5"/>
  <c r="F34" i="5"/>
  <c r="AA55" i="5"/>
  <c r="AA58" i="5" s="1"/>
  <c r="H4" i="5"/>
  <c r="F14" i="5"/>
  <c r="C14" i="5"/>
  <c r="H37" i="5"/>
  <c r="AM55" i="5"/>
  <c r="AL58" i="5"/>
  <c r="C29" i="5"/>
  <c r="F45" i="5"/>
  <c r="C45" i="5"/>
  <c r="C52" i="5"/>
  <c r="F52" i="5"/>
  <c r="O55" i="5"/>
  <c r="O58" i="5" s="1"/>
  <c r="I37" i="5"/>
  <c r="F4" i="5"/>
  <c r="AC49" i="5"/>
  <c r="H49" i="5" s="1"/>
  <c r="G55" i="5"/>
  <c r="G58" i="5" s="1"/>
  <c r="O55" i="4"/>
  <c r="O58" i="4" s="1"/>
  <c r="F22" i="4"/>
  <c r="C22" i="4"/>
  <c r="M55" i="4"/>
  <c r="M58" i="4" s="1"/>
  <c r="F32" i="4"/>
  <c r="C32" i="4"/>
  <c r="I37" i="4"/>
  <c r="P55" i="4"/>
  <c r="P58" i="4" s="1"/>
  <c r="I4" i="4"/>
  <c r="V49" i="4"/>
  <c r="V55" i="4" s="1"/>
  <c r="V58" i="4" s="1"/>
  <c r="F45" i="4"/>
  <c r="C45" i="4"/>
  <c r="AJ55" i="4"/>
  <c r="AJ58" i="4" s="1"/>
  <c r="J55" i="4"/>
  <c r="K4" i="4"/>
  <c r="AE58" i="4"/>
  <c r="AF55" i="4"/>
  <c r="C44" i="4"/>
  <c r="F44" i="4"/>
  <c r="F29" i="4"/>
  <c r="C29" i="4"/>
  <c r="Q58" i="4"/>
  <c r="R55" i="4"/>
  <c r="C46" i="4"/>
  <c r="F46" i="4"/>
  <c r="F51" i="4"/>
  <c r="C51" i="4"/>
  <c r="F53" i="4"/>
  <c r="C53" i="4"/>
  <c r="H37" i="4"/>
  <c r="C16" i="4"/>
  <c r="F16" i="4"/>
  <c r="H49" i="4"/>
  <c r="F28" i="4"/>
  <c r="T55" i="4"/>
  <c r="T58" i="4" s="1"/>
  <c r="F49" i="4"/>
  <c r="C49" i="4"/>
  <c r="AM55" i="4"/>
  <c r="AL58" i="4"/>
  <c r="F23" i="4"/>
  <c r="C23" i="4"/>
  <c r="AC4" i="4"/>
  <c r="AC55" i="4" s="1"/>
  <c r="AC58" i="4" s="1"/>
  <c r="O55" i="3"/>
  <c r="O58" i="3" s="1"/>
  <c r="H4" i="3"/>
  <c r="C36" i="3"/>
  <c r="F36" i="3"/>
  <c r="V49" i="3"/>
  <c r="V55" i="3" s="1"/>
  <c r="V58" i="3" s="1"/>
  <c r="C18" i="3"/>
  <c r="F18" i="3"/>
  <c r="C5" i="3"/>
  <c r="P55" i="3"/>
  <c r="P58" i="3" s="1"/>
  <c r="I4" i="3"/>
  <c r="I55" i="3" s="1"/>
  <c r="I58" i="3" s="1"/>
  <c r="C12" i="3"/>
  <c r="F12" i="3"/>
  <c r="F7" i="3"/>
  <c r="C7" i="3"/>
  <c r="J55" i="3"/>
  <c r="K4" i="3"/>
  <c r="AL58" i="3"/>
  <c r="AM55" i="3"/>
  <c r="C28" i="3"/>
  <c r="F28" i="3"/>
  <c r="F57" i="3"/>
  <c r="C22" i="3"/>
  <c r="F22" i="3"/>
  <c r="R55" i="3"/>
  <c r="Q58" i="3"/>
  <c r="D55" i="3"/>
  <c r="D58" i="3" s="1"/>
  <c r="F20" i="3"/>
  <c r="C20" i="3"/>
  <c r="AH58" i="3"/>
  <c r="C21" i="3"/>
  <c r="F21" i="3"/>
  <c r="AE58" i="3"/>
  <c r="AF55" i="3"/>
  <c r="C33" i="3"/>
  <c r="F33" i="3"/>
  <c r="C45" i="3"/>
  <c r="F45" i="3"/>
  <c r="AJ49" i="3"/>
  <c r="AJ55" i="3" s="1"/>
  <c r="AJ58" i="3" s="1"/>
  <c r="C26" i="3"/>
  <c r="W55" i="3"/>
  <c r="W58" i="3" s="1"/>
  <c r="C24" i="3"/>
  <c r="F24" i="3"/>
  <c r="T55" i="3"/>
  <c r="T58" i="3" s="1"/>
  <c r="C4" i="3"/>
  <c r="C17" i="3"/>
  <c r="F17" i="3"/>
  <c r="X58" i="3"/>
  <c r="Y55" i="3"/>
  <c r="C56" i="3"/>
  <c r="F56" i="3"/>
  <c r="F5" i="3"/>
  <c r="M55" i="3"/>
  <c r="M58" i="3" s="1"/>
  <c r="H30" i="1"/>
  <c r="I30" i="1"/>
  <c r="K30" i="2"/>
  <c r="D14" i="2"/>
  <c r="CG55" i="2"/>
  <c r="CG58" i="2" s="1"/>
  <c r="D24" i="2"/>
  <c r="I53" i="1"/>
  <c r="F49" i="2"/>
  <c r="K54" i="1"/>
  <c r="H38" i="1"/>
  <c r="I46" i="1"/>
  <c r="I44" i="1"/>
  <c r="AC38" i="1"/>
  <c r="I14" i="1"/>
  <c r="H6" i="2"/>
  <c r="G29" i="1"/>
  <c r="D52" i="2"/>
  <c r="D46" i="2"/>
  <c r="H37" i="2"/>
  <c r="I56" i="1"/>
  <c r="T36" i="1"/>
  <c r="C36" i="1" s="1"/>
  <c r="AA14" i="1"/>
  <c r="AJ32" i="1"/>
  <c r="H32" i="1" s="1"/>
  <c r="AR55" i="1"/>
  <c r="I6" i="1"/>
  <c r="I8" i="1"/>
  <c r="I52" i="1"/>
  <c r="D35" i="1"/>
  <c r="I31" i="1"/>
  <c r="K39" i="2"/>
  <c r="K36" i="2"/>
  <c r="D30" i="2"/>
  <c r="H39" i="2"/>
  <c r="G12" i="2"/>
  <c r="H53" i="2"/>
  <c r="H48" i="2"/>
  <c r="K10" i="2"/>
  <c r="H5" i="2"/>
  <c r="W49" i="1"/>
  <c r="V49" i="1" s="1"/>
  <c r="I57" i="1"/>
  <c r="I45" i="1"/>
  <c r="K13" i="1"/>
  <c r="BA55" i="1"/>
  <c r="F50" i="2"/>
  <c r="H52" i="2"/>
  <c r="AH19" i="2"/>
  <c r="AH32" i="2"/>
  <c r="C32" i="2" s="1"/>
  <c r="AF49" i="1"/>
  <c r="F35" i="2"/>
  <c r="F20" i="2"/>
  <c r="G23" i="2"/>
  <c r="D19" i="2"/>
  <c r="H47" i="1"/>
  <c r="CM55" i="1"/>
  <c r="CM58" i="1" s="1"/>
  <c r="D57" i="1"/>
  <c r="K48" i="1"/>
  <c r="G34" i="1"/>
  <c r="G11" i="1"/>
  <c r="BV55" i="1"/>
  <c r="K38" i="1"/>
  <c r="C56" i="1"/>
  <c r="D46" i="1"/>
  <c r="H44" i="1"/>
  <c r="D38" i="1"/>
  <c r="BK55" i="1"/>
  <c r="BK58" i="1" s="1"/>
  <c r="C57" i="2"/>
  <c r="T16" i="2"/>
  <c r="AH5" i="2"/>
  <c r="AH55" i="2" s="1"/>
  <c r="K14" i="2"/>
  <c r="CN55" i="2"/>
  <c r="CN58" i="2" s="1"/>
  <c r="T22" i="1"/>
  <c r="D13" i="1"/>
  <c r="C49" i="2"/>
  <c r="G52" i="2"/>
  <c r="AA14" i="2"/>
  <c r="F14" i="2" s="1"/>
  <c r="AJ55" i="2"/>
  <c r="AJ58" i="2" s="1"/>
  <c r="AO10" i="2"/>
  <c r="C10" i="2" s="1"/>
  <c r="T7" i="2"/>
  <c r="F7" i="2" s="1"/>
  <c r="G27" i="2"/>
  <c r="AH42" i="1"/>
  <c r="H54" i="1"/>
  <c r="I54" i="1"/>
  <c r="F53" i="1"/>
  <c r="H43" i="1"/>
  <c r="D18" i="1"/>
  <c r="F32" i="2"/>
  <c r="K37" i="2"/>
  <c r="D27" i="2"/>
  <c r="D45" i="1"/>
  <c r="D15" i="1"/>
  <c r="G56" i="1"/>
  <c r="K51" i="1"/>
  <c r="C30" i="1"/>
  <c r="I36" i="1"/>
  <c r="G51" i="1"/>
  <c r="D28" i="1"/>
  <c r="K16" i="1"/>
  <c r="BD55" i="1"/>
  <c r="BD58" i="1" s="1"/>
  <c r="I11" i="1"/>
  <c r="D50" i="2"/>
  <c r="K40" i="2"/>
  <c r="D20" i="2"/>
  <c r="D37" i="2"/>
  <c r="C31" i="2"/>
  <c r="G14" i="2"/>
  <c r="G10" i="2"/>
  <c r="K50" i="1"/>
  <c r="I40" i="1"/>
  <c r="AA34" i="1"/>
  <c r="C34" i="1" s="1"/>
  <c r="AV35" i="1"/>
  <c r="V46" i="1"/>
  <c r="D53" i="1"/>
  <c r="AO29" i="1"/>
  <c r="C29" i="1" s="1"/>
  <c r="D51" i="2"/>
  <c r="H43" i="2"/>
  <c r="BC30" i="2"/>
  <c r="C30" i="2" s="1"/>
  <c r="C4" i="2"/>
  <c r="B55" i="2"/>
  <c r="B58" i="2" s="1"/>
  <c r="H9" i="2"/>
  <c r="G33" i="1"/>
  <c r="F44" i="2"/>
  <c r="C44" i="2"/>
  <c r="C40" i="2"/>
  <c r="F40" i="2"/>
  <c r="C36" i="2"/>
  <c r="F36" i="2"/>
  <c r="F33" i="2"/>
  <c r="C33" i="2"/>
  <c r="F38" i="2"/>
  <c r="C38" i="2"/>
  <c r="C23" i="2"/>
  <c r="F23" i="2"/>
  <c r="C35" i="2"/>
  <c r="C39" i="2"/>
  <c r="K56" i="2"/>
  <c r="C26" i="2"/>
  <c r="F26" i="2"/>
  <c r="C8" i="2"/>
  <c r="F8" i="2"/>
  <c r="D41" i="2"/>
  <c r="G9" i="2"/>
  <c r="D9" i="2"/>
  <c r="AL58" i="2"/>
  <c r="AM55" i="2"/>
  <c r="F6" i="2"/>
  <c r="C6" i="2"/>
  <c r="AT58" i="2"/>
  <c r="AQ58" i="2"/>
  <c r="F31" i="2"/>
  <c r="D5" i="2"/>
  <c r="K38" i="2"/>
  <c r="D16" i="2"/>
  <c r="C14" i="2"/>
  <c r="AV7" i="2"/>
  <c r="AV55" i="2" s="1"/>
  <c r="AV58" i="2" s="1"/>
  <c r="C47" i="2"/>
  <c r="F47" i="2"/>
  <c r="K50" i="2"/>
  <c r="AA51" i="2"/>
  <c r="CL50" i="2"/>
  <c r="CL55" i="2" s="1"/>
  <c r="CL58" i="2" s="1"/>
  <c r="K54" i="2"/>
  <c r="AH46" i="2"/>
  <c r="C46" i="2" s="1"/>
  <c r="D39" i="2"/>
  <c r="AV20" i="2"/>
  <c r="C20" i="2" s="1"/>
  <c r="F24" i="2"/>
  <c r="C24" i="2"/>
  <c r="G13" i="2"/>
  <c r="D13" i="2"/>
  <c r="K9" i="2"/>
  <c r="D4" i="2"/>
  <c r="G4" i="2"/>
  <c r="D23" i="2"/>
  <c r="BJ19" i="2"/>
  <c r="BJ55" i="2" s="1"/>
  <c r="BJ58" i="2" s="1"/>
  <c r="C27" i="2"/>
  <c r="F27" i="2"/>
  <c r="O55" i="2"/>
  <c r="O58" i="2" s="1"/>
  <c r="H4" i="2"/>
  <c r="K31" i="2"/>
  <c r="AA12" i="2"/>
  <c r="F12" i="2" s="1"/>
  <c r="BZ55" i="2"/>
  <c r="BZ58" i="2" s="1"/>
  <c r="H7" i="2"/>
  <c r="G56" i="2"/>
  <c r="D56" i="2"/>
  <c r="M56" i="2"/>
  <c r="G51" i="2"/>
  <c r="G54" i="2"/>
  <c r="D54" i="2"/>
  <c r="G33" i="2"/>
  <c r="D33" i="2"/>
  <c r="G29" i="2"/>
  <c r="D29" i="2"/>
  <c r="D36" i="2"/>
  <c r="F34" i="2"/>
  <c r="C34" i="2"/>
  <c r="F28" i="2"/>
  <c r="C28" i="2"/>
  <c r="CI58" i="2"/>
  <c r="CJ55" i="2"/>
  <c r="G15" i="2"/>
  <c r="D15" i="2"/>
  <c r="CP58" i="2"/>
  <c r="CQ55" i="2"/>
  <c r="M15" i="2"/>
  <c r="D22" i="2"/>
  <c r="G22" i="2"/>
  <c r="D44" i="2"/>
  <c r="G44" i="2"/>
  <c r="CB58" i="2"/>
  <c r="CC55" i="2"/>
  <c r="G38" i="2"/>
  <c r="D38" i="2"/>
  <c r="AX55" i="2"/>
  <c r="AX58" i="2" s="1"/>
  <c r="C48" i="2"/>
  <c r="G43" i="2"/>
  <c r="D43" i="2"/>
  <c r="G36" i="2"/>
  <c r="G28" i="2"/>
  <c r="D28" i="2"/>
  <c r="F39" i="2"/>
  <c r="C13" i="2"/>
  <c r="F13" i="2"/>
  <c r="J55" i="2"/>
  <c r="C18" i="2"/>
  <c r="F18" i="2"/>
  <c r="G45" i="2"/>
  <c r="T45" i="2"/>
  <c r="G31" i="2"/>
  <c r="D31" i="2"/>
  <c r="V55" i="2"/>
  <c r="V58" i="2" s="1"/>
  <c r="BE55" i="2"/>
  <c r="BE58" i="2" s="1"/>
  <c r="F19" i="2"/>
  <c r="C19" i="2"/>
  <c r="C21" i="2"/>
  <c r="F21" i="2"/>
  <c r="BH55" i="2"/>
  <c r="BG58" i="2"/>
  <c r="T37" i="2"/>
  <c r="C37" i="2" s="1"/>
  <c r="C25" i="2"/>
  <c r="F25" i="2"/>
  <c r="BA55" i="2"/>
  <c r="AZ58" i="2"/>
  <c r="AZ58" i="14" s="1"/>
  <c r="BA58" i="14" s="1"/>
  <c r="E55" i="2"/>
  <c r="E58" i="2" s="1"/>
  <c r="K51" i="2"/>
  <c r="D48" i="2"/>
  <c r="G46" i="2"/>
  <c r="D42" i="2"/>
  <c r="G42" i="2"/>
  <c r="C50" i="2"/>
  <c r="F46" i="2"/>
  <c r="F30" i="2"/>
  <c r="K12" i="2"/>
  <c r="BN58" i="2"/>
  <c r="BO55" i="2"/>
  <c r="D32" i="2"/>
  <c r="M22" i="2"/>
  <c r="D18" i="2"/>
  <c r="G18" i="2"/>
  <c r="M54" i="2"/>
  <c r="C42" i="2"/>
  <c r="F42" i="2"/>
  <c r="F51" i="2"/>
  <c r="C51" i="2"/>
  <c r="D47" i="2"/>
  <c r="G47" i="2"/>
  <c r="F53" i="2"/>
  <c r="C53" i="2"/>
  <c r="G53" i="2"/>
  <c r="D53" i="2"/>
  <c r="G34" i="2"/>
  <c r="D34" i="2"/>
  <c r="G26" i="2"/>
  <c r="D26" i="2"/>
  <c r="AF55" i="2"/>
  <c r="AE58" i="2"/>
  <c r="K4" i="2"/>
  <c r="D17" i="2"/>
  <c r="M9" i="2"/>
  <c r="R55" i="2"/>
  <c r="BV55" i="2"/>
  <c r="BU58" i="2"/>
  <c r="F10" i="2"/>
  <c r="X58" i="2"/>
  <c r="Y55" i="2"/>
  <c r="D11" i="2"/>
  <c r="D40" i="2"/>
  <c r="G40" i="2"/>
  <c r="D45" i="2"/>
  <c r="T52" i="2"/>
  <c r="M43" i="2"/>
  <c r="D21" i="2"/>
  <c r="G21" i="2"/>
  <c r="M29" i="2"/>
  <c r="D35" i="2"/>
  <c r="G35" i="2"/>
  <c r="AA41" i="2"/>
  <c r="AA17" i="2"/>
  <c r="G6" i="2"/>
  <c r="D6" i="2"/>
  <c r="R58" i="2"/>
  <c r="K16" i="2"/>
  <c r="AT55" i="2"/>
  <c r="F4" i="2"/>
  <c r="G25" i="2"/>
  <c r="D25" i="2"/>
  <c r="AA16" i="2"/>
  <c r="C16" i="2" s="1"/>
  <c r="G11" i="2"/>
  <c r="F50" i="1"/>
  <c r="C50" i="1"/>
  <c r="C9" i="1"/>
  <c r="F21" i="1"/>
  <c r="C21" i="1"/>
  <c r="H39" i="1"/>
  <c r="F48" i="1"/>
  <c r="C48" i="1"/>
  <c r="H13" i="1"/>
  <c r="C53" i="1"/>
  <c r="F27" i="1"/>
  <c r="C27" i="1"/>
  <c r="F17" i="1"/>
  <c r="C17" i="1"/>
  <c r="C10" i="1"/>
  <c r="F10" i="1"/>
  <c r="CN55" i="1"/>
  <c r="CN58" i="1" s="1"/>
  <c r="H14" i="1"/>
  <c r="H57" i="1"/>
  <c r="AC53" i="1"/>
  <c r="K52" i="1"/>
  <c r="I48" i="1"/>
  <c r="BE40" i="1"/>
  <c r="H40" i="1" s="1"/>
  <c r="G53" i="1"/>
  <c r="F32" i="1"/>
  <c r="C32" i="1"/>
  <c r="F29" i="1"/>
  <c r="T11" i="1"/>
  <c r="D19" i="1"/>
  <c r="B55" i="1"/>
  <c r="B58" i="1" s="1"/>
  <c r="Q55" i="1"/>
  <c r="P4" i="1"/>
  <c r="O4" i="1" s="1"/>
  <c r="J4" i="1"/>
  <c r="AA8" i="1"/>
  <c r="CH55" i="1"/>
  <c r="CH58" i="1" s="1"/>
  <c r="G6" i="1"/>
  <c r="D6" i="1"/>
  <c r="E55" i="1"/>
  <c r="E58" i="1" s="1"/>
  <c r="H7" i="1"/>
  <c r="AY55" i="1"/>
  <c r="T13" i="1"/>
  <c r="BH55" i="1"/>
  <c r="G5" i="1"/>
  <c r="I10" i="1"/>
  <c r="F42" i="1"/>
  <c r="C42" i="1"/>
  <c r="AH43" i="1"/>
  <c r="F43" i="1" s="1"/>
  <c r="O49" i="1"/>
  <c r="G45" i="1"/>
  <c r="I43" i="1"/>
  <c r="K36" i="1"/>
  <c r="AX31" i="1"/>
  <c r="AX31" i="14" s="1"/>
  <c r="F36" i="1"/>
  <c r="D23" i="1"/>
  <c r="G23" i="1"/>
  <c r="AC36" i="1"/>
  <c r="H36" i="1" s="1"/>
  <c r="C14" i="1"/>
  <c r="F14" i="1"/>
  <c r="AA28" i="1"/>
  <c r="C28" i="1" s="1"/>
  <c r="G21" i="1"/>
  <c r="D21" i="1"/>
  <c r="BF55" i="1"/>
  <c r="BF58" i="1" s="1"/>
  <c r="AA5" i="1"/>
  <c r="AQ8" i="1"/>
  <c r="BE4" i="1"/>
  <c r="K6" i="1"/>
  <c r="CI58" i="1"/>
  <c r="CJ55" i="1"/>
  <c r="AP55" i="1"/>
  <c r="AP58" i="1" s="1"/>
  <c r="AA57" i="1"/>
  <c r="C57" i="1" s="1"/>
  <c r="D50" i="1"/>
  <c r="G50" i="1"/>
  <c r="G49" i="1"/>
  <c r="D49" i="1"/>
  <c r="M49" i="1"/>
  <c r="D47" i="1"/>
  <c r="T47" i="1"/>
  <c r="G44" i="1"/>
  <c r="D44" i="1"/>
  <c r="D48" i="1"/>
  <c r="G48" i="1"/>
  <c r="H12" i="1"/>
  <c r="G27" i="1"/>
  <c r="D27" i="1"/>
  <c r="T18" i="1"/>
  <c r="C18" i="1" s="1"/>
  <c r="AW55" i="1"/>
  <c r="AW58" i="1" s="1"/>
  <c r="AV4" i="1"/>
  <c r="F15" i="1"/>
  <c r="C15" i="1"/>
  <c r="BY55" i="1"/>
  <c r="BY58" i="1" s="1"/>
  <c r="BX4" i="1"/>
  <c r="BX55" i="1" s="1"/>
  <c r="BX58" i="1" s="1"/>
  <c r="AA19" i="1"/>
  <c r="C19" i="1" s="1"/>
  <c r="BC8" i="1"/>
  <c r="BC55" i="1" s="1"/>
  <c r="BC58" i="1" s="1"/>
  <c r="N55" i="1"/>
  <c r="N58" i="1" s="1"/>
  <c r="G4" i="1"/>
  <c r="D4" i="1"/>
  <c r="BV58" i="1"/>
  <c r="BZ55" i="1"/>
  <c r="BZ58" i="1" s="1"/>
  <c r="BE6" i="1"/>
  <c r="H6" i="1" s="1"/>
  <c r="H10" i="1"/>
  <c r="G31" i="1"/>
  <c r="D31" i="1"/>
  <c r="C38" i="1"/>
  <c r="AK37" i="1"/>
  <c r="AJ37" i="1" s="1"/>
  <c r="CO55" i="1"/>
  <c r="CO58" i="1" s="1"/>
  <c r="D17" i="1"/>
  <c r="G17" i="1"/>
  <c r="Y5" i="1"/>
  <c r="W5" i="1"/>
  <c r="V5" i="1" s="1"/>
  <c r="H5" i="1" s="1"/>
  <c r="J5" i="1"/>
  <c r="K5" i="1" s="1"/>
  <c r="G10" i="1"/>
  <c r="D10" i="1"/>
  <c r="D8" i="1"/>
  <c r="AL55" i="1"/>
  <c r="AK4" i="1"/>
  <c r="AJ4" i="1"/>
  <c r="CC55" i="1"/>
  <c r="CB58" i="1"/>
  <c r="AE58" i="1"/>
  <c r="AF55" i="1"/>
  <c r="AJ45" i="1"/>
  <c r="H53" i="1"/>
  <c r="H50" i="1"/>
  <c r="C54" i="1"/>
  <c r="F54" i="1"/>
  <c r="H46" i="1"/>
  <c r="M31" i="1"/>
  <c r="G38" i="1"/>
  <c r="D39" i="1"/>
  <c r="G37" i="1"/>
  <c r="D37" i="1"/>
  <c r="F38" i="1"/>
  <c r="D32" i="1"/>
  <c r="F26" i="1"/>
  <c r="C26" i="1"/>
  <c r="F28" i="1"/>
  <c r="H16" i="1"/>
  <c r="I9" i="1"/>
  <c r="AA7" i="1"/>
  <c r="BO55" i="1"/>
  <c r="BM55" i="1"/>
  <c r="BM58" i="1" s="1"/>
  <c r="D7" i="1"/>
  <c r="CL12" i="1"/>
  <c r="CL55" i="1" s="1"/>
  <c r="CL58" i="1" s="1"/>
  <c r="BL4" i="1"/>
  <c r="BL55" i="1" s="1"/>
  <c r="BL58" i="1" s="1"/>
  <c r="I13" i="1"/>
  <c r="V11" i="1"/>
  <c r="H11" i="1" s="1"/>
  <c r="BQ55" i="1"/>
  <c r="BQ58" i="1" s="1"/>
  <c r="U55" i="1"/>
  <c r="U58" i="1" s="1"/>
  <c r="D56" i="1"/>
  <c r="C41" i="1"/>
  <c r="D51" i="1"/>
  <c r="I51" i="1"/>
  <c r="O51" i="1"/>
  <c r="H51" i="1" s="1"/>
  <c r="C45" i="1"/>
  <c r="F45" i="1"/>
  <c r="I50" i="1"/>
  <c r="G40" i="1"/>
  <c r="D40" i="1"/>
  <c r="C22" i="1"/>
  <c r="F22" i="1"/>
  <c r="AS58" i="1"/>
  <c r="AS58" i="14" s="1"/>
  <c r="AT58" i="14" s="1"/>
  <c r="AT55" i="1"/>
  <c r="G20" i="1"/>
  <c r="D20" i="1"/>
  <c r="M20" i="1"/>
  <c r="I16" i="1"/>
  <c r="AB55" i="1"/>
  <c r="AB58" i="1" s="1"/>
  <c r="AA4" i="1"/>
  <c r="BO58" i="1"/>
  <c r="BA58" i="1"/>
  <c r="G18" i="1"/>
  <c r="O9" i="1"/>
  <c r="H9" i="1" s="1"/>
  <c r="CF55" i="1"/>
  <c r="CF58" i="1" s="1"/>
  <c r="AI55" i="1"/>
  <c r="AI58" i="1" s="1"/>
  <c r="K12" i="1"/>
  <c r="I12" i="1"/>
  <c r="D9" i="1"/>
  <c r="BR55" i="1"/>
  <c r="BR58" i="1" s="1"/>
  <c r="AX4" i="1"/>
  <c r="W55" i="1"/>
  <c r="W58" i="1" s="1"/>
  <c r="F46" i="1"/>
  <c r="C46" i="1"/>
  <c r="F51" i="1"/>
  <c r="C51" i="1"/>
  <c r="G54" i="1"/>
  <c r="D54" i="1"/>
  <c r="D43" i="1"/>
  <c r="C39" i="1"/>
  <c r="F39" i="1"/>
  <c r="D33" i="1"/>
  <c r="M40" i="1"/>
  <c r="F33" i="1"/>
  <c r="D30" i="1"/>
  <c r="AD37" i="1"/>
  <c r="AC37" i="1" s="1"/>
  <c r="J37" i="1"/>
  <c r="K37" i="1" s="1"/>
  <c r="AF37" i="1"/>
  <c r="CP58" i="1"/>
  <c r="CQ55" i="1"/>
  <c r="G24" i="1"/>
  <c r="D24" i="1"/>
  <c r="M24" i="1"/>
  <c r="F25" i="1"/>
  <c r="C25" i="1"/>
  <c r="G28" i="1"/>
  <c r="D26" i="1"/>
  <c r="G26" i="1"/>
  <c r="D22" i="1"/>
  <c r="C16" i="1"/>
  <c r="F16" i="1"/>
  <c r="R4" i="1"/>
  <c r="AM4" i="1"/>
  <c r="CE4" i="1"/>
  <c r="CE55" i="1" s="1"/>
  <c r="CE58" i="1" s="1"/>
  <c r="D14" i="1"/>
  <c r="K9" i="1"/>
  <c r="I7" i="1"/>
  <c r="I5" i="1"/>
  <c r="G13" i="1"/>
  <c r="M6" i="1"/>
  <c r="D11" i="1"/>
  <c r="G12" i="1"/>
  <c r="D12" i="1"/>
  <c r="M12" i="1"/>
  <c r="BS55" i="1"/>
  <c r="BS58" i="1" s="1"/>
  <c r="BT55" i="1"/>
  <c r="BT58" i="1" s="1"/>
  <c r="V4" i="1"/>
  <c r="H48" i="1"/>
  <c r="AC52" i="1"/>
  <c r="H52" i="1" s="1"/>
  <c r="D52" i="1"/>
  <c r="G52" i="1"/>
  <c r="M52" i="1"/>
  <c r="O56" i="1"/>
  <c r="H56" i="1" s="1"/>
  <c r="H45" i="1"/>
  <c r="D36" i="1"/>
  <c r="M44" i="1"/>
  <c r="AO33" i="1"/>
  <c r="AO55" i="1" s="1"/>
  <c r="AO58" i="1" s="1"/>
  <c r="M37" i="1"/>
  <c r="BJ55" i="1"/>
  <c r="BJ58" i="1" s="1"/>
  <c r="M23" i="1"/>
  <c r="I15" i="1"/>
  <c r="O15" i="1"/>
  <c r="H15" i="1" s="1"/>
  <c r="G25" i="1"/>
  <c r="D25" i="1"/>
  <c r="C35" i="1"/>
  <c r="F35" i="1"/>
  <c r="F11" i="1"/>
  <c r="C11" i="1"/>
  <c r="G16" i="1"/>
  <c r="D16" i="1"/>
  <c r="CA55" i="1"/>
  <c r="CA58" i="1" s="1"/>
  <c r="AH4" i="1"/>
  <c r="CG4" i="1"/>
  <c r="CG55" i="1" s="1"/>
  <c r="CG58" i="1" s="1"/>
  <c r="BH58" i="1"/>
  <c r="G9" i="1"/>
  <c r="X55" i="1"/>
  <c r="H55" i="8" l="1"/>
  <c r="H58" i="8" s="1"/>
  <c r="H55" i="7"/>
  <c r="H58" i="7" s="1"/>
  <c r="I55" i="7"/>
  <c r="I58" i="7" s="1"/>
  <c r="J58" i="6"/>
  <c r="AX55" i="1"/>
  <c r="AX4" i="14"/>
  <c r="H31" i="1"/>
  <c r="AY58" i="1"/>
  <c r="AY58" i="14" s="1"/>
  <c r="AY55" i="14"/>
  <c r="AQ55" i="1"/>
  <c r="AQ8" i="14"/>
  <c r="AR58" i="1"/>
  <c r="AR58" i="14" s="1"/>
  <c r="AR55" i="14"/>
  <c r="C4" i="14"/>
  <c r="CE58" i="13"/>
  <c r="CE58" i="14" s="1"/>
  <c r="CE55" i="14"/>
  <c r="BQ58" i="13"/>
  <c r="BQ58" i="14" s="1"/>
  <c r="BQ55" i="14"/>
  <c r="BJ58" i="13"/>
  <c r="BJ58" i="14" s="1"/>
  <c r="BJ55" i="14"/>
  <c r="AV58" i="13"/>
  <c r="AV58" i="14" s="1"/>
  <c r="AV55" i="14"/>
  <c r="AO58" i="13"/>
  <c r="AO58" i="14" s="1"/>
  <c r="AO55" i="14"/>
  <c r="AA58" i="13"/>
  <c r="AA58" i="14" s="1"/>
  <c r="AA55" i="14"/>
  <c r="T58" i="13"/>
  <c r="T58" i="14" s="1"/>
  <c r="T55" i="14"/>
  <c r="M58" i="13"/>
  <c r="M58" i="14" s="1"/>
  <c r="M55" i="14"/>
  <c r="F55" i="9"/>
  <c r="F58" i="9" s="1"/>
  <c r="AJ55" i="8"/>
  <c r="AJ58" i="8" s="1"/>
  <c r="F55" i="10"/>
  <c r="F58" i="10" s="1"/>
  <c r="F55" i="5"/>
  <c r="F58" i="5" s="1"/>
  <c r="BC55" i="2"/>
  <c r="BC58" i="2" s="1"/>
  <c r="AO55" i="2"/>
  <c r="AH58" i="2"/>
  <c r="F37" i="2"/>
  <c r="M55" i="2"/>
  <c r="M58" i="2" s="1"/>
  <c r="F55" i="3"/>
  <c r="F58" i="3" s="1"/>
  <c r="F55" i="13"/>
  <c r="F58" i="13" s="1"/>
  <c r="C55" i="4"/>
  <c r="C58" i="4" s="1"/>
  <c r="C55" i="5"/>
  <c r="C58" i="5" s="1"/>
  <c r="F55" i="7"/>
  <c r="F58" i="7" s="1"/>
  <c r="C55" i="8"/>
  <c r="C58" i="8" s="1"/>
  <c r="F55" i="4"/>
  <c r="F58" i="4" s="1"/>
  <c r="C55" i="7"/>
  <c r="C58" i="7" s="1"/>
  <c r="F55" i="8"/>
  <c r="F58" i="8" s="1"/>
  <c r="C55" i="13"/>
  <c r="C58" i="13" s="1"/>
  <c r="AE59" i="10"/>
  <c r="AF58" i="10"/>
  <c r="K58" i="10"/>
  <c r="J59" i="10"/>
  <c r="C55" i="10"/>
  <c r="C58" i="10" s="1"/>
  <c r="R58" i="10"/>
  <c r="Q59" i="10"/>
  <c r="H55" i="10"/>
  <c r="H58" i="10" s="1"/>
  <c r="C55" i="9"/>
  <c r="C58" i="9" s="1"/>
  <c r="K58" i="9"/>
  <c r="J59" i="9"/>
  <c r="Y58" i="8"/>
  <c r="X59" i="8"/>
  <c r="K55" i="8"/>
  <c r="J58" i="8"/>
  <c r="J59" i="7"/>
  <c r="K58" i="7"/>
  <c r="Q59" i="7"/>
  <c r="R58" i="7"/>
  <c r="F55" i="6"/>
  <c r="F58" i="6" s="1"/>
  <c r="AF58" i="6"/>
  <c r="AE59" i="6"/>
  <c r="J59" i="6"/>
  <c r="K58" i="6"/>
  <c r="Q59" i="6"/>
  <c r="R58" i="6"/>
  <c r="AL59" i="6"/>
  <c r="AM58" i="6"/>
  <c r="Y58" i="6"/>
  <c r="X59" i="6"/>
  <c r="H4" i="6"/>
  <c r="H55" i="6" s="1"/>
  <c r="H58" i="6" s="1"/>
  <c r="C55" i="6"/>
  <c r="C58" i="6" s="1"/>
  <c r="J58" i="5"/>
  <c r="K55" i="5"/>
  <c r="AL59" i="5"/>
  <c r="AM58" i="5"/>
  <c r="AE59" i="5"/>
  <c r="AF58" i="5"/>
  <c r="H55" i="5"/>
  <c r="H58" i="5" s="1"/>
  <c r="I55" i="5"/>
  <c r="I58" i="5" s="1"/>
  <c r="R58" i="5"/>
  <c r="Q59" i="5"/>
  <c r="AC55" i="5"/>
  <c r="AC58" i="5" s="1"/>
  <c r="R58" i="4"/>
  <c r="Q59" i="4"/>
  <c r="J58" i="4"/>
  <c r="K55" i="4"/>
  <c r="AL59" i="4"/>
  <c r="AM58" i="4"/>
  <c r="AF58" i="4"/>
  <c r="AE59" i="4"/>
  <c r="I55" i="4"/>
  <c r="I58" i="4" s="1"/>
  <c r="H4" i="4"/>
  <c r="H55" i="4" s="1"/>
  <c r="H58" i="4" s="1"/>
  <c r="AF58" i="3"/>
  <c r="K55" i="3"/>
  <c r="J58" i="3"/>
  <c r="C55" i="3"/>
  <c r="C58" i="3" s="1"/>
  <c r="H49" i="3"/>
  <c r="H55" i="3"/>
  <c r="H58" i="3" s="1"/>
  <c r="Y58" i="3"/>
  <c r="R58" i="3"/>
  <c r="AM58" i="3"/>
  <c r="AA55" i="2"/>
  <c r="AA58" i="2" s="1"/>
  <c r="F18" i="1"/>
  <c r="AV55" i="1"/>
  <c r="AV58" i="1" s="1"/>
  <c r="H49" i="1"/>
  <c r="I49" i="1"/>
  <c r="AO58" i="2"/>
  <c r="H55" i="2"/>
  <c r="H58" i="2" s="1"/>
  <c r="C7" i="2"/>
  <c r="T55" i="2"/>
  <c r="T58" i="2" s="1"/>
  <c r="F57" i="1"/>
  <c r="AH55" i="1"/>
  <c r="AH58" i="1" s="1"/>
  <c r="C43" i="1"/>
  <c r="C5" i="2"/>
  <c r="F5" i="2"/>
  <c r="C33" i="1"/>
  <c r="F34" i="1"/>
  <c r="T55" i="1"/>
  <c r="T58" i="1" s="1"/>
  <c r="AD55" i="1"/>
  <c r="AD58" i="1" s="1"/>
  <c r="F9" i="2"/>
  <c r="C9" i="2"/>
  <c r="BA58" i="2"/>
  <c r="CQ58" i="2"/>
  <c r="D55" i="2"/>
  <c r="D58" i="2" s="1"/>
  <c r="BO58" i="2"/>
  <c r="CC58" i="2"/>
  <c r="F56" i="2"/>
  <c r="C56" i="2"/>
  <c r="F43" i="2"/>
  <c r="C43" i="2"/>
  <c r="Y58" i="2"/>
  <c r="C17" i="2"/>
  <c r="F17" i="2"/>
  <c r="C52" i="2"/>
  <c r="F52" i="2"/>
  <c r="AF58" i="2"/>
  <c r="F54" i="2"/>
  <c r="C54" i="2"/>
  <c r="C41" i="2"/>
  <c r="F41" i="2"/>
  <c r="CJ58" i="2"/>
  <c r="F16" i="2"/>
  <c r="J58" i="2"/>
  <c r="K55" i="2"/>
  <c r="BV58" i="2"/>
  <c r="BH58" i="2"/>
  <c r="AM58" i="2"/>
  <c r="C22" i="2"/>
  <c r="F22" i="2"/>
  <c r="C15" i="2"/>
  <c r="F15" i="2"/>
  <c r="C12" i="2"/>
  <c r="C29" i="2"/>
  <c r="F29" i="2"/>
  <c r="C45" i="2"/>
  <c r="F45" i="2"/>
  <c r="G55" i="2"/>
  <c r="G58" i="2" s="1"/>
  <c r="H37" i="1"/>
  <c r="F44" i="1"/>
  <c r="C44" i="1"/>
  <c r="I37" i="1"/>
  <c r="AA55" i="1"/>
  <c r="AA58" i="1" s="1"/>
  <c r="G55" i="1"/>
  <c r="G58" i="1" s="1"/>
  <c r="F13" i="1"/>
  <c r="C13" i="1"/>
  <c r="C8" i="1"/>
  <c r="Y55" i="1"/>
  <c r="X58" i="1"/>
  <c r="C6" i="1"/>
  <c r="F6" i="1"/>
  <c r="AJ55" i="1"/>
  <c r="AJ58" i="1" s="1"/>
  <c r="C5" i="1"/>
  <c r="F5" i="1"/>
  <c r="J55" i="1"/>
  <c r="V55" i="1"/>
  <c r="V58" i="1" s="1"/>
  <c r="C24" i="1"/>
  <c r="F24" i="1"/>
  <c r="AK55" i="1"/>
  <c r="AK58" i="1" s="1"/>
  <c r="O55" i="1"/>
  <c r="O58" i="1" s="1"/>
  <c r="H4" i="1"/>
  <c r="AC55" i="1"/>
  <c r="AC58" i="1" s="1"/>
  <c r="C4" i="1"/>
  <c r="F20" i="1"/>
  <c r="C20" i="1"/>
  <c r="C31" i="1"/>
  <c r="F31" i="1"/>
  <c r="AL58" i="1"/>
  <c r="AM55" i="1"/>
  <c r="C47" i="1"/>
  <c r="F47" i="1"/>
  <c r="K4" i="1"/>
  <c r="P55" i="1"/>
  <c r="P58" i="1" s="1"/>
  <c r="I4" i="1"/>
  <c r="F4" i="1"/>
  <c r="H8" i="1"/>
  <c r="C23" i="1"/>
  <c r="F23" i="1"/>
  <c r="R55" i="1"/>
  <c r="Q58" i="1"/>
  <c r="M55" i="1"/>
  <c r="M58" i="1" s="1"/>
  <c r="C52" i="1"/>
  <c r="F52" i="1"/>
  <c r="F12" i="1"/>
  <c r="C12" i="1"/>
  <c r="AF58" i="1"/>
  <c r="F49" i="1"/>
  <c r="C49" i="1"/>
  <c r="CJ58" i="1"/>
  <c r="F19" i="1"/>
  <c r="F37" i="1"/>
  <c r="C37" i="1"/>
  <c r="CQ58" i="1"/>
  <c r="F40" i="1"/>
  <c r="C40" i="1"/>
  <c r="CC58" i="1"/>
  <c r="AT58" i="1"/>
  <c r="F7" i="1"/>
  <c r="C7" i="1"/>
  <c r="D55" i="1"/>
  <c r="D58" i="1" s="1"/>
  <c r="BE55" i="1"/>
  <c r="BE58" i="1" s="1"/>
  <c r="F8" i="1"/>
  <c r="AX58" i="1" l="1"/>
  <c r="AX58" i="14" s="1"/>
  <c r="AX55" i="14"/>
  <c r="AQ58" i="1"/>
  <c r="AQ58" i="14" s="1"/>
  <c r="AQ55" i="14"/>
  <c r="J59" i="8"/>
  <c r="K58" i="8"/>
  <c r="K58" i="5"/>
  <c r="J59" i="5"/>
  <c r="J59" i="4"/>
  <c r="K58" i="4"/>
  <c r="K58" i="3"/>
  <c r="H55" i="1"/>
  <c r="H58" i="1" s="1"/>
  <c r="C55" i="2"/>
  <c r="C58" i="2" s="1"/>
  <c r="I55" i="1"/>
  <c r="I58" i="1" s="1"/>
  <c r="F55" i="2"/>
  <c r="F58" i="2" s="1"/>
  <c r="K58" i="2"/>
  <c r="AM58" i="1"/>
  <c r="F55" i="1"/>
  <c r="F58" i="1" s="1"/>
  <c r="Y58" i="1"/>
  <c r="R58" i="1"/>
  <c r="C55" i="1"/>
  <c r="C58" i="1" s="1"/>
  <c r="K55" i="1"/>
  <c r="J58" i="1"/>
  <c r="K58" i="1" l="1"/>
  <c r="J41" i="14" l="1"/>
  <c r="I41" i="14"/>
  <c r="H41" i="14" l="1"/>
  <c r="E48" i="14" l="1"/>
  <c r="E47" i="14"/>
  <c r="K47" i="14" s="1"/>
  <c r="E56" i="14"/>
  <c r="E57" i="14"/>
  <c r="B57" i="14" l="1"/>
  <c r="CS57" i="14" s="1"/>
  <c r="E51" i="14"/>
  <c r="E25" i="14"/>
  <c r="K25" i="14" s="1"/>
  <c r="E17" i="14"/>
  <c r="K17" i="14" s="1"/>
  <c r="B43" i="14"/>
  <c r="CS43" i="14" s="1"/>
  <c r="B16" i="14"/>
  <c r="CS16" i="14" s="1"/>
  <c r="E43" i="14"/>
  <c r="E13" i="14"/>
  <c r="F22" i="14"/>
  <c r="B20" i="14"/>
  <c r="CS20" i="14" s="1"/>
  <c r="E20" i="14"/>
  <c r="K20" i="14" s="1"/>
  <c r="E54" i="14"/>
  <c r="E11" i="14"/>
  <c r="K11" i="14" s="1"/>
  <c r="B11" i="14"/>
  <c r="CS11" i="14" s="1"/>
  <c r="B48" i="14"/>
  <c r="CS48" i="14" s="1"/>
  <c r="B34" i="14"/>
  <c r="CS34" i="14" s="1"/>
  <c r="B26" i="14"/>
  <c r="CS26" i="14" s="1"/>
  <c r="B33" i="14"/>
  <c r="CS33" i="14" s="1"/>
  <c r="E33" i="14"/>
  <c r="K33" i="14" s="1"/>
  <c r="E29" i="14"/>
  <c r="K29" i="14" s="1"/>
  <c r="E5" i="14"/>
  <c r="E36" i="14"/>
  <c r="B36" i="14"/>
  <c r="CS36" i="14" s="1"/>
  <c r="E12" i="14"/>
  <c r="B12" i="14"/>
  <c r="CS12" i="14" s="1"/>
  <c r="B51" i="14"/>
  <c r="CS51" i="14" s="1"/>
  <c r="B25" i="14"/>
  <c r="CS25" i="14" s="1"/>
  <c r="E31" i="14"/>
  <c r="B31" i="14"/>
  <c r="CS31" i="14" s="1"/>
  <c r="B46" i="14"/>
  <c r="CS46" i="14" s="1"/>
  <c r="E14" i="14"/>
  <c r="B14" i="14"/>
  <c r="CS14" i="14" s="1"/>
  <c r="B53" i="14"/>
  <c r="CS53" i="14" s="1"/>
  <c r="B21" i="14"/>
  <c r="CS21" i="14" s="1"/>
  <c r="E44" i="14"/>
  <c r="K44" i="14" s="1"/>
  <c r="G16" i="14"/>
  <c r="B28" i="14"/>
  <c r="CS28" i="14" s="1"/>
  <c r="E28" i="14"/>
  <c r="K28" i="14" s="1"/>
  <c r="E4" i="14"/>
  <c r="E35" i="14"/>
  <c r="B35" i="14"/>
  <c r="CS35" i="14" s="1"/>
  <c r="B8" i="14"/>
  <c r="CS8" i="14" s="1"/>
  <c r="E26" i="14"/>
  <c r="K26" i="14" s="1"/>
  <c r="B56" i="14"/>
  <c r="CS56" i="14" s="1"/>
  <c r="B50" i="14"/>
  <c r="CS50" i="14" s="1"/>
  <c r="E50" i="14"/>
  <c r="B18" i="14"/>
  <c r="CS18" i="14" s="1"/>
  <c r="E18" i="14"/>
  <c r="K18" i="14" s="1"/>
  <c r="E24" i="14"/>
  <c r="K24" i="14" s="1"/>
  <c r="B17" i="14"/>
  <c r="CS17" i="14" s="1"/>
  <c r="F10" i="14"/>
  <c r="G49" i="14"/>
  <c r="E8" i="14"/>
  <c r="K8" i="14" s="1"/>
  <c r="B47" i="14"/>
  <c r="CS47" i="14" s="1"/>
  <c r="B41" i="14"/>
  <c r="CS41" i="14" s="1"/>
  <c r="E41" i="14"/>
  <c r="K41" i="14" s="1"/>
  <c r="B9" i="14"/>
  <c r="CS9" i="14" s="1"/>
  <c r="B32" i="14"/>
  <c r="CS32" i="14" s="1"/>
  <c r="E23" i="14"/>
  <c r="K23" i="14" s="1"/>
  <c r="B23" i="14"/>
  <c r="CS23" i="14" s="1"/>
  <c r="B38" i="14"/>
  <c r="CS38" i="14" s="1"/>
  <c r="E38" i="14"/>
  <c r="E6" i="14"/>
  <c r="B6" i="14"/>
  <c r="CS6" i="14" s="1"/>
  <c r="B45" i="14"/>
  <c r="CS45" i="14" s="1"/>
  <c r="E21" i="14"/>
  <c r="K21" i="14" s="1"/>
  <c r="B52" i="14"/>
  <c r="CS52" i="14" s="1"/>
  <c r="E52" i="14"/>
  <c r="E27" i="14"/>
  <c r="K27" i="14" s="1"/>
  <c r="B27" i="14"/>
  <c r="CS27" i="14" s="1"/>
  <c r="E42" i="14"/>
  <c r="K42" i="14" s="1"/>
  <c r="B42" i="14"/>
  <c r="CS42" i="14" s="1"/>
  <c r="E10" i="14"/>
  <c r="B10" i="14"/>
  <c r="CS10" i="14" s="1"/>
  <c r="B24" i="14"/>
  <c r="CS24" i="14" s="1"/>
  <c r="E32" i="14"/>
  <c r="K32" i="14" s="1"/>
  <c r="E53" i="14"/>
  <c r="E37" i="14"/>
  <c r="B13" i="14"/>
  <c r="CS13" i="14" s="1"/>
  <c r="B44" i="14"/>
  <c r="CS44" i="14" s="1"/>
  <c r="G53" i="14"/>
  <c r="G41" i="14"/>
  <c r="E46" i="14"/>
  <c r="K46" i="14" s="1"/>
  <c r="G21" i="14"/>
  <c r="E15" i="14"/>
  <c r="B15" i="14"/>
  <c r="CS15" i="14" s="1"/>
  <c r="E9" i="14"/>
  <c r="E30" i="14"/>
  <c r="B30" i="14"/>
  <c r="CS30" i="14" s="1"/>
  <c r="B37" i="14"/>
  <c r="CS37" i="14" s="1"/>
  <c r="B40" i="14"/>
  <c r="CS40" i="14" s="1"/>
  <c r="G57" i="14"/>
  <c r="E19" i="14"/>
  <c r="K19" i="14" s="1"/>
  <c r="B19" i="14"/>
  <c r="CS19" i="14" s="1"/>
  <c r="E34" i="14"/>
  <c r="E45" i="14"/>
  <c r="K45" i="14" s="1"/>
  <c r="B29" i="14"/>
  <c r="CS29" i="14" s="1"/>
  <c r="G9" i="14"/>
  <c r="G12" i="14"/>
  <c r="E49" i="14"/>
  <c r="B49" i="14"/>
  <c r="CS49" i="14" s="1"/>
  <c r="E16" i="14"/>
  <c r="E39" i="14"/>
  <c r="B39" i="14"/>
  <c r="CS39" i="14" s="1"/>
  <c r="E7" i="14"/>
  <c r="B7" i="14"/>
  <c r="CS7" i="14" s="1"/>
  <c r="B54" i="14"/>
  <c r="CS54" i="14" s="1"/>
  <c r="E22" i="14"/>
  <c r="K22" i="14" s="1"/>
  <c r="B22" i="14"/>
  <c r="CS22" i="14" s="1"/>
  <c r="B5" i="14"/>
  <c r="CS5" i="14" s="1"/>
  <c r="E40" i="14"/>
  <c r="F54" i="14"/>
  <c r="F42" i="14"/>
  <c r="F27" i="14"/>
  <c r="F23" i="14"/>
  <c r="G23" i="14" l="1"/>
  <c r="G34" i="14"/>
  <c r="D5" i="14"/>
  <c r="D29" i="14"/>
  <c r="D12" i="14"/>
  <c r="G17" i="14"/>
  <c r="G8" i="14"/>
  <c r="G56" i="14"/>
  <c r="G37" i="14"/>
  <c r="G43" i="14"/>
  <c r="D20" i="14"/>
  <c r="D24" i="14"/>
  <c r="D37" i="14"/>
  <c r="G40" i="14"/>
  <c r="D21" i="14"/>
  <c r="G44" i="14"/>
  <c r="D40" i="14"/>
  <c r="D16" i="14"/>
  <c r="D36" i="14"/>
  <c r="G48" i="14"/>
  <c r="D44" i="14"/>
  <c r="D53" i="14"/>
  <c r="G45" i="14"/>
  <c r="G5" i="14"/>
  <c r="D47" i="14"/>
  <c r="D4" i="14"/>
  <c r="G4" i="14"/>
  <c r="G47" i="14"/>
  <c r="E55" i="14"/>
  <c r="E58" i="14" s="1"/>
  <c r="D43" i="14"/>
  <c r="D56" i="14"/>
  <c r="D48" i="14"/>
  <c r="F50" i="14"/>
  <c r="D57" i="14"/>
  <c r="D41" i="14"/>
  <c r="G10" i="14"/>
  <c r="F39" i="14"/>
  <c r="G51" i="14"/>
  <c r="G50" i="14"/>
  <c r="D33" i="14"/>
  <c r="D9" i="14"/>
  <c r="G6" i="14"/>
  <c r="D6" i="14"/>
  <c r="G27" i="14"/>
  <c r="D51" i="14"/>
  <c r="G26" i="14"/>
  <c r="D26" i="14"/>
  <c r="D42" i="14"/>
  <c r="G25" i="14"/>
  <c r="D25" i="14"/>
  <c r="D54" i="14"/>
  <c r="F49" i="14"/>
  <c r="F43" i="14"/>
  <c r="G38" i="14"/>
  <c r="D38" i="14"/>
  <c r="G33" i="14"/>
  <c r="G36" i="14"/>
  <c r="D14" i="14"/>
  <c r="G14" i="14"/>
  <c r="F51" i="14"/>
  <c r="G11" i="14"/>
  <c r="D11" i="14"/>
  <c r="D8" i="14"/>
  <c r="C43" i="14"/>
  <c r="D13" i="14"/>
  <c r="G13" i="14"/>
  <c r="G18" i="14"/>
  <c r="D18" i="14"/>
  <c r="D46" i="14"/>
  <c r="G46" i="14"/>
  <c r="D31" i="14"/>
  <c r="G31" i="14"/>
  <c r="D52" i="14"/>
  <c r="G52" i="14"/>
  <c r="D32" i="14"/>
  <c r="G32" i="14"/>
  <c r="F17" i="14"/>
  <c r="F40" i="14"/>
  <c r="C51" i="14"/>
  <c r="F47" i="14"/>
  <c r="G29" i="14"/>
  <c r="D10" i="14"/>
  <c r="D50" i="14"/>
  <c r="D7" i="14"/>
  <c r="G7" i="14"/>
  <c r="C30" i="14"/>
  <c r="D34" i="14"/>
  <c r="F56" i="14"/>
  <c r="F41" i="14"/>
  <c r="D19" i="14"/>
  <c r="G19" i="14"/>
  <c r="G30" i="14"/>
  <c r="D30" i="14"/>
  <c r="G15" i="14"/>
  <c r="D17" i="14"/>
  <c r="G42" i="14"/>
  <c r="F53" i="14"/>
  <c r="G22" i="14"/>
  <c r="D15" i="14"/>
  <c r="G24" i="14"/>
  <c r="D49" i="14"/>
  <c r="D22" i="14"/>
  <c r="G39" i="14"/>
  <c r="D39" i="14"/>
  <c r="F28" i="14"/>
  <c r="D28" i="14"/>
  <c r="D45" i="14"/>
  <c r="G28" i="14"/>
  <c r="D27" i="14"/>
  <c r="D23" i="14"/>
  <c r="G20" i="14"/>
  <c r="G35" i="14"/>
  <c r="D35" i="14"/>
  <c r="B55" i="14"/>
  <c r="CS4" i="14"/>
  <c r="F18" i="14"/>
  <c r="G54" i="14"/>
  <c r="F30" i="14"/>
  <c r="C29" i="14" l="1"/>
  <c r="C35" i="14"/>
  <c r="C10" i="14"/>
  <c r="F9" i="14"/>
  <c r="C47" i="14"/>
  <c r="C23" i="14"/>
  <c r="C27" i="14"/>
  <c r="C44" i="14"/>
  <c r="C22" i="14"/>
  <c r="C42" i="14"/>
  <c r="D55" i="14"/>
  <c r="D58" i="14" s="1"/>
  <c r="C54" i="14"/>
  <c r="C17" i="14"/>
  <c r="C41" i="14"/>
  <c r="C50" i="14"/>
  <c r="C49" i="14"/>
  <c r="F37" i="14"/>
  <c r="C28" i="14"/>
  <c r="C19" i="14"/>
  <c r="F26" i="14"/>
  <c r="C26" i="14"/>
  <c r="F20" i="14"/>
  <c r="C20" i="14"/>
  <c r="C39" i="14"/>
  <c r="F35" i="14"/>
  <c r="C6" i="14"/>
  <c r="F6" i="14"/>
  <c r="C5" i="14"/>
  <c r="F5" i="14"/>
  <c r="C18" i="14"/>
  <c r="C15" i="14"/>
  <c r="F15" i="14"/>
  <c r="C31" i="14"/>
  <c r="F31" i="14"/>
  <c r="C45" i="14"/>
  <c r="C33" i="14"/>
  <c r="C38" i="14"/>
  <c r="F38" i="14"/>
  <c r="F11" i="14"/>
  <c r="C11" i="14"/>
  <c r="C57" i="14"/>
  <c r="F29" i="14"/>
  <c r="F57" i="14"/>
  <c r="C16" i="14"/>
  <c r="F16" i="14"/>
  <c r="C8" i="14"/>
  <c r="F8" i="14"/>
  <c r="F32" i="14"/>
  <c r="C32" i="14"/>
  <c r="F36" i="14"/>
  <c r="C36" i="14"/>
  <c r="C25" i="14"/>
  <c r="F25" i="14"/>
  <c r="C12" i="14"/>
  <c r="F12" i="14"/>
  <c r="F44" i="14"/>
  <c r="F4" i="14"/>
  <c r="C53" i="14"/>
  <c r="G55" i="14"/>
  <c r="G58" i="14" s="1"/>
  <c r="C37" i="14"/>
  <c r="F34" i="14"/>
  <c r="C34" i="14"/>
  <c r="C13" i="14"/>
  <c r="F13" i="14"/>
  <c r="C40" i="14"/>
  <c r="C9" i="14"/>
  <c r="F14" i="14"/>
  <c r="C14" i="14"/>
  <c r="F24" i="14"/>
  <c r="C24" i="14"/>
  <c r="C56" i="14"/>
  <c r="F48" i="14"/>
  <c r="C48" i="14"/>
  <c r="F45" i="14"/>
  <c r="F46" i="14"/>
  <c r="C46" i="14"/>
  <c r="C21" i="14"/>
  <c r="F21" i="14"/>
  <c r="F19" i="14"/>
  <c r="B58" i="14"/>
  <c r="CS58" i="14" s="1"/>
  <c r="CS55" i="14"/>
  <c r="C7" i="14"/>
  <c r="F7" i="14"/>
  <c r="C52" i="14"/>
  <c r="F52" i="14"/>
  <c r="F33" i="14"/>
  <c r="F55" i="14" l="1"/>
  <c r="F58" i="14" s="1"/>
  <c r="C55" i="14"/>
  <c r="C58" i="14" s="1"/>
  <c r="BG59" i="14" l="1"/>
  <c r="CB59" i="14"/>
  <c r="CP59" i="14"/>
  <c r="CI59" i="14"/>
  <c r="AZ59" i="14"/>
  <c r="BU59" i="14"/>
  <c r="BN59" i="14"/>
  <c r="AS59" i="14"/>
  <c r="H33" i="14" l="1"/>
  <c r="H32" i="14"/>
  <c r="X59" i="14" l="1"/>
  <c r="Q59" i="14"/>
  <c r="I56" i="14" l="1"/>
  <c r="I8" i="14"/>
  <c r="I11" i="14"/>
  <c r="I12" i="14"/>
  <c r="I15" i="14" l="1"/>
  <c r="I37" i="14"/>
  <c r="I36" i="14"/>
  <c r="I9" i="14"/>
  <c r="I39" i="14"/>
  <c r="I43" i="14"/>
  <c r="I31" i="14"/>
  <c r="I48" i="14"/>
  <c r="I5" i="14"/>
  <c r="I49" i="14"/>
  <c r="I45" i="14"/>
  <c r="I46" i="14"/>
  <c r="I40" i="14"/>
  <c r="I13" i="14"/>
  <c r="I4" i="14"/>
  <c r="I6" i="14"/>
  <c r="I16" i="14"/>
  <c r="I53" i="14"/>
  <c r="I7" i="14"/>
  <c r="I51" i="14"/>
  <c r="I10" i="14"/>
  <c r="I44" i="14"/>
  <c r="I54" i="14"/>
  <c r="I52" i="14"/>
  <c r="I50" i="14"/>
  <c r="I38" i="14"/>
  <c r="I57" i="14"/>
  <c r="I47" i="14"/>
  <c r="I30" i="14"/>
  <c r="I14" i="14" l="1"/>
  <c r="I55" i="14"/>
  <c r="I58" i="14" s="1"/>
  <c r="AL59" i="14" l="1"/>
  <c r="J45" i="14" l="1"/>
  <c r="J11" i="14"/>
  <c r="J47" i="14"/>
  <c r="J35" i="14"/>
  <c r="K35" i="14" s="1"/>
  <c r="J44" i="14"/>
  <c r="J46" i="14"/>
  <c r="J8" i="14"/>
  <c r="J34" i="14"/>
  <c r="K34" i="14" s="1"/>
  <c r="H9" i="14" l="1"/>
  <c r="H38" i="14"/>
  <c r="H53" i="14"/>
  <c r="H5" i="14"/>
  <c r="J37" i="14"/>
  <c r="K37" i="14" s="1"/>
  <c r="J12" i="14"/>
  <c r="K12" i="14" s="1"/>
  <c r="J9" i="14"/>
  <c r="K9" i="14" s="1"/>
  <c r="J54" i="14"/>
  <c r="K54" i="14" s="1"/>
  <c r="J39" i="14"/>
  <c r="K39" i="14" s="1"/>
  <c r="J36" i="14"/>
  <c r="K36" i="14" s="1"/>
  <c r="J40" i="14"/>
  <c r="K40" i="14" s="1"/>
  <c r="J16" i="14"/>
  <c r="K16" i="14" s="1"/>
  <c r="J49" i="14"/>
  <c r="K49" i="14" s="1"/>
  <c r="H12" i="14"/>
  <c r="H56" i="14"/>
  <c r="H46" i="14"/>
  <c r="H36" i="14"/>
  <c r="H37" i="14"/>
  <c r="H6" i="14"/>
  <c r="H43" i="14"/>
  <c r="H48" i="14"/>
  <c r="H13" i="14"/>
  <c r="H31" i="14"/>
  <c r="J7" i="14"/>
  <c r="K7" i="14" s="1"/>
  <c r="J48" i="14"/>
  <c r="K48" i="14" s="1"/>
  <c r="J31" i="14"/>
  <c r="K31" i="14" s="1"/>
  <c r="J13" i="14"/>
  <c r="K13" i="14" s="1"/>
  <c r="J5" i="14"/>
  <c r="K5" i="14" s="1"/>
  <c r="H51" i="14"/>
  <c r="H14" i="14"/>
  <c r="H50" i="14"/>
  <c r="H16" i="14"/>
  <c r="H11" i="14"/>
  <c r="H45" i="14"/>
  <c r="H44" i="14"/>
  <c r="H47" i="14"/>
  <c r="J6" i="14"/>
  <c r="K6" i="14" s="1"/>
  <c r="J56" i="14"/>
  <c r="K56" i="14" s="1"/>
  <c r="J15" i="14"/>
  <c r="K15" i="14" s="1"/>
  <c r="J50" i="14"/>
  <c r="K50" i="14" s="1"/>
  <c r="J10" i="14"/>
  <c r="K10" i="14" s="1"/>
  <c r="J51" i="14"/>
  <c r="K51" i="14" s="1"/>
  <c r="J57" i="14"/>
  <c r="K57" i="14" s="1"/>
  <c r="J38" i="14"/>
  <c r="K38" i="14" s="1"/>
  <c r="H8" i="14"/>
  <c r="H34" i="14"/>
  <c r="H15" i="14"/>
  <c r="H49" i="14"/>
  <c r="H30" i="14"/>
  <c r="H52" i="14"/>
  <c r="H57" i="14"/>
  <c r="H7" i="14"/>
  <c r="H10" i="14"/>
  <c r="H39" i="14"/>
  <c r="H35" i="14"/>
  <c r="J30" i="14"/>
  <c r="K30" i="14" s="1"/>
  <c r="J14" i="14"/>
  <c r="K14" i="14" s="1"/>
  <c r="J53" i="14"/>
  <c r="K53" i="14" s="1"/>
  <c r="J4" i="14"/>
  <c r="J43" i="14"/>
  <c r="K43" i="14" s="1"/>
  <c r="J52" i="14"/>
  <c r="K52" i="14" s="1"/>
  <c r="H54" i="14"/>
  <c r="H40" i="14"/>
  <c r="H4" i="14" l="1"/>
  <c r="H55" i="14" s="1"/>
  <c r="H58" i="14" s="1"/>
  <c r="J55" i="14"/>
  <c r="K4" i="14"/>
  <c r="K55" i="14" l="1"/>
  <c r="J58" i="14"/>
  <c r="AE59" i="14"/>
  <c r="J59" i="14" l="1"/>
  <c r="K58" i="14"/>
</calcChain>
</file>

<file path=xl/sharedStrings.xml><?xml version="1.0" encoding="utf-8"?>
<sst xmlns="http://schemas.openxmlformats.org/spreadsheetml/2006/main" count="2788" uniqueCount="213">
  <si>
    <t>São Luiz do Pinhal - Orçamento 2024/2025</t>
  </si>
  <si>
    <t>há</t>
  </si>
  <si>
    <t>Junho</t>
  </si>
  <si>
    <t>Julho</t>
  </si>
  <si>
    <t>Agosto</t>
  </si>
  <si>
    <t>Setembro</t>
  </si>
  <si>
    <t>Outubro</t>
  </si>
  <si>
    <t>Novembro</t>
  </si>
  <si>
    <t>Dezembro</t>
  </si>
  <si>
    <t>Janeiro</t>
  </si>
  <si>
    <t>Fevereiro</t>
  </si>
  <si>
    <t>Março</t>
  </si>
  <si>
    <t>Abril</t>
  </si>
  <si>
    <t>Maio</t>
  </si>
  <si>
    <t>PREVISTO TOTAL 2024/2025</t>
  </si>
  <si>
    <t>PREVISTO TOTAL
OPEX</t>
  </si>
  <si>
    <t>PREVISTO TOTAL
CAPEX</t>
  </si>
  <si>
    <t>PREVISTO PERIODO</t>
  </si>
  <si>
    <t>PREVISTO PERIODO
OPEX</t>
  </si>
  <si>
    <t>PREVISTO PERIODO
CAPEX</t>
  </si>
  <si>
    <t>REALIZADO
OPEX</t>
  </si>
  <si>
    <t>REALIZADO
CAPEX</t>
  </si>
  <si>
    <t>REALIZADO TOTAL</t>
  </si>
  <si>
    <t>%</t>
  </si>
  <si>
    <t>PREVISTO</t>
  </si>
  <si>
    <t>PREVISTO
OPEX</t>
  </si>
  <si>
    <t>PREVISTO
CAPEX</t>
  </si>
  <si>
    <t>REALIZADO
TOTAL</t>
  </si>
  <si>
    <t>Salários</t>
  </si>
  <si>
    <t>HE</t>
  </si>
  <si>
    <t>INSS</t>
  </si>
  <si>
    <t>FGTS</t>
  </si>
  <si>
    <t>13 Salário</t>
  </si>
  <si>
    <t>Férias</t>
  </si>
  <si>
    <t>Transporte Funcionario</t>
  </si>
  <si>
    <t>Rescisão Contratual</t>
  </si>
  <si>
    <t>Aluguel Veiculos (Carros)</t>
  </si>
  <si>
    <t>Processos trabalhistas</t>
  </si>
  <si>
    <t>Beneficios</t>
  </si>
  <si>
    <t>Escritório Central/Aska</t>
  </si>
  <si>
    <t>Energia Elétrica</t>
  </si>
  <si>
    <t>Oleo Diesel</t>
  </si>
  <si>
    <t>Lubrificantes</t>
  </si>
  <si>
    <t>Alcool / Gasolina</t>
  </si>
  <si>
    <t>Adubo</t>
  </si>
  <si>
    <t>Corretivo de Solo</t>
  </si>
  <si>
    <t>Fertilizante Orgânico</t>
  </si>
  <si>
    <t>Semente</t>
  </si>
  <si>
    <t>Herbicidas</t>
  </si>
  <si>
    <t>Fungicida</t>
  </si>
  <si>
    <t>Inseticida</t>
  </si>
  <si>
    <t>Acaricida</t>
  </si>
  <si>
    <t>Óleo</t>
  </si>
  <si>
    <t>Reguladores Vegetais</t>
  </si>
  <si>
    <t>MO Terceiros</t>
  </si>
  <si>
    <t>Aluguel de Máquinas e Edifícios</t>
  </si>
  <si>
    <t>Colheita Laranja (351.020 CX)</t>
  </si>
  <si>
    <t>Frete Rodoviário Laranja</t>
  </si>
  <si>
    <t>Colheita Limão (26.301 CX)</t>
  </si>
  <si>
    <t>Frete Rodoviário Limão</t>
  </si>
  <si>
    <t>Manutenção de Máquinas</t>
  </si>
  <si>
    <t>Manutenção de Implementos</t>
  </si>
  <si>
    <t>Manutenção de Veículos</t>
  </si>
  <si>
    <t>Manutenção de Equipamentos</t>
  </si>
  <si>
    <t>Pneus</t>
  </si>
  <si>
    <t>Depreciação</t>
  </si>
  <si>
    <t>Arrendamento</t>
  </si>
  <si>
    <t>Assistência Técnica</t>
  </si>
  <si>
    <t>Beneficiamento/Secagem</t>
  </si>
  <si>
    <t>Investimentos</t>
  </si>
  <si>
    <t>Mudas</t>
  </si>
  <si>
    <t>São Paulo da Canastra</t>
  </si>
  <si>
    <t>Segurança do Trabalho</t>
  </si>
  <si>
    <t>Outras Despesas</t>
  </si>
  <si>
    <t>Caminhão Acello</t>
  </si>
  <si>
    <t>Mecânicos/Eletrecistas</t>
  </si>
  <si>
    <t>Manutenção Civil e Elétrica</t>
  </si>
  <si>
    <t>Impostos  e taxas</t>
  </si>
  <si>
    <t>Funrural/Fundecitrus</t>
  </si>
  <si>
    <t>Subtotal</t>
  </si>
  <si>
    <t>CREDITO ICMS</t>
  </si>
  <si>
    <t>RESULTADO CARRETAS</t>
  </si>
  <si>
    <t>TOTAL</t>
  </si>
  <si>
    <t>OUTRAS DESPESAS</t>
  </si>
  <si>
    <t>RATEIO EDSON</t>
  </si>
  <si>
    <t>DESPESAS LUIZ GUILHERME</t>
  </si>
  <si>
    <t>LABORATÓRIO</t>
  </si>
  <si>
    <t>MATERIAL ESCRITÓRIO</t>
  </si>
  <si>
    <t>PLACAS DE SINALIZAÇÃO</t>
  </si>
  <si>
    <t>MATERIAL LIMPEZA</t>
  </si>
  <si>
    <t>EXAME MÉDICO</t>
  </si>
  <si>
    <t>ROUPEIRO</t>
  </si>
  <si>
    <t>MUDAS</t>
  </si>
  <si>
    <t>PESAGENS</t>
  </si>
  <si>
    <t>SEGURO DE VIDA</t>
  </si>
  <si>
    <t>SINDICATO T. R.</t>
  </si>
  <si>
    <t>LABORATÓRIO DE ANÁLISES</t>
  </si>
  <si>
    <t>PÃO</t>
  </si>
  <si>
    <t>TELEFONE</t>
  </si>
  <si>
    <t>MATERIAL DE CAMPO</t>
  </si>
  <si>
    <t>T.I.</t>
  </si>
  <si>
    <t>SEGURO TRATORES</t>
  </si>
  <si>
    <t>DOCUMENTO MOTO</t>
  </si>
  <si>
    <t>Rosa - Orçamento 2024/2025</t>
  </si>
  <si>
    <t>Colheita Laranja (94.570 CX)</t>
  </si>
  <si>
    <t>Colheita Limão</t>
  </si>
  <si>
    <t>Santa Ana do Guarei  -  Orçamento 2024/2025</t>
  </si>
  <si>
    <t>Colheita Laranja (640.000 CX)</t>
  </si>
  <si>
    <t>Colheita Limão (340.000 CX)</t>
  </si>
  <si>
    <t>BALSA</t>
  </si>
  <si>
    <t>TECTRACKER</t>
  </si>
  <si>
    <t>SEGURO TRATOR</t>
  </si>
  <si>
    <t>MALETA PRIMEIROS SOCORROS</t>
  </si>
  <si>
    <t>SEM PARAR (ERV2A37)</t>
  </si>
  <si>
    <t>ALOJAMENTO</t>
  </si>
  <si>
    <t>SUPORTE DE CELULAR</t>
  </si>
  <si>
    <t>REFEITÓRIO</t>
  </si>
  <si>
    <t>DESPESAS ALAN</t>
  </si>
  <si>
    <t>AFERIÇÃO DE BOMBA</t>
  </si>
  <si>
    <t>SEMENTE BRACHIARIA</t>
  </si>
  <si>
    <t>DOCUMENTO VEICULOS</t>
  </si>
  <si>
    <t>MULTA</t>
  </si>
  <si>
    <t>CAIXINHA</t>
  </si>
  <si>
    <t>MUDAS FRUTIFERAS</t>
  </si>
  <si>
    <t>Boa Esperança  -  Orçamento 2024/2025</t>
  </si>
  <si>
    <t>Colheita Laranja (800.000 CX)</t>
  </si>
  <si>
    <t>Colheita Limão (80.000 CX)</t>
  </si>
  <si>
    <t>DESPESAS DE VIAGEM</t>
  </si>
  <si>
    <t>IDENTIFICAÇÃO IMOBILIZADOS</t>
  </si>
  <si>
    <t>INTERNET</t>
  </si>
  <si>
    <t>PLACAS SINALIZAÇÃO</t>
  </si>
  <si>
    <t>MATERIAL DE LIMPEZA</t>
  </si>
  <si>
    <t>ROUPEIROS</t>
  </si>
  <si>
    <t>SEM PARAR FBV9195</t>
  </si>
  <si>
    <t>SEMENTE DE BRACHIARA</t>
  </si>
  <si>
    <t>DOCUMENTOS VEÍCULOS</t>
  </si>
  <si>
    <t xml:space="preserve">SINDICATO T. R. </t>
  </si>
  <si>
    <t>MOTOR ESTACIONÁRIO</t>
  </si>
  <si>
    <t>LAVAGEM QMZ3H33</t>
  </si>
  <si>
    <t>Santa Maria  -  Orçamento 2024/2025</t>
  </si>
  <si>
    <t>Colheita Laranja (500.000 CX)</t>
  </si>
  <si>
    <t>RAÇÃO CACHORRO</t>
  </si>
  <si>
    <t>CERTIFICADO</t>
  </si>
  <si>
    <t>FRETE PODADEIRA</t>
  </si>
  <si>
    <t>Igarata  -  Orçamento 2024/2025</t>
  </si>
  <si>
    <t>Colheita Laranja (430.000 CX)</t>
  </si>
  <si>
    <t>MARMITAS</t>
  </si>
  <si>
    <t>DESPESAS RAFAEL</t>
  </si>
  <si>
    <t>LABORATÓRIO ANÁLISES DE SOLO</t>
  </si>
  <si>
    <t>SEM PARAR</t>
  </si>
  <si>
    <t>ADVOGADO MESQUITA RIBEIRO</t>
  </si>
  <si>
    <t>MANUTENÇÃO CAMERAS</t>
  </si>
  <si>
    <t>DOCUMENTOS (FCZ-0195 / GHB9F84)</t>
  </si>
  <si>
    <t>MOTOBOMBA</t>
  </si>
  <si>
    <t>CONFIANÇA CONSULTORIA</t>
  </si>
  <si>
    <t>MESQUITA ADVOGADOS</t>
  </si>
  <si>
    <t>Paineiras  -  Orçamento 2024/2025</t>
  </si>
  <si>
    <t>Colheita Laranja (180.000 CX)</t>
  </si>
  <si>
    <t>Colheita Limão (50.000 CX)</t>
  </si>
  <si>
    <t>MATERIAL CAMPO</t>
  </si>
  <si>
    <t>DIAFRAGMA</t>
  </si>
  <si>
    <t>IDENTIFICAÇÃO</t>
  </si>
  <si>
    <t>DIESEL LIMPEZA CIPÓ</t>
  </si>
  <si>
    <t>DIESEL OFICINA</t>
  </si>
  <si>
    <t>PEDÁGIO</t>
  </si>
  <si>
    <t>PEDREGULHO ESTRADA PAINEIRAS/MONJOLINHO</t>
  </si>
  <si>
    <t>ALIMENTAÇÃO PEDREIRO</t>
  </si>
  <si>
    <t>Monjolinho  -  Orçamento 2024/2025</t>
  </si>
  <si>
    <t>Colheita Laranja (200.000 CX)</t>
  </si>
  <si>
    <t>PEDREGULHOS ESTRADA PAINEIRAS/MONJOLINHO</t>
  </si>
  <si>
    <t>DESPESAS THIAGO</t>
  </si>
  <si>
    <t>DIESEL MISTURADOR DE PRODUTO</t>
  </si>
  <si>
    <t>DOCUMENTOS (BRH6B24)</t>
  </si>
  <si>
    <t>SINDICATO T.R.</t>
  </si>
  <si>
    <t>MULTAS DE TRANSITO</t>
  </si>
  <si>
    <t>Rubião I  -  Orçamento 2024/2025</t>
  </si>
  <si>
    <t>JUN.23</t>
  </si>
  <si>
    <t>JUL.23</t>
  </si>
  <si>
    <t>AGO.23</t>
  </si>
  <si>
    <t>SET.23</t>
  </si>
  <si>
    <t>OUT.23</t>
  </si>
  <si>
    <t>NOV.23</t>
  </si>
  <si>
    <t>DEZ.23</t>
  </si>
  <si>
    <t>JAN.24</t>
  </si>
  <si>
    <t>FEV.24</t>
  </si>
  <si>
    <t>MAR.24</t>
  </si>
  <si>
    <t>ABR.24</t>
  </si>
  <si>
    <t>MAI.24</t>
  </si>
  <si>
    <t>ADVOGADO IVAN</t>
  </si>
  <si>
    <t>DOCUMENTO (DAO1475)</t>
  </si>
  <si>
    <t>Cambara I  -  Orçamento 2024/2025</t>
  </si>
  <si>
    <t>Colheita Laranja (261.564 CX)</t>
  </si>
  <si>
    <t>LABORATÓRIO DE ANÁLISE</t>
  </si>
  <si>
    <t>PRODUTOS DE LIMPEZA</t>
  </si>
  <si>
    <t>SINDICATO DOS T. R.</t>
  </si>
  <si>
    <t>CINTA REBOQUE</t>
  </si>
  <si>
    <t>TANQUINHO LAVANDERIA</t>
  </si>
  <si>
    <t>CUROS DAS MOTORISTA VAN</t>
  </si>
  <si>
    <t>KM RODADO GILMAR</t>
  </si>
  <si>
    <t>AREA DE VIVENCIA</t>
  </si>
  <si>
    <t>PESAGEM</t>
  </si>
  <si>
    <t>São Francisco I  -  Orçamento 2024/2025</t>
  </si>
  <si>
    <t>Colheita Laranja (700.000 CX)</t>
  </si>
  <si>
    <t>TOTAL  -  Orçamento 2024/2025 Citrus Produção</t>
  </si>
  <si>
    <t>CX LARANJA E LIMÃO</t>
  </si>
  <si>
    <t>CX LIMÃO</t>
  </si>
  <si>
    <t>Salários/Bonificação</t>
  </si>
  <si>
    <t>Colheita Laranja (5.220.000 CX)</t>
  </si>
  <si>
    <t>Colheita Limão (422.000 CX)</t>
  </si>
  <si>
    <t>Quadras Improdutivas (Q9/10/11/28/29/506/1026/230/231/232/254/255/128/131/133/136/413/429B/430/431/819/822/835</t>
  </si>
  <si>
    <t>Replantas</t>
  </si>
  <si>
    <t>Caixas</t>
  </si>
  <si>
    <t>por caixa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</si>
</sst>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164" formatCode="#,##0.0000000000000000000000"/>
    <numFmt numFmtId="165" formatCode="0.00000000000000000000"/>
    <numFmt numFmtId="166" formatCode="0.00000000000000000000000000000"/>
    <numFmt numFmtId="167" formatCode="0.000000000000000000"/>
    <numFmt numFmtId="168" formatCode="#,##0.00000"/>
    <numFmt numFmtId="169" formatCode="0.0"/>
    <numFmt numFmtId="170" formatCode="#,##0.000000000000000000000"/>
    <numFmt numFmtId="171" formatCode="#,##0.0000"/>
    <numFmt numFmtId="172" formatCode="#,##0.00000000000000"/>
    <numFmt numFmtId="173" formatCode="0.0000000000000000000000"/>
    <numFmt numFmtId="174" formatCode="0.00000000000000000000000"/>
    <numFmt numFmtId="175" formatCode="#,##0.00000000000000000"/>
  </numFmts>
  <fonts count="15" x14ac:knownFonts="1">
    <font>
      <sz val="11"/>
      <color theme="1"/>
      <name val="Aptos Narrow"/>
      <scheme val="minor"/>
    </font>
    <font>
      <b/>
      <sz val="16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theme="0"/>
      <name val="Arial"/>
      <family val="2"/>
    </font>
    <font>
      <sz val="11"/>
      <color theme="1"/>
      <name val="Calibri"/>
      <family val="2"/>
    </font>
    <font>
      <b/>
      <sz val="10"/>
      <color theme="1"/>
      <name val="Arial"/>
      <family val="2"/>
    </font>
    <font>
      <sz val="11"/>
      <name val="Calibri"/>
      <family val="2"/>
    </font>
    <font>
      <sz val="10"/>
      <name val="Arial"/>
      <family val="2"/>
    </font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b/>
      <sz val="10"/>
      <name val="Arial"/>
      <family val="2"/>
    </font>
    <font>
      <b/>
      <sz val="11"/>
      <name val="Calibri"/>
      <family val="2"/>
    </font>
    <font>
      <b/>
      <sz val="11"/>
      <color theme="1"/>
      <name val="Calibri"/>
      <family val="2"/>
    </font>
    <font>
      <sz val="11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theme="0"/>
      </patternFill>
    </fill>
  </fills>
  <borders count="86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rgb="FF000000"/>
      </bottom>
      <diagonal/>
    </border>
    <border>
      <left/>
      <right style="thin">
        <color rgb="FF000000"/>
      </right>
      <top style="medium">
        <color indexed="64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indexed="64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indexed="64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indexed="64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260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17" fontId="4" fillId="0" borderId="0" xfId="0" applyNumberFormat="1" applyFont="1" applyAlignment="1">
      <alignment horizontal="center" vertical="center"/>
    </xf>
    <xf numFmtId="0" fontId="5" fillId="0" borderId="10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/>
    </xf>
    <xf numFmtId="0" fontId="7" fillId="0" borderId="15" xfId="0" applyFont="1" applyBorder="1"/>
    <xf numFmtId="3" fontId="6" fillId="0" borderId="16" xfId="0" applyNumberFormat="1" applyFont="1" applyBorder="1"/>
    <xf numFmtId="3" fontId="6" fillId="0" borderId="17" xfId="0" applyNumberFormat="1" applyFont="1" applyBorder="1"/>
    <xf numFmtId="3" fontId="6" fillId="0" borderId="18" xfId="0" applyNumberFormat="1" applyFont="1" applyBorder="1"/>
    <xf numFmtId="3" fontId="6" fillId="0" borderId="19" xfId="0" applyNumberFormat="1" applyFont="1" applyBorder="1"/>
    <xf numFmtId="3" fontId="6" fillId="0" borderId="20" xfId="0" applyNumberFormat="1" applyFont="1" applyBorder="1"/>
    <xf numFmtId="9" fontId="6" fillId="0" borderId="21" xfId="1" applyFont="1" applyFill="1" applyBorder="1"/>
    <xf numFmtId="3" fontId="6" fillId="0" borderId="22" xfId="0" applyNumberFormat="1" applyFont="1" applyBorder="1"/>
    <xf numFmtId="4" fontId="6" fillId="0" borderId="19" xfId="0" applyNumberFormat="1" applyFont="1" applyBorder="1"/>
    <xf numFmtId="9" fontId="6" fillId="0" borderId="21" xfId="0" applyNumberFormat="1" applyFont="1" applyBorder="1"/>
    <xf numFmtId="0" fontId="9" fillId="0" borderId="0" xfId="0" applyFont="1"/>
    <xf numFmtId="4" fontId="6" fillId="0" borderId="23" xfId="0" applyNumberFormat="1" applyFont="1" applyBorder="1"/>
    <xf numFmtId="3" fontId="6" fillId="0" borderId="0" xfId="0" applyNumberFormat="1" applyFont="1"/>
    <xf numFmtId="0" fontId="6" fillId="0" borderId="24" xfId="0" applyFont="1" applyBorder="1"/>
    <xf numFmtId="3" fontId="6" fillId="0" borderId="25" xfId="0" applyNumberFormat="1" applyFont="1" applyBorder="1"/>
    <xf numFmtId="3" fontId="6" fillId="0" borderId="26" xfId="0" applyNumberFormat="1" applyFont="1" applyBorder="1"/>
    <xf numFmtId="3" fontId="6" fillId="0" borderId="27" xfId="0" applyNumberFormat="1" applyFont="1" applyBorder="1"/>
    <xf numFmtId="3" fontId="6" fillId="0" borderId="23" xfId="0" applyNumberFormat="1" applyFont="1" applyBorder="1"/>
    <xf numFmtId="3" fontId="6" fillId="0" borderId="28" xfId="0" applyNumberFormat="1" applyFont="1" applyBorder="1"/>
    <xf numFmtId="9" fontId="6" fillId="0" borderId="29" xfId="1" applyFont="1" applyFill="1" applyBorder="1"/>
    <xf numFmtId="3" fontId="6" fillId="0" borderId="30" xfId="0" applyNumberFormat="1" applyFont="1" applyBorder="1"/>
    <xf numFmtId="9" fontId="6" fillId="0" borderId="29" xfId="0" applyNumberFormat="1" applyFont="1" applyBorder="1"/>
    <xf numFmtId="0" fontId="7" fillId="0" borderId="24" xfId="0" applyFont="1" applyBorder="1"/>
    <xf numFmtId="0" fontId="7" fillId="0" borderId="31" xfId="0" applyFont="1" applyBorder="1"/>
    <xf numFmtId="3" fontId="6" fillId="0" borderId="32" xfId="0" applyNumberFormat="1" applyFont="1" applyBorder="1"/>
    <xf numFmtId="3" fontId="6" fillId="0" borderId="33" xfId="0" applyNumberFormat="1" applyFont="1" applyBorder="1"/>
    <xf numFmtId="4" fontId="6" fillId="0" borderId="33" xfId="0" applyNumberFormat="1" applyFont="1" applyBorder="1"/>
    <xf numFmtId="3" fontId="7" fillId="0" borderId="24" xfId="0" applyNumberFormat="1" applyFont="1" applyBorder="1"/>
    <xf numFmtId="3" fontId="7" fillId="0" borderId="34" xfId="0" applyNumberFormat="1" applyFont="1" applyBorder="1"/>
    <xf numFmtId="3" fontId="7" fillId="0" borderId="23" xfId="0" applyNumberFormat="1" applyFont="1" applyBorder="1"/>
    <xf numFmtId="3" fontId="7" fillId="0" borderId="30" xfId="0" applyNumberFormat="1" applyFont="1" applyBorder="1"/>
    <xf numFmtId="3" fontId="7" fillId="0" borderId="26" xfId="0" applyNumberFormat="1" applyFont="1" applyBorder="1"/>
    <xf numFmtId="4" fontId="7" fillId="0" borderId="23" xfId="0" applyNumberFormat="1" applyFont="1" applyBorder="1"/>
    <xf numFmtId="4" fontId="7" fillId="0" borderId="30" xfId="0" applyNumberFormat="1" applyFont="1" applyBorder="1"/>
    <xf numFmtId="3" fontId="6" fillId="0" borderId="35" xfId="0" applyNumberFormat="1" applyFont="1" applyBorder="1"/>
    <xf numFmtId="3" fontId="6" fillId="0" borderId="36" xfId="0" applyNumberFormat="1" applyFont="1" applyBorder="1"/>
    <xf numFmtId="3" fontId="6" fillId="0" borderId="37" xfId="0" applyNumberFormat="1" applyFont="1" applyBorder="1"/>
    <xf numFmtId="3" fontId="6" fillId="0" borderId="38" xfId="0" applyNumberFormat="1" applyFont="1" applyBorder="1"/>
    <xf numFmtId="3" fontId="6" fillId="0" borderId="39" xfId="0" applyNumberFormat="1" applyFont="1" applyBorder="1"/>
    <xf numFmtId="9" fontId="6" fillId="0" borderId="40" xfId="1" applyFont="1" applyFill="1" applyBorder="1"/>
    <xf numFmtId="3" fontId="6" fillId="0" borderId="41" xfId="0" applyNumberFormat="1" applyFont="1" applyBorder="1"/>
    <xf numFmtId="3" fontId="6" fillId="0" borderId="42" xfId="0" applyNumberFormat="1" applyFont="1" applyBorder="1"/>
    <xf numFmtId="3" fontId="6" fillId="0" borderId="43" xfId="0" applyNumberFormat="1" applyFont="1" applyBorder="1"/>
    <xf numFmtId="4" fontId="6" fillId="0" borderId="43" xfId="0" applyNumberFormat="1" applyFont="1" applyBorder="1"/>
    <xf numFmtId="9" fontId="6" fillId="0" borderId="40" xfId="0" applyNumberFormat="1" applyFont="1" applyBorder="1"/>
    <xf numFmtId="4" fontId="6" fillId="0" borderId="38" xfId="0" applyNumberFormat="1" applyFont="1" applyBorder="1"/>
    <xf numFmtId="0" fontId="10" fillId="0" borderId="1" xfId="0" applyFont="1" applyBorder="1" applyAlignment="1">
      <alignment horizontal="left" vertical="center"/>
    </xf>
    <xf numFmtId="3" fontId="10" fillId="0" borderId="44" xfId="0" applyNumberFormat="1" applyFont="1" applyBorder="1" applyAlignment="1">
      <alignment horizontal="right" vertical="center"/>
    </xf>
    <xf numFmtId="3" fontId="10" fillId="0" borderId="7" xfId="0" applyNumberFormat="1" applyFont="1" applyBorder="1" applyAlignment="1">
      <alignment horizontal="right" vertical="center"/>
    </xf>
    <xf numFmtId="3" fontId="10" fillId="0" borderId="45" xfId="0" applyNumberFormat="1" applyFont="1" applyBorder="1" applyAlignment="1">
      <alignment horizontal="right" vertical="center"/>
    </xf>
    <xf numFmtId="3" fontId="10" fillId="0" borderId="8" xfId="0" applyNumberFormat="1" applyFont="1" applyBorder="1" applyAlignment="1">
      <alignment horizontal="right" vertical="center"/>
    </xf>
    <xf numFmtId="3" fontId="10" fillId="0" borderId="46" xfId="0" applyNumberFormat="1" applyFont="1" applyBorder="1" applyAlignment="1">
      <alignment horizontal="right" vertical="center"/>
    </xf>
    <xf numFmtId="9" fontId="10" fillId="0" borderId="9" xfId="1" applyFont="1" applyFill="1" applyBorder="1" applyAlignment="1">
      <alignment horizontal="right" vertical="center"/>
    </xf>
    <xf numFmtId="3" fontId="10" fillId="0" borderId="6" xfId="0" applyNumberFormat="1" applyFont="1" applyBorder="1" applyAlignment="1">
      <alignment horizontal="right" vertical="center"/>
    </xf>
    <xf numFmtId="4" fontId="10" fillId="0" borderId="8" xfId="0" applyNumberFormat="1" applyFont="1" applyBorder="1" applyAlignment="1">
      <alignment horizontal="right" vertical="center"/>
    </xf>
    <xf numFmtId="9" fontId="10" fillId="0" borderId="9" xfId="0" applyNumberFormat="1" applyFont="1" applyBorder="1" applyAlignment="1">
      <alignment horizontal="right" vertical="center"/>
    </xf>
    <xf numFmtId="0" fontId="6" fillId="0" borderId="0" xfId="0" applyFont="1" applyAlignment="1">
      <alignment horizontal="right" vertical="center"/>
    </xf>
    <xf numFmtId="4" fontId="6" fillId="0" borderId="0" xfId="0" applyNumberFormat="1" applyFont="1" applyAlignment="1">
      <alignment horizontal="right" vertical="center"/>
    </xf>
    <xf numFmtId="0" fontId="10" fillId="0" borderId="47" xfId="0" applyFont="1" applyBorder="1"/>
    <xf numFmtId="3" fontId="6" fillId="0" borderId="48" xfId="0" applyNumberFormat="1" applyFont="1" applyBorder="1"/>
    <xf numFmtId="3" fontId="6" fillId="0" borderId="49" xfId="0" applyNumberFormat="1" applyFont="1" applyBorder="1"/>
    <xf numFmtId="3" fontId="6" fillId="0" borderId="50" xfId="0" applyNumberFormat="1" applyFont="1" applyBorder="1"/>
    <xf numFmtId="3" fontId="6" fillId="0" borderId="51" xfId="0" applyNumberFormat="1" applyFont="1" applyBorder="1"/>
    <xf numFmtId="3" fontId="6" fillId="0" borderId="52" xfId="0" applyNumberFormat="1" applyFont="1" applyBorder="1"/>
    <xf numFmtId="9" fontId="6" fillId="0" borderId="53" xfId="1" applyFont="1" applyFill="1" applyBorder="1"/>
    <xf numFmtId="3" fontId="6" fillId="0" borderId="54" xfId="0" applyNumberFormat="1" applyFont="1" applyBorder="1"/>
    <xf numFmtId="4" fontId="6" fillId="0" borderId="51" xfId="0" applyNumberFormat="1" applyFont="1" applyBorder="1"/>
    <xf numFmtId="9" fontId="6" fillId="0" borderId="53" xfId="0" applyNumberFormat="1" applyFont="1" applyBorder="1"/>
    <xf numFmtId="0" fontId="10" fillId="0" borderId="31" xfId="0" applyFont="1" applyBorder="1"/>
    <xf numFmtId="3" fontId="6" fillId="0" borderId="55" xfId="0" applyNumberFormat="1" applyFont="1" applyBorder="1"/>
    <xf numFmtId="9" fontId="6" fillId="0" borderId="56" xfId="1" applyFont="1" applyFill="1" applyBorder="1"/>
    <xf numFmtId="3" fontId="6" fillId="0" borderId="57" xfId="0" applyNumberFormat="1" applyFont="1" applyBorder="1"/>
    <xf numFmtId="0" fontId="10" fillId="0" borderId="1" xfId="0" applyFont="1" applyBorder="1"/>
    <xf numFmtId="3" fontId="11" fillId="0" borderId="58" xfId="0" applyNumberFormat="1" applyFont="1" applyBorder="1"/>
    <xf numFmtId="3" fontId="11" fillId="0" borderId="59" xfId="0" applyNumberFormat="1" applyFont="1" applyBorder="1"/>
    <xf numFmtId="3" fontId="11" fillId="0" borderId="60" xfId="0" applyNumberFormat="1" applyFont="1" applyBorder="1"/>
    <xf numFmtId="3" fontId="11" fillId="0" borderId="61" xfId="0" applyNumberFormat="1" applyFont="1" applyBorder="1"/>
    <xf numFmtId="3" fontId="11" fillId="0" borderId="62" xfId="0" applyNumberFormat="1" applyFont="1" applyBorder="1"/>
    <xf numFmtId="3" fontId="11" fillId="0" borderId="63" xfId="0" applyNumberFormat="1" applyFont="1" applyBorder="1"/>
    <xf numFmtId="3" fontId="11" fillId="0" borderId="64" xfId="0" applyNumberFormat="1" applyFont="1" applyBorder="1"/>
    <xf numFmtId="3" fontId="11" fillId="0" borderId="65" xfId="0" applyNumberFormat="1" applyFont="1" applyBorder="1"/>
    <xf numFmtId="9" fontId="11" fillId="0" borderId="66" xfId="1" applyFont="1" applyFill="1" applyBorder="1"/>
    <xf numFmtId="3" fontId="11" fillId="0" borderId="67" xfId="0" applyNumberFormat="1" applyFont="1" applyBorder="1"/>
    <xf numFmtId="3" fontId="11" fillId="0" borderId="11" xfId="0" applyNumberFormat="1" applyFont="1" applyBorder="1"/>
    <xf numFmtId="3" fontId="11" fillId="0" borderId="13" xfId="0" applyNumberFormat="1" applyFont="1" applyBorder="1"/>
    <xf numFmtId="9" fontId="11" fillId="0" borderId="68" xfId="1" applyFont="1" applyFill="1" applyBorder="1"/>
    <xf numFmtId="4" fontId="11" fillId="0" borderId="13" xfId="0" applyNumberFormat="1" applyFont="1" applyBorder="1"/>
    <xf numFmtId="9" fontId="11" fillId="0" borderId="68" xfId="0" applyNumberFormat="1" applyFont="1" applyBorder="1"/>
    <xf numFmtId="2" fontId="4" fillId="0" borderId="0" xfId="0" applyNumberFormat="1" applyFont="1"/>
    <xf numFmtId="2" fontId="0" fillId="0" borderId="0" xfId="0" applyNumberFormat="1"/>
    <xf numFmtId="164" fontId="4" fillId="0" borderId="0" xfId="0" applyNumberFormat="1" applyFont="1"/>
    <xf numFmtId="0" fontId="4" fillId="0" borderId="69" xfId="0" applyFont="1" applyBorder="1"/>
    <xf numFmtId="0" fontId="4" fillId="0" borderId="34" xfId="0" applyFont="1" applyBorder="1"/>
    <xf numFmtId="0" fontId="4" fillId="0" borderId="26" xfId="0" applyFont="1" applyBorder="1"/>
    <xf numFmtId="0" fontId="4" fillId="0" borderId="23" xfId="0" applyFont="1" applyBorder="1"/>
    <xf numFmtId="1" fontId="4" fillId="0" borderId="0" xfId="0" applyNumberFormat="1" applyFont="1"/>
    <xf numFmtId="165" fontId="4" fillId="0" borderId="0" xfId="0" applyNumberFormat="1" applyFont="1"/>
    <xf numFmtId="166" fontId="4" fillId="0" borderId="0" xfId="0" applyNumberFormat="1" applyFont="1"/>
    <xf numFmtId="1" fontId="4" fillId="0" borderId="23" xfId="0" applyNumberFormat="1" applyFont="1" applyBorder="1"/>
    <xf numFmtId="3" fontId="6" fillId="0" borderId="33" xfId="0" applyNumberFormat="1" applyFont="1" applyBorder="1" applyAlignment="1">
      <alignment shrinkToFit="1"/>
    </xf>
    <xf numFmtId="4" fontId="6" fillId="0" borderId="33" xfId="0" applyNumberFormat="1" applyFont="1" applyBorder="1" applyAlignment="1">
      <alignment shrinkToFit="1"/>
    </xf>
    <xf numFmtId="3" fontId="6" fillId="0" borderId="70" xfId="0" applyNumberFormat="1" applyFont="1" applyBorder="1"/>
    <xf numFmtId="4" fontId="6" fillId="0" borderId="0" xfId="0" applyNumberFormat="1" applyFont="1"/>
    <xf numFmtId="0" fontId="10" fillId="0" borderId="2" xfId="0" applyFont="1" applyBorder="1" applyAlignment="1">
      <alignment horizontal="left" vertical="center"/>
    </xf>
    <xf numFmtId="9" fontId="10" fillId="0" borderId="71" xfId="0" applyNumberFormat="1" applyFont="1" applyBorder="1" applyAlignment="1">
      <alignment horizontal="right" vertical="center"/>
    </xf>
    <xf numFmtId="3" fontId="10" fillId="0" borderId="72" xfId="0" applyNumberFormat="1" applyFont="1" applyBorder="1" applyAlignment="1">
      <alignment horizontal="right" vertical="center"/>
    </xf>
    <xf numFmtId="3" fontId="10" fillId="0" borderId="73" xfId="0" applyNumberFormat="1" applyFont="1" applyBorder="1" applyAlignment="1">
      <alignment horizontal="right" vertical="center"/>
    </xf>
    <xf numFmtId="3" fontId="10" fillId="0" borderId="74" xfId="0" applyNumberFormat="1" applyFont="1" applyBorder="1" applyAlignment="1">
      <alignment horizontal="right" vertical="center"/>
    </xf>
    <xf numFmtId="4" fontId="10" fillId="0" borderId="74" xfId="0" applyNumberFormat="1" applyFont="1" applyBorder="1" applyAlignment="1">
      <alignment horizontal="right" vertical="center"/>
    </xf>
    <xf numFmtId="0" fontId="10" fillId="0" borderId="15" xfId="0" applyFont="1" applyBorder="1"/>
    <xf numFmtId="0" fontId="10" fillId="0" borderId="75" xfId="0" applyFont="1" applyBorder="1"/>
    <xf numFmtId="9" fontId="6" fillId="0" borderId="56" xfId="0" applyNumberFormat="1" applyFont="1" applyBorder="1"/>
    <xf numFmtId="3" fontId="6" fillId="0" borderId="76" xfId="0" applyNumberFormat="1" applyFont="1" applyBorder="1"/>
    <xf numFmtId="3" fontId="6" fillId="0" borderId="77" xfId="0" applyNumberFormat="1" applyFont="1" applyBorder="1"/>
    <xf numFmtId="4" fontId="6" fillId="0" borderId="77" xfId="0" applyNumberFormat="1" applyFont="1" applyBorder="1"/>
    <xf numFmtId="0" fontId="10" fillId="0" borderId="78" xfId="0" applyFont="1" applyBorder="1"/>
    <xf numFmtId="9" fontId="11" fillId="0" borderId="66" xfId="0" applyNumberFormat="1" applyFont="1" applyBorder="1"/>
    <xf numFmtId="3" fontId="11" fillId="0" borderId="79" xfId="0" applyNumberFormat="1" applyFont="1" applyBorder="1"/>
    <xf numFmtId="3" fontId="11" fillId="0" borderId="8" xfId="0" applyNumberFormat="1" applyFont="1" applyBorder="1"/>
    <xf numFmtId="4" fontId="11" fillId="0" borderId="8" xfId="0" applyNumberFormat="1" applyFont="1" applyBorder="1"/>
    <xf numFmtId="3" fontId="11" fillId="0" borderId="6" xfId="0" applyNumberFormat="1" applyFont="1" applyBorder="1"/>
    <xf numFmtId="4" fontId="11" fillId="0" borderId="65" xfId="0" applyNumberFormat="1" applyFont="1" applyBorder="1"/>
    <xf numFmtId="167" fontId="4" fillId="0" borderId="0" xfId="0" applyNumberFormat="1" applyFont="1"/>
    <xf numFmtId="4" fontId="4" fillId="0" borderId="0" xfId="0" applyNumberFormat="1" applyFont="1"/>
    <xf numFmtId="4" fontId="12" fillId="0" borderId="0" xfId="0" applyNumberFormat="1" applyFont="1"/>
    <xf numFmtId="0" fontId="12" fillId="0" borderId="0" xfId="0" applyFont="1"/>
    <xf numFmtId="2" fontId="12" fillId="0" borderId="0" xfId="0" applyNumberFormat="1" applyFont="1"/>
    <xf numFmtId="3" fontId="0" fillId="0" borderId="0" xfId="0" applyNumberFormat="1"/>
    <xf numFmtId="0" fontId="12" fillId="0" borderId="0" xfId="0" applyFont="1" applyAlignment="1">
      <alignment horizontal="center"/>
    </xf>
    <xf numFmtId="10" fontId="4" fillId="0" borderId="0" xfId="0" applyNumberFormat="1" applyFont="1" applyAlignment="1">
      <alignment vertical="center"/>
    </xf>
    <xf numFmtId="3" fontId="6" fillId="0" borderId="19" xfId="0" applyNumberFormat="1" applyFont="1" applyBorder="1" applyAlignment="1">
      <alignment horizontal="right" vertical="center"/>
    </xf>
    <xf numFmtId="3" fontId="6" fillId="0" borderId="23" xfId="0" applyNumberFormat="1" applyFont="1" applyBorder="1" applyAlignment="1">
      <alignment horizontal="right" vertical="center"/>
    </xf>
    <xf numFmtId="3" fontId="6" fillId="0" borderId="33" xfId="0" applyNumberFormat="1" applyFont="1" applyBorder="1" applyAlignment="1">
      <alignment horizontal="right" vertical="center" shrinkToFit="1"/>
    </xf>
    <xf numFmtId="3" fontId="7" fillId="0" borderId="23" xfId="0" applyNumberFormat="1" applyFont="1" applyBorder="1" applyAlignment="1">
      <alignment horizontal="right" vertical="center"/>
    </xf>
    <xf numFmtId="3" fontId="7" fillId="0" borderId="0" xfId="0" applyNumberFormat="1" applyFont="1"/>
    <xf numFmtId="3" fontId="7" fillId="0" borderId="0" xfId="0" applyNumberFormat="1" applyFont="1" applyAlignment="1">
      <alignment horizontal="right" vertical="center"/>
    </xf>
    <xf numFmtId="4" fontId="7" fillId="0" borderId="0" xfId="0" applyNumberFormat="1" applyFont="1"/>
    <xf numFmtId="3" fontId="6" fillId="0" borderId="38" xfId="0" applyNumberFormat="1" applyFont="1" applyBorder="1" applyAlignment="1">
      <alignment horizontal="right" vertical="center"/>
    </xf>
    <xf numFmtId="10" fontId="4" fillId="0" borderId="0" xfId="0" applyNumberFormat="1" applyFont="1"/>
    <xf numFmtId="3" fontId="4" fillId="0" borderId="0" xfId="0" applyNumberFormat="1" applyFont="1"/>
    <xf numFmtId="2" fontId="6" fillId="0" borderId="19" xfId="0" applyNumberFormat="1" applyFont="1" applyBorder="1"/>
    <xf numFmtId="2" fontId="6" fillId="0" borderId="23" xfId="0" applyNumberFormat="1" applyFont="1" applyBorder="1"/>
    <xf numFmtId="2" fontId="6" fillId="0" borderId="33" xfId="0" applyNumberFormat="1" applyFont="1" applyBorder="1" applyAlignment="1">
      <alignment shrinkToFit="1"/>
    </xf>
    <xf numFmtId="1" fontId="6" fillId="0" borderId="23" xfId="0" applyNumberFormat="1" applyFont="1" applyBorder="1"/>
    <xf numFmtId="2" fontId="7" fillId="0" borderId="23" xfId="0" applyNumberFormat="1" applyFont="1" applyBorder="1"/>
    <xf numFmtId="3" fontId="13" fillId="0" borderId="0" xfId="0" applyNumberFormat="1" applyFont="1"/>
    <xf numFmtId="2" fontId="7" fillId="0" borderId="0" xfId="0" applyNumberFormat="1" applyFont="1"/>
    <xf numFmtId="2" fontId="6" fillId="0" borderId="43" xfId="0" applyNumberFormat="1" applyFont="1" applyBorder="1"/>
    <xf numFmtId="168" fontId="4" fillId="0" borderId="0" xfId="0" applyNumberFormat="1" applyFont="1"/>
    <xf numFmtId="3" fontId="4" fillId="0" borderId="23" xfId="0" applyNumberFormat="1" applyFont="1" applyBorder="1"/>
    <xf numFmtId="2" fontId="4" fillId="0" borderId="23" xfId="0" applyNumberFormat="1" applyFont="1" applyBorder="1"/>
    <xf numFmtId="4" fontId="4" fillId="0" borderId="23" xfId="0" applyNumberFormat="1" applyFont="1" applyBorder="1"/>
    <xf numFmtId="0" fontId="12" fillId="0" borderId="23" xfId="0" applyFont="1" applyBorder="1"/>
    <xf numFmtId="2" fontId="12" fillId="0" borderId="23" xfId="0" applyNumberFormat="1" applyFont="1" applyBorder="1"/>
    <xf numFmtId="2" fontId="4" fillId="0" borderId="3" xfId="0" applyNumberFormat="1" applyFont="1" applyBorder="1"/>
    <xf numFmtId="2" fontId="4" fillId="0" borderId="34" xfId="0" applyNumberFormat="1" applyFont="1" applyBorder="1"/>
    <xf numFmtId="0" fontId="12" fillId="0" borderId="69" xfId="0" applyFont="1" applyBorder="1"/>
    <xf numFmtId="0" fontId="12" fillId="0" borderId="34" xfId="0" applyFont="1" applyBorder="1"/>
    <xf numFmtId="4" fontId="0" fillId="0" borderId="0" xfId="0" applyNumberFormat="1"/>
    <xf numFmtId="4" fontId="4" fillId="0" borderId="3" xfId="0" applyNumberFormat="1" applyFont="1" applyBorder="1"/>
    <xf numFmtId="4" fontId="12" fillId="0" borderId="23" xfId="0" applyNumberFormat="1" applyFont="1" applyBorder="1"/>
    <xf numFmtId="0" fontId="1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7" fillId="0" borderId="15" xfId="0" applyFont="1" applyBorder="1" applyAlignment="1">
      <alignment horizontal="left" vertical="center"/>
    </xf>
    <xf numFmtId="9" fontId="6" fillId="0" borderId="0" xfId="0" applyNumberFormat="1" applyFont="1"/>
    <xf numFmtId="0" fontId="6" fillId="0" borderId="24" xfId="0" applyFont="1" applyBorder="1" applyAlignment="1">
      <alignment horizontal="left" vertical="center"/>
    </xf>
    <xf numFmtId="0" fontId="7" fillId="0" borderId="24" xfId="0" applyFont="1" applyBorder="1" applyAlignment="1">
      <alignment horizontal="left" vertical="center"/>
    </xf>
    <xf numFmtId="0" fontId="7" fillId="0" borderId="31" xfId="0" applyFont="1" applyBorder="1" applyAlignment="1">
      <alignment horizontal="left" vertical="center"/>
    </xf>
    <xf numFmtId="9" fontId="7" fillId="0" borderId="0" xfId="0" applyNumberFormat="1" applyFont="1"/>
    <xf numFmtId="9" fontId="10" fillId="0" borderId="0" xfId="0" applyNumberFormat="1" applyFont="1" applyAlignment="1">
      <alignment horizontal="right" vertical="center"/>
    </xf>
    <xf numFmtId="4" fontId="10" fillId="0" borderId="23" xfId="0" applyNumberFormat="1" applyFont="1" applyBorder="1" applyAlignment="1">
      <alignment horizontal="right" vertical="center"/>
    </xf>
    <xf numFmtId="4" fontId="6" fillId="0" borderId="23" xfId="0" applyNumberFormat="1" applyFont="1" applyBorder="1" applyAlignment="1">
      <alignment horizontal="right" vertical="center"/>
    </xf>
    <xf numFmtId="0" fontId="10" fillId="0" borderId="15" xfId="0" applyFont="1" applyBorder="1" applyAlignment="1">
      <alignment horizontal="left" vertical="center"/>
    </xf>
    <xf numFmtId="0" fontId="10" fillId="0" borderId="75" xfId="0" applyFont="1" applyBorder="1" applyAlignment="1">
      <alignment horizontal="left" vertical="center"/>
    </xf>
    <xf numFmtId="0" fontId="10" fillId="0" borderId="78" xfId="0" applyFont="1" applyBorder="1" applyAlignment="1">
      <alignment horizontal="left" vertical="center"/>
    </xf>
    <xf numFmtId="9" fontId="11" fillId="0" borderId="0" xfId="0" applyNumberFormat="1" applyFont="1"/>
    <xf numFmtId="4" fontId="11" fillId="0" borderId="23" xfId="0" applyNumberFormat="1" applyFont="1" applyBorder="1"/>
    <xf numFmtId="3" fontId="12" fillId="0" borderId="23" xfId="0" applyNumberFormat="1" applyFont="1" applyBorder="1"/>
    <xf numFmtId="0" fontId="4" fillId="2" borderId="0" xfId="0" applyFont="1" applyFill="1" applyAlignment="1">
      <alignment vertical="center"/>
    </xf>
    <xf numFmtId="0" fontId="8" fillId="0" borderId="0" xfId="0" applyFont="1"/>
    <xf numFmtId="0" fontId="8" fillId="2" borderId="0" xfId="0" applyFont="1" applyFill="1"/>
    <xf numFmtId="0" fontId="6" fillId="0" borderId="23" xfId="0" applyFont="1" applyBorder="1"/>
    <xf numFmtId="0" fontId="6" fillId="0" borderId="0" xfId="0" applyFont="1"/>
    <xf numFmtId="169" fontId="6" fillId="0" borderId="23" xfId="0" applyNumberFormat="1" applyFont="1" applyBorder="1"/>
    <xf numFmtId="0" fontId="6" fillId="0" borderId="23" xfId="0" applyFont="1" applyBorder="1" applyAlignment="1">
      <alignment horizontal="right" vertical="center"/>
    </xf>
    <xf numFmtId="170" fontId="4" fillId="0" borderId="0" xfId="0" applyNumberFormat="1" applyFont="1"/>
    <xf numFmtId="171" fontId="4" fillId="0" borderId="0" xfId="0" applyNumberFormat="1" applyFont="1"/>
    <xf numFmtId="172" fontId="4" fillId="0" borderId="0" xfId="0" applyNumberFormat="1" applyFont="1"/>
    <xf numFmtId="173" fontId="4" fillId="0" borderId="0" xfId="0" applyNumberFormat="1" applyFont="1"/>
    <xf numFmtId="174" fontId="4" fillId="0" borderId="0" xfId="0" applyNumberFormat="1" applyFont="1"/>
    <xf numFmtId="0" fontId="12" fillId="0" borderId="26" xfId="0" applyFont="1" applyBorder="1"/>
    <xf numFmtId="175" fontId="8" fillId="0" borderId="0" xfId="0" applyNumberFormat="1" applyFont="1"/>
    <xf numFmtId="0" fontId="4" fillId="0" borderId="0" xfId="0" applyFont="1"/>
    <xf numFmtId="169" fontId="12" fillId="0" borderId="0" xfId="0" applyNumberFormat="1" applyFont="1"/>
    <xf numFmtId="0" fontId="1" fillId="0" borderId="0" xfId="0" applyFont="1" applyAlignment="1">
      <alignment horizontal="center" vertical="center"/>
    </xf>
    <xf numFmtId="0" fontId="12" fillId="0" borderId="80" xfId="0" applyFont="1" applyBorder="1" applyAlignment="1">
      <alignment horizontal="center" wrapText="1"/>
    </xf>
    <xf numFmtId="3" fontId="12" fillId="0" borderId="0" xfId="0" applyNumberFormat="1" applyFont="1" applyAlignment="1">
      <alignment horizontal="center" vertical="center" wrapText="1"/>
    </xf>
    <xf numFmtId="0" fontId="12" fillId="0" borderId="0" xfId="0" applyFont="1" applyAlignment="1">
      <alignment horizontal="center" wrapText="1"/>
    </xf>
    <xf numFmtId="3" fontId="12" fillId="0" borderId="0" xfId="0" applyNumberFormat="1" applyFont="1" applyAlignment="1">
      <alignment horizontal="center" vertical="center"/>
    </xf>
    <xf numFmtId="3" fontId="12" fillId="0" borderId="81" xfId="0" applyNumberFormat="1" applyFont="1" applyBorder="1" applyAlignment="1">
      <alignment horizontal="center" vertical="center"/>
    </xf>
    <xf numFmtId="0" fontId="14" fillId="0" borderId="15" xfId="0" applyFont="1" applyBorder="1"/>
    <xf numFmtId="9" fontId="4" fillId="0" borderId="21" xfId="0" applyNumberFormat="1" applyFont="1" applyBorder="1"/>
    <xf numFmtId="3" fontId="4" fillId="0" borderId="22" xfId="0" applyNumberFormat="1" applyFont="1" applyBorder="1"/>
    <xf numFmtId="4" fontId="4" fillId="0" borderId="82" xfId="0" applyNumberFormat="1" applyFont="1" applyBorder="1" applyAlignment="1">
      <alignment horizontal="center"/>
    </xf>
    <xf numFmtId="0" fontId="4" fillId="0" borderId="24" xfId="0" applyFont="1" applyBorder="1"/>
    <xf numFmtId="9" fontId="4" fillId="0" borderId="29" xfId="0" applyNumberFormat="1" applyFont="1" applyBorder="1"/>
    <xf numFmtId="4" fontId="4" fillId="0" borderId="83" xfId="0" applyNumberFormat="1" applyFont="1" applyBorder="1" applyAlignment="1">
      <alignment horizontal="center"/>
    </xf>
    <xf numFmtId="0" fontId="14" fillId="0" borderId="24" xfId="0" applyFont="1" applyBorder="1"/>
    <xf numFmtId="0" fontId="14" fillId="0" borderId="31" xfId="0" applyFont="1" applyBorder="1"/>
    <xf numFmtId="9" fontId="4" fillId="0" borderId="40" xfId="0" applyNumberFormat="1" applyFont="1" applyBorder="1"/>
    <xf numFmtId="4" fontId="4" fillId="0" borderId="84" xfId="0" applyNumberFormat="1" applyFont="1" applyBorder="1" applyAlignment="1">
      <alignment horizontal="center"/>
    </xf>
    <xf numFmtId="0" fontId="5" fillId="0" borderId="2" xfId="0" applyFont="1" applyBorder="1" applyAlignment="1">
      <alignment horizontal="left" vertical="center"/>
    </xf>
    <xf numFmtId="9" fontId="5" fillId="0" borderId="71" xfId="0" applyNumberFormat="1" applyFont="1" applyBorder="1" applyAlignment="1">
      <alignment horizontal="right" vertical="center"/>
    </xf>
    <xf numFmtId="10" fontId="4" fillId="0" borderId="0" xfId="0" applyNumberFormat="1" applyFont="1" applyAlignment="1">
      <alignment horizontal="right" vertical="center"/>
    </xf>
    <xf numFmtId="4" fontId="12" fillId="0" borderId="80" xfId="0" applyNumberFormat="1" applyFont="1" applyBorder="1" applyAlignment="1">
      <alignment horizontal="center"/>
    </xf>
    <xf numFmtId="0" fontId="4" fillId="0" borderId="0" xfId="0" applyFont="1" applyAlignment="1">
      <alignment horizontal="right" vertical="center"/>
    </xf>
    <xf numFmtId="0" fontId="5" fillId="0" borderId="15" xfId="0" applyFont="1" applyBorder="1"/>
    <xf numFmtId="4" fontId="12" fillId="0" borderId="81" xfId="0" applyNumberFormat="1" applyFont="1" applyBorder="1" applyAlignment="1">
      <alignment horizontal="center"/>
    </xf>
    <xf numFmtId="0" fontId="5" fillId="0" borderId="75" xfId="0" applyFont="1" applyBorder="1"/>
    <xf numFmtId="9" fontId="4" fillId="0" borderId="56" xfId="0" applyNumberFormat="1" applyFont="1" applyBorder="1"/>
    <xf numFmtId="0" fontId="5" fillId="0" borderId="78" xfId="0" applyFont="1" applyBorder="1"/>
    <xf numFmtId="9" fontId="12" fillId="0" borderId="66" xfId="0" applyNumberFormat="1" applyFont="1" applyBorder="1"/>
    <xf numFmtId="4" fontId="12" fillId="0" borderId="85" xfId="0" applyNumberFormat="1" applyFont="1" applyBorder="1" applyAlignment="1">
      <alignment horizontal="center"/>
    </xf>
    <xf numFmtId="9" fontId="4" fillId="0" borderId="0" xfId="1" applyFont="1"/>
    <xf numFmtId="10" fontId="4" fillId="0" borderId="0" xfId="1" applyNumberFormat="1" applyFont="1"/>
    <xf numFmtId="0" fontId="12" fillId="0" borderId="69" xfId="0" applyFont="1" applyBorder="1" applyAlignment="1">
      <alignment horizontal="center"/>
    </xf>
    <xf numFmtId="0" fontId="12" fillId="0" borderId="34" xfId="0" applyFont="1" applyBorder="1" applyAlignment="1">
      <alignment horizontal="center"/>
    </xf>
    <xf numFmtId="0" fontId="6" fillId="0" borderId="34" xfId="0" applyFont="1" applyBorder="1"/>
    <xf numFmtId="0" fontId="6" fillId="0" borderId="26" xfId="0" applyFont="1" applyBorder="1"/>
    <xf numFmtId="0" fontId="5" fillId="0" borderId="1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6" fillId="0" borderId="4" xfId="0" applyFont="1" applyBorder="1"/>
    <xf numFmtId="0" fontId="6" fillId="0" borderId="5" xfId="0" applyFont="1" applyBorder="1"/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6" fillId="0" borderId="8" xfId="0" applyFont="1" applyBorder="1"/>
    <xf numFmtId="0" fontId="6" fillId="0" borderId="9" xfId="0" applyFont="1" applyBorder="1"/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6" fillId="0" borderId="3" xfId="0" applyFont="1" applyBorder="1"/>
    <xf numFmtId="0" fontId="12" fillId="0" borderId="0" xfId="0" applyFont="1" applyAlignment="1">
      <alignment horizontal="center"/>
    </xf>
    <xf numFmtId="0" fontId="0" fillId="0" borderId="0" xfId="0"/>
    <xf numFmtId="0" fontId="6" fillId="0" borderId="0" xfId="0" applyFont="1"/>
    <xf numFmtId="14" fontId="1" fillId="0" borderId="0" xfId="0" applyNumberFormat="1" applyFont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192.168.200.208/arquivos/TIAGO/THIAGO/FECHAMENTO%20MENSAL/MODELO%20OR&#199;AMENTO/OR&#199;AMENTO%202024-%202025/OR&#199;AMENTO%20CITRUS%202024-2025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192.168.200.208/Dados%20SLP/arquivos/TIAGO/THIAGO/FECHAMENTO%20MENSAL/FECHAMENTO%202024-2025%20PARCERIA/Fechamento%20Mensal%202024-2025%20PARCERIA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192.168.200.208/arquivos/TIAGO/THIAGO/FECHAMENTO%20MENSAL/FECHAMENTO%20THIAGO%202024-2025/Fechamento%20Mensal%202024-2025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rotocastro/PycharmProjects/Custos_Laranja/ORC&#807;AMENTO%20MENSAL%202024-2025%20PARCERIA.xlsx" TargetMode="External"/><Relationship Id="rId1" Type="http://schemas.openxmlformats.org/officeDocument/2006/relationships/externalLinkPath" Target="ORC&#807;AMENTO%20MENSAL%202024-2025%20PARCERI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LP+ROSA+FUNIL"/>
      <sheetName val="SLP"/>
      <sheetName val="ROSA"/>
      <sheetName val="STA ANA"/>
      <sheetName val="BOA"/>
      <sheetName val="STA MARIA"/>
      <sheetName val="CB"/>
      <sheetName val="CB I"/>
      <sheetName val="CB II"/>
      <sheetName val="CB III"/>
      <sheetName val="IG"/>
      <sheetName val="PN"/>
      <sheetName val="MJ"/>
      <sheetName val="RB"/>
      <sheetName val="SF"/>
      <sheetName val="SFI"/>
      <sheetName val="TOTAL CITRUS PRODUÇÃO"/>
      <sheetName val="FUNIL"/>
      <sheetName val="STA CLARA"/>
      <sheetName val="SFII"/>
      <sheetName val="SFIII"/>
      <sheetName val="SFIV"/>
      <sheetName val="MIRANTE"/>
      <sheetName val="TOTAL CITRUS"/>
      <sheetName val="CEREAIS"/>
      <sheetName val="CANASTRA"/>
      <sheetName val="CN I"/>
      <sheetName val="CN II"/>
      <sheetName val="CN III"/>
      <sheetName val="BOL"/>
      <sheetName val="TOTAL CITRUS-CEREAIS-CAN-BOL"/>
      <sheetName val="RESUMO"/>
      <sheetName val="RESUMO EDSON"/>
      <sheetName val="RESUMO 1"/>
      <sheetName val="RESUMO 2"/>
      <sheetName val="OUTRAS DESPESAS"/>
      <sheetName val="RESUMO EDSON INVEST"/>
      <sheetName val="FREDERICO Fat."/>
      <sheetName val="FREDERICO CUST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1">
          <cell r="G1">
            <v>634.33000000000004</v>
          </cell>
        </row>
        <row r="4">
          <cell r="E4">
            <v>106904.80177999998</v>
          </cell>
          <cell r="F4">
            <v>167165.80177999998</v>
          </cell>
          <cell r="G4">
            <v>106904.80177999998</v>
          </cell>
          <cell r="H4">
            <v>106904.80177999998</v>
          </cell>
          <cell r="I4">
            <v>106904.80177999998</v>
          </cell>
          <cell r="J4">
            <v>106904.80177999998</v>
          </cell>
          <cell r="K4">
            <v>106904.80177999998</v>
          </cell>
          <cell r="L4">
            <v>115457.18592239999</v>
          </cell>
          <cell r="M4">
            <v>115457.18592239999</v>
          </cell>
          <cell r="N4">
            <v>115457.18592239999</v>
          </cell>
          <cell r="O4">
            <v>115457.18592239999</v>
          </cell>
          <cell r="P4">
            <v>115457.18592239999</v>
          </cell>
        </row>
        <row r="5">
          <cell r="E5">
            <v>7250</v>
          </cell>
          <cell r="F5">
            <v>7250</v>
          </cell>
          <cell r="G5">
            <v>7250</v>
          </cell>
          <cell r="H5">
            <v>7250</v>
          </cell>
          <cell r="I5">
            <v>7250</v>
          </cell>
          <cell r="J5">
            <v>7250</v>
          </cell>
          <cell r="K5">
            <v>7250</v>
          </cell>
          <cell r="L5">
            <v>7250</v>
          </cell>
          <cell r="M5">
            <v>7250</v>
          </cell>
          <cell r="N5">
            <v>7250</v>
          </cell>
          <cell r="O5">
            <v>7250</v>
          </cell>
          <cell r="P5">
            <v>7250</v>
          </cell>
        </row>
        <row r="6">
          <cell r="E6">
            <v>13604.286039299997</v>
          </cell>
          <cell r="F6">
            <v>13604.286039299997</v>
          </cell>
          <cell r="G6">
            <v>13604.286039299997</v>
          </cell>
          <cell r="H6">
            <v>13604.286039299997</v>
          </cell>
          <cell r="I6">
            <v>13604.286039299997</v>
          </cell>
          <cell r="J6">
            <v>13604.286039299997</v>
          </cell>
          <cell r="K6">
            <v>13604.286039299997</v>
          </cell>
          <cell r="L6">
            <v>14628.712922443998</v>
          </cell>
          <cell r="M6">
            <v>14628.712922443998</v>
          </cell>
          <cell r="N6">
            <v>14628.712922443998</v>
          </cell>
          <cell r="O6">
            <v>14628.712922443998</v>
          </cell>
          <cell r="P6">
            <v>14628.712922443998</v>
          </cell>
        </row>
        <row r="7">
          <cell r="E7">
            <v>10555.049513249996</v>
          </cell>
          <cell r="F7">
            <v>10555.049513249996</v>
          </cell>
          <cell r="G7">
            <v>10555.049513249996</v>
          </cell>
          <cell r="H7">
            <v>10555.049513249996</v>
          </cell>
          <cell r="I7">
            <v>10555.049513249996</v>
          </cell>
          <cell r="J7">
            <v>10555.049513249996</v>
          </cell>
          <cell r="K7">
            <v>10555.049513249996</v>
          </cell>
          <cell r="L7">
            <v>11349.863474309997</v>
          </cell>
          <cell r="M7">
            <v>11349.863474309997</v>
          </cell>
          <cell r="N7">
            <v>11349.863474309997</v>
          </cell>
          <cell r="O7">
            <v>11349.863474309997</v>
          </cell>
          <cell r="P7">
            <v>11349.863474309997</v>
          </cell>
        </row>
        <row r="8"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127249.00634594599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</row>
        <row r="9">
          <cell r="E9">
            <v>13233.933424799998</v>
          </cell>
          <cell r="F9">
            <v>13233.933424799998</v>
          </cell>
          <cell r="G9">
            <v>13233.933424799998</v>
          </cell>
          <cell r="H9">
            <v>13233.933424799998</v>
          </cell>
          <cell r="I9">
            <v>13233.933424799998</v>
          </cell>
          <cell r="J9">
            <v>13233.933424799998</v>
          </cell>
          <cell r="K9">
            <v>13233.933424799998</v>
          </cell>
          <cell r="L9">
            <v>14230.472098784001</v>
          </cell>
          <cell r="M9">
            <v>14230.472098784001</v>
          </cell>
          <cell r="N9">
            <v>14230.472098784001</v>
          </cell>
          <cell r="O9">
            <v>14230.472098784001</v>
          </cell>
          <cell r="P9">
            <v>14230.472098784001</v>
          </cell>
        </row>
        <row r="10">
          <cell r="E10">
            <v>8000</v>
          </cell>
          <cell r="F10">
            <v>8000</v>
          </cell>
          <cell r="G10">
            <v>8000</v>
          </cell>
          <cell r="H10">
            <v>8000</v>
          </cell>
          <cell r="I10">
            <v>8000</v>
          </cell>
          <cell r="J10">
            <v>8000</v>
          </cell>
          <cell r="K10">
            <v>8000</v>
          </cell>
          <cell r="L10">
            <v>8000</v>
          </cell>
          <cell r="M10">
            <v>8000</v>
          </cell>
          <cell r="N10">
            <v>8000</v>
          </cell>
          <cell r="O10">
            <v>8000</v>
          </cell>
          <cell r="P10">
            <v>8000</v>
          </cell>
        </row>
        <row r="11"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</row>
        <row r="12">
          <cell r="E12">
            <v>3105</v>
          </cell>
          <cell r="F12">
            <v>3105</v>
          </cell>
          <cell r="G12">
            <v>3105</v>
          </cell>
          <cell r="H12">
            <v>3105</v>
          </cell>
          <cell r="I12">
            <v>3105</v>
          </cell>
          <cell r="J12">
            <v>3105</v>
          </cell>
          <cell r="K12">
            <v>3105</v>
          </cell>
          <cell r="L12">
            <v>3105</v>
          </cell>
          <cell r="M12">
            <v>3105</v>
          </cell>
          <cell r="N12">
            <v>3105</v>
          </cell>
          <cell r="O12">
            <v>3105</v>
          </cell>
          <cell r="P12">
            <v>3105</v>
          </cell>
        </row>
        <row r="13"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</row>
        <row r="14">
          <cell r="E14">
            <v>6422.73</v>
          </cell>
          <cell r="F14">
            <v>6422.73</v>
          </cell>
          <cell r="G14">
            <v>6422.73</v>
          </cell>
          <cell r="H14">
            <v>6422.73</v>
          </cell>
          <cell r="I14">
            <v>6422.73</v>
          </cell>
          <cell r="J14">
            <v>6422.73</v>
          </cell>
          <cell r="K14">
            <v>6422.73</v>
          </cell>
          <cell r="L14">
            <v>6422.73</v>
          </cell>
          <cell r="M14">
            <v>6422.73</v>
          </cell>
          <cell r="N14">
            <v>6422.73</v>
          </cell>
          <cell r="O14">
            <v>6422.73</v>
          </cell>
          <cell r="P14">
            <v>6422.73</v>
          </cell>
        </row>
        <row r="15">
          <cell r="E15">
            <v>13338.6</v>
          </cell>
          <cell r="F15">
            <v>13338.6</v>
          </cell>
          <cell r="G15">
            <v>13338.6</v>
          </cell>
          <cell r="H15">
            <v>13338.6</v>
          </cell>
          <cell r="I15">
            <v>13338.6</v>
          </cell>
          <cell r="J15">
            <v>13338.6</v>
          </cell>
          <cell r="K15">
            <v>14379.2</v>
          </cell>
          <cell r="L15">
            <v>13338.6</v>
          </cell>
          <cell r="M15">
            <v>13338.6</v>
          </cell>
          <cell r="N15">
            <v>13338.6</v>
          </cell>
          <cell r="O15">
            <v>13338.6</v>
          </cell>
          <cell r="P15">
            <v>13338.6</v>
          </cell>
        </row>
        <row r="16">
          <cell r="E16">
            <v>700</v>
          </cell>
          <cell r="F16">
            <v>700</v>
          </cell>
          <cell r="G16">
            <v>700</v>
          </cell>
          <cell r="H16">
            <v>700</v>
          </cell>
          <cell r="I16">
            <v>700</v>
          </cell>
          <cell r="J16">
            <v>700</v>
          </cell>
          <cell r="K16">
            <v>700</v>
          </cell>
          <cell r="L16">
            <v>700</v>
          </cell>
          <cell r="M16">
            <v>700</v>
          </cell>
          <cell r="N16">
            <v>700</v>
          </cell>
          <cell r="O16">
            <v>700</v>
          </cell>
          <cell r="P16">
            <v>700</v>
          </cell>
        </row>
        <row r="17">
          <cell r="E17">
            <v>60102</v>
          </cell>
          <cell r="F17">
            <v>60102</v>
          </cell>
          <cell r="G17">
            <v>60102</v>
          </cell>
          <cell r="H17">
            <v>60102</v>
          </cell>
          <cell r="I17">
            <v>60102</v>
          </cell>
          <cell r="J17">
            <v>60102</v>
          </cell>
          <cell r="K17">
            <v>60102</v>
          </cell>
          <cell r="L17">
            <v>60102</v>
          </cell>
          <cell r="M17">
            <v>60102</v>
          </cell>
          <cell r="N17">
            <v>60102</v>
          </cell>
          <cell r="O17">
            <v>60102</v>
          </cell>
          <cell r="P17">
            <v>60102</v>
          </cell>
        </row>
        <row r="18">
          <cell r="E18">
            <v>9340.3333333333339</v>
          </cell>
          <cell r="F18">
            <v>9340.3333333333339</v>
          </cell>
          <cell r="G18">
            <v>9340.3333333333339</v>
          </cell>
          <cell r="H18">
            <v>9340.3333333333339</v>
          </cell>
          <cell r="I18">
            <v>9340.3333333333339</v>
          </cell>
          <cell r="J18">
            <v>9340.3333333333339</v>
          </cell>
          <cell r="K18">
            <v>9340.3333333333339</v>
          </cell>
          <cell r="L18">
            <v>9340.3333333333339</v>
          </cell>
          <cell r="M18">
            <v>9340.3333333333339</v>
          </cell>
          <cell r="N18">
            <v>9340.3333333333339</v>
          </cell>
          <cell r="O18">
            <v>9340.3333333333339</v>
          </cell>
          <cell r="P18">
            <v>9340.3333333333339</v>
          </cell>
        </row>
        <row r="19">
          <cell r="E19">
            <v>2916.6666666666665</v>
          </cell>
          <cell r="F19">
            <v>2916.6666666666665</v>
          </cell>
          <cell r="G19">
            <v>2916.6666666666665</v>
          </cell>
          <cell r="H19">
            <v>2916.6666666666665</v>
          </cell>
          <cell r="I19">
            <v>2916.6666666666665</v>
          </cell>
          <cell r="J19">
            <v>2916.6666666666665</v>
          </cell>
          <cell r="K19">
            <v>2916.6666666666665</v>
          </cell>
          <cell r="L19">
            <v>2916.6666666666665</v>
          </cell>
          <cell r="M19">
            <v>2916.6666666666665</v>
          </cell>
          <cell r="N19">
            <v>2916.6666666666665</v>
          </cell>
          <cell r="O19">
            <v>2916.6666666666665</v>
          </cell>
          <cell r="P19">
            <v>2916.6666666666665</v>
          </cell>
        </row>
        <row r="20">
          <cell r="E20">
            <v>0</v>
          </cell>
          <cell r="F20">
            <v>0</v>
          </cell>
          <cell r="G20">
            <v>508072.99254857103</v>
          </cell>
          <cell r="H20">
            <v>0</v>
          </cell>
          <cell r="I20">
            <v>13140.573119999999</v>
          </cell>
          <cell r="J20">
            <v>13140.573119999999</v>
          </cell>
          <cell r="K20">
            <v>239828.57311999999</v>
          </cell>
          <cell r="L20">
            <v>34738.565668571398</v>
          </cell>
          <cell r="M20">
            <v>242105.57311999999</v>
          </cell>
          <cell r="N20">
            <v>13140.573119999999</v>
          </cell>
          <cell r="O20">
            <v>13140.573119999999</v>
          </cell>
          <cell r="P20">
            <v>13140.573119999999</v>
          </cell>
        </row>
        <row r="21">
          <cell r="E21">
            <v>73616.804999999993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</row>
        <row r="22">
          <cell r="E22">
            <v>27732.015999999901</v>
          </cell>
          <cell r="F22">
            <v>27732.015999999901</v>
          </cell>
          <cell r="G22">
            <v>27732.015999999901</v>
          </cell>
          <cell r="H22">
            <v>27732.015999999901</v>
          </cell>
          <cell r="I22">
            <v>27732.015999999901</v>
          </cell>
          <cell r="J22">
            <v>27732.015999999901</v>
          </cell>
          <cell r="K22">
            <v>27732.015999999901</v>
          </cell>
          <cell r="L22">
            <v>27732.015999999901</v>
          </cell>
          <cell r="M22">
            <v>27732.015999999901</v>
          </cell>
          <cell r="N22">
            <v>27732.015999999901</v>
          </cell>
          <cell r="O22">
            <v>27732.015999999901</v>
          </cell>
          <cell r="P22">
            <v>27732.015999999901</v>
          </cell>
        </row>
        <row r="23"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</row>
        <row r="24">
          <cell r="E24">
            <v>24454.744072269103</v>
          </cell>
          <cell r="F24">
            <v>24454.744072269103</v>
          </cell>
          <cell r="G24">
            <v>24454.744072269103</v>
          </cell>
          <cell r="H24">
            <v>24454.744072269103</v>
          </cell>
          <cell r="I24">
            <v>24454.744072269103</v>
          </cell>
          <cell r="J24">
            <v>24454.744072269103</v>
          </cell>
          <cell r="K24">
            <v>20205.870595149099</v>
          </cell>
          <cell r="L24">
            <v>24454.744072269103</v>
          </cell>
          <cell r="M24">
            <v>24454.744072269103</v>
          </cell>
          <cell r="N24">
            <v>24454.744072269103</v>
          </cell>
          <cell r="O24">
            <v>24454.744072269103</v>
          </cell>
          <cell r="P24">
            <v>24454.744072269103</v>
          </cell>
        </row>
        <row r="25">
          <cell r="E25">
            <v>0</v>
          </cell>
          <cell r="F25">
            <v>0</v>
          </cell>
          <cell r="G25">
            <v>87906.524159999899</v>
          </cell>
          <cell r="H25">
            <v>116948.215751999</v>
          </cell>
          <cell r="I25">
            <v>116948.215751999</v>
          </cell>
          <cell r="J25">
            <v>121784.398295999</v>
          </cell>
          <cell r="K25">
            <v>41993.285495999997</v>
          </cell>
          <cell r="L25">
            <v>41993.285495999997</v>
          </cell>
          <cell r="M25">
            <v>41993.285495999997</v>
          </cell>
          <cell r="N25">
            <v>31589.033874000001</v>
          </cell>
          <cell r="O25">
            <v>20750.619659999898</v>
          </cell>
          <cell r="P25">
            <v>20750.619659999898</v>
          </cell>
        </row>
        <row r="26">
          <cell r="E26">
            <v>110134.9057818624</v>
          </cell>
          <cell r="F26">
            <v>216555.53336586154</v>
          </cell>
          <cell r="G26">
            <v>329801.34367357357</v>
          </cell>
          <cell r="H26">
            <v>321800.36351101351</v>
          </cell>
          <cell r="I26">
            <v>368780.91560586152</v>
          </cell>
          <cell r="J26">
            <v>286876.52868157439</v>
          </cell>
          <cell r="K26">
            <v>239895.9765867255</v>
          </cell>
          <cell r="L26">
            <v>329801.34367357357</v>
          </cell>
          <cell r="M26">
            <v>411816.04600099201</v>
          </cell>
          <cell r="N26">
            <v>386225.26349471917</v>
          </cell>
          <cell r="O26">
            <v>289366.48013699113</v>
          </cell>
          <cell r="P26">
            <v>282541.29741327913</v>
          </cell>
        </row>
        <row r="27">
          <cell r="E27">
            <v>4634.7986303999996</v>
          </cell>
          <cell r="F27">
            <v>16731.940723199899</v>
          </cell>
          <cell r="G27">
            <v>16731.940723199899</v>
          </cell>
          <cell r="H27">
            <v>17748.590759999999</v>
          </cell>
          <cell r="I27">
            <v>6952.4643599999999</v>
          </cell>
          <cell r="J27">
            <v>22383.389390399901</v>
          </cell>
          <cell r="K27">
            <v>11587.2629903999</v>
          </cell>
          <cell r="L27">
            <v>22383.389390399901</v>
          </cell>
          <cell r="M27">
            <v>22383.389390399901</v>
          </cell>
          <cell r="N27">
            <v>17660.840600399901</v>
          </cell>
          <cell r="O27">
            <v>13026.04197</v>
          </cell>
          <cell r="P27">
            <v>13026.04197</v>
          </cell>
        </row>
        <row r="28">
          <cell r="E28">
            <v>14647.083119999999</v>
          </cell>
          <cell r="F28">
            <v>14647.083119999999</v>
          </cell>
          <cell r="G28">
            <v>19529.444159999999</v>
          </cell>
          <cell r="H28">
            <v>19974.41964</v>
          </cell>
          <cell r="I28">
            <v>17088.263639999899</v>
          </cell>
          <cell r="J28">
            <v>15092.0586</v>
          </cell>
          <cell r="K28">
            <v>12205.902599999999</v>
          </cell>
          <cell r="L28">
            <v>19974.41964</v>
          </cell>
          <cell r="M28">
            <v>19974.41964</v>
          </cell>
          <cell r="N28">
            <v>18556.92081</v>
          </cell>
          <cell r="O28">
            <v>13674.55977</v>
          </cell>
          <cell r="P28">
            <v>13674.55977</v>
          </cell>
        </row>
        <row r="29">
          <cell r="E29">
            <v>29030.078333333233</v>
          </cell>
          <cell r="F29">
            <v>43351.432333333236</v>
          </cell>
          <cell r="G29">
            <v>29030.078333333233</v>
          </cell>
          <cell r="H29">
            <v>43351.432333333236</v>
          </cell>
          <cell r="I29">
            <v>29030.078333333233</v>
          </cell>
          <cell r="J29">
            <v>43351.432333333236</v>
          </cell>
          <cell r="K29">
            <v>29030.078333333233</v>
          </cell>
          <cell r="L29">
            <v>43351.432333333236</v>
          </cell>
          <cell r="M29">
            <v>29030.078333333233</v>
          </cell>
          <cell r="N29">
            <v>43351.432333333236</v>
          </cell>
          <cell r="O29">
            <v>29030.078333333233</v>
          </cell>
          <cell r="P29">
            <v>43351.432333333236</v>
          </cell>
        </row>
        <row r="30">
          <cell r="E30">
            <v>10833.333333333334</v>
          </cell>
          <cell r="F30">
            <v>10833.333333333334</v>
          </cell>
          <cell r="G30">
            <v>10833.333333333334</v>
          </cell>
          <cell r="H30">
            <v>10833.333333333334</v>
          </cell>
          <cell r="I30">
            <v>10833.333333333334</v>
          </cell>
          <cell r="J30">
            <v>10833.333333333334</v>
          </cell>
          <cell r="K30">
            <v>10833.333333333334</v>
          </cell>
          <cell r="L30">
            <v>10833.333333333334</v>
          </cell>
          <cell r="M30">
            <v>10833.333333333334</v>
          </cell>
          <cell r="N30">
            <v>10833.333333333334</v>
          </cell>
          <cell r="O30">
            <v>10833.333333333334</v>
          </cell>
          <cell r="P30">
            <v>10833.333333333334</v>
          </cell>
        </row>
        <row r="31">
          <cell r="E31">
            <v>5833.333333333333</v>
          </cell>
          <cell r="F31">
            <v>5833.333333333333</v>
          </cell>
          <cell r="G31">
            <v>5833.333333333333</v>
          </cell>
          <cell r="H31">
            <v>5833.333333333333</v>
          </cell>
          <cell r="I31">
            <v>5833.333333333333</v>
          </cell>
          <cell r="J31">
            <v>5833.333333333333</v>
          </cell>
          <cell r="K31">
            <v>5833.333333333333</v>
          </cell>
          <cell r="L31">
            <v>5833.333333333333</v>
          </cell>
          <cell r="M31">
            <v>5833.333333333333</v>
          </cell>
          <cell r="N31">
            <v>5833.333333333333</v>
          </cell>
          <cell r="O31">
            <v>5833.333333333333</v>
          </cell>
          <cell r="P31">
            <v>5833.333333333333</v>
          </cell>
        </row>
        <row r="32">
          <cell r="E32">
            <v>675081.52799999993</v>
          </cell>
          <cell r="F32">
            <v>717943.77599999995</v>
          </cell>
          <cell r="G32">
            <v>688551.77599999995</v>
          </cell>
          <cell r="H32">
            <v>650711.77599999995</v>
          </cell>
          <cell r="I32">
            <v>693574.02399999998</v>
          </cell>
          <cell r="J32">
            <v>795289.52799999993</v>
          </cell>
          <cell r="K32">
            <v>830125.03199999989</v>
          </cell>
          <cell r="L32">
            <v>139920</v>
          </cell>
          <cell r="M32">
            <v>34320</v>
          </cell>
          <cell r="N32">
            <v>7920</v>
          </cell>
          <cell r="O32">
            <v>0</v>
          </cell>
          <cell r="P32">
            <v>0</v>
          </cell>
        </row>
        <row r="33">
          <cell r="E33">
            <v>457959.18367346941</v>
          </cell>
          <cell r="F33">
            <v>499591.8367346939</v>
          </cell>
          <cell r="G33">
            <v>499591.8367346939</v>
          </cell>
          <cell r="H33">
            <v>499591.8367346939</v>
          </cell>
          <cell r="I33">
            <v>541224.48979591834</v>
          </cell>
          <cell r="J33">
            <v>457959.18367346941</v>
          </cell>
          <cell r="K33">
            <v>374693.87755102041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</row>
        <row r="34"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</row>
        <row r="35"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</row>
        <row r="36">
          <cell r="E36">
            <v>16666.666666666668</v>
          </cell>
          <cell r="F36">
            <v>16666.666666666668</v>
          </cell>
          <cell r="G36">
            <v>16666.666666666668</v>
          </cell>
          <cell r="H36">
            <v>16666.666666666668</v>
          </cell>
          <cell r="I36">
            <v>16666.666666666668</v>
          </cell>
          <cell r="J36">
            <v>16666.666666666668</v>
          </cell>
          <cell r="K36">
            <v>16666.666666666668</v>
          </cell>
          <cell r="L36">
            <v>16666.666666666668</v>
          </cell>
          <cell r="M36">
            <v>16666.666666666668</v>
          </cell>
          <cell r="N36">
            <v>16666.666666666668</v>
          </cell>
          <cell r="O36">
            <v>16666.666666666668</v>
          </cell>
          <cell r="P36">
            <v>16666.666666666668</v>
          </cell>
        </row>
        <row r="37">
          <cell r="E37">
            <v>16666.666666666668</v>
          </cell>
          <cell r="F37">
            <v>16666.666666666668</v>
          </cell>
          <cell r="G37">
            <v>16666.666666666668</v>
          </cell>
          <cell r="H37">
            <v>16666.666666666668</v>
          </cell>
          <cell r="I37">
            <v>16666.666666666668</v>
          </cell>
          <cell r="J37">
            <v>16666.666666666668</v>
          </cell>
          <cell r="K37">
            <v>16666.666666666668</v>
          </cell>
          <cell r="L37">
            <v>16666.666666666668</v>
          </cell>
          <cell r="M37">
            <v>16666.666666666668</v>
          </cell>
          <cell r="N37">
            <v>16666.666666666668</v>
          </cell>
          <cell r="O37">
            <v>16666.666666666668</v>
          </cell>
          <cell r="P37">
            <v>16666.666666666668</v>
          </cell>
        </row>
        <row r="38">
          <cell r="E38">
            <v>2500</v>
          </cell>
          <cell r="F38">
            <v>2500</v>
          </cell>
          <cell r="G38">
            <v>2500</v>
          </cell>
          <cell r="H38">
            <v>2500</v>
          </cell>
          <cell r="I38">
            <v>2500</v>
          </cell>
          <cell r="J38">
            <v>2500</v>
          </cell>
          <cell r="K38">
            <v>2500</v>
          </cell>
          <cell r="L38">
            <v>2500</v>
          </cell>
          <cell r="M38">
            <v>2500</v>
          </cell>
          <cell r="N38">
            <v>2500</v>
          </cell>
          <cell r="O38">
            <v>2500</v>
          </cell>
          <cell r="P38">
            <v>2500</v>
          </cell>
        </row>
        <row r="39">
          <cell r="E39">
            <v>1000</v>
          </cell>
          <cell r="F39">
            <v>1000</v>
          </cell>
          <cell r="G39">
            <v>1000</v>
          </cell>
          <cell r="H39">
            <v>1000</v>
          </cell>
          <cell r="I39">
            <v>1000</v>
          </cell>
          <cell r="J39">
            <v>1000</v>
          </cell>
          <cell r="K39">
            <v>1000</v>
          </cell>
          <cell r="L39">
            <v>1000</v>
          </cell>
          <cell r="M39">
            <v>1000</v>
          </cell>
          <cell r="N39">
            <v>1000</v>
          </cell>
          <cell r="O39">
            <v>1000</v>
          </cell>
          <cell r="P39">
            <v>1000</v>
          </cell>
        </row>
        <row r="40">
          <cell r="E40">
            <v>6666.666666666667</v>
          </cell>
          <cell r="F40">
            <v>6666.666666666667</v>
          </cell>
          <cell r="G40">
            <v>6666.666666666667</v>
          </cell>
          <cell r="H40">
            <v>6666.666666666667</v>
          </cell>
          <cell r="I40">
            <v>6666.666666666667</v>
          </cell>
          <cell r="J40">
            <v>6666.666666666667</v>
          </cell>
          <cell r="K40">
            <v>6666.666666666667</v>
          </cell>
          <cell r="L40">
            <v>6666.666666666667</v>
          </cell>
          <cell r="M40">
            <v>6666.666666666667</v>
          </cell>
          <cell r="N40">
            <v>6666.666666666667</v>
          </cell>
          <cell r="O40">
            <v>6666.666666666667</v>
          </cell>
          <cell r="P40">
            <v>6666.666666666667</v>
          </cell>
        </row>
        <row r="41">
          <cell r="E41">
            <v>24916.666666666668</v>
          </cell>
          <cell r="F41">
            <v>24916.666666666668</v>
          </cell>
          <cell r="G41">
            <v>24916.666666666668</v>
          </cell>
          <cell r="H41">
            <v>24916.666666666668</v>
          </cell>
          <cell r="I41">
            <v>24916.666666666668</v>
          </cell>
          <cell r="J41">
            <v>24916.666666666668</v>
          </cell>
          <cell r="K41">
            <v>24916.666666666668</v>
          </cell>
          <cell r="L41">
            <v>24916.666666666668</v>
          </cell>
          <cell r="M41">
            <v>24916.666666666668</v>
          </cell>
          <cell r="N41">
            <v>24916.666666666668</v>
          </cell>
          <cell r="O41">
            <v>24916.666666666668</v>
          </cell>
          <cell r="P41">
            <v>24916.666666666668</v>
          </cell>
        </row>
        <row r="42">
          <cell r="E42">
            <v>720000</v>
          </cell>
          <cell r="F42">
            <v>720000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</row>
        <row r="43">
          <cell r="E43">
            <v>8362.25</v>
          </cell>
          <cell r="F43">
            <v>8362.25</v>
          </cell>
          <cell r="G43">
            <v>8362.25</v>
          </cell>
          <cell r="H43">
            <v>8362.25</v>
          </cell>
          <cell r="I43">
            <v>8362.25</v>
          </cell>
          <cell r="J43">
            <v>8362.25</v>
          </cell>
          <cell r="K43">
            <v>8362.25</v>
          </cell>
          <cell r="L43">
            <v>8362.25</v>
          </cell>
          <cell r="M43">
            <v>8362.25</v>
          </cell>
          <cell r="N43">
            <v>8362.25</v>
          </cell>
          <cell r="O43">
            <v>8362.25</v>
          </cell>
          <cell r="P43">
            <v>8362.25</v>
          </cell>
        </row>
        <row r="44"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</row>
        <row r="45"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</row>
        <row r="46"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</row>
        <row r="47"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</row>
        <row r="48">
          <cell r="E48">
            <v>4166.666666666667</v>
          </cell>
          <cell r="F48">
            <v>4166.666666666667</v>
          </cell>
          <cell r="G48">
            <v>4166.666666666667</v>
          </cell>
          <cell r="H48">
            <v>4166.666666666667</v>
          </cell>
          <cell r="I48">
            <v>4166.666666666667</v>
          </cell>
          <cell r="J48">
            <v>4166.666666666667</v>
          </cell>
          <cell r="K48">
            <v>4166.666666666667</v>
          </cell>
          <cell r="L48">
            <v>4166.666666666667</v>
          </cell>
          <cell r="M48">
            <v>4166.666666666667</v>
          </cell>
          <cell r="N48">
            <v>4166.666666666667</v>
          </cell>
          <cell r="O48">
            <v>4166.666666666667</v>
          </cell>
          <cell r="P48">
            <v>4166.666666666667</v>
          </cell>
        </row>
        <row r="49">
          <cell r="E49">
            <v>16025</v>
          </cell>
          <cell r="F49">
            <v>16025</v>
          </cell>
          <cell r="G49">
            <v>16025</v>
          </cell>
          <cell r="H49">
            <v>16025</v>
          </cell>
          <cell r="I49">
            <v>16025</v>
          </cell>
          <cell r="J49">
            <v>16025</v>
          </cell>
          <cell r="K49">
            <v>16025</v>
          </cell>
          <cell r="L49">
            <v>16025</v>
          </cell>
          <cell r="M49">
            <v>16025</v>
          </cell>
          <cell r="N49">
            <v>16025</v>
          </cell>
          <cell r="O49">
            <v>16025</v>
          </cell>
          <cell r="P49">
            <v>16025</v>
          </cell>
        </row>
        <row r="50">
          <cell r="E50">
            <v>994.63333333333333</v>
          </cell>
          <cell r="F50">
            <v>994.63333333333333</v>
          </cell>
          <cell r="G50">
            <v>994.63333333333333</v>
          </cell>
          <cell r="H50">
            <v>994.63333333333333</v>
          </cell>
          <cell r="I50">
            <v>994.63333333333333</v>
          </cell>
          <cell r="J50">
            <v>994.63333333333333</v>
          </cell>
          <cell r="K50">
            <v>994.63333333333333</v>
          </cell>
          <cell r="L50">
            <v>994.63333333333333</v>
          </cell>
          <cell r="M50">
            <v>994.63333333333333</v>
          </cell>
          <cell r="N50">
            <v>994.63333333333333</v>
          </cell>
          <cell r="O50">
            <v>994.63333333333333</v>
          </cell>
          <cell r="P50">
            <v>994.63333333333333</v>
          </cell>
        </row>
        <row r="51">
          <cell r="E51">
            <v>747.57954999999993</v>
          </cell>
          <cell r="F51">
            <v>747.57954999999993</v>
          </cell>
          <cell r="G51">
            <v>747.57954999999993</v>
          </cell>
          <cell r="H51">
            <v>747.57954999999993</v>
          </cell>
          <cell r="I51">
            <v>747.57954999999993</v>
          </cell>
          <cell r="J51">
            <v>747.57954999999993</v>
          </cell>
          <cell r="K51">
            <v>747.57954999999993</v>
          </cell>
          <cell r="L51">
            <v>747.57954999999993</v>
          </cell>
          <cell r="M51">
            <v>747.57954999999993</v>
          </cell>
          <cell r="N51">
            <v>747.57954999999993</v>
          </cell>
          <cell r="O51">
            <v>747.57954999999993</v>
          </cell>
          <cell r="P51">
            <v>747.57954999999993</v>
          </cell>
        </row>
        <row r="52">
          <cell r="E52">
            <v>2500</v>
          </cell>
          <cell r="F52">
            <v>2500</v>
          </cell>
          <cell r="G52">
            <v>2500</v>
          </cell>
          <cell r="H52">
            <v>2500</v>
          </cell>
          <cell r="I52">
            <v>2500</v>
          </cell>
          <cell r="J52">
            <v>2500</v>
          </cell>
          <cell r="K52">
            <v>2500</v>
          </cell>
          <cell r="L52">
            <v>2500</v>
          </cell>
          <cell r="M52">
            <v>2500</v>
          </cell>
          <cell r="N52">
            <v>2500</v>
          </cell>
          <cell r="O52">
            <v>2500</v>
          </cell>
          <cell r="P52">
            <v>2500</v>
          </cell>
        </row>
        <row r="53">
          <cell r="E53">
            <v>1000</v>
          </cell>
          <cell r="F53">
            <v>1000</v>
          </cell>
          <cell r="G53">
            <v>1000</v>
          </cell>
          <cell r="H53">
            <v>1000</v>
          </cell>
          <cell r="I53">
            <v>1000</v>
          </cell>
          <cell r="J53">
            <v>1000</v>
          </cell>
          <cell r="K53">
            <v>1000</v>
          </cell>
          <cell r="L53">
            <v>1000</v>
          </cell>
          <cell r="M53">
            <v>1000</v>
          </cell>
          <cell r="N53">
            <v>1000</v>
          </cell>
          <cell r="O53">
            <v>1000</v>
          </cell>
          <cell r="P53">
            <v>1000</v>
          </cell>
        </row>
        <row r="54">
          <cell r="E54">
            <v>63142.857142857145</v>
          </cell>
          <cell r="F54">
            <v>63142.857142857145</v>
          </cell>
          <cell r="G54">
            <v>63142.857142857145</v>
          </cell>
          <cell r="H54">
            <v>63142.857142857145</v>
          </cell>
          <cell r="I54">
            <v>63142.857142857145</v>
          </cell>
          <cell r="J54">
            <v>63142.857142857145</v>
          </cell>
          <cell r="K54">
            <v>63142.857142857145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</row>
        <row r="56">
          <cell r="E56">
            <v>-34602.076124567473</v>
          </cell>
          <cell r="F56">
            <v>-34602.076124567473</v>
          </cell>
          <cell r="G56">
            <v>-34602.076124567473</v>
          </cell>
          <cell r="H56">
            <v>-34602.076124567473</v>
          </cell>
          <cell r="I56">
            <v>-34602.076124567473</v>
          </cell>
          <cell r="J56">
            <v>-34602.076124567473</v>
          </cell>
          <cell r="K56">
            <v>-34602.076124567473</v>
          </cell>
          <cell r="L56">
            <v>-34602.076124567473</v>
          </cell>
          <cell r="M56">
            <v>-34602.076124567473</v>
          </cell>
          <cell r="N56">
            <v>-34602.076124567473</v>
          </cell>
          <cell r="O56">
            <v>-34602.076124567473</v>
          </cell>
          <cell r="P56">
            <v>-34602.076124567473</v>
          </cell>
        </row>
        <row r="57">
          <cell r="E57">
            <v>-11534.025374855824</v>
          </cell>
          <cell r="F57">
            <v>-11534.025374855824</v>
          </cell>
          <cell r="G57">
            <v>-11534.025374855824</v>
          </cell>
          <cell r="H57">
            <v>-11534.025374855824</v>
          </cell>
          <cell r="I57">
            <v>-11534.025374855824</v>
          </cell>
          <cell r="J57">
            <v>-11534.025374855824</v>
          </cell>
          <cell r="K57">
            <v>-11534.025374855824</v>
          </cell>
          <cell r="L57">
            <v>-11534.025374855824</v>
          </cell>
          <cell r="M57">
            <v>-11534.025374855824</v>
          </cell>
          <cell r="N57">
            <v>-11534.025374855824</v>
          </cell>
          <cell r="O57">
            <v>-11534.025374855824</v>
          </cell>
          <cell r="P57">
            <v>-11534.025374855824</v>
          </cell>
        </row>
      </sheetData>
      <sheetData sheetId="5" refreshError="1">
        <row r="4">
          <cell r="E4">
            <v>92558.307887999996</v>
          </cell>
          <cell r="F4">
            <v>144593.30788799998</v>
          </cell>
          <cell r="G4">
            <v>92558.307887999996</v>
          </cell>
          <cell r="H4">
            <v>92558.307887999996</v>
          </cell>
          <cell r="I4">
            <v>92558.307887999996</v>
          </cell>
          <cell r="J4">
            <v>92558.307887999996</v>
          </cell>
          <cell r="K4">
            <v>92558.307887999996</v>
          </cell>
          <cell r="L4">
            <v>99962.972519040006</v>
          </cell>
          <cell r="M4">
            <v>99962.972519040006</v>
          </cell>
          <cell r="N4">
            <v>99962.972519040006</v>
          </cell>
          <cell r="O4">
            <v>99962.972519040006</v>
          </cell>
          <cell r="P4">
            <v>99962.972519040006</v>
          </cell>
        </row>
        <row r="5">
          <cell r="E5">
            <v>6666.666666666667</v>
          </cell>
          <cell r="F5">
            <v>6666.666666666667</v>
          </cell>
          <cell r="G5">
            <v>6666.666666666667</v>
          </cell>
          <cell r="H5">
            <v>6666.666666666667</v>
          </cell>
          <cell r="I5">
            <v>6666.666666666667</v>
          </cell>
          <cell r="J5">
            <v>6666.666666666667</v>
          </cell>
          <cell r="K5">
            <v>6666.666666666667</v>
          </cell>
          <cell r="L5">
            <v>6666.666666666667</v>
          </cell>
          <cell r="M5">
            <v>6666.666666666667</v>
          </cell>
          <cell r="N5">
            <v>6666.666666666667</v>
          </cell>
          <cell r="O5">
            <v>6666.666666666667</v>
          </cell>
          <cell r="P5">
            <v>6666.666666666667</v>
          </cell>
        </row>
        <row r="6">
          <cell r="E6">
            <v>11821.542241946667</v>
          </cell>
          <cell r="F6">
            <v>11821.542241946667</v>
          </cell>
          <cell r="G6">
            <v>11821.542241946667</v>
          </cell>
          <cell r="H6">
            <v>11821.542241946667</v>
          </cell>
          <cell r="I6">
            <v>11821.542241946667</v>
          </cell>
          <cell r="J6">
            <v>11821.542241946667</v>
          </cell>
          <cell r="K6">
            <v>11821.542241946667</v>
          </cell>
          <cell r="L6">
            <v>12708.492287969068</v>
          </cell>
          <cell r="M6">
            <v>12708.492287969068</v>
          </cell>
          <cell r="N6">
            <v>12708.492287969068</v>
          </cell>
          <cell r="O6">
            <v>12708.492287969068</v>
          </cell>
          <cell r="P6">
            <v>12708.492287969068</v>
          </cell>
        </row>
        <row r="7">
          <cell r="E7">
            <v>9171.8862221999989</v>
          </cell>
          <cell r="F7">
            <v>9171.8862221999989</v>
          </cell>
          <cell r="G7">
            <v>9171.8862221999989</v>
          </cell>
          <cell r="H7">
            <v>9171.8862221999989</v>
          </cell>
          <cell r="I7">
            <v>9171.8862221999989</v>
          </cell>
          <cell r="J7">
            <v>9171.8862221999989</v>
          </cell>
          <cell r="K7">
            <v>9171.8862221999989</v>
          </cell>
          <cell r="L7">
            <v>9860.0371199759993</v>
          </cell>
          <cell r="M7">
            <v>9860.0371199759993</v>
          </cell>
          <cell r="N7">
            <v>9860.0371199759993</v>
          </cell>
          <cell r="O7">
            <v>9860.0371199759993</v>
          </cell>
          <cell r="P7">
            <v>9860.0371199759993</v>
          </cell>
        </row>
        <row r="8"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102185.64256599134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</row>
        <row r="9">
          <cell r="E9">
            <v>5749.8608363733338</v>
          </cell>
          <cell r="F9">
            <v>5749.8608363733338</v>
          </cell>
          <cell r="G9">
            <v>5749.8608363733338</v>
          </cell>
          <cell r="H9">
            <v>5749.8608363733338</v>
          </cell>
          <cell r="I9">
            <v>5749.8608363733338</v>
          </cell>
          <cell r="J9">
            <v>5749.8608363733338</v>
          </cell>
          <cell r="K9">
            <v>5749.8608363733338</v>
          </cell>
          <cell r="L9">
            <v>6181.263036616534</v>
          </cell>
          <cell r="M9">
            <v>6181.263036616534</v>
          </cell>
          <cell r="N9">
            <v>6181.263036616534</v>
          </cell>
          <cell r="O9">
            <v>6181.263036616534</v>
          </cell>
          <cell r="P9">
            <v>6181.263036616534</v>
          </cell>
        </row>
        <row r="10">
          <cell r="E10">
            <v>10000</v>
          </cell>
          <cell r="F10">
            <v>10000</v>
          </cell>
          <cell r="G10">
            <v>10000</v>
          </cell>
          <cell r="H10">
            <v>10000</v>
          </cell>
          <cell r="I10">
            <v>10000</v>
          </cell>
          <cell r="J10">
            <v>10000</v>
          </cell>
          <cell r="K10">
            <v>10000</v>
          </cell>
          <cell r="L10">
            <v>10000</v>
          </cell>
          <cell r="M10">
            <v>10000</v>
          </cell>
          <cell r="N10">
            <v>10000</v>
          </cell>
          <cell r="O10">
            <v>10000</v>
          </cell>
          <cell r="P10">
            <v>10000</v>
          </cell>
        </row>
        <row r="11"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</row>
        <row r="12">
          <cell r="E12">
            <v>3105</v>
          </cell>
          <cell r="F12">
            <v>3105</v>
          </cell>
          <cell r="G12">
            <v>3105</v>
          </cell>
          <cell r="H12">
            <v>3105</v>
          </cell>
          <cell r="I12">
            <v>3105</v>
          </cell>
          <cell r="J12">
            <v>3105</v>
          </cell>
          <cell r="K12">
            <v>3105</v>
          </cell>
          <cell r="L12">
            <v>3105</v>
          </cell>
          <cell r="M12">
            <v>3105</v>
          </cell>
          <cell r="N12">
            <v>3105</v>
          </cell>
          <cell r="O12">
            <v>3105</v>
          </cell>
          <cell r="P12">
            <v>3105</v>
          </cell>
        </row>
        <row r="13">
          <cell r="E13">
            <v>2000</v>
          </cell>
          <cell r="F13">
            <v>2000</v>
          </cell>
          <cell r="G13">
            <v>2000</v>
          </cell>
          <cell r="H13">
            <v>2000</v>
          </cell>
          <cell r="I13">
            <v>2000</v>
          </cell>
          <cell r="J13">
            <v>2000</v>
          </cell>
          <cell r="K13">
            <v>2000</v>
          </cell>
          <cell r="L13">
            <v>2000</v>
          </cell>
          <cell r="M13">
            <v>2000</v>
          </cell>
          <cell r="N13">
            <v>2000</v>
          </cell>
          <cell r="O13">
            <v>2000</v>
          </cell>
          <cell r="P13">
            <v>2000</v>
          </cell>
        </row>
        <row r="14">
          <cell r="E14">
            <v>4867.7299999999996</v>
          </cell>
          <cell r="F14">
            <v>4867.7299999999996</v>
          </cell>
          <cell r="G14">
            <v>4867.7299999999996</v>
          </cell>
          <cell r="H14">
            <v>4867.7299999999996</v>
          </cell>
          <cell r="I14">
            <v>4867.7299999999996</v>
          </cell>
          <cell r="J14">
            <v>4867.7299999999996</v>
          </cell>
          <cell r="K14">
            <v>4867.7299999999996</v>
          </cell>
          <cell r="L14">
            <v>4867.7299999999996</v>
          </cell>
          <cell r="M14">
            <v>4867.7299999999996</v>
          </cell>
          <cell r="N14">
            <v>4867.7299999999996</v>
          </cell>
          <cell r="O14">
            <v>4867.7299999999996</v>
          </cell>
          <cell r="P14">
            <v>4867.7299999999996</v>
          </cell>
        </row>
        <row r="15">
          <cell r="E15">
            <v>12393.899999999998</v>
          </cell>
          <cell r="F15">
            <v>12393.899999999998</v>
          </cell>
          <cell r="G15">
            <v>12393.899999999998</v>
          </cell>
          <cell r="H15">
            <v>12393.899999999998</v>
          </cell>
          <cell r="I15">
            <v>12393.899999999998</v>
          </cell>
          <cell r="J15">
            <v>12393.899999999998</v>
          </cell>
          <cell r="K15">
            <v>13360.799999999997</v>
          </cell>
          <cell r="L15">
            <v>12393.899999999998</v>
          </cell>
          <cell r="M15">
            <v>12393.899999999998</v>
          </cell>
          <cell r="N15">
            <v>12393.899999999998</v>
          </cell>
          <cell r="O15">
            <v>12393.899999999998</v>
          </cell>
          <cell r="P15">
            <v>12393.899999999998</v>
          </cell>
        </row>
        <row r="16">
          <cell r="E16">
            <v>16666.666666666668</v>
          </cell>
          <cell r="F16">
            <v>16666.666666666668</v>
          </cell>
          <cell r="G16">
            <v>16666.666666666668</v>
          </cell>
          <cell r="H16">
            <v>16666.666666666668</v>
          </cell>
          <cell r="I16">
            <v>16666.666666666668</v>
          </cell>
          <cell r="J16">
            <v>16666.666666666668</v>
          </cell>
          <cell r="K16">
            <v>16666.666666666668</v>
          </cell>
          <cell r="L16">
            <v>16666.666666666668</v>
          </cell>
          <cell r="M16">
            <v>16666.666666666668</v>
          </cell>
          <cell r="N16">
            <v>16666.666666666668</v>
          </cell>
          <cell r="O16">
            <v>16666.666666666668</v>
          </cell>
          <cell r="P16">
            <v>16666.666666666668</v>
          </cell>
        </row>
        <row r="17">
          <cell r="E17">
            <v>53519.4</v>
          </cell>
          <cell r="F17">
            <v>53519.4</v>
          </cell>
          <cell r="G17">
            <v>53519.4</v>
          </cell>
          <cell r="H17">
            <v>53519.4</v>
          </cell>
          <cell r="I17">
            <v>53519.4</v>
          </cell>
          <cell r="J17">
            <v>53519.4</v>
          </cell>
          <cell r="K17">
            <v>53519.4</v>
          </cell>
          <cell r="L17">
            <v>53519.4</v>
          </cell>
          <cell r="M17">
            <v>53519.4</v>
          </cell>
          <cell r="N17">
            <v>53519.4</v>
          </cell>
          <cell r="O17">
            <v>53519.4</v>
          </cell>
          <cell r="P17">
            <v>53519.4</v>
          </cell>
        </row>
        <row r="18">
          <cell r="E18">
            <v>10727.86</v>
          </cell>
          <cell r="F18">
            <v>10727.86</v>
          </cell>
          <cell r="G18">
            <v>10727.86</v>
          </cell>
          <cell r="H18">
            <v>10727.86</v>
          </cell>
          <cell r="I18">
            <v>10727.86</v>
          </cell>
          <cell r="J18">
            <v>10727.86</v>
          </cell>
          <cell r="K18">
            <v>10727.86</v>
          </cell>
          <cell r="L18">
            <v>10727.86</v>
          </cell>
          <cell r="M18">
            <v>10727.86</v>
          </cell>
          <cell r="N18">
            <v>10727.86</v>
          </cell>
          <cell r="O18">
            <v>10727.86</v>
          </cell>
          <cell r="P18">
            <v>10727.86</v>
          </cell>
        </row>
        <row r="19">
          <cell r="E19">
            <v>2916.6666666666665</v>
          </cell>
          <cell r="F19">
            <v>2916.6666666666665</v>
          </cell>
          <cell r="G19">
            <v>2916.6666666666665</v>
          </cell>
          <cell r="H19">
            <v>2916.6666666666665</v>
          </cell>
          <cell r="I19">
            <v>2916.6666666666665</v>
          </cell>
          <cell r="J19">
            <v>2916.6666666666665</v>
          </cell>
          <cell r="K19">
            <v>2916.6666666666665</v>
          </cell>
          <cell r="L19">
            <v>2916.6666666666665</v>
          </cell>
          <cell r="M19">
            <v>2916.6666666666665</v>
          </cell>
          <cell r="N19">
            <v>2916.6666666666665</v>
          </cell>
          <cell r="O19">
            <v>2916.6666666666665</v>
          </cell>
          <cell r="P19">
            <v>2916.6666666666665</v>
          </cell>
        </row>
        <row r="20">
          <cell r="E20">
            <v>0</v>
          </cell>
          <cell r="F20">
            <v>0</v>
          </cell>
          <cell r="G20">
            <v>542194.61516571406</v>
          </cell>
          <cell r="H20">
            <v>0</v>
          </cell>
          <cell r="I20">
            <v>12202.96696</v>
          </cell>
          <cell r="J20">
            <v>12202.96696</v>
          </cell>
          <cell r="K20">
            <v>252046.96695999999</v>
          </cell>
          <cell r="L20">
            <v>33822.582125714202</v>
          </cell>
          <cell r="M20">
            <v>252046.96695999999</v>
          </cell>
          <cell r="N20">
            <v>12202.96696</v>
          </cell>
          <cell r="O20">
            <v>12202.96696</v>
          </cell>
          <cell r="P20">
            <v>12202.96696</v>
          </cell>
        </row>
        <row r="21">
          <cell r="E21">
            <v>53003.49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</row>
        <row r="22">
          <cell r="E22">
            <v>23144.311333333339</v>
          </cell>
          <cell r="F22">
            <v>23144.311333333339</v>
          </cell>
          <cell r="G22">
            <v>23144.311333333339</v>
          </cell>
          <cell r="H22">
            <v>23144.311333333339</v>
          </cell>
          <cell r="I22">
            <v>23144.311333333339</v>
          </cell>
          <cell r="J22">
            <v>23144.311333333339</v>
          </cell>
          <cell r="K22">
            <v>23144.311333333339</v>
          </cell>
          <cell r="L22">
            <v>23144.311333333339</v>
          </cell>
          <cell r="M22">
            <v>23144.311333333339</v>
          </cell>
          <cell r="N22">
            <v>23144.311333333339</v>
          </cell>
          <cell r="O22">
            <v>23144.311333333339</v>
          </cell>
          <cell r="P22">
            <v>23144.311333333339</v>
          </cell>
        </row>
        <row r="23"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</row>
        <row r="24">
          <cell r="E24">
            <v>23236.260578670335</v>
          </cell>
          <cell r="F24">
            <v>23236.260578670335</v>
          </cell>
          <cell r="G24">
            <v>23236.260578670335</v>
          </cell>
          <cell r="H24">
            <v>23236.260578670335</v>
          </cell>
          <cell r="I24">
            <v>23236.260578670335</v>
          </cell>
          <cell r="J24">
            <v>23236.260578670335</v>
          </cell>
          <cell r="K24">
            <v>18983.133383790337</v>
          </cell>
          <cell r="L24">
            <v>23236.260578670335</v>
          </cell>
          <cell r="M24">
            <v>23236.260578670335</v>
          </cell>
          <cell r="N24">
            <v>23236.260578670335</v>
          </cell>
          <cell r="O24">
            <v>23236.260578670335</v>
          </cell>
          <cell r="P24">
            <v>23236.260578670335</v>
          </cell>
        </row>
        <row r="25">
          <cell r="E25">
            <v>0</v>
          </cell>
          <cell r="F25">
            <v>0</v>
          </cell>
          <cell r="G25">
            <v>79862.475630000001</v>
          </cell>
          <cell r="H25">
            <v>105060.242166</v>
          </cell>
          <cell r="I25">
            <v>105060.242166</v>
          </cell>
          <cell r="J25">
            <v>109551.353418</v>
          </cell>
          <cell r="K25">
            <v>35453.496017999998</v>
          </cell>
          <cell r="L25">
            <v>35453.496017999998</v>
          </cell>
          <cell r="M25">
            <v>35453.496017999998</v>
          </cell>
          <cell r="N25">
            <v>25637.122823999998</v>
          </cell>
          <cell r="O25">
            <v>13933.626791999999</v>
          </cell>
          <cell r="P25">
            <v>13933.626791999999</v>
          </cell>
        </row>
        <row r="26">
          <cell r="E26">
            <v>92394.492887725864</v>
          </cell>
          <cell r="F26">
            <v>191221.79595972586</v>
          </cell>
          <cell r="G26">
            <v>296387.29132462188</v>
          </cell>
          <cell r="H26">
            <v>296387.29132462188</v>
          </cell>
          <cell r="I26">
            <v>332585.59287972585</v>
          </cell>
          <cell r="J26">
            <v>256525.24768862186</v>
          </cell>
          <cell r="K26">
            <v>220326.94613351789</v>
          </cell>
          <cell r="L26">
            <v>296387.29132462188</v>
          </cell>
          <cell r="M26">
            <v>372550.08069432259</v>
          </cell>
          <cell r="N26">
            <v>257089.37914942662</v>
          </cell>
          <cell r="O26">
            <v>350773.37893432262</v>
          </cell>
          <cell r="P26">
            <v>245607.88356942663</v>
          </cell>
        </row>
        <row r="27">
          <cell r="E27">
            <v>5380.1206039999997</v>
          </cell>
          <cell r="F27">
            <v>19422.604132</v>
          </cell>
          <cell r="G27">
            <v>19422.604132</v>
          </cell>
          <cell r="H27">
            <v>16482.193329999998</v>
          </cell>
          <cell r="I27">
            <v>6456.3921300000002</v>
          </cell>
          <cell r="J27">
            <v>21862.313934000002</v>
          </cell>
          <cell r="K27">
            <v>11836.512734</v>
          </cell>
          <cell r="L27">
            <v>21862.313934000002</v>
          </cell>
          <cell r="M27">
            <v>21862.313934000002</v>
          </cell>
          <cell r="N27">
            <v>17345.701624000001</v>
          </cell>
          <cell r="O27">
            <v>11965.58102</v>
          </cell>
          <cell r="P27">
            <v>11965.58102</v>
          </cell>
        </row>
        <row r="28">
          <cell r="E28">
            <v>13601.98446</v>
          </cell>
          <cell r="F28">
            <v>13601.98446</v>
          </cell>
          <cell r="G28">
            <v>18135.97928</v>
          </cell>
          <cell r="H28">
            <v>18549.204870000001</v>
          </cell>
          <cell r="I28">
            <v>15868.98187</v>
          </cell>
          <cell r="J28">
            <v>14015.21005</v>
          </cell>
          <cell r="K28">
            <v>11334.98705</v>
          </cell>
          <cell r="L28">
            <v>18549.204870000001</v>
          </cell>
          <cell r="M28">
            <v>18549.204870000001</v>
          </cell>
          <cell r="N28">
            <v>17193.519</v>
          </cell>
          <cell r="O28">
            <v>12659.52418</v>
          </cell>
          <cell r="P28">
            <v>12659.52418</v>
          </cell>
        </row>
        <row r="29">
          <cell r="E29">
            <v>21116.833333333332</v>
          </cell>
          <cell r="F29">
            <v>37987.896333333236</v>
          </cell>
          <cell r="G29">
            <v>21116.833333333332</v>
          </cell>
          <cell r="H29">
            <v>37987.896333333236</v>
          </cell>
          <cell r="I29">
            <v>21116.833333333332</v>
          </cell>
          <cell r="J29">
            <v>37987.896333333236</v>
          </cell>
          <cell r="K29">
            <v>21116.833333333332</v>
          </cell>
          <cell r="L29">
            <v>37987.896333333236</v>
          </cell>
          <cell r="M29">
            <v>21116.833333333332</v>
          </cell>
          <cell r="N29">
            <v>37987.896333333236</v>
          </cell>
          <cell r="O29">
            <v>21116.833333333332</v>
          </cell>
          <cell r="P29">
            <v>37987.896333333236</v>
          </cell>
        </row>
        <row r="30">
          <cell r="E30">
            <v>8333.3333333333339</v>
          </cell>
          <cell r="F30">
            <v>8333.3333333333339</v>
          </cell>
          <cell r="G30">
            <v>8333.3333333333339</v>
          </cell>
          <cell r="H30">
            <v>8333.3333333333339</v>
          </cell>
          <cell r="I30">
            <v>8333.3333333333339</v>
          </cell>
          <cell r="J30">
            <v>8333.3333333333339</v>
          </cell>
          <cell r="K30">
            <v>8333.3333333333339</v>
          </cell>
          <cell r="L30">
            <v>8333.3333333333339</v>
          </cell>
          <cell r="M30">
            <v>8333.3333333333339</v>
          </cell>
          <cell r="N30">
            <v>8333.3333333333339</v>
          </cell>
          <cell r="O30">
            <v>8333.3333333333339</v>
          </cell>
          <cell r="P30">
            <v>8333.3333333333339</v>
          </cell>
        </row>
        <row r="31">
          <cell r="E31">
            <v>4583.333333333333</v>
          </cell>
          <cell r="F31">
            <v>4583.333333333333</v>
          </cell>
          <cell r="G31">
            <v>4583.333333333333</v>
          </cell>
          <cell r="H31">
            <v>4583.333333333333</v>
          </cell>
          <cell r="I31">
            <v>4583.333333333333</v>
          </cell>
          <cell r="J31">
            <v>4583.333333333333</v>
          </cell>
          <cell r="K31">
            <v>4583.333333333333</v>
          </cell>
          <cell r="L31">
            <v>4583.333333333333</v>
          </cell>
          <cell r="M31">
            <v>4583.333333333333</v>
          </cell>
          <cell r="N31">
            <v>4583.333333333333</v>
          </cell>
          <cell r="O31">
            <v>4583.333333333333</v>
          </cell>
          <cell r="P31">
            <v>4583.333333333333</v>
          </cell>
        </row>
        <row r="32">
          <cell r="E32">
            <v>973329.63199999987</v>
          </cell>
          <cell r="F32">
            <v>852870.304</v>
          </cell>
          <cell r="G32">
            <v>822070.304</v>
          </cell>
          <cell r="H32">
            <v>774990.304</v>
          </cell>
          <cell r="I32">
            <v>821190.304</v>
          </cell>
          <cell r="J32">
            <v>842360.64</v>
          </cell>
          <cell r="K32">
            <v>928701.31199999992</v>
          </cell>
          <cell r="L32">
            <v>114400</v>
          </cell>
          <cell r="M32">
            <v>6160</v>
          </cell>
          <cell r="N32">
            <v>6160</v>
          </cell>
          <cell r="O32">
            <v>0</v>
          </cell>
          <cell r="P32">
            <v>0</v>
          </cell>
        </row>
        <row r="33">
          <cell r="E33">
            <v>530612.24489795917</v>
          </cell>
          <cell r="F33">
            <v>448979.59183673467</v>
          </cell>
          <cell r="G33">
            <v>448979.59183673467</v>
          </cell>
          <cell r="H33">
            <v>448979.59183673467</v>
          </cell>
          <cell r="I33">
            <v>448979.59183673467</v>
          </cell>
          <cell r="J33">
            <v>408163.26530612248</v>
          </cell>
          <cell r="K33">
            <v>326530.61224489799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</row>
        <row r="34"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</row>
        <row r="35"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</row>
        <row r="36">
          <cell r="E36">
            <v>20833.333333333332</v>
          </cell>
          <cell r="F36">
            <v>20833.333333333332</v>
          </cell>
          <cell r="G36">
            <v>20833.333333333332</v>
          </cell>
          <cell r="H36">
            <v>20833.333333333332</v>
          </cell>
          <cell r="I36">
            <v>20833.333333333332</v>
          </cell>
          <cell r="J36">
            <v>20833.333333333332</v>
          </cell>
          <cell r="K36">
            <v>20833.333333333332</v>
          </cell>
          <cell r="L36">
            <v>20833.333333333332</v>
          </cell>
          <cell r="M36">
            <v>20833.333333333332</v>
          </cell>
          <cell r="N36">
            <v>20833.333333333332</v>
          </cell>
          <cell r="O36">
            <v>20833.333333333332</v>
          </cell>
          <cell r="P36">
            <v>20833.333333333332</v>
          </cell>
        </row>
        <row r="37">
          <cell r="E37">
            <v>29166.666666666668</v>
          </cell>
          <cell r="F37">
            <v>29166.666666666668</v>
          </cell>
          <cell r="G37">
            <v>29166.666666666668</v>
          </cell>
          <cell r="H37">
            <v>29166.666666666668</v>
          </cell>
          <cell r="I37">
            <v>29166.666666666668</v>
          </cell>
          <cell r="J37">
            <v>29166.666666666668</v>
          </cell>
          <cell r="K37">
            <v>29166.666666666668</v>
          </cell>
          <cell r="L37">
            <v>29166.666666666668</v>
          </cell>
          <cell r="M37">
            <v>29166.666666666668</v>
          </cell>
          <cell r="N37">
            <v>29166.666666666668</v>
          </cell>
          <cell r="O37">
            <v>29166.666666666668</v>
          </cell>
          <cell r="P37">
            <v>29166.666666666668</v>
          </cell>
        </row>
        <row r="38">
          <cell r="E38">
            <v>3750</v>
          </cell>
          <cell r="F38">
            <v>3750</v>
          </cell>
          <cell r="G38">
            <v>3750</v>
          </cell>
          <cell r="H38">
            <v>3750</v>
          </cell>
          <cell r="I38">
            <v>3750</v>
          </cell>
          <cell r="J38">
            <v>3750</v>
          </cell>
          <cell r="K38">
            <v>3750</v>
          </cell>
          <cell r="L38">
            <v>3750</v>
          </cell>
          <cell r="M38">
            <v>3750</v>
          </cell>
          <cell r="N38">
            <v>3750</v>
          </cell>
          <cell r="O38">
            <v>3750</v>
          </cell>
          <cell r="P38">
            <v>3750</v>
          </cell>
        </row>
        <row r="39">
          <cell r="E39">
            <v>10000</v>
          </cell>
          <cell r="F39">
            <v>10000</v>
          </cell>
          <cell r="G39">
            <v>10000</v>
          </cell>
          <cell r="H39">
            <v>10000</v>
          </cell>
          <cell r="I39">
            <v>10000</v>
          </cell>
          <cell r="J39">
            <v>10000</v>
          </cell>
          <cell r="K39">
            <v>10000</v>
          </cell>
          <cell r="L39">
            <v>10000</v>
          </cell>
          <cell r="M39">
            <v>10000</v>
          </cell>
          <cell r="N39">
            <v>10000</v>
          </cell>
          <cell r="O39">
            <v>10000</v>
          </cell>
          <cell r="P39">
            <v>10000</v>
          </cell>
        </row>
        <row r="40">
          <cell r="E40">
            <v>3333.3333333333335</v>
          </cell>
          <cell r="F40">
            <v>3333.3333333333335</v>
          </cell>
          <cell r="G40">
            <v>3333.3333333333335</v>
          </cell>
          <cell r="H40">
            <v>3333.3333333333335</v>
          </cell>
          <cell r="I40">
            <v>3333.3333333333335</v>
          </cell>
          <cell r="J40">
            <v>3333.3333333333335</v>
          </cell>
          <cell r="K40">
            <v>3333.3333333333335</v>
          </cell>
          <cell r="L40">
            <v>3333.3333333333335</v>
          </cell>
          <cell r="M40">
            <v>3333.3333333333335</v>
          </cell>
          <cell r="N40">
            <v>3333.3333333333335</v>
          </cell>
          <cell r="O40">
            <v>3333.3333333333335</v>
          </cell>
          <cell r="P40">
            <v>3333.3333333333335</v>
          </cell>
        </row>
        <row r="41">
          <cell r="E41">
            <v>115000</v>
          </cell>
          <cell r="F41">
            <v>115000</v>
          </cell>
          <cell r="G41">
            <v>115000</v>
          </cell>
          <cell r="H41">
            <v>115000</v>
          </cell>
          <cell r="I41">
            <v>115000</v>
          </cell>
          <cell r="J41">
            <v>115000</v>
          </cell>
          <cell r="K41">
            <v>115000</v>
          </cell>
          <cell r="L41">
            <v>115000</v>
          </cell>
          <cell r="M41">
            <v>115000</v>
          </cell>
          <cell r="N41">
            <v>115000</v>
          </cell>
          <cell r="O41">
            <v>115000</v>
          </cell>
          <cell r="P41">
            <v>115000</v>
          </cell>
        </row>
        <row r="42"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</row>
        <row r="43">
          <cell r="E43">
            <v>7765.5</v>
          </cell>
          <cell r="F43">
            <v>7765.5</v>
          </cell>
          <cell r="G43">
            <v>7765.5</v>
          </cell>
          <cell r="H43">
            <v>7765.5</v>
          </cell>
          <cell r="I43">
            <v>7765.5</v>
          </cell>
          <cell r="J43">
            <v>7765.5</v>
          </cell>
          <cell r="K43">
            <v>7765.5</v>
          </cell>
          <cell r="L43">
            <v>7765.5</v>
          </cell>
          <cell r="M43">
            <v>7765.5</v>
          </cell>
          <cell r="N43">
            <v>7765.5</v>
          </cell>
          <cell r="O43">
            <v>7765.5</v>
          </cell>
          <cell r="P43">
            <v>7765.5</v>
          </cell>
        </row>
        <row r="44"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</row>
        <row r="45"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</row>
        <row r="46"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</row>
        <row r="47"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</row>
        <row r="48">
          <cell r="E48">
            <v>4166.666666666667</v>
          </cell>
          <cell r="F48">
            <v>4166.666666666667</v>
          </cell>
          <cell r="G48">
            <v>4166.666666666667</v>
          </cell>
          <cell r="H48">
            <v>4166.666666666667</v>
          </cell>
          <cell r="I48">
            <v>4166.666666666667</v>
          </cell>
          <cell r="J48">
            <v>4166.666666666667</v>
          </cell>
          <cell r="K48">
            <v>4166.666666666667</v>
          </cell>
          <cell r="L48">
            <v>4166.666666666667</v>
          </cell>
          <cell r="M48">
            <v>4166.666666666667</v>
          </cell>
          <cell r="N48">
            <v>4166.666666666667</v>
          </cell>
          <cell r="O48">
            <v>4166.666666666667</v>
          </cell>
          <cell r="P48">
            <v>4166.666666666667</v>
          </cell>
        </row>
        <row r="49">
          <cell r="E49">
            <v>8666.6666666666661</v>
          </cell>
          <cell r="F49">
            <v>8666.6666666666661</v>
          </cell>
          <cell r="G49">
            <v>8666.6666666666661</v>
          </cell>
          <cell r="H49">
            <v>8666.6666666666661</v>
          </cell>
          <cell r="I49">
            <v>8666.6666666666661</v>
          </cell>
          <cell r="J49">
            <v>8666.6666666666661</v>
          </cell>
          <cell r="K49">
            <v>8666.6666666666661</v>
          </cell>
          <cell r="L49">
            <v>8666.6666666666661</v>
          </cell>
          <cell r="M49">
            <v>8666.6666666666661</v>
          </cell>
          <cell r="N49">
            <v>8666.6666666666661</v>
          </cell>
          <cell r="O49">
            <v>8666.6666666666661</v>
          </cell>
          <cell r="P49">
            <v>8666.6666666666661</v>
          </cell>
        </row>
        <row r="50">
          <cell r="E50">
            <v>923.96666666666681</v>
          </cell>
          <cell r="F50">
            <v>923.96666666666681</v>
          </cell>
          <cell r="G50">
            <v>923.96666666666681</v>
          </cell>
          <cell r="H50">
            <v>923.96666666666681</v>
          </cell>
          <cell r="I50">
            <v>923.96666666666681</v>
          </cell>
          <cell r="J50">
            <v>923.96666666666681</v>
          </cell>
          <cell r="K50">
            <v>923.96666666666681</v>
          </cell>
          <cell r="L50">
            <v>923.96666666666681</v>
          </cell>
          <cell r="M50">
            <v>923.96666666666681</v>
          </cell>
          <cell r="N50">
            <v>923.96666666666681</v>
          </cell>
          <cell r="O50">
            <v>923.96666666666681</v>
          </cell>
          <cell r="P50">
            <v>923.96666666666681</v>
          </cell>
        </row>
        <row r="51">
          <cell r="E51">
            <v>694.46555000000012</v>
          </cell>
          <cell r="F51">
            <v>694.46555000000012</v>
          </cell>
          <cell r="G51">
            <v>694.46555000000012</v>
          </cell>
          <cell r="H51">
            <v>694.46555000000012</v>
          </cell>
          <cell r="I51">
            <v>694.46555000000012</v>
          </cell>
          <cell r="J51">
            <v>694.46555000000012</v>
          </cell>
          <cell r="K51">
            <v>694.46555000000012</v>
          </cell>
          <cell r="L51">
            <v>694.46555000000012</v>
          </cell>
          <cell r="M51">
            <v>694.46555000000012</v>
          </cell>
          <cell r="N51">
            <v>694.46555000000012</v>
          </cell>
          <cell r="O51">
            <v>694.46555000000012</v>
          </cell>
          <cell r="P51">
            <v>694.46555000000012</v>
          </cell>
        </row>
        <row r="52">
          <cell r="E52">
            <v>1666.6666666666667</v>
          </cell>
          <cell r="F52">
            <v>1666.6666666666667</v>
          </cell>
          <cell r="G52">
            <v>1666.6666666666667</v>
          </cell>
          <cell r="H52">
            <v>1666.6666666666667</v>
          </cell>
          <cell r="I52">
            <v>1666.6666666666667</v>
          </cell>
          <cell r="J52">
            <v>1666.6666666666667</v>
          </cell>
          <cell r="K52">
            <v>1666.6666666666667</v>
          </cell>
          <cell r="L52">
            <v>1666.6666666666667</v>
          </cell>
          <cell r="M52">
            <v>1666.6666666666667</v>
          </cell>
          <cell r="N52">
            <v>1666.6666666666667</v>
          </cell>
          <cell r="O52">
            <v>1666.6666666666667</v>
          </cell>
          <cell r="P52">
            <v>1666.6666666666667</v>
          </cell>
        </row>
        <row r="53">
          <cell r="E53">
            <v>10000</v>
          </cell>
          <cell r="F53">
            <v>10000</v>
          </cell>
          <cell r="G53">
            <v>10000</v>
          </cell>
          <cell r="H53">
            <v>10000</v>
          </cell>
          <cell r="I53">
            <v>10000</v>
          </cell>
          <cell r="J53">
            <v>10000</v>
          </cell>
          <cell r="K53">
            <v>10000</v>
          </cell>
          <cell r="L53">
            <v>10000</v>
          </cell>
          <cell r="M53">
            <v>10000</v>
          </cell>
          <cell r="N53">
            <v>10000</v>
          </cell>
          <cell r="O53">
            <v>10000</v>
          </cell>
          <cell r="P53">
            <v>10000</v>
          </cell>
        </row>
        <row r="54">
          <cell r="E54">
            <v>59196.428571428572</v>
          </cell>
          <cell r="F54">
            <v>59196.428571428572</v>
          </cell>
          <cell r="G54">
            <v>59196.428571428572</v>
          </cell>
          <cell r="H54">
            <v>59196.428571428572</v>
          </cell>
          <cell r="I54">
            <v>59196.428571428572</v>
          </cell>
          <cell r="J54">
            <v>59196.428571428572</v>
          </cell>
          <cell r="K54">
            <v>59196.428571428572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</row>
        <row r="56">
          <cell r="E56">
            <v>-32439.446366782009</v>
          </cell>
          <cell r="F56">
            <v>-32439.446366782009</v>
          </cell>
          <cell r="G56">
            <v>-32439.446366782009</v>
          </cell>
          <cell r="H56">
            <v>-32439.446366782009</v>
          </cell>
          <cell r="I56">
            <v>-32439.446366782009</v>
          </cell>
          <cell r="J56">
            <v>-32439.446366782009</v>
          </cell>
          <cell r="K56">
            <v>-32439.446366782009</v>
          </cell>
          <cell r="L56">
            <v>-32439.446366782009</v>
          </cell>
          <cell r="M56">
            <v>-32439.446366782009</v>
          </cell>
          <cell r="N56">
            <v>-32439.446366782009</v>
          </cell>
          <cell r="O56">
            <v>-32439.446366782009</v>
          </cell>
          <cell r="P56">
            <v>-32439.446366782009</v>
          </cell>
        </row>
        <row r="57">
          <cell r="E57">
            <v>-10813.148788927336</v>
          </cell>
          <cell r="F57">
            <v>-10813.148788927336</v>
          </cell>
          <cell r="G57">
            <v>-10813.148788927336</v>
          </cell>
          <cell r="H57">
            <v>-10813.148788927336</v>
          </cell>
          <cell r="I57">
            <v>-10813.148788927336</v>
          </cell>
          <cell r="J57">
            <v>-10813.148788927336</v>
          </cell>
          <cell r="K57">
            <v>-10813.148788927336</v>
          </cell>
          <cell r="L57">
            <v>-10813.148788927336</v>
          </cell>
          <cell r="M57">
            <v>-10813.148788927336</v>
          </cell>
          <cell r="N57">
            <v>-10813.148788927336</v>
          </cell>
          <cell r="O57">
            <v>-10813.148788927336</v>
          </cell>
          <cell r="P57">
            <v>-10813.148788927336</v>
          </cell>
        </row>
      </sheetData>
      <sheetData sheetId="6" refreshError="1"/>
      <sheetData sheetId="7" refreshError="1">
        <row r="1">
          <cell r="G1">
            <v>227.71</v>
          </cell>
        </row>
        <row r="4">
          <cell r="E4">
            <v>39849.882347359999</v>
          </cell>
          <cell r="F4">
            <v>60058.76074736</v>
          </cell>
          <cell r="G4">
            <v>39849.882347359999</v>
          </cell>
          <cell r="H4">
            <v>39849.882347359999</v>
          </cell>
          <cell r="I4">
            <v>39849.882347359999</v>
          </cell>
          <cell r="J4">
            <v>39849.882347359999</v>
          </cell>
          <cell r="K4">
            <v>39849.882347359999</v>
          </cell>
          <cell r="L4">
            <v>43037.8729351488</v>
          </cell>
          <cell r="M4">
            <v>43037.8729351488</v>
          </cell>
          <cell r="N4">
            <v>43037.8729351488</v>
          </cell>
          <cell r="O4">
            <v>43037.8729351488</v>
          </cell>
          <cell r="P4">
            <v>43037.8729351488</v>
          </cell>
        </row>
        <row r="5">
          <cell r="E5">
            <v>1863.6</v>
          </cell>
          <cell r="F5">
            <v>1863.6</v>
          </cell>
          <cell r="G5">
            <v>1863.6</v>
          </cell>
          <cell r="H5">
            <v>1863.6</v>
          </cell>
          <cell r="I5">
            <v>1863.6</v>
          </cell>
          <cell r="J5">
            <v>1863.6</v>
          </cell>
          <cell r="K5">
            <v>1863.6</v>
          </cell>
          <cell r="L5">
            <v>1863.6</v>
          </cell>
          <cell r="M5">
            <v>1863.6</v>
          </cell>
          <cell r="N5">
            <v>1863.6</v>
          </cell>
          <cell r="O5">
            <v>1863.6</v>
          </cell>
          <cell r="P5">
            <v>1863.6</v>
          </cell>
        </row>
        <row r="6">
          <cell r="E6">
            <v>5240.7279829279996</v>
          </cell>
          <cell r="F6">
            <v>5240.7279829279996</v>
          </cell>
          <cell r="G6">
            <v>5240.7279829279996</v>
          </cell>
          <cell r="H6">
            <v>5240.7279829279996</v>
          </cell>
          <cell r="I6">
            <v>5240.7279829279996</v>
          </cell>
          <cell r="J6">
            <v>5240.7279829279996</v>
          </cell>
          <cell r="K6">
            <v>5240.7279829279996</v>
          </cell>
          <cell r="L6">
            <v>5642.6920135622404</v>
          </cell>
          <cell r="M6">
            <v>5642.6920135622404</v>
          </cell>
          <cell r="N6">
            <v>5642.6920135622404</v>
          </cell>
          <cell r="O6">
            <v>5642.6920135622404</v>
          </cell>
          <cell r="P6">
            <v>5642.6920135622404</v>
          </cell>
        </row>
        <row r="7">
          <cell r="E7">
            <v>4066.0820557199995</v>
          </cell>
          <cell r="F7">
            <v>4066.0820557199995</v>
          </cell>
          <cell r="G7">
            <v>4066.0820557199995</v>
          </cell>
          <cell r="H7">
            <v>4066.0820557199995</v>
          </cell>
          <cell r="I7">
            <v>4066.0820557199995</v>
          </cell>
          <cell r="J7">
            <v>4066.0820557199995</v>
          </cell>
          <cell r="K7">
            <v>4066.0820557199995</v>
          </cell>
          <cell r="L7">
            <v>4377.9507001775992</v>
          </cell>
          <cell r="M7">
            <v>4377.9507001775992</v>
          </cell>
          <cell r="N7">
            <v>4377.9507001775992</v>
          </cell>
          <cell r="O7">
            <v>4377.9507001775992</v>
          </cell>
          <cell r="P7">
            <v>4377.9507001775992</v>
          </cell>
        </row>
        <row r="8"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45918.263147407197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</row>
        <row r="9">
          <cell r="E9">
            <v>3026.9721970360001</v>
          </cell>
          <cell r="F9">
            <v>3026.9721970360001</v>
          </cell>
          <cell r="G9">
            <v>3026.9721970360001</v>
          </cell>
          <cell r="H9">
            <v>3026.9721970360001</v>
          </cell>
          <cell r="I9">
            <v>3026.9721970360001</v>
          </cell>
          <cell r="J9">
            <v>3026.9721970360001</v>
          </cell>
          <cell r="K9">
            <v>3026.9721970360001</v>
          </cell>
          <cell r="L9">
            <v>3259.14107679888</v>
          </cell>
          <cell r="M9">
            <v>3259.14107679888</v>
          </cell>
          <cell r="N9">
            <v>3259.14107679888</v>
          </cell>
          <cell r="O9">
            <v>3259.14107679888</v>
          </cell>
          <cell r="P9">
            <v>3259.14107679888</v>
          </cell>
        </row>
        <row r="10">
          <cell r="E10">
            <v>1428.76</v>
          </cell>
          <cell r="F10">
            <v>1428.76</v>
          </cell>
          <cell r="G10">
            <v>1428.76</v>
          </cell>
          <cell r="H10">
            <v>1428.76</v>
          </cell>
          <cell r="I10">
            <v>1428.76</v>
          </cell>
          <cell r="J10">
            <v>1428.76</v>
          </cell>
          <cell r="K10">
            <v>1428.76</v>
          </cell>
          <cell r="L10">
            <v>1428.76</v>
          </cell>
          <cell r="M10">
            <v>1428.76</v>
          </cell>
          <cell r="N10">
            <v>1428.76</v>
          </cell>
          <cell r="O10">
            <v>1428.76</v>
          </cell>
          <cell r="P10">
            <v>1428.76</v>
          </cell>
        </row>
        <row r="11"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</row>
        <row r="12">
          <cell r="E12">
            <v>1928.826</v>
          </cell>
          <cell r="F12">
            <v>1928.826</v>
          </cell>
          <cell r="G12">
            <v>1928.826</v>
          </cell>
          <cell r="H12">
            <v>1928.826</v>
          </cell>
          <cell r="I12">
            <v>1928.826</v>
          </cell>
          <cell r="J12">
            <v>1928.826</v>
          </cell>
          <cell r="K12">
            <v>1928.826</v>
          </cell>
          <cell r="L12">
            <v>1928.826</v>
          </cell>
          <cell r="M12">
            <v>1928.826</v>
          </cell>
          <cell r="N12">
            <v>1928.826</v>
          </cell>
          <cell r="O12">
            <v>1928.826</v>
          </cell>
          <cell r="P12">
            <v>1928.826</v>
          </cell>
        </row>
        <row r="13"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</row>
        <row r="14">
          <cell r="E14">
            <v>2058.5263479999999</v>
          </cell>
          <cell r="F14">
            <v>2058.5263479999999</v>
          </cell>
          <cell r="G14">
            <v>2058.5263479999999</v>
          </cell>
          <cell r="H14">
            <v>2058.5263479999999</v>
          </cell>
          <cell r="I14">
            <v>2058.5263479999999</v>
          </cell>
          <cell r="J14">
            <v>2058.5263479999999</v>
          </cell>
          <cell r="K14">
            <v>2058.5263479999999</v>
          </cell>
          <cell r="L14">
            <v>2058.5263479999999</v>
          </cell>
          <cell r="M14">
            <v>2058.5263479999999</v>
          </cell>
          <cell r="N14">
            <v>2058.5263479999999</v>
          </cell>
          <cell r="O14">
            <v>2058.5263479999999</v>
          </cell>
          <cell r="P14">
            <v>2058.5263479999999</v>
          </cell>
        </row>
        <row r="15">
          <cell r="E15">
            <v>4791.1292399999993</v>
          </cell>
          <cell r="F15">
            <v>4791.1292399999993</v>
          </cell>
          <cell r="G15">
            <v>4791.1292399999993</v>
          </cell>
          <cell r="H15">
            <v>4791.1292399999993</v>
          </cell>
          <cell r="I15">
            <v>4791.1292399999993</v>
          </cell>
          <cell r="J15">
            <v>4791.1292399999993</v>
          </cell>
          <cell r="K15">
            <v>5164.9052799999999</v>
          </cell>
          <cell r="L15">
            <v>4791.1292399999993</v>
          </cell>
          <cell r="M15">
            <v>4791.1292399999993</v>
          </cell>
          <cell r="N15">
            <v>4791.1292399999993</v>
          </cell>
          <cell r="O15">
            <v>4791.1292399999993</v>
          </cell>
          <cell r="P15">
            <v>4791.1292399999993</v>
          </cell>
        </row>
        <row r="16">
          <cell r="E16">
            <v>931.8</v>
          </cell>
          <cell r="F16">
            <v>931.8</v>
          </cell>
          <cell r="G16">
            <v>931.8</v>
          </cell>
          <cell r="H16">
            <v>931.8</v>
          </cell>
          <cell r="I16">
            <v>931.8</v>
          </cell>
          <cell r="J16">
            <v>931.8</v>
          </cell>
          <cell r="K16">
            <v>931.8</v>
          </cell>
          <cell r="L16">
            <v>931.8</v>
          </cell>
          <cell r="M16">
            <v>931.8</v>
          </cell>
          <cell r="N16">
            <v>931.8</v>
          </cell>
          <cell r="O16">
            <v>931.8</v>
          </cell>
          <cell r="P16">
            <v>931.8</v>
          </cell>
        </row>
        <row r="17">
          <cell r="E17">
            <v>27655.824000000001</v>
          </cell>
          <cell r="F17">
            <v>27655.824000000001</v>
          </cell>
          <cell r="G17">
            <v>27655.824000000001</v>
          </cell>
          <cell r="H17">
            <v>27655.824000000001</v>
          </cell>
          <cell r="I17">
            <v>27655.824000000001</v>
          </cell>
          <cell r="J17">
            <v>27655.824000000001</v>
          </cell>
          <cell r="K17">
            <v>27655.824000000001</v>
          </cell>
          <cell r="L17">
            <v>27655.824000000001</v>
          </cell>
          <cell r="M17">
            <v>27655.824000000001</v>
          </cell>
          <cell r="N17">
            <v>27655.824000000001</v>
          </cell>
          <cell r="O17">
            <v>27655.824000000001</v>
          </cell>
          <cell r="P17">
            <v>27655.824000000001</v>
          </cell>
        </row>
        <row r="18">
          <cell r="E18">
            <v>4240.8205840000001</v>
          </cell>
          <cell r="F18">
            <v>4240.8205840000001</v>
          </cell>
          <cell r="G18">
            <v>4240.8205840000001</v>
          </cell>
          <cell r="H18">
            <v>4240.8205840000001</v>
          </cell>
          <cell r="I18">
            <v>4240.8205840000001</v>
          </cell>
          <cell r="J18">
            <v>4240.8205840000001</v>
          </cell>
          <cell r="K18">
            <v>4240.8205840000001</v>
          </cell>
          <cell r="L18">
            <v>4240.8205840000001</v>
          </cell>
          <cell r="M18">
            <v>4240.8205840000001</v>
          </cell>
          <cell r="N18">
            <v>4240.8205840000001</v>
          </cell>
          <cell r="O18">
            <v>4240.8205840000001</v>
          </cell>
          <cell r="P18">
            <v>4240.8205840000001</v>
          </cell>
        </row>
        <row r="19">
          <cell r="E19">
            <v>1811.8333333333333</v>
          </cell>
          <cell r="F19">
            <v>1811.8333333333333</v>
          </cell>
          <cell r="G19">
            <v>1811.8333333333333</v>
          </cell>
          <cell r="H19">
            <v>1811.8333333333333</v>
          </cell>
          <cell r="I19">
            <v>1811.8333333333333</v>
          </cell>
          <cell r="J19">
            <v>1811.8333333333333</v>
          </cell>
          <cell r="K19">
            <v>1811.8333333333333</v>
          </cell>
          <cell r="L19">
            <v>1811.8333333333333</v>
          </cell>
          <cell r="M19">
            <v>1811.8333333333333</v>
          </cell>
          <cell r="N19">
            <v>1811.8333333333333</v>
          </cell>
          <cell r="O19">
            <v>1811.8333333333333</v>
          </cell>
          <cell r="P19">
            <v>1811.8333333333333</v>
          </cell>
        </row>
        <row r="20">
          <cell r="E20">
            <v>0</v>
          </cell>
          <cell r="F20">
            <v>0</v>
          </cell>
          <cell r="G20">
            <v>187758.39127135999</v>
          </cell>
          <cell r="H20">
            <v>0</v>
          </cell>
          <cell r="I20">
            <v>4637.3932725120003</v>
          </cell>
          <cell r="J20">
            <v>4637.3932725120003</v>
          </cell>
          <cell r="K20">
            <v>88405.592072511383</v>
          </cell>
          <cell r="L20">
            <v>12170.134543871998</v>
          </cell>
          <cell r="M20">
            <v>88405.592072511383</v>
          </cell>
          <cell r="N20">
            <v>4637.3932725120003</v>
          </cell>
          <cell r="O20">
            <v>4637.3932725120003</v>
          </cell>
          <cell r="P20">
            <v>4637.3932725120003</v>
          </cell>
        </row>
        <row r="21">
          <cell r="E21">
            <v>20436.083853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</row>
        <row r="22">
          <cell r="E22">
            <v>9786.7997615999375</v>
          </cell>
          <cell r="F22">
            <v>9786.7997615999375</v>
          </cell>
          <cell r="G22">
            <v>9786.7997615999375</v>
          </cell>
          <cell r="H22">
            <v>9786.7997615999375</v>
          </cell>
          <cell r="I22">
            <v>9786.7997615999375</v>
          </cell>
          <cell r="J22">
            <v>9786.7997615999375</v>
          </cell>
          <cell r="K22">
            <v>9786.7997615999375</v>
          </cell>
          <cell r="L22">
            <v>9786.7997615999375</v>
          </cell>
          <cell r="M22">
            <v>9786.7997615999375</v>
          </cell>
          <cell r="N22">
            <v>9786.7997615999375</v>
          </cell>
          <cell r="O22">
            <v>9786.7997615999375</v>
          </cell>
          <cell r="P22">
            <v>9786.7997615999375</v>
          </cell>
        </row>
        <row r="23"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</row>
        <row r="24">
          <cell r="E24">
            <v>8529.0713483190611</v>
          </cell>
          <cell r="F24">
            <v>8529.0713483190611</v>
          </cell>
          <cell r="G24">
            <v>8529.0713483190611</v>
          </cell>
          <cell r="H24">
            <v>8529.0713483190611</v>
          </cell>
          <cell r="I24">
            <v>8529.0713483190611</v>
          </cell>
          <cell r="J24">
            <v>8529.0713483190611</v>
          </cell>
          <cell r="K24">
            <v>7047.1898944797013</v>
          </cell>
          <cell r="L24">
            <v>8529.0713483190611</v>
          </cell>
          <cell r="M24">
            <v>8529.0713483190611</v>
          </cell>
          <cell r="N24">
            <v>8529.0713483190611</v>
          </cell>
          <cell r="O24">
            <v>8529.0713483190611</v>
          </cell>
          <cell r="P24">
            <v>8529.0713483190611</v>
          </cell>
        </row>
        <row r="25">
          <cell r="E25">
            <v>0</v>
          </cell>
          <cell r="F25">
            <v>0</v>
          </cell>
          <cell r="G25">
            <v>28158.799949279997</v>
          </cell>
          <cell r="H25">
            <v>35543.819634523199</v>
          </cell>
          <cell r="I25">
            <v>35543.819634523199</v>
          </cell>
          <cell r="J25">
            <v>37250.539744017595</v>
          </cell>
          <cell r="K25">
            <v>9091.7397947375994</v>
          </cell>
          <cell r="L25">
            <v>9091.7397947375994</v>
          </cell>
          <cell r="M25">
            <v>9091.7397947375994</v>
          </cell>
          <cell r="N25">
            <v>5161.6852817243998</v>
          </cell>
          <cell r="O25">
            <v>3954.621069656394</v>
          </cell>
          <cell r="P25">
            <v>3954.621069656394</v>
          </cell>
        </row>
        <row r="26">
          <cell r="E26">
            <v>36115.9770027493</v>
          </cell>
          <cell r="F26">
            <v>73672.505010147695</v>
          </cell>
          <cell r="G26">
            <v>113637.68415913398</v>
          </cell>
          <cell r="H26">
            <v>113637.68415913398</v>
          </cell>
          <cell r="I26">
            <v>127393.82728877167</v>
          </cell>
          <cell r="J26">
            <v>98489.239228314778</v>
          </cell>
          <cell r="K26">
            <v>84733.096098677066</v>
          </cell>
          <cell r="L26">
            <v>113637.68415913398</v>
          </cell>
          <cell r="M26">
            <v>142581.20323908722</v>
          </cell>
          <cell r="N26">
            <v>135874.23093684734</v>
          </cell>
          <cell r="O26">
            <v>98392.764649316829</v>
          </cell>
          <cell r="P26">
            <v>95984.113507728922</v>
          </cell>
        </row>
        <row r="27">
          <cell r="E27">
            <v>1663.83720646848</v>
          </cell>
          <cell r="F27">
            <v>6006.5663541638396</v>
          </cell>
          <cell r="G27">
            <v>6006.5663541638396</v>
          </cell>
          <cell r="H27">
            <v>6263.5925111759998</v>
          </cell>
          <cell r="I27">
            <v>2453.5696545360001</v>
          </cell>
          <cell r="J27">
            <v>7927.4297176444788</v>
          </cell>
          <cell r="K27">
            <v>4117.4068610044797</v>
          </cell>
          <cell r="L27">
            <v>7927.4297176444788</v>
          </cell>
          <cell r="M27">
            <v>7927.4297176444788</v>
          </cell>
          <cell r="N27">
            <v>6041.7122364104798</v>
          </cell>
          <cell r="O27">
            <v>4377.8750299419935</v>
          </cell>
          <cell r="P27">
            <v>4377.8750299419935</v>
          </cell>
        </row>
        <row r="28">
          <cell r="E28">
            <v>5169.0503985119994</v>
          </cell>
          <cell r="F28">
            <v>5169.0503985119994</v>
          </cell>
          <cell r="G28">
            <v>6892.0671980159996</v>
          </cell>
          <cell r="H28">
            <v>7049.1019238640001</v>
          </cell>
          <cell r="I28">
            <v>6030.5587982639991</v>
          </cell>
          <cell r="J28">
            <v>5326.0851243599991</v>
          </cell>
          <cell r="K28">
            <v>4307.5419987599998</v>
          </cell>
          <cell r="L28">
            <v>7049.1019238640001</v>
          </cell>
          <cell r="M28">
            <v>7049.1019238640001</v>
          </cell>
          <cell r="N28">
            <v>6483.0935156459991</v>
          </cell>
          <cell r="O28">
            <v>4760.0767161419999</v>
          </cell>
          <cell r="P28">
            <v>4760.0767161419999</v>
          </cell>
        </row>
        <row r="29">
          <cell r="E29">
            <v>9165.7407739999999</v>
          </cell>
          <cell r="F29">
            <v>11653.826922</v>
          </cell>
          <cell r="G29">
            <v>9165.7407739999999</v>
          </cell>
          <cell r="H29">
            <v>11653.826922</v>
          </cell>
          <cell r="I29">
            <v>9165.7407739999999</v>
          </cell>
          <cell r="J29">
            <v>11653.826922</v>
          </cell>
          <cell r="K29">
            <v>9165.7407739999999</v>
          </cell>
          <cell r="L29">
            <v>11653.826922</v>
          </cell>
          <cell r="M29">
            <v>9165.7407739999999</v>
          </cell>
          <cell r="N29">
            <v>11653.826922</v>
          </cell>
          <cell r="O29">
            <v>9165.7407739999999</v>
          </cell>
          <cell r="P29">
            <v>11653.826922</v>
          </cell>
        </row>
        <row r="30">
          <cell r="E30">
            <v>4141.333333333333</v>
          </cell>
          <cell r="F30">
            <v>4141.333333333333</v>
          </cell>
          <cell r="G30">
            <v>4141.333333333333</v>
          </cell>
          <cell r="H30">
            <v>4141.333333333333</v>
          </cell>
          <cell r="I30">
            <v>4141.333333333333</v>
          </cell>
          <cell r="J30">
            <v>4141.333333333333</v>
          </cell>
          <cell r="K30">
            <v>4141.333333333333</v>
          </cell>
          <cell r="L30">
            <v>4141.333333333333</v>
          </cell>
          <cell r="M30">
            <v>4141.333333333333</v>
          </cell>
          <cell r="N30">
            <v>4141.333333333333</v>
          </cell>
          <cell r="O30">
            <v>4141.333333333333</v>
          </cell>
          <cell r="P30">
            <v>4141.333333333333</v>
          </cell>
        </row>
        <row r="31">
          <cell r="E31">
            <v>1811.8333333333333</v>
          </cell>
          <cell r="F31">
            <v>1811.8333333333333</v>
          </cell>
          <cell r="G31">
            <v>1811.8333333333333</v>
          </cell>
          <cell r="H31">
            <v>1811.8333333333333</v>
          </cell>
          <cell r="I31">
            <v>1811.8333333333333</v>
          </cell>
          <cell r="J31">
            <v>1811.8333333333333</v>
          </cell>
          <cell r="K31">
            <v>1811.8333333333333</v>
          </cell>
          <cell r="L31">
            <v>1811.8333333333333</v>
          </cell>
          <cell r="M31">
            <v>1811.8333333333333</v>
          </cell>
          <cell r="N31">
            <v>1811.8333333333333</v>
          </cell>
          <cell r="O31">
            <v>1811.8333333333333</v>
          </cell>
          <cell r="P31">
            <v>1811.8333333333333</v>
          </cell>
        </row>
        <row r="32">
          <cell r="E32">
            <v>228168.21590639997</v>
          </cell>
          <cell r="F32">
            <v>162171.75134159994</v>
          </cell>
          <cell r="G32">
            <v>162171.75134159994</v>
          </cell>
          <cell r="H32">
            <v>175943.39162399998</v>
          </cell>
          <cell r="I32">
            <v>175943.39162399998</v>
          </cell>
          <cell r="J32">
            <v>219485.96762399998</v>
          </cell>
          <cell r="K32">
            <v>191908.39021199997</v>
          </cell>
          <cell r="L32">
            <v>39584.159999999996</v>
          </cell>
          <cell r="M32">
            <v>2827.4399999999996</v>
          </cell>
          <cell r="N32">
            <v>2827.4399999999996</v>
          </cell>
          <cell r="O32">
            <v>0</v>
          </cell>
          <cell r="P32">
            <v>0</v>
          </cell>
        </row>
        <row r="33">
          <cell r="E33">
            <v>144257.14285714284</v>
          </cell>
          <cell r="F33">
            <v>118028.57142857143</v>
          </cell>
          <cell r="G33">
            <v>118028.57142857143</v>
          </cell>
          <cell r="H33">
            <v>131142.85714285713</v>
          </cell>
          <cell r="I33">
            <v>131142.85714285713</v>
          </cell>
          <cell r="J33">
            <v>131142.85714285713</v>
          </cell>
          <cell r="K33">
            <v>65571.428571428565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</row>
        <row r="34"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</row>
        <row r="35"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</row>
        <row r="36">
          <cell r="E36">
            <v>7765</v>
          </cell>
          <cell r="F36">
            <v>7765</v>
          </cell>
          <cell r="G36">
            <v>7765</v>
          </cell>
          <cell r="H36">
            <v>7765</v>
          </cell>
          <cell r="I36">
            <v>7765</v>
          </cell>
          <cell r="J36">
            <v>7765</v>
          </cell>
          <cell r="K36">
            <v>7765</v>
          </cell>
          <cell r="L36">
            <v>7765</v>
          </cell>
          <cell r="M36">
            <v>7765</v>
          </cell>
          <cell r="N36">
            <v>7765</v>
          </cell>
          <cell r="O36">
            <v>7765</v>
          </cell>
          <cell r="P36">
            <v>7765</v>
          </cell>
        </row>
        <row r="37">
          <cell r="E37">
            <v>7247.333333333333</v>
          </cell>
          <cell r="F37">
            <v>7247.333333333333</v>
          </cell>
          <cell r="G37">
            <v>7247.333333333333</v>
          </cell>
          <cell r="H37">
            <v>7247.333333333333</v>
          </cell>
          <cell r="I37">
            <v>7247.333333333333</v>
          </cell>
          <cell r="J37">
            <v>7247.333333333333</v>
          </cell>
          <cell r="K37">
            <v>7247.333333333333</v>
          </cell>
          <cell r="L37">
            <v>7247.333333333333</v>
          </cell>
          <cell r="M37">
            <v>7247.333333333333</v>
          </cell>
          <cell r="N37">
            <v>7247.333333333333</v>
          </cell>
          <cell r="O37">
            <v>7247.333333333333</v>
          </cell>
          <cell r="P37">
            <v>7247.333333333333</v>
          </cell>
        </row>
        <row r="38">
          <cell r="E38">
            <v>1397.7</v>
          </cell>
          <cell r="F38">
            <v>1397.7</v>
          </cell>
          <cell r="G38">
            <v>1397.7</v>
          </cell>
          <cell r="H38">
            <v>1397.7</v>
          </cell>
          <cell r="I38">
            <v>1397.7</v>
          </cell>
          <cell r="J38">
            <v>1397.7</v>
          </cell>
          <cell r="K38">
            <v>1397.7</v>
          </cell>
          <cell r="L38">
            <v>1397.7</v>
          </cell>
          <cell r="M38">
            <v>1397.7</v>
          </cell>
          <cell r="N38">
            <v>1397.7</v>
          </cell>
          <cell r="O38">
            <v>1397.7</v>
          </cell>
          <cell r="P38">
            <v>1397.7</v>
          </cell>
        </row>
        <row r="39">
          <cell r="E39">
            <v>517.66666666666663</v>
          </cell>
          <cell r="F39">
            <v>517.66666666666663</v>
          </cell>
          <cell r="G39">
            <v>517.66666666666663</v>
          </cell>
          <cell r="H39">
            <v>517.66666666666663</v>
          </cell>
          <cell r="I39">
            <v>517.66666666666663</v>
          </cell>
          <cell r="J39">
            <v>517.66666666666663</v>
          </cell>
          <cell r="K39">
            <v>517.66666666666663</v>
          </cell>
          <cell r="L39">
            <v>517.66666666666663</v>
          </cell>
          <cell r="M39">
            <v>517.66666666666663</v>
          </cell>
          <cell r="N39">
            <v>517.66666666666663</v>
          </cell>
          <cell r="O39">
            <v>517.66666666666663</v>
          </cell>
          <cell r="P39">
            <v>517.66666666666663</v>
          </cell>
        </row>
        <row r="40">
          <cell r="E40">
            <v>1553</v>
          </cell>
          <cell r="F40">
            <v>1553</v>
          </cell>
          <cell r="G40">
            <v>1553</v>
          </cell>
          <cell r="H40">
            <v>1553</v>
          </cell>
          <cell r="I40">
            <v>1553</v>
          </cell>
          <cell r="J40">
            <v>1553</v>
          </cell>
          <cell r="K40">
            <v>1553</v>
          </cell>
          <cell r="L40">
            <v>1553</v>
          </cell>
          <cell r="M40">
            <v>1553</v>
          </cell>
          <cell r="N40">
            <v>1553</v>
          </cell>
          <cell r="O40">
            <v>1553</v>
          </cell>
          <cell r="P40">
            <v>1553</v>
          </cell>
        </row>
        <row r="41">
          <cell r="E41">
            <v>45451.133333333331</v>
          </cell>
          <cell r="F41">
            <v>45451.133333333331</v>
          </cell>
          <cell r="G41">
            <v>45451.133333333331</v>
          </cell>
          <cell r="H41">
            <v>45451.133333333331</v>
          </cell>
          <cell r="I41">
            <v>45451.133333333331</v>
          </cell>
          <cell r="J41">
            <v>45451.133333333331</v>
          </cell>
          <cell r="K41">
            <v>45451.133333333331</v>
          </cell>
          <cell r="L41">
            <v>45451.133333333331</v>
          </cell>
          <cell r="M41">
            <v>45451.133333333331</v>
          </cell>
          <cell r="N41">
            <v>45451.133333333331</v>
          </cell>
          <cell r="O41">
            <v>45451.133333333331</v>
          </cell>
          <cell r="P41">
            <v>45451.133333333331</v>
          </cell>
        </row>
        <row r="42"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</row>
        <row r="43">
          <cell r="E43">
            <v>2999.3089</v>
          </cell>
          <cell r="F43">
            <v>2999.3089</v>
          </cell>
          <cell r="G43">
            <v>2999.3089</v>
          </cell>
          <cell r="H43">
            <v>2999.3089</v>
          </cell>
          <cell r="I43">
            <v>2999.3089</v>
          </cell>
          <cell r="J43">
            <v>2999.3089</v>
          </cell>
          <cell r="K43">
            <v>2999.3089</v>
          </cell>
          <cell r="L43">
            <v>2999.3089</v>
          </cell>
          <cell r="M43">
            <v>2999.3089</v>
          </cell>
          <cell r="N43">
            <v>2999.3089</v>
          </cell>
          <cell r="O43">
            <v>2999.3089</v>
          </cell>
          <cell r="P43">
            <v>2999.3089</v>
          </cell>
        </row>
        <row r="44"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</row>
        <row r="45"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</row>
        <row r="46"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</row>
        <row r="47"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</row>
        <row r="48">
          <cell r="E48">
            <v>2070.6666666666665</v>
          </cell>
          <cell r="F48">
            <v>2070.6666666666665</v>
          </cell>
          <cell r="G48">
            <v>2070.6666666666665</v>
          </cell>
          <cell r="H48">
            <v>2070.6666666666665</v>
          </cell>
          <cell r="I48">
            <v>2070.6666666666665</v>
          </cell>
          <cell r="J48">
            <v>2070.6666666666665</v>
          </cell>
          <cell r="K48">
            <v>2070.6666666666665</v>
          </cell>
          <cell r="L48">
            <v>2070.6666666666665</v>
          </cell>
          <cell r="M48">
            <v>2070.6666666666665</v>
          </cell>
          <cell r="N48">
            <v>2070.6666666666665</v>
          </cell>
          <cell r="O48">
            <v>2070.6666666666665</v>
          </cell>
          <cell r="P48">
            <v>2070.6666666666665</v>
          </cell>
        </row>
        <row r="49">
          <cell r="E49">
            <v>5409.6166666666668</v>
          </cell>
          <cell r="F49">
            <v>5409.6166666666668</v>
          </cell>
          <cell r="G49">
            <v>5409.6166666666668</v>
          </cell>
          <cell r="H49">
            <v>5409.6166666666668</v>
          </cell>
          <cell r="I49">
            <v>5409.6166666666668</v>
          </cell>
          <cell r="J49">
            <v>5409.6166666666668</v>
          </cell>
          <cell r="K49">
            <v>5409.6166666666668</v>
          </cell>
          <cell r="L49">
            <v>5409.6166666666668</v>
          </cell>
          <cell r="M49">
            <v>5409.6166666666668</v>
          </cell>
          <cell r="N49">
            <v>5409.6166666666668</v>
          </cell>
          <cell r="O49">
            <v>5409.6166666666668</v>
          </cell>
          <cell r="P49">
            <v>5409.6166666666668</v>
          </cell>
        </row>
        <row r="50">
          <cell r="E50">
            <v>357.22105999999997</v>
          </cell>
          <cell r="F50">
            <v>357.22105999999997</v>
          </cell>
          <cell r="G50">
            <v>357.22105999999997</v>
          </cell>
          <cell r="H50">
            <v>357.22105999999997</v>
          </cell>
          <cell r="I50">
            <v>357.22105999999997</v>
          </cell>
          <cell r="J50">
            <v>357.22105999999997</v>
          </cell>
          <cell r="K50">
            <v>357.22105999999997</v>
          </cell>
          <cell r="L50">
            <v>357.22105999999997</v>
          </cell>
          <cell r="M50">
            <v>357.22105999999997</v>
          </cell>
          <cell r="N50">
            <v>357.22105999999997</v>
          </cell>
          <cell r="O50">
            <v>357.22105999999997</v>
          </cell>
          <cell r="P50">
            <v>357.22105999999997</v>
          </cell>
        </row>
        <row r="51">
          <cell r="E51">
            <v>268.49206670999996</v>
          </cell>
          <cell r="F51">
            <v>268.49206670999996</v>
          </cell>
          <cell r="G51">
            <v>268.49206670999996</v>
          </cell>
          <cell r="H51">
            <v>268.49206670999996</v>
          </cell>
          <cell r="I51">
            <v>268.49206670999996</v>
          </cell>
          <cell r="J51">
            <v>268.49206670999996</v>
          </cell>
          <cell r="K51">
            <v>268.49206670999996</v>
          </cell>
          <cell r="L51">
            <v>268.49206670999996</v>
          </cell>
          <cell r="M51">
            <v>268.49206670999996</v>
          </cell>
          <cell r="N51">
            <v>268.49206670999996</v>
          </cell>
          <cell r="O51">
            <v>268.49206670999996</v>
          </cell>
          <cell r="P51">
            <v>268.49206670999996</v>
          </cell>
        </row>
        <row r="52">
          <cell r="E52">
            <v>2070.6666666666665</v>
          </cell>
          <cell r="F52">
            <v>2070.6666666666665</v>
          </cell>
          <cell r="G52">
            <v>2070.6666666666665</v>
          </cell>
          <cell r="H52">
            <v>2070.6666666666665</v>
          </cell>
          <cell r="I52">
            <v>2070.6666666666665</v>
          </cell>
          <cell r="J52">
            <v>2070.6666666666665</v>
          </cell>
          <cell r="K52">
            <v>2070.6666666666665</v>
          </cell>
          <cell r="L52">
            <v>2070.6666666666665</v>
          </cell>
          <cell r="M52">
            <v>2070.6666666666665</v>
          </cell>
          <cell r="N52">
            <v>2070.6666666666665</v>
          </cell>
          <cell r="O52">
            <v>2070.6666666666665</v>
          </cell>
          <cell r="P52">
            <v>2070.6666666666665</v>
          </cell>
        </row>
        <row r="53">
          <cell r="E53">
            <v>1035.3333333333333</v>
          </cell>
          <cell r="F53">
            <v>1035.3333333333333</v>
          </cell>
          <cell r="G53">
            <v>1035.3333333333333</v>
          </cell>
          <cell r="H53">
            <v>1035.3333333333333</v>
          </cell>
          <cell r="I53">
            <v>1035.3333333333333</v>
          </cell>
          <cell r="J53">
            <v>1035.3333333333333</v>
          </cell>
          <cell r="K53">
            <v>1035.3333333333333</v>
          </cell>
          <cell r="L53">
            <v>1035.3333333333333</v>
          </cell>
          <cell r="M53">
            <v>1035.3333333333333</v>
          </cell>
          <cell r="N53">
            <v>1035.3333333333333</v>
          </cell>
          <cell r="O53">
            <v>1035.3333333333333</v>
          </cell>
          <cell r="P53">
            <v>1035.3333333333333</v>
          </cell>
        </row>
        <row r="54">
          <cell r="E54">
            <v>15754.771400135465</v>
          </cell>
          <cell r="F54">
            <v>15754.771400135465</v>
          </cell>
          <cell r="G54">
            <v>15754.771400135465</v>
          </cell>
          <cell r="H54">
            <v>15754.771400135465</v>
          </cell>
          <cell r="I54">
            <v>15754.771400135465</v>
          </cell>
          <cell r="J54">
            <v>15754.771400135465</v>
          </cell>
          <cell r="K54">
            <v>15754.771400135465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</row>
        <row r="56">
          <cell r="E56">
            <v>-9004.6862802768155</v>
          </cell>
          <cell r="F56">
            <v>-9004.6862802768155</v>
          </cell>
          <cell r="G56">
            <v>-9004.6862802768155</v>
          </cell>
          <cell r="H56">
            <v>-9004.6862802768155</v>
          </cell>
          <cell r="I56">
            <v>-9004.6862802768155</v>
          </cell>
          <cell r="J56">
            <v>-9004.6862802768155</v>
          </cell>
          <cell r="K56">
            <v>-9004.6862802768155</v>
          </cell>
          <cell r="L56">
            <v>-9004.6862802768155</v>
          </cell>
          <cell r="M56">
            <v>-9004.6862802768155</v>
          </cell>
          <cell r="N56">
            <v>-9004.6862802768155</v>
          </cell>
          <cell r="O56">
            <v>-9004.6862802768155</v>
          </cell>
          <cell r="P56">
            <v>-9004.6862802768155</v>
          </cell>
        </row>
        <row r="57">
          <cell r="E57">
            <v>-3001.5620934256053</v>
          </cell>
          <cell r="F57">
            <v>-3001.5620934256053</v>
          </cell>
          <cell r="G57">
            <v>-3001.5620934256053</v>
          </cell>
          <cell r="H57">
            <v>-3001.5620934256053</v>
          </cell>
          <cell r="I57">
            <v>-3001.5620934256053</v>
          </cell>
          <cell r="J57">
            <v>-3001.5620934256053</v>
          </cell>
          <cell r="K57">
            <v>-3001.5620934256053</v>
          </cell>
          <cell r="L57">
            <v>-3001.5620934256053</v>
          </cell>
          <cell r="M57">
            <v>-3001.5620934256053</v>
          </cell>
          <cell r="N57">
            <v>-3001.5620934256053</v>
          </cell>
          <cell r="O57">
            <v>-3001.5620934256053</v>
          </cell>
          <cell r="P57">
            <v>-3001.5620934256053</v>
          </cell>
        </row>
      </sheetData>
      <sheetData sheetId="8" refreshError="1"/>
      <sheetData sheetId="9" refreshError="1"/>
      <sheetData sheetId="10" refreshError="1">
        <row r="1">
          <cell r="G1">
            <v>686.73</v>
          </cell>
        </row>
        <row r="4">
          <cell r="E4">
            <v>118494.27040000001</v>
          </cell>
          <cell r="F4">
            <v>173997.27040000001</v>
          </cell>
          <cell r="G4">
            <v>118494.27040000001</v>
          </cell>
          <cell r="H4">
            <v>118494.27040000001</v>
          </cell>
          <cell r="I4">
            <v>118494.27040000001</v>
          </cell>
          <cell r="J4">
            <v>118494.27040000001</v>
          </cell>
          <cell r="K4">
            <v>118494.27040000001</v>
          </cell>
          <cell r="L4">
            <v>127973.81203200002</v>
          </cell>
          <cell r="M4">
            <v>127973.81203200002</v>
          </cell>
          <cell r="N4">
            <v>127973.81203200002</v>
          </cell>
          <cell r="O4">
            <v>127973.81203200002</v>
          </cell>
          <cell r="P4">
            <v>127973.81203200002</v>
          </cell>
        </row>
        <row r="5">
          <cell r="E5">
            <v>8333.3333333333339</v>
          </cell>
          <cell r="F5">
            <v>8333.3333333333339</v>
          </cell>
          <cell r="G5">
            <v>8333.3333333333339</v>
          </cell>
          <cell r="H5">
            <v>8333.3333333333339</v>
          </cell>
          <cell r="I5">
            <v>8333.3333333333339</v>
          </cell>
          <cell r="J5">
            <v>8333.3333333333339</v>
          </cell>
          <cell r="K5">
            <v>8333.3333333333339</v>
          </cell>
          <cell r="L5">
            <v>8333.3333333333339</v>
          </cell>
          <cell r="M5">
            <v>8333.3333333333339</v>
          </cell>
          <cell r="N5">
            <v>8333.3333333333339</v>
          </cell>
          <cell r="O5">
            <v>8333.3333333333339</v>
          </cell>
          <cell r="P5">
            <v>8333.3333333333339</v>
          </cell>
        </row>
        <row r="6">
          <cell r="E6">
            <v>15111.886157333334</v>
          </cell>
          <cell r="F6">
            <v>15111.886157333334</v>
          </cell>
          <cell r="G6">
            <v>15111.886157333334</v>
          </cell>
          <cell r="H6">
            <v>15111.886157333334</v>
          </cell>
          <cell r="I6">
            <v>15111.886157333334</v>
          </cell>
          <cell r="J6">
            <v>15111.886157333334</v>
          </cell>
          <cell r="K6">
            <v>15111.886157333334</v>
          </cell>
          <cell r="L6">
            <v>16247.370383253336</v>
          </cell>
          <cell r="M6">
            <v>16247.370383253336</v>
          </cell>
          <cell r="N6">
            <v>16247.370383253336</v>
          </cell>
          <cell r="O6">
            <v>16247.370383253336</v>
          </cell>
          <cell r="P6">
            <v>16247.370383253336</v>
          </cell>
        </row>
        <row r="7">
          <cell r="E7">
            <v>11724.739259999998</v>
          </cell>
          <cell r="F7">
            <v>11724.739259999998</v>
          </cell>
          <cell r="G7">
            <v>11724.739259999998</v>
          </cell>
          <cell r="H7">
            <v>11724.739259999998</v>
          </cell>
          <cell r="I7">
            <v>11724.739259999998</v>
          </cell>
          <cell r="J7">
            <v>11724.739259999998</v>
          </cell>
          <cell r="K7">
            <v>11724.739259999998</v>
          </cell>
          <cell r="L7">
            <v>12605.7184008</v>
          </cell>
          <cell r="M7">
            <v>12605.7184008</v>
          </cell>
          <cell r="N7">
            <v>12605.7184008</v>
          </cell>
          <cell r="O7">
            <v>12605.7184008</v>
          </cell>
          <cell r="P7">
            <v>12605.7184008</v>
          </cell>
        </row>
        <row r="8"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141371.09081861336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</row>
        <row r="9">
          <cell r="E9">
            <v>9187.8073733333331</v>
          </cell>
          <cell r="F9">
            <v>9187.8073733333331</v>
          </cell>
          <cell r="G9">
            <v>9187.8073733333331</v>
          </cell>
          <cell r="H9">
            <v>9187.8073733333331</v>
          </cell>
          <cell r="I9">
            <v>9187.8073733333331</v>
          </cell>
          <cell r="J9">
            <v>9187.8073733333331</v>
          </cell>
          <cell r="K9">
            <v>9187.8073733333331</v>
          </cell>
          <cell r="L9">
            <v>9878.165296533336</v>
          </cell>
          <cell r="M9">
            <v>9878.165296533336</v>
          </cell>
          <cell r="N9">
            <v>9878.165296533336</v>
          </cell>
          <cell r="O9">
            <v>9878.165296533336</v>
          </cell>
          <cell r="P9">
            <v>9878.165296533336</v>
          </cell>
        </row>
        <row r="10">
          <cell r="E10">
            <v>10000</v>
          </cell>
          <cell r="F10">
            <v>10000</v>
          </cell>
          <cell r="G10">
            <v>10000</v>
          </cell>
          <cell r="H10">
            <v>10000</v>
          </cell>
          <cell r="I10">
            <v>10000</v>
          </cell>
          <cell r="J10">
            <v>10000</v>
          </cell>
          <cell r="K10">
            <v>10000</v>
          </cell>
          <cell r="L10">
            <v>10000</v>
          </cell>
          <cell r="M10">
            <v>10000</v>
          </cell>
          <cell r="N10">
            <v>10000</v>
          </cell>
          <cell r="O10">
            <v>10000</v>
          </cell>
          <cell r="P10">
            <v>10000</v>
          </cell>
        </row>
        <row r="11"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</row>
        <row r="12">
          <cell r="E12">
            <v>3105</v>
          </cell>
          <cell r="F12">
            <v>3105</v>
          </cell>
          <cell r="G12">
            <v>3105</v>
          </cell>
          <cell r="H12">
            <v>3105</v>
          </cell>
          <cell r="I12">
            <v>3105</v>
          </cell>
          <cell r="J12">
            <v>3105</v>
          </cell>
          <cell r="K12">
            <v>3105</v>
          </cell>
          <cell r="L12">
            <v>3105</v>
          </cell>
          <cell r="M12">
            <v>3105</v>
          </cell>
          <cell r="N12">
            <v>3105</v>
          </cell>
          <cell r="O12">
            <v>3105</v>
          </cell>
          <cell r="P12">
            <v>3105</v>
          </cell>
        </row>
        <row r="13">
          <cell r="E13">
            <v>20000</v>
          </cell>
          <cell r="F13">
            <v>20000</v>
          </cell>
          <cell r="G13">
            <v>20000</v>
          </cell>
          <cell r="H13">
            <v>20000</v>
          </cell>
          <cell r="I13">
            <v>20000</v>
          </cell>
          <cell r="J13">
            <v>20000</v>
          </cell>
          <cell r="K13">
            <v>20000</v>
          </cell>
          <cell r="L13">
            <v>20000</v>
          </cell>
          <cell r="M13">
            <v>20000</v>
          </cell>
          <cell r="N13">
            <v>20000</v>
          </cell>
          <cell r="O13">
            <v>20000</v>
          </cell>
          <cell r="P13">
            <v>20000</v>
          </cell>
        </row>
        <row r="14">
          <cell r="E14">
            <v>5960.91</v>
          </cell>
          <cell r="F14">
            <v>5960.91</v>
          </cell>
          <cell r="G14">
            <v>5960.91</v>
          </cell>
          <cell r="H14">
            <v>5960.91</v>
          </cell>
          <cell r="I14">
            <v>5960.91</v>
          </cell>
          <cell r="J14">
            <v>5960.91</v>
          </cell>
          <cell r="K14">
            <v>5960.91</v>
          </cell>
          <cell r="L14">
            <v>5960.91</v>
          </cell>
          <cell r="M14">
            <v>5960.91</v>
          </cell>
          <cell r="N14">
            <v>5960.91</v>
          </cell>
          <cell r="O14">
            <v>5960.91</v>
          </cell>
          <cell r="P14">
            <v>5960.91</v>
          </cell>
        </row>
        <row r="15">
          <cell r="E15">
            <v>14452.5</v>
          </cell>
          <cell r="F15">
            <v>14452.5</v>
          </cell>
          <cell r="G15">
            <v>14452.5</v>
          </cell>
          <cell r="H15">
            <v>14452.5</v>
          </cell>
          <cell r="I15">
            <v>14452.5</v>
          </cell>
          <cell r="J15">
            <v>14452.5</v>
          </cell>
          <cell r="K15">
            <v>15580</v>
          </cell>
          <cell r="L15">
            <v>14452.5</v>
          </cell>
          <cell r="M15">
            <v>14452.5</v>
          </cell>
          <cell r="N15">
            <v>14452.5</v>
          </cell>
          <cell r="O15">
            <v>14452.5</v>
          </cell>
          <cell r="P15">
            <v>14452.5</v>
          </cell>
        </row>
        <row r="16">
          <cell r="E16">
            <v>2500</v>
          </cell>
          <cell r="F16">
            <v>2500</v>
          </cell>
          <cell r="G16">
            <v>2500</v>
          </cell>
          <cell r="H16">
            <v>2500</v>
          </cell>
          <cell r="I16">
            <v>2500</v>
          </cell>
          <cell r="J16">
            <v>2500</v>
          </cell>
          <cell r="K16">
            <v>2500</v>
          </cell>
          <cell r="L16">
            <v>2500</v>
          </cell>
          <cell r="M16">
            <v>2500</v>
          </cell>
          <cell r="N16">
            <v>2500</v>
          </cell>
          <cell r="O16">
            <v>2500</v>
          </cell>
          <cell r="P16">
            <v>2500</v>
          </cell>
        </row>
        <row r="17">
          <cell r="E17">
            <v>77274</v>
          </cell>
          <cell r="F17">
            <v>77274</v>
          </cell>
          <cell r="G17">
            <v>77274</v>
          </cell>
          <cell r="H17">
            <v>77274</v>
          </cell>
          <cell r="I17">
            <v>77274</v>
          </cell>
          <cell r="J17">
            <v>77274</v>
          </cell>
          <cell r="K17">
            <v>77274</v>
          </cell>
          <cell r="L17">
            <v>77274</v>
          </cell>
          <cell r="M17">
            <v>77274</v>
          </cell>
          <cell r="N17">
            <v>77274</v>
          </cell>
          <cell r="O17">
            <v>77274</v>
          </cell>
          <cell r="P17">
            <v>77274</v>
          </cell>
        </row>
        <row r="18">
          <cell r="E18">
            <v>16411.23</v>
          </cell>
          <cell r="F18">
            <v>16411.23</v>
          </cell>
          <cell r="G18">
            <v>16411.23</v>
          </cell>
          <cell r="H18">
            <v>16411.23</v>
          </cell>
          <cell r="I18">
            <v>16411.23</v>
          </cell>
          <cell r="J18">
            <v>16411.23</v>
          </cell>
          <cell r="K18">
            <v>16411.23</v>
          </cell>
          <cell r="L18">
            <v>16411.23</v>
          </cell>
          <cell r="M18">
            <v>16411.23</v>
          </cell>
          <cell r="N18">
            <v>16411.23</v>
          </cell>
          <cell r="O18">
            <v>16411.23</v>
          </cell>
          <cell r="P18">
            <v>16411.23</v>
          </cell>
        </row>
        <row r="19">
          <cell r="E19">
            <v>3750</v>
          </cell>
          <cell r="F19">
            <v>3750</v>
          </cell>
          <cell r="G19">
            <v>3750</v>
          </cell>
          <cell r="H19">
            <v>3750</v>
          </cell>
          <cell r="I19">
            <v>3750</v>
          </cell>
          <cell r="J19">
            <v>3750</v>
          </cell>
          <cell r="K19">
            <v>3750</v>
          </cell>
          <cell r="L19">
            <v>3750</v>
          </cell>
          <cell r="M19">
            <v>3750</v>
          </cell>
          <cell r="N19">
            <v>3750</v>
          </cell>
          <cell r="O19">
            <v>3750</v>
          </cell>
          <cell r="P19">
            <v>3750</v>
          </cell>
        </row>
        <row r="20">
          <cell r="E20">
            <v>0</v>
          </cell>
          <cell r="F20">
            <v>0</v>
          </cell>
          <cell r="G20">
            <v>636914.16342857096</v>
          </cell>
          <cell r="H20">
            <v>0</v>
          </cell>
          <cell r="I20">
            <v>14211.175999999999</v>
          </cell>
          <cell r="J20">
            <v>14211.175999999999</v>
          </cell>
          <cell r="K20">
            <v>302631.17599999899</v>
          </cell>
          <cell r="L20">
            <v>38700.339428571402</v>
          </cell>
          <cell r="M20">
            <v>309462.17599999899</v>
          </cell>
          <cell r="N20">
            <v>14211.175999999999</v>
          </cell>
          <cell r="O20">
            <v>14211.175999999999</v>
          </cell>
          <cell r="P20">
            <v>14211.175999999999</v>
          </cell>
        </row>
        <row r="21">
          <cell r="E21">
            <v>29735.754000000001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</row>
        <row r="22">
          <cell r="E22">
            <v>29991.383333333237</v>
          </cell>
          <cell r="F22">
            <v>29991.383333333237</v>
          </cell>
          <cell r="G22">
            <v>29991.383333333237</v>
          </cell>
          <cell r="H22">
            <v>29991.383333333237</v>
          </cell>
          <cell r="I22">
            <v>29991.383333333237</v>
          </cell>
          <cell r="J22">
            <v>29991.383333333237</v>
          </cell>
          <cell r="K22">
            <v>29991.383333333237</v>
          </cell>
          <cell r="L22">
            <v>29991.383333333237</v>
          </cell>
          <cell r="M22">
            <v>29991.383333333237</v>
          </cell>
          <cell r="N22">
            <v>29991.383333333237</v>
          </cell>
          <cell r="O22">
            <v>29991.383333333237</v>
          </cell>
          <cell r="P22">
            <v>29991.383333333237</v>
          </cell>
        </row>
        <row r="23"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</row>
        <row r="24">
          <cell r="E24">
            <v>27728.309791589862</v>
          </cell>
          <cell r="F24">
            <v>27728.309791589862</v>
          </cell>
          <cell r="G24">
            <v>27728.309791589862</v>
          </cell>
          <cell r="H24">
            <v>27728.309791589862</v>
          </cell>
          <cell r="I24">
            <v>27728.309791589862</v>
          </cell>
          <cell r="J24">
            <v>27728.309791589862</v>
          </cell>
          <cell r="K24">
            <v>22910.669599589863</v>
          </cell>
          <cell r="L24">
            <v>27728.309791589862</v>
          </cell>
          <cell r="M24">
            <v>27728.309791589862</v>
          </cell>
          <cell r="N24">
            <v>27728.309791589862</v>
          </cell>
          <cell r="O24">
            <v>27728.309791589862</v>
          </cell>
          <cell r="P24">
            <v>27728.309791589862</v>
          </cell>
        </row>
        <row r="25">
          <cell r="E25">
            <v>0</v>
          </cell>
          <cell r="F25">
            <v>0</v>
          </cell>
          <cell r="G25">
            <v>103160.924999999</v>
          </cell>
          <cell r="H25">
            <v>142661.11859999999</v>
          </cell>
          <cell r="I25">
            <v>142661.11859999999</v>
          </cell>
          <cell r="J25">
            <v>147891.3198</v>
          </cell>
          <cell r="K25">
            <v>61599.379799999901</v>
          </cell>
          <cell r="L25">
            <v>61599.379799999901</v>
          </cell>
          <cell r="M25">
            <v>61599.379799999901</v>
          </cell>
          <cell r="N25">
            <v>48748.465499999998</v>
          </cell>
          <cell r="O25">
            <v>29075.322</v>
          </cell>
          <cell r="P25">
            <v>29075.322</v>
          </cell>
        </row>
        <row r="26">
          <cell r="E26">
            <v>114279.08114244268</v>
          </cell>
          <cell r="F26">
            <v>229370.12434244266</v>
          </cell>
          <cell r="G26">
            <v>351842.41888004262</v>
          </cell>
          <cell r="H26">
            <v>348156.93295978667</v>
          </cell>
          <cell r="I26">
            <v>393997.77634244267</v>
          </cell>
          <cell r="J26">
            <v>305420.38728004269</v>
          </cell>
          <cell r="K26">
            <v>259579.5438973867</v>
          </cell>
          <cell r="L26">
            <v>351842.41888004262</v>
          </cell>
          <cell r="M26">
            <v>440539.11108052265</v>
          </cell>
          <cell r="N26">
            <v>414739.42482266575</v>
          </cell>
          <cell r="O26">
            <v>305293.90388052264</v>
          </cell>
          <cell r="P26">
            <v>297912.65254292265</v>
          </cell>
        </row>
        <row r="27">
          <cell r="E27">
            <v>2004.963968</v>
          </cell>
          <cell r="F27">
            <v>7238.0573439999998</v>
          </cell>
          <cell r="G27">
            <v>7238.0573439999998</v>
          </cell>
          <cell r="H27">
            <v>19194.623</v>
          </cell>
          <cell r="I27">
            <v>7518.9030000000002</v>
          </cell>
          <cell r="J27">
            <v>21199.586968</v>
          </cell>
          <cell r="K27">
            <v>9523.8669680000003</v>
          </cell>
          <cell r="L27">
            <v>21199.586968</v>
          </cell>
          <cell r="M27">
            <v>21199.586968</v>
          </cell>
          <cell r="N27">
            <v>14736.0914679999</v>
          </cell>
          <cell r="O27">
            <v>12731.1274999999</v>
          </cell>
          <cell r="P27">
            <v>12731.1274999999</v>
          </cell>
        </row>
        <row r="28">
          <cell r="E28">
            <v>15840.425999999999</v>
          </cell>
          <cell r="F28">
            <v>15840.425999999999</v>
          </cell>
          <cell r="G28">
            <v>21120.567999999999</v>
          </cell>
          <cell r="H28">
            <v>21601.796999999999</v>
          </cell>
          <cell r="I28">
            <v>18480.496999999999</v>
          </cell>
          <cell r="J28">
            <v>16321.654999999901</v>
          </cell>
          <cell r="K28">
            <v>13200.355</v>
          </cell>
          <cell r="L28">
            <v>21601.796999999999</v>
          </cell>
          <cell r="M28">
            <v>21601.796999999999</v>
          </cell>
          <cell r="N28">
            <v>19661.7435</v>
          </cell>
          <cell r="O28">
            <v>14381.601500000001</v>
          </cell>
          <cell r="P28">
            <v>14381.601500000001</v>
          </cell>
        </row>
        <row r="29">
          <cell r="E29">
            <v>29747.333333333332</v>
          </cell>
          <cell r="F29">
            <v>34631.833333333336</v>
          </cell>
          <cell r="G29">
            <v>29747.333333333332</v>
          </cell>
          <cell r="H29">
            <v>34631.833333333336</v>
          </cell>
          <cell r="I29">
            <v>29747.333333333332</v>
          </cell>
          <cell r="J29">
            <v>34631.833333333336</v>
          </cell>
          <cell r="K29">
            <v>29747.333333333332</v>
          </cell>
          <cell r="L29">
            <v>34631.833333333336</v>
          </cell>
          <cell r="M29">
            <v>29747.333333333332</v>
          </cell>
          <cell r="N29">
            <v>34631.833333333336</v>
          </cell>
          <cell r="O29">
            <v>29747.333333333332</v>
          </cell>
          <cell r="P29">
            <v>34631.833333333336</v>
          </cell>
        </row>
        <row r="30">
          <cell r="E30">
            <v>41666.666666666664</v>
          </cell>
          <cell r="F30">
            <v>41666.666666666664</v>
          </cell>
          <cell r="G30">
            <v>41666.666666666664</v>
          </cell>
          <cell r="H30">
            <v>41666.666666666664</v>
          </cell>
          <cell r="I30">
            <v>41666.666666666664</v>
          </cell>
          <cell r="J30">
            <v>41666.666666666664</v>
          </cell>
          <cell r="K30">
            <v>41666.666666666664</v>
          </cell>
          <cell r="L30">
            <v>41666.666666666664</v>
          </cell>
          <cell r="M30">
            <v>41666.666666666664</v>
          </cell>
          <cell r="N30">
            <v>41666.666666666664</v>
          </cell>
          <cell r="O30">
            <v>41666.666666666664</v>
          </cell>
          <cell r="P30">
            <v>41666.666666666664</v>
          </cell>
        </row>
        <row r="31">
          <cell r="E31">
            <v>1666.6666666666667</v>
          </cell>
          <cell r="F31">
            <v>1666.6666666666667</v>
          </cell>
          <cell r="G31">
            <v>1666.6666666666667</v>
          </cell>
          <cell r="H31">
            <v>1666.6666666666667</v>
          </cell>
          <cell r="I31">
            <v>1666.6666666666667</v>
          </cell>
          <cell r="J31">
            <v>1666.6666666666667</v>
          </cell>
          <cell r="K31">
            <v>1666.6666666666667</v>
          </cell>
          <cell r="L31">
            <v>1666.6666666666667</v>
          </cell>
          <cell r="M31">
            <v>1666.6666666666667</v>
          </cell>
          <cell r="N31">
            <v>1666.6666666666667</v>
          </cell>
          <cell r="O31">
            <v>1666.6666666666667</v>
          </cell>
          <cell r="P31">
            <v>1666.6666666666667</v>
          </cell>
        </row>
        <row r="32">
          <cell r="E32">
            <v>1052686.7119999998</v>
          </cell>
          <cell r="F32">
            <v>881237.72</v>
          </cell>
          <cell r="G32">
            <v>772944.348</v>
          </cell>
          <cell r="H32">
            <v>802606.59600000002</v>
          </cell>
          <cell r="I32">
            <v>912037.72</v>
          </cell>
          <cell r="J32">
            <v>982437.72</v>
          </cell>
          <cell r="K32">
            <v>1150775.4719999998</v>
          </cell>
          <cell r="L32">
            <v>160160</v>
          </cell>
          <cell r="M32">
            <v>8800</v>
          </cell>
          <cell r="N32">
            <v>8800</v>
          </cell>
          <cell r="O32">
            <v>0</v>
          </cell>
          <cell r="P32">
            <v>0</v>
          </cell>
        </row>
        <row r="33">
          <cell r="E33">
            <v>760000</v>
          </cell>
          <cell r="F33">
            <v>600000</v>
          </cell>
          <cell r="G33">
            <v>540000</v>
          </cell>
          <cell r="H33">
            <v>580000</v>
          </cell>
          <cell r="I33">
            <v>600000</v>
          </cell>
          <cell r="J33">
            <v>600000</v>
          </cell>
          <cell r="K33">
            <v>560000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</row>
        <row r="34"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</row>
        <row r="35"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</row>
        <row r="36">
          <cell r="E36">
            <v>33333.333333333336</v>
          </cell>
          <cell r="F36">
            <v>33333.333333333336</v>
          </cell>
          <cell r="G36">
            <v>33333.333333333336</v>
          </cell>
          <cell r="H36">
            <v>33333.333333333336</v>
          </cell>
          <cell r="I36">
            <v>33333.333333333336</v>
          </cell>
          <cell r="J36">
            <v>33333.333333333336</v>
          </cell>
          <cell r="K36">
            <v>33333.333333333336</v>
          </cell>
          <cell r="L36">
            <v>33333.333333333336</v>
          </cell>
          <cell r="M36">
            <v>33333.333333333336</v>
          </cell>
          <cell r="N36">
            <v>33333.333333333336</v>
          </cell>
          <cell r="O36">
            <v>33333.333333333336</v>
          </cell>
          <cell r="P36">
            <v>33333.333333333336</v>
          </cell>
        </row>
        <row r="37">
          <cell r="E37">
            <v>37500</v>
          </cell>
          <cell r="F37">
            <v>37500</v>
          </cell>
          <cell r="G37">
            <v>37500</v>
          </cell>
          <cell r="H37">
            <v>37500</v>
          </cell>
          <cell r="I37">
            <v>37500</v>
          </cell>
          <cell r="J37">
            <v>37500</v>
          </cell>
          <cell r="K37">
            <v>37500</v>
          </cell>
          <cell r="L37">
            <v>37500</v>
          </cell>
          <cell r="M37">
            <v>37500</v>
          </cell>
          <cell r="N37">
            <v>37500</v>
          </cell>
          <cell r="O37">
            <v>37500</v>
          </cell>
          <cell r="P37">
            <v>37500</v>
          </cell>
        </row>
        <row r="38">
          <cell r="E38">
            <v>6666.666666666667</v>
          </cell>
          <cell r="F38">
            <v>6666.666666666667</v>
          </cell>
          <cell r="G38">
            <v>6666.666666666667</v>
          </cell>
          <cell r="H38">
            <v>6666.666666666667</v>
          </cell>
          <cell r="I38">
            <v>6666.666666666667</v>
          </cell>
          <cell r="J38">
            <v>6666.666666666667</v>
          </cell>
          <cell r="K38">
            <v>6666.666666666667</v>
          </cell>
          <cell r="L38">
            <v>6666.666666666667</v>
          </cell>
          <cell r="M38">
            <v>6666.666666666667</v>
          </cell>
          <cell r="N38">
            <v>6666.666666666667</v>
          </cell>
          <cell r="O38">
            <v>6666.666666666667</v>
          </cell>
          <cell r="P38">
            <v>6666.666666666667</v>
          </cell>
        </row>
        <row r="39">
          <cell r="E39">
            <v>1666.6666666666667</v>
          </cell>
          <cell r="F39">
            <v>1666.6666666666667</v>
          </cell>
          <cell r="G39">
            <v>1666.6666666666667</v>
          </cell>
          <cell r="H39">
            <v>1666.6666666666667</v>
          </cell>
          <cell r="I39">
            <v>1666.6666666666667</v>
          </cell>
          <cell r="J39">
            <v>1666.6666666666667</v>
          </cell>
          <cell r="K39">
            <v>1666.6666666666667</v>
          </cell>
          <cell r="L39">
            <v>1666.6666666666667</v>
          </cell>
          <cell r="M39">
            <v>1666.6666666666667</v>
          </cell>
          <cell r="N39">
            <v>1666.6666666666667</v>
          </cell>
          <cell r="O39">
            <v>1666.6666666666667</v>
          </cell>
          <cell r="P39">
            <v>1666.6666666666667</v>
          </cell>
        </row>
        <row r="40">
          <cell r="E40">
            <v>6666.666666666667</v>
          </cell>
          <cell r="F40">
            <v>6666.666666666667</v>
          </cell>
          <cell r="G40">
            <v>6666.666666666667</v>
          </cell>
          <cell r="H40">
            <v>6666.666666666667</v>
          </cell>
          <cell r="I40">
            <v>6666.666666666667</v>
          </cell>
          <cell r="J40">
            <v>6666.666666666667</v>
          </cell>
          <cell r="K40">
            <v>6666.666666666667</v>
          </cell>
          <cell r="L40">
            <v>6666.666666666667</v>
          </cell>
          <cell r="M40">
            <v>6666.666666666667</v>
          </cell>
          <cell r="N40">
            <v>6666.666666666667</v>
          </cell>
          <cell r="O40">
            <v>6666.666666666667</v>
          </cell>
          <cell r="P40">
            <v>6666.666666666667</v>
          </cell>
        </row>
        <row r="41">
          <cell r="E41">
            <v>72083.333333333328</v>
          </cell>
          <cell r="F41">
            <v>72083.333333333328</v>
          </cell>
          <cell r="G41">
            <v>72083.333333333328</v>
          </cell>
          <cell r="H41">
            <v>72083.333333333328</v>
          </cell>
          <cell r="I41">
            <v>72083.333333333328</v>
          </cell>
          <cell r="J41">
            <v>72083.333333333328</v>
          </cell>
          <cell r="K41">
            <v>72083.333333333328</v>
          </cell>
          <cell r="L41">
            <v>72083.333333333328</v>
          </cell>
          <cell r="M41">
            <v>72083.333333333328</v>
          </cell>
          <cell r="N41">
            <v>72083.333333333328</v>
          </cell>
          <cell r="O41">
            <v>72083.333333333328</v>
          </cell>
          <cell r="P41">
            <v>72083.333333333328</v>
          </cell>
        </row>
        <row r="42">
          <cell r="E42">
            <v>115362.29999999999</v>
          </cell>
          <cell r="F42">
            <v>115362.29999999999</v>
          </cell>
          <cell r="G42">
            <v>115362.29999999999</v>
          </cell>
          <cell r="H42">
            <v>115362.29999999999</v>
          </cell>
          <cell r="I42">
            <v>115362.29999999999</v>
          </cell>
          <cell r="J42">
            <v>115362.29999999999</v>
          </cell>
          <cell r="K42">
            <v>115362.29999999999</v>
          </cell>
          <cell r="L42">
            <v>115362.29999999999</v>
          </cell>
          <cell r="M42">
            <v>115362.29999999999</v>
          </cell>
          <cell r="N42">
            <v>115362.29999999999</v>
          </cell>
          <cell r="O42">
            <v>115362.29999999999</v>
          </cell>
          <cell r="P42">
            <v>115362.29999999999</v>
          </cell>
        </row>
        <row r="43">
          <cell r="E43">
            <v>9052</v>
          </cell>
          <cell r="F43">
            <v>9052</v>
          </cell>
          <cell r="G43">
            <v>9052</v>
          </cell>
          <cell r="H43">
            <v>9052</v>
          </cell>
          <cell r="I43">
            <v>9052</v>
          </cell>
          <cell r="J43">
            <v>9052</v>
          </cell>
          <cell r="K43">
            <v>9052</v>
          </cell>
          <cell r="L43">
            <v>9052</v>
          </cell>
          <cell r="M43">
            <v>9052</v>
          </cell>
          <cell r="N43">
            <v>9052</v>
          </cell>
          <cell r="O43">
            <v>9052</v>
          </cell>
          <cell r="P43">
            <v>9052</v>
          </cell>
        </row>
        <row r="44"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</row>
        <row r="45"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</row>
        <row r="46"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</row>
        <row r="47"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</row>
        <row r="48">
          <cell r="E48">
            <v>5000</v>
          </cell>
          <cell r="F48">
            <v>5000</v>
          </cell>
          <cell r="G48">
            <v>5000</v>
          </cell>
          <cell r="H48">
            <v>5000</v>
          </cell>
          <cell r="I48">
            <v>5000</v>
          </cell>
          <cell r="J48">
            <v>5000</v>
          </cell>
          <cell r="K48">
            <v>5000</v>
          </cell>
          <cell r="L48">
            <v>5000</v>
          </cell>
          <cell r="M48">
            <v>5000</v>
          </cell>
          <cell r="N48">
            <v>5000</v>
          </cell>
          <cell r="O48">
            <v>5000</v>
          </cell>
          <cell r="P48">
            <v>5000</v>
          </cell>
        </row>
        <row r="49">
          <cell r="E49">
            <v>26200</v>
          </cell>
          <cell r="F49">
            <v>26200</v>
          </cell>
          <cell r="G49">
            <v>26200</v>
          </cell>
          <cell r="H49">
            <v>26200</v>
          </cell>
          <cell r="I49">
            <v>26200</v>
          </cell>
          <cell r="J49">
            <v>26200</v>
          </cell>
          <cell r="K49">
            <v>26200</v>
          </cell>
          <cell r="L49">
            <v>26200</v>
          </cell>
          <cell r="M49">
            <v>26200</v>
          </cell>
          <cell r="N49">
            <v>26200</v>
          </cell>
          <cell r="O49">
            <v>26200</v>
          </cell>
          <cell r="P49">
            <v>26200</v>
          </cell>
        </row>
        <row r="50">
          <cell r="E50">
            <v>1076.7833333333333</v>
          </cell>
          <cell r="F50">
            <v>1076.7833333333333</v>
          </cell>
          <cell r="G50">
            <v>1076.7833333333333</v>
          </cell>
          <cell r="H50">
            <v>1076.7833333333333</v>
          </cell>
          <cell r="I50">
            <v>1076.7833333333333</v>
          </cell>
          <cell r="J50">
            <v>1076.7833333333333</v>
          </cell>
          <cell r="K50">
            <v>1076.7833333333333</v>
          </cell>
          <cell r="L50">
            <v>1076.7833333333333</v>
          </cell>
          <cell r="M50">
            <v>1076.7833333333333</v>
          </cell>
          <cell r="N50">
            <v>1076.7833333333333</v>
          </cell>
          <cell r="O50">
            <v>1076.7833333333333</v>
          </cell>
          <cell r="P50">
            <v>1076.7833333333333</v>
          </cell>
        </row>
        <row r="51">
          <cell r="E51">
            <v>809.32457499999998</v>
          </cell>
          <cell r="F51">
            <v>809.32457499999998</v>
          </cell>
          <cell r="G51">
            <v>809.32457499999998</v>
          </cell>
          <cell r="H51">
            <v>809.32457499999998</v>
          </cell>
          <cell r="I51">
            <v>809.32457499999998</v>
          </cell>
          <cell r="J51">
            <v>809.32457499999998</v>
          </cell>
          <cell r="K51">
            <v>809.32457499999998</v>
          </cell>
          <cell r="L51">
            <v>809.32457499999998</v>
          </cell>
          <cell r="M51">
            <v>809.32457499999998</v>
          </cell>
          <cell r="N51">
            <v>809.32457499999998</v>
          </cell>
          <cell r="O51">
            <v>809.32457499999998</v>
          </cell>
          <cell r="P51">
            <v>809.32457499999998</v>
          </cell>
        </row>
        <row r="52">
          <cell r="E52">
            <v>4166.666666666667</v>
          </cell>
          <cell r="F52">
            <v>4166.666666666667</v>
          </cell>
          <cell r="G52">
            <v>4166.666666666667</v>
          </cell>
          <cell r="H52">
            <v>4166.666666666667</v>
          </cell>
          <cell r="I52">
            <v>4166.666666666667</v>
          </cell>
          <cell r="J52">
            <v>4166.666666666667</v>
          </cell>
          <cell r="K52">
            <v>4166.666666666667</v>
          </cell>
          <cell r="L52">
            <v>4166.666666666667</v>
          </cell>
          <cell r="M52">
            <v>4166.666666666667</v>
          </cell>
          <cell r="N52">
            <v>4166.666666666667</v>
          </cell>
          <cell r="O52">
            <v>4166.666666666667</v>
          </cell>
          <cell r="P52">
            <v>4166.666666666667</v>
          </cell>
        </row>
        <row r="53">
          <cell r="E53">
            <v>2916.6666666666665</v>
          </cell>
          <cell r="F53">
            <v>2916.6666666666665</v>
          </cell>
          <cell r="G53">
            <v>2916.6666666666665</v>
          </cell>
          <cell r="H53">
            <v>2916.6666666666665</v>
          </cell>
          <cell r="I53">
            <v>2916.6666666666665</v>
          </cell>
          <cell r="J53">
            <v>2916.6666666666665</v>
          </cell>
          <cell r="K53">
            <v>2916.6666666666665</v>
          </cell>
          <cell r="L53">
            <v>2916.6666666666665</v>
          </cell>
          <cell r="M53">
            <v>2916.6666666666665</v>
          </cell>
          <cell r="N53">
            <v>2916.6666666666665</v>
          </cell>
          <cell r="O53">
            <v>2916.6666666666665</v>
          </cell>
          <cell r="P53">
            <v>2916.6666666666665</v>
          </cell>
        </row>
        <row r="54">
          <cell r="E54">
            <v>83664.28571428571</v>
          </cell>
          <cell r="F54">
            <v>83664.28571428571</v>
          </cell>
          <cell r="G54">
            <v>83664.28571428571</v>
          </cell>
          <cell r="H54">
            <v>83664.28571428571</v>
          </cell>
          <cell r="I54">
            <v>83664.28571428571</v>
          </cell>
          <cell r="J54">
            <v>83664.28571428571</v>
          </cell>
          <cell r="K54">
            <v>83664.28571428571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</row>
        <row r="56">
          <cell r="E56">
            <v>-45847.750865051901</v>
          </cell>
          <cell r="F56">
            <v>-45847.750865051901</v>
          </cell>
          <cell r="G56">
            <v>-45847.750865051901</v>
          </cell>
          <cell r="H56">
            <v>-45847.750865051901</v>
          </cell>
          <cell r="I56">
            <v>-45847.750865051901</v>
          </cell>
          <cell r="J56">
            <v>-45847.750865051901</v>
          </cell>
          <cell r="K56">
            <v>-45847.750865051901</v>
          </cell>
          <cell r="L56">
            <v>-45847.750865051901</v>
          </cell>
          <cell r="M56">
            <v>-45847.750865051901</v>
          </cell>
          <cell r="N56">
            <v>-45847.750865051901</v>
          </cell>
          <cell r="O56">
            <v>-45847.750865051901</v>
          </cell>
          <cell r="P56">
            <v>-45847.750865051901</v>
          </cell>
        </row>
        <row r="57">
          <cell r="E57">
            <v>-15282.583621683967</v>
          </cell>
          <cell r="F57">
            <v>-15282.583621683967</v>
          </cell>
          <cell r="G57">
            <v>-15282.583621683967</v>
          </cell>
          <cell r="H57">
            <v>-15282.583621683967</v>
          </cell>
          <cell r="I57">
            <v>-15282.583621683967</v>
          </cell>
          <cell r="J57">
            <v>-15282.583621683967</v>
          </cell>
          <cell r="K57">
            <v>-15282.583621683967</v>
          </cell>
          <cell r="L57">
            <v>-15282.583621683967</v>
          </cell>
          <cell r="M57">
            <v>-15282.583621683967</v>
          </cell>
          <cell r="N57">
            <v>-15282.583621683967</v>
          </cell>
          <cell r="O57">
            <v>-15282.583621683967</v>
          </cell>
          <cell r="P57">
            <v>-15282.583621683967</v>
          </cell>
        </row>
      </sheetData>
      <sheetData sheetId="11" refreshError="1">
        <row r="1">
          <cell r="G1">
            <v>264.89999999999998</v>
          </cell>
        </row>
        <row r="4">
          <cell r="E4">
            <v>58044.097568000005</v>
          </cell>
          <cell r="F4">
            <v>83100.097567999997</v>
          </cell>
          <cell r="G4">
            <v>58044.097568000005</v>
          </cell>
          <cell r="H4">
            <v>58044.097568000005</v>
          </cell>
          <cell r="I4">
            <v>58044.097568000005</v>
          </cell>
          <cell r="J4">
            <v>58044.097568000005</v>
          </cell>
          <cell r="K4">
            <v>58044.097568000005</v>
          </cell>
          <cell r="L4">
            <v>62687.625373440009</v>
          </cell>
          <cell r="M4">
            <v>62687.625373440009</v>
          </cell>
          <cell r="N4">
            <v>62687.625373440009</v>
          </cell>
          <cell r="O4">
            <v>62687.625373440009</v>
          </cell>
          <cell r="P4">
            <v>62687.625373440009</v>
          </cell>
        </row>
        <row r="5">
          <cell r="E5">
            <v>3750</v>
          </cell>
          <cell r="F5">
            <v>3750</v>
          </cell>
          <cell r="G5">
            <v>3750</v>
          </cell>
          <cell r="H5">
            <v>3750</v>
          </cell>
          <cell r="I5">
            <v>3750</v>
          </cell>
          <cell r="J5">
            <v>3750</v>
          </cell>
          <cell r="K5">
            <v>3750</v>
          </cell>
          <cell r="L5">
            <v>3750</v>
          </cell>
          <cell r="M5">
            <v>3750</v>
          </cell>
          <cell r="N5">
            <v>3750</v>
          </cell>
          <cell r="O5">
            <v>3750</v>
          </cell>
          <cell r="P5">
            <v>3750</v>
          </cell>
        </row>
        <row r="6">
          <cell r="E6">
            <v>7753.6036064</v>
          </cell>
          <cell r="F6">
            <v>7753.6036064</v>
          </cell>
          <cell r="G6">
            <v>7753.6036064</v>
          </cell>
          <cell r="H6">
            <v>7753.6036064</v>
          </cell>
          <cell r="I6">
            <v>7753.6036064</v>
          </cell>
          <cell r="J6">
            <v>7753.6036064</v>
          </cell>
          <cell r="K6">
            <v>7753.6036064</v>
          </cell>
          <cell r="L6">
            <v>8339.0918949120005</v>
          </cell>
          <cell r="M6">
            <v>8339.0918949120005</v>
          </cell>
          <cell r="N6">
            <v>8339.0918949120005</v>
          </cell>
          <cell r="O6">
            <v>8339.0918949120005</v>
          </cell>
          <cell r="P6">
            <v>8339.0918949120005</v>
          </cell>
        </row>
        <row r="7">
          <cell r="E7">
            <v>6015.7269359999991</v>
          </cell>
          <cell r="F7">
            <v>6015.7269359999991</v>
          </cell>
          <cell r="G7">
            <v>6015.7269359999991</v>
          </cell>
          <cell r="H7">
            <v>6015.7269359999991</v>
          </cell>
          <cell r="I7">
            <v>6015.7269359999991</v>
          </cell>
          <cell r="J7">
            <v>6015.7269359999991</v>
          </cell>
          <cell r="K7">
            <v>6015.7269359999991</v>
          </cell>
          <cell r="L7">
            <v>6469.9850908799999</v>
          </cell>
          <cell r="M7">
            <v>6469.9850908799999</v>
          </cell>
          <cell r="N7">
            <v>6469.9850908799999</v>
          </cell>
          <cell r="O7">
            <v>6469.9850908799999</v>
          </cell>
          <cell r="P7">
            <v>6469.9850908799999</v>
          </cell>
        </row>
        <row r="8"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61962.011050528003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</row>
        <row r="9">
          <cell r="E9">
            <v>4478.3744968000001</v>
          </cell>
          <cell r="F9">
            <v>4478.3744968000001</v>
          </cell>
          <cell r="G9">
            <v>4478.3744968000001</v>
          </cell>
          <cell r="H9">
            <v>4478.3744968000001</v>
          </cell>
          <cell r="I9">
            <v>4478.3744968000001</v>
          </cell>
          <cell r="J9">
            <v>4478.3744968000001</v>
          </cell>
          <cell r="K9">
            <v>4478.3744968000001</v>
          </cell>
          <cell r="L9">
            <v>4816.5444565440002</v>
          </cell>
          <cell r="M9">
            <v>4816.5444565440002</v>
          </cell>
          <cell r="N9">
            <v>4816.5444565440002</v>
          </cell>
          <cell r="O9">
            <v>4816.5444565440002</v>
          </cell>
          <cell r="P9">
            <v>4816.5444565440002</v>
          </cell>
        </row>
        <row r="10">
          <cell r="E10">
            <v>5300</v>
          </cell>
          <cell r="F10">
            <v>5300</v>
          </cell>
          <cell r="G10">
            <v>5300</v>
          </cell>
          <cell r="H10">
            <v>5300</v>
          </cell>
          <cell r="I10">
            <v>5300</v>
          </cell>
          <cell r="J10">
            <v>5300</v>
          </cell>
          <cell r="K10">
            <v>5300</v>
          </cell>
          <cell r="L10">
            <v>5300</v>
          </cell>
          <cell r="M10">
            <v>5300</v>
          </cell>
          <cell r="N10">
            <v>5300</v>
          </cell>
          <cell r="O10">
            <v>5300</v>
          </cell>
          <cell r="P10">
            <v>5300</v>
          </cell>
        </row>
        <row r="11"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</row>
        <row r="12">
          <cell r="E12">
            <v>3105</v>
          </cell>
          <cell r="F12">
            <v>3105</v>
          </cell>
          <cell r="G12">
            <v>3105</v>
          </cell>
          <cell r="H12">
            <v>3105</v>
          </cell>
          <cell r="I12">
            <v>3105</v>
          </cell>
          <cell r="J12">
            <v>3105</v>
          </cell>
          <cell r="K12">
            <v>3105</v>
          </cell>
          <cell r="L12">
            <v>3105</v>
          </cell>
          <cell r="M12">
            <v>3105</v>
          </cell>
          <cell r="N12">
            <v>3105</v>
          </cell>
          <cell r="O12">
            <v>3105</v>
          </cell>
          <cell r="P12">
            <v>3105</v>
          </cell>
        </row>
        <row r="13">
          <cell r="E13">
            <v>400</v>
          </cell>
          <cell r="F13">
            <v>400</v>
          </cell>
          <cell r="G13">
            <v>400</v>
          </cell>
          <cell r="H13">
            <v>400</v>
          </cell>
          <cell r="I13">
            <v>400</v>
          </cell>
          <cell r="J13">
            <v>400</v>
          </cell>
          <cell r="K13">
            <v>400</v>
          </cell>
          <cell r="L13">
            <v>400</v>
          </cell>
          <cell r="M13">
            <v>400</v>
          </cell>
          <cell r="N13">
            <v>400</v>
          </cell>
          <cell r="O13">
            <v>400</v>
          </cell>
          <cell r="P13">
            <v>400</v>
          </cell>
        </row>
        <row r="14">
          <cell r="E14">
            <v>2580.91</v>
          </cell>
          <cell r="F14">
            <v>2580.91</v>
          </cell>
          <cell r="G14">
            <v>2580.91</v>
          </cell>
          <cell r="H14">
            <v>2580.91</v>
          </cell>
          <cell r="I14">
            <v>2580.91</v>
          </cell>
          <cell r="J14">
            <v>2580.91</v>
          </cell>
          <cell r="K14">
            <v>2580.91</v>
          </cell>
          <cell r="L14">
            <v>2580.91</v>
          </cell>
          <cell r="M14">
            <v>2580.91</v>
          </cell>
          <cell r="N14">
            <v>2580.91</v>
          </cell>
          <cell r="O14">
            <v>2580.91</v>
          </cell>
          <cell r="P14">
            <v>2580.91</v>
          </cell>
        </row>
        <row r="15">
          <cell r="E15">
            <v>5569.5</v>
          </cell>
          <cell r="F15">
            <v>5569.5</v>
          </cell>
          <cell r="G15">
            <v>5569.5</v>
          </cell>
          <cell r="H15">
            <v>5569.5</v>
          </cell>
          <cell r="I15">
            <v>5569.5</v>
          </cell>
          <cell r="J15">
            <v>5569.5</v>
          </cell>
          <cell r="K15">
            <v>6004</v>
          </cell>
          <cell r="L15">
            <v>5569.5</v>
          </cell>
          <cell r="M15">
            <v>5569.5</v>
          </cell>
          <cell r="N15">
            <v>5569.5</v>
          </cell>
          <cell r="O15">
            <v>5569.5</v>
          </cell>
          <cell r="P15">
            <v>5569.5</v>
          </cell>
        </row>
        <row r="16">
          <cell r="E16">
            <v>4166.666666666667</v>
          </cell>
          <cell r="F16">
            <v>4166.666666666667</v>
          </cell>
          <cell r="G16">
            <v>4166.666666666667</v>
          </cell>
          <cell r="H16">
            <v>4166.666666666667</v>
          </cell>
          <cell r="I16">
            <v>4166.666666666667</v>
          </cell>
          <cell r="J16">
            <v>4166.666666666667</v>
          </cell>
          <cell r="K16">
            <v>4166.666666666667</v>
          </cell>
          <cell r="L16">
            <v>4166.666666666667</v>
          </cell>
          <cell r="M16">
            <v>4166.666666666667</v>
          </cell>
          <cell r="N16">
            <v>4166.666666666667</v>
          </cell>
          <cell r="O16">
            <v>4166.666666666667</v>
          </cell>
          <cell r="P16">
            <v>4166.666666666667</v>
          </cell>
        </row>
        <row r="17">
          <cell r="E17">
            <v>29192.399999999998</v>
          </cell>
          <cell r="F17">
            <v>29192.399999999998</v>
          </cell>
          <cell r="G17">
            <v>29192.399999999998</v>
          </cell>
          <cell r="H17">
            <v>29192.399999999998</v>
          </cell>
          <cell r="I17">
            <v>29192.399999999998</v>
          </cell>
          <cell r="J17">
            <v>29192.399999999998</v>
          </cell>
          <cell r="K17">
            <v>29192.399999999998</v>
          </cell>
          <cell r="L17">
            <v>29192.399999999998</v>
          </cell>
          <cell r="M17">
            <v>29192.399999999998</v>
          </cell>
          <cell r="N17">
            <v>29192.399999999998</v>
          </cell>
          <cell r="O17">
            <v>29192.399999999998</v>
          </cell>
          <cell r="P17">
            <v>29192.399999999998</v>
          </cell>
        </row>
        <row r="18">
          <cell r="E18">
            <v>7314.45</v>
          </cell>
          <cell r="F18">
            <v>7314.45</v>
          </cell>
          <cell r="G18">
            <v>7314.45</v>
          </cell>
          <cell r="H18">
            <v>7314.45</v>
          </cell>
          <cell r="I18">
            <v>7314.45</v>
          </cell>
          <cell r="J18">
            <v>7314.45</v>
          </cell>
          <cell r="K18">
            <v>7314.45</v>
          </cell>
          <cell r="L18">
            <v>7314.45</v>
          </cell>
          <cell r="M18">
            <v>7314.45</v>
          </cell>
          <cell r="N18">
            <v>7314.45</v>
          </cell>
          <cell r="O18">
            <v>7314.45</v>
          </cell>
          <cell r="P18">
            <v>7314.45</v>
          </cell>
        </row>
        <row r="19">
          <cell r="E19">
            <v>3333.3333333333335</v>
          </cell>
          <cell r="F19">
            <v>3333.3333333333335</v>
          </cell>
          <cell r="G19">
            <v>3333.3333333333335</v>
          </cell>
          <cell r="H19">
            <v>3333.3333333333335</v>
          </cell>
          <cell r="I19">
            <v>3333.3333333333335</v>
          </cell>
          <cell r="J19">
            <v>3333.3333333333335</v>
          </cell>
          <cell r="K19">
            <v>3333.3333333333335</v>
          </cell>
          <cell r="L19">
            <v>3333.3333333333335</v>
          </cell>
          <cell r="M19">
            <v>3333.3333333333335</v>
          </cell>
          <cell r="N19">
            <v>3333.3333333333335</v>
          </cell>
          <cell r="O19">
            <v>3333.3333333333335</v>
          </cell>
          <cell r="P19">
            <v>3333.3333333333335</v>
          </cell>
        </row>
        <row r="20">
          <cell r="E20">
            <v>0</v>
          </cell>
          <cell r="F20">
            <v>0</v>
          </cell>
          <cell r="G20">
            <v>236515.84628571401</v>
          </cell>
          <cell r="H20">
            <v>0</v>
          </cell>
          <cell r="I20">
            <v>5487.6683999999896</v>
          </cell>
          <cell r="J20">
            <v>5487.6683999999896</v>
          </cell>
          <cell r="K20">
            <v>109470.6684</v>
          </cell>
          <cell r="L20">
            <v>15128.514685714201</v>
          </cell>
          <cell r="M20">
            <v>109470.6684</v>
          </cell>
          <cell r="N20">
            <v>5487.6683999999896</v>
          </cell>
          <cell r="O20">
            <v>5487.6683999999896</v>
          </cell>
          <cell r="P20">
            <v>5487.6683999999896</v>
          </cell>
        </row>
        <row r="21">
          <cell r="E21">
            <v>139380.42720000001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</row>
        <row r="22">
          <cell r="E22">
            <v>11581.203333333235</v>
          </cell>
          <cell r="F22">
            <v>11581.203333333235</v>
          </cell>
          <cell r="G22">
            <v>11581.203333333235</v>
          </cell>
          <cell r="H22">
            <v>11581.203333333235</v>
          </cell>
          <cell r="I22">
            <v>11581.203333333235</v>
          </cell>
          <cell r="J22">
            <v>11581.203333333235</v>
          </cell>
          <cell r="K22">
            <v>11581.203333333235</v>
          </cell>
          <cell r="L22">
            <v>11581.203333333235</v>
          </cell>
          <cell r="M22">
            <v>11581.203333333235</v>
          </cell>
          <cell r="N22">
            <v>11581.203333333235</v>
          </cell>
          <cell r="O22">
            <v>11581.203333333235</v>
          </cell>
          <cell r="P22">
            <v>11581.203333333235</v>
          </cell>
        </row>
        <row r="23"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</row>
        <row r="24">
          <cell r="E24">
            <v>10916.037250890535</v>
          </cell>
          <cell r="F24">
            <v>10916.037250890535</v>
          </cell>
          <cell r="G24">
            <v>10916.037250890535</v>
          </cell>
          <cell r="H24">
            <v>10916.037250890535</v>
          </cell>
          <cell r="I24">
            <v>10916.037250890535</v>
          </cell>
          <cell r="J24">
            <v>10916.037250890535</v>
          </cell>
          <cell r="K24">
            <v>9019.4380188905343</v>
          </cell>
          <cell r="L24">
            <v>10916.037250890535</v>
          </cell>
          <cell r="M24">
            <v>10916.037250890535</v>
          </cell>
          <cell r="N24">
            <v>10916.037250890535</v>
          </cell>
          <cell r="O24">
            <v>10916.037250890535</v>
          </cell>
          <cell r="P24">
            <v>10916.037250890535</v>
          </cell>
        </row>
        <row r="25">
          <cell r="E25">
            <v>0</v>
          </cell>
          <cell r="F25">
            <v>0</v>
          </cell>
          <cell r="G25">
            <v>42775.264559999901</v>
          </cell>
          <cell r="H25">
            <v>60967.8356099999</v>
          </cell>
          <cell r="I25">
            <v>60967.8356099999</v>
          </cell>
          <cell r="J25">
            <v>62987.486189999901</v>
          </cell>
          <cell r="K25">
            <v>29665.715189999901</v>
          </cell>
          <cell r="L25">
            <v>29665.715189999901</v>
          </cell>
          <cell r="M25">
            <v>29665.715189999901</v>
          </cell>
          <cell r="N25">
            <v>24576.335804999901</v>
          </cell>
          <cell r="O25">
            <v>11932.3696739999</v>
          </cell>
          <cell r="P25">
            <v>11932.3696739999</v>
          </cell>
        </row>
        <row r="26">
          <cell r="E26">
            <v>42762.113243834574</v>
          </cell>
          <cell r="F26">
            <v>87204.704123833799</v>
          </cell>
          <cell r="G26">
            <v>134497.57704367381</v>
          </cell>
          <cell r="H26">
            <v>134497.57704367381</v>
          </cell>
          <cell r="I26">
            <v>150775.93592383378</v>
          </cell>
          <cell r="J26">
            <v>116571.63510367372</v>
          </cell>
          <cell r="K26">
            <v>100293.27622351371</v>
          </cell>
          <cell r="L26">
            <v>134497.57704367381</v>
          </cell>
          <cell r="M26">
            <v>168747.94696190575</v>
          </cell>
          <cell r="N26">
            <v>159963.02897206572</v>
          </cell>
          <cell r="O26">
            <v>112202.65304190648</v>
          </cell>
          <cell r="P26">
            <v>109352.3710020665</v>
          </cell>
        </row>
        <row r="27">
          <cell r="E27">
            <v>2903.3251919999898</v>
          </cell>
          <cell r="F27">
            <v>10481.2029359999</v>
          </cell>
          <cell r="G27">
            <v>10481.2029359999</v>
          </cell>
          <cell r="H27">
            <v>7412.0344499999901</v>
          </cell>
          <cell r="I27">
            <v>2903.4364499999901</v>
          </cell>
          <cell r="J27">
            <v>10315.359641999899</v>
          </cell>
          <cell r="K27">
            <v>5806.7616419999904</v>
          </cell>
          <cell r="L27">
            <v>10315.359641999899</v>
          </cell>
          <cell r="M27">
            <v>10315.359641999899</v>
          </cell>
          <cell r="N27">
            <v>7711.7741169999899</v>
          </cell>
          <cell r="O27">
            <v>4808.4489249999897</v>
          </cell>
          <cell r="P27">
            <v>4808.4489249999897</v>
          </cell>
        </row>
        <row r="28">
          <cell r="E28">
            <v>6116.8058999999903</v>
          </cell>
          <cell r="F28">
            <v>6116.8058999999903</v>
          </cell>
          <cell r="G28">
            <v>8155.7411999999904</v>
          </cell>
          <cell r="H28">
            <v>8341.5685499999909</v>
          </cell>
          <cell r="I28">
            <v>7136.2735499999899</v>
          </cell>
          <cell r="J28">
            <v>6302.6332499999899</v>
          </cell>
          <cell r="K28">
            <v>5097.3382499999898</v>
          </cell>
          <cell r="L28">
            <v>8341.5685499999909</v>
          </cell>
          <cell r="M28">
            <v>8341.5685499999909</v>
          </cell>
          <cell r="N28">
            <v>7560.0881249999902</v>
          </cell>
          <cell r="O28">
            <v>5521.1528249999901</v>
          </cell>
          <cell r="P28">
            <v>5521.1528249999901</v>
          </cell>
        </row>
        <row r="29">
          <cell r="E29">
            <v>10704.021666666566</v>
          </cell>
          <cell r="F29">
            <v>18953.942166666569</v>
          </cell>
          <cell r="G29">
            <v>10704.021666666566</v>
          </cell>
          <cell r="H29">
            <v>18953.942166666569</v>
          </cell>
          <cell r="I29">
            <v>10704.021666666566</v>
          </cell>
          <cell r="J29">
            <v>18953.942166666569</v>
          </cell>
          <cell r="K29">
            <v>10704.021666666566</v>
          </cell>
          <cell r="L29">
            <v>18953.942166666569</v>
          </cell>
          <cell r="M29">
            <v>10704.021666666566</v>
          </cell>
          <cell r="N29">
            <v>18953.942166666569</v>
          </cell>
          <cell r="O29">
            <v>10704.021666666566</v>
          </cell>
          <cell r="P29">
            <v>18953.942166666569</v>
          </cell>
        </row>
        <row r="30">
          <cell r="E30">
            <v>4833.333333333333</v>
          </cell>
          <cell r="F30">
            <v>4833.333333333333</v>
          </cell>
          <cell r="G30">
            <v>4833.333333333333</v>
          </cell>
          <cell r="H30">
            <v>4833.333333333333</v>
          </cell>
          <cell r="I30">
            <v>4833.333333333333</v>
          </cell>
          <cell r="J30">
            <v>4833.333333333333</v>
          </cell>
          <cell r="K30">
            <v>4833.333333333333</v>
          </cell>
          <cell r="L30">
            <v>4833.333333333333</v>
          </cell>
          <cell r="M30">
            <v>4833.333333333333</v>
          </cell>
          <cell r="N30">
            <v>4833.333333333333</v>
          </cell>
          <cell r="O30">
            <v>4833.333333333333</v>
          </cell>
          <cell r="P30">
            <v>4833.333333333333</v>
          </cell>
        </row>
        <row r="31">
          <cell r="E31">
            <v>416.66666666666669</v>
          </cell>
          <cell r="F31">
            <v>416.66666666666669</v>
          </cell>
          <cell r="G31">
            <v>416.66666666666669</v>
          </cell>
          <cell r="H31">
            <v>416.66666666666669</v>
          </cell>
          <cell r="I31">
            <v>416.66666666666669</v>
          </cell>
          <cell r="J31">
            <v>416.66666666666669</v>
          </cell>
          <cell r="K31">
            <v>416.66666666666669</v>
          </cell>
          <cell r="L31">
            <v>416.66666666666669</v>
          </cell>
          <cell r="M31">
            <v>416.66666666666669</v>
          </cell>
          <cell r="N31">
            <v>416.66666666666669</v>
          </cell>
          <cell r="O31">
            <v>416.66666666666669</v>
          </cell>
          <cell r="P31">
            <v>416.66666666666669</v>
          </cell>
        </row>
        <row r="32">
          <cell r="E32">
            <v>377431.56</v>
          </cell>
          <cell r="F32">
            <v>335390.484</v>
          </cell>
          <cell r="G32">
            <v>306549.408</v>
          </cell>
          <cell r="H32">
            <v>335390.484</v>
          </cell>
          <cell r="I32">
            <v>364231.56</v>
          </cell>
          <cell r="J32">
            <v>430231.56</v>
          </cell>
          <cell r="K32">
            <v>188760</v>
          </cell>
          <cell r="L32">
            <v>90640</v>
          </cell>
          <cell r="M32">
            <v>2640</v>
          </cell>
          <cell r="N32">
            <v>2640</v>
          </cell>
          <cell r="O32">
            <v>0</v>
          </cell>
          <cell r="P32">
            <v>0</v>
          </cell>
        </row>
        <row r="33">
          <cell r="E33">
            <v>173469.38775510204</v>
          </cell>
          <cell r="F33">
            <v>156122.44897959183</v>
          </cell>
          <cell r="G33">
            <v>138775.51020408163</v>
          </cell>
          <cell r="H33">
            <v>156122.44897959183</v>
          </cell>
          <cell r="I33">
            <v>173469.38775510204</v>
          </cell>
          <cell r="J33">
            <v>173469.38775510204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</row>
        <row r="34">
          <cell r="E34">
            <v>464502.35000000003</v>
          </cell>
          <cell r="F34">
            <v>341954.9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30000</v>
          </cell>
          <cell r="L34">
            <v>45000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</row>
        <row r="35">
          <cell r="E35">
            <v>168979.5918367347</v>
          </cell>
          <cell r="F35">
            <v>112653.06122448981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</row>
        <row r="36">
          <cell r="E36">
            <v>14166.666666666666</v>
          </cell>
          <cell r="F36">
            <v>14166.666666666666</v>
          </cell>
          <cell r="G36">
            <v>14166.666666666666</v>
          </cell>
          <cell r="H36">
            <v>14166.666666666666</v>
          </cell>
          <cell r="I36">
            <v>14166.666666666666</v>
          </cell>
          <cell r="J36">
            <v>14166.666666666666</v>
          </cell>
          <cell r="K36">
            <v>14166.666666666666</v>
          </cell>
          <cell r="L36">
            <v>14166.666666666666</v>
          </cell>
          <cell r="M36">
            <v>14166.666666666666</v>
          </cell>
          <cell r="N36">
            <v>14166.666666666666</v>
          </cell>
          <cell r="O36">
            <v>14166.666666666666</v>
          </cell>
          <cell r="P36">
            <v>14166.666666666666</v>
          </cell>
        </row>
        <row r="37">
          <cell r="E37">
            <v>11666.666666666666</v>
          </cell>
          <cell r="F37">
            <v>11666.666666666666</v>
          </cell>
          <cell r="G37">
            <v>11666.666666666666</v>
          </cell>
          <cell r="H37">
            <v>11666.666666666666</v>
          </cell>
          <cell r="I37">
            <v>11666.666666666666</v>
          </cell>
          <cell r="J37">
            <v>11666.666666666666</v>
          </cell>
          <cell r="K37">
            <v>11666.666666666666</v>
          </cell>
          <cell r="L37">
            <v>11666.666666666666</v>
          </cell>
          <cell r="M37">
            <v>11666.666666666666</v>
          </cell>
          <cell r="N37">
            <v>11666.666666666666</v>
          </cell>
          <cell r="O37">
            <v>11666.666666666666</v>
          </cell>
          <cell r="P37">
            <v>11666.666666666666</v>
          </cell>
        </row>
        <row r="38">
          <cell r="E38">
            <v>1666.6666666666667</v>
          </cell>
          <cell r="F38">
            <v>1666.6666666666667</v>
          </cell>
          <cell r="G38">
            <v>1666.6666666666667</v>
          </cell>
          <cell r="H38">
            <v>1666.6666666666667</v>
          </cell>
          <cell r="I38">
            <v>1666.6666666666667</v>
          </cell>
          <cell r="J38">
            <v>1666.6666666666667</v>
          </cell>
          <cell r="K38">
            <v>1666.6666666666667</v>
          </cell>
          <cell r="L38">
            <v>1666.6666666666667</v>
          </cell>
          <cell r="M38">
            <v>1666.6666666666667</v>
          </cell>
          <cell r="N38">
            <v>1666.6666666666667</v>
          </cell>
          <cell r="O38">
            <v>1666.6666666666667</v>
          </cell>
          <cell r="P38">
            <v>1666.6666666666667</v>
          </cell>
        </row>
        <row r="39">
          <cell r="E39">
            <v>83.333333333333329</v>
          </cell>
          <cell r="F39">
            <v>83.333333333333329</v>
          </cell>
          <cell r="G39">
            <v>83.333333333333329</v>
          </cell>
          <cell r="H39">
            <v>83.333333333333329</v>
          </cell>
          <cell r="I39">
            <v>83.333333333333329</v>
          </cell>
          <cell r="J39">
            <v>83.333333333333329</v>
          </cell>
          <cell r="K39">
            <v>83.333333333333329</v>
          </cell>
          <cell r="L39">
            <v>83.333333333333329</v>
          </cell>
          <cell r="M39">
            <v>83.333333333333329</v>
          </cell>
          <cell r="N39">
            <v>83.333333333333329</v>
          </cell>
          <cell r="O39">
            <v>83.333333333333329</v>
          </cell>
          <cell r="P39">
            <v>83.333333333333329</v>
          </cell>
        </row>
        <row r="40">
          <cell r="E40">
            <v>5833.333333333333</v>
          </cell>
          <cell r="F40">
            <v>5833.333333333333</v>
          </cell>
          <cell r="G40">
            <v>5833.333333333333</v>
          </cell>
          <cell r="H40">
            <v>5833.333333333333</v>
          </cell>
          <cell r="I40">
            <v>5833.333333333333</v>
          </cell>
          <cell r="J40">
            <v>5833.333333333333</v>
          </cell>
          <cell r="K40">
            <v>5833.333333333333</v>
          </cell>
          <cell r="L40">
            <v>5833.333333333333</v>
          </cell>
          <cell r="M40">
            <v>5833.333333333333</v>
          </cell>
          <cell r="N40">
            <v>5833.333333333333</v>
          </cell>
          <cell r="O40">
            <v>5833.333333333333</v>
          </cell>
          <cell r="P40">
            <v>5833.333333333333</v>
          </cell>
        </row>
        <row r="41">
          <cell r="E41">
            <v>11833.333333333334</v>
          </cell>
          <cell r="F41">
            <v>11833.333333333334</v>
          </cell>
          <cell r="G41">
            <v>11833.333333333334</v>
          </cell>
          <cell r="H41">
            <v>11833.333333333334</v>
          </cell>
          <cell r="I41">
            <v>11833.333333333334</v>
          </cell>
          <cell r="J41">
            <v>11833.333333333334</v>
          </cell>
          <cell r="K41">
            <v>11833.333333333334</v>
          </cell>
          <cell r="L41">
            <v>11833.333333333334</v>
          </cell>
          <cell r="M41">
            <v>11833.333333333334</v>
          </cell>
          <cell r="N41">
            <v>11833.333333333334</v>
          </cell>
          <cell r="O41">
            <v>11833.333333333334</v>
          </cell>
          <cell r="P41">
            <v>11833.333333333334</v>
          </cell>
        </row>
        <row r="42">
          <cell r="E42">
            <v>79506.45</v>
          </cell>
          <cell r="F42">
            <v>79506.45</v>
          </cell>
          <cell r="G42">
            <v>79506.45</v>
          </cell>
          <cell r="H42">
            <v>79506.45</v>
          </cell>
          <cell r="I42">
            <v>79506.45</v>
          </cell>
          <cell r="J42">
            <v>79506.45</v>
          </cell>
          <cell r="K42">
            <v>79506.45</v>
          </cell>
          <cell r="L42">
            <v>79506.45</v>
          </cell>
          <cell r="M42">
            <v>79506.45</v>
          </cell>
          <cell r="N42">
            <v>79506.45</v>
          </cell>
          <cell r="O42">
            <v>79506.45</v>
          </cell>
          <cell r="P42">
            <v>79506.45</v>
          </cell>
        </row>
        <row r="43">
          <cell r="E43">
            <v>3495.25</v>
          </cell>
          <cell r="F43">
            <v>3495.25</v>
          </cell>
          <cell r="G43">
            <v>3495.25</v>
          </cell>
          <cell r="H43">
            <v>3495.25</v>
          </cell>
          <cell r="I43">
            <v>3495.25</v>
          </cell>
          <cell r="J43">
            <v>3495.25</v>
          </cell>
          <cell r="K43">
            <v>3495.25</v>
          </cell>
          <cell r="L43">
            <v>3495.25</v>
          </cell>
          <cell r="M43">
            <v>3495.25</v>
          </cell>
          <cell r="N43">
            <v>3495.25</v>
          </cell>
          <cell r="O43">
            <v>3495.25</v>
          </cell>
          <cell r="P43">
            <v>3495.25</v>
          </cell>
        </row>
        <row r="44"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</row>
        <row r="45"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</row>
        <row r="46"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</row>
        <row r="47"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</row>
        <row r="48">
          <cell r="E48">
            <v>2083.3333333333335</v>
          </cell>
          <cell r="F48">
            <v>2083.3333333333335</v>
          </cell>
          <cell r="G48">
            <v>2083.3333333333335</v>
          </cell>
          <cell r="H48">
            <v>2083.3333333333335</v>
          </cell>
          <cell r="I48">
            <v>2083.3333333333335</v>
          </cell>
          <cell r="J48">
            <v>2083.3333333333335</v>
          </cell>
          <cell r="K48">
            <v>2083.3333333333335</v>
          </cell>
          <cell r="L48">
            <v>2083.3333333333335</v>
          </cell>
          <cell r="M48">
            <v>2083.3333333333335</v>
          </cell>
          <cell r="N48">
            <v>2083.3333333333335</v>
          </cell>
          <cell r="O48">
            <v>2083.3333333333335</v>
          </cell>
          <cell r="P48">
            <v>2083.3333333333335</v>
          </cell>
        </row>
        <row r="49">
          <cell r="E49">
            <v>4200</v>
          </cell>
          <cell r="F49">
            <v>4200</v>
          </cell>
          <cell r="G49">
            <v>4200</v>
          </cell>
          <cell r="H49">
            <v>4200</v>
          </cell>
          <cell r="I49">
            <v>4200</v>
          </cell>
          <cell r="J49">
            <v>4200</v>
          </cell>
          <cell r="K49">
            <v>4200</v>
          </cell>
          <cell r="L49">
            <v>4200</v>
          </cell>
          <cell r="M49">
            <v>4200</v>
          </cell>
          <cell r="N49">
            <v>4200</v>
          </cell>
          <cell r="O49">
            <v>4200</v>
          </cell>
          <cell r="P49">
            <v>4200</v>
          </cell>
        </row>
        <row r="50">
          <cell r="E50">
            <v>415.16666666666669</v>
          </cell>
          <cell r="F50">
            <v>415.16666666666669</v>
          </cell>
          <cell r="G50">
            <v>415.16666666666669</v>
          </cell>
          <cell r="H50">
            <v>415.16666666666669</v>
          </cell>
          <cell r="I50">
            <v>415.16666666666669</v>
          </cell>
          <cell r="J50">
            <v>415.16666666666669</v>
          </cell>
          <cell r="K50">
            <v>415.16666666666669</v>
          </cell>
          <cell r="L50">
            <v>415.16666666666669</v>
          </cell>
          <cell r="M50">
            <v>415.16666666666669</v>
          </cell>
          <cell r="N50">
            <v>415.16666666666669</v>
          </cell>
          <cell r="O50">
            <v>415.16666666666669</v>
          </cell>
          <cell r="P50">
            <v>415.16666666666669</v>
          </cell>
        </row>
        <row r="51">
          <cell r="E51">
            <v>312.04475000000002</v>
          </cell>
          <cell r="F51">
            <v>312.04475000000002</v>
          </cell>
          <cell r="G51">
            <v>312.04475000000002</v>
          </cell>
          <cell r="H51">
            <v>312.04475000000002</v>
          </cell>
          <cell r="I51">
            <v>312.04475000000002</v>
          </cell>
          <cell r="J51">
            <v>312.04475000000002</v>
          </cell>
          <cell r="K51">
            <v>312.04475000000002</v>
          </cell>
          <cell r="L51">
            <v>312.04475000000002</v>
          </cell>
          <cell r="M51">
            <v>312.04475000000002</v>
          </cell>
          <cell r="N51">
            <v>312.04475000000002</v>
          </cell>
          <cell r="O51">
            <v>312.04475000000002</v>
          </cell>
          <cell r="P51">
            <v>312.04475000000002</v>
          </cell>
        </row>
        <row r="52">
          <cell r="E52">
            <v>1250</v>
          </cell>
          <cell r="F52">
            <v>1250</v>
          </cell>
          <cell r="G52">
            <v>1250</v>
          </cell>
          <cell r="H52">
            <v>1250</v>
          </cell>
          <cell r="I52">
            <v>1250</v>
          </cell>
          <cell r="J52">
            <v>1250</v>
          </cell>
          <cell r="K52">
            <v>1250</v>
          </cell>
          <cell r="L52">
            <v>1250</v>
          </cell>
          <cell r="M52">
            <v>1250</v>
          </cell>
          <cell r="N52">
            <v>1250</v>
          </cell>
          <cell r="O52">
            <v>1250</v>
          </cell>
          <cell r="P52">
            <v>1250</v>
          </cell>
        </row>
        <row r="53">
          <cell r="E53">
            <v>416.66666666666669</v>
          </cell>
          <cell r="F53">
            <v>416.66666666666669</v>
          </cell>
          <cell r="G53">
            <v>416.66666666666669</v>
          </cell>
          <cell r="H53">
            <v>416.66666666666669</v>
          </cell>
          <cell r="I53">
            <v>416.66666666666669</v>
          </cell>
          <cell r="J53">
            <v>416.66666666666669</v>
          </cell>
          <cell r="K53">
            <v>416.66666666666669</v>
          </cell>
          <cell r="L53">
            <v>416.66666666666669</v>
          </cell>
          <cell r="M53">
            <v>416.66666666666669</v>
          </cell>
          <cell r="N53">
            <v>416.66666666666669</v>
          </cell>
          <cell r="O53">
            <v>416.66666666666669</v>
          </cell>
          <cell r="P53">
            <v>416.66666666666669</v>
          </cell>
        </row>
        <row r="54">
          <cell r="E54">
            <v>24475.45357142857</v>
          </cell>
          <cell r="F54">
            <v>24475.45357142857</v>
          </cell>
          <cell r="G54">
            <v>24475.45357142857</v>
          </cell>
          <cell r="H54">
            <v>24475.45357142857</v>
          </cell>
          <cell r="I54">
            <v>24475.45357142857</v>
          </cell>
          <cell r="J54">
            <v>24475.45357142857</v>
          </cell>
          <cell r="K54">
            <v>24475.45357142857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</row>
        <row r="56">
          <cell r="E56">
            <v>-15307.223183391005</v>
          </cell>
          <cell r="F56">
            <v>-15307.223183391005</v>
          </cell>
          <cell r="G56">
            <v>-15307.223183391005</v>
          </cell>
          <cell r="H56">
            <v>-15307.223183391005</v>
          </cell>
          <cell r="I56">
            <v>-15307.223183391005</v>
          </cell>
          <cell r="J56">
            <v>-15307.223183391005</v>
          </cell>
          <cell r="K56">
            <v>-15307.223183391005</v>
          </cell>
          <cell r="L56">
            <v>-15307.223183391005</v>
          </cell>
          <cell r="M56">
            <v>-15307.223183391005</v>
          </cell>
          <cell r="N56">
            <v>-15307.223183391005</v>
          </cell>
          <cell r="O56">
            <v>-15307.223183391005</v>
          </cell>
          <cell r="P56">
            <v>-15307.223183391005</v>
          </cell>
        </row>
        <row r="57">
          <cell r="E57">
            <v>-5102.4077277970009</v>
          </cell>
          <cell r="F57">
            <v>-5102.4077277970009</v>
          </cell>
          <cell r="G57">
            <v>-5102.4077277970009</v>
          </cell>
          <cell r="H57">
            <v>-5102.4077277970009</v>
          </cell>
          <cell r="I57">
            <v>-5102.4077277970009</v>
          </cell>
          <cell r="J57">
            <v>-5102.4077277970009</v>
          </cell>
          <cell r="K57">
            <v>-5102.4077277970009</v>
          </cell>
          <cell r="L57">
            <v>-5102.4077277970009</v>
          </cell>
          <cell r="M57">
            <v>-5102.4077277970009</v>
          </cell>
          <cell r="N57">
            <v>-5102.4077277970009</v>
          </cell>
          <cell r="O57">
            <v>-5102.4077277970009</v>
          </cell>
          <cell r="P57">
            <v>-5102.4077277970009</v>
          </cell>
        </row>
      </sheetData>
      <sheetData sheetId="12" refreshError="1">
        <row r="1">
          <cell r="G1">
            <v>390.01</v>
          </cell>
        </row>
        <row r="4">
          <cell r="E4">
            <v>57892.989960000006</v>
          </cell>
          <cell r="F4">
            <v>92869.989960000006</v>
          </cell>
          <cell r="G4">
            <v>57892.989960000006</v>
          </cell>
          <cell r="H4">
            <v>57892.989960000006</v>
          </cell>
          <cell r="I4">
            <v>57892.989960000006</v>
          </cell>
          <cell r="J4">
            <v>57892.989960000006</v>
          </cell>
          <cell r="K4">
            <v>57892.989960000006</v>
          </cell>
          <cell r="L4">
            <v>62524.429156800012</v>
          </cell>
          <cell r="M4">
            <v>62524.429156800012</v>
          </cell>
          <cell r="N4">
            <v>62524.429156800012</v>
          </cell>
          <cell r="O4">
            <v>62524.429156800012</v>
          </cell>
          <cell r="P4">
            <v>62524.429156800012</v>
          </cell>
        </row>
        <row r="5">
          <cell r="E5">
            <v>2916.6666666666665</v>
          </cell>
          <cell r="F5">
            <v>2916.6666666666665</v>
          </cell>
          <cell r="G5">
            <v>2916.6666666666665</v>
          </cell>
          <cell r="H5">
            <v>2916.6666666666665</v>
          </cell>
          <cell r="I5">
            <v>2916.6666666666665</v>
          </cell>
          <cell r="J5">
            <v>2916.6666666666665</v>
          </cell>
          <cell r="K5">
            <v>2916.6666666666665</v>
          </cell>
          <cell r="L5">
            <v>2916.6666666666665</v>
          </cell>
          <cell r="M5">
            <v>2916.6666666666665</v>
          </cell>
          <cell r="N5">
            <v>2916.6666666666665</v>
          </cell>
          <cell r="O5">
            <v>2916.6666666666665</v>
          </cell>
          <cell r="P5">
            <v>2916.6666666666665</v>
          </cell>
        </row>
        <row r="6">
          <cell r="E6">
            <v>7637.8842413333341</v>
          </cell>
          <cell r="F6">
            <v>7637.8842413333341</v>
          </cell>
          <cell r="G6">
            <v>7637.8842413333341</v>
          </cell>
          <cell r="H6">
            <v>7637.8842413333341</v>
          </cell>
          <cell r="I6">
            <v>7637.8842413333341</v>
          </cell>
          <cell r="J6">
            <v>7637.8842413333341</v>
          </cell>
          <cell r="K6">
            <v>7637.8842413333341</v>
          </cell>
          <cell r="L6">
            <v>8221.8483139733362</v>
          </cell>
          <cell r="M6">
            <v>8221.8483139733362</v>
          </cell>
          <cell r="N6">
            <v>8221.8483139733362</v>
          </cell>
          <cell r="O6">
            <v>8221.8483139733362</v>
          </cell>
          <cell r="P6">
            <v>8221.8483139733362</v>
          </cell>
        </row>
        <row r="7">
          <cell r="E7">
            <v>5925.9446699999999</v>
          </cell>
          <cell r="F7">
            <v>5925.9446699999999</v>
          </cell>
          <cell r="G7">
            <v>5925.9446699999999</v>
          </cell>
          <cell r="H7">
            <v>5925.9446699999999</v>
          </cell>
          <cell r="I7">
            <v>5925.9446699999999</v>
          </cell>
          <cell r="J7">
            <v>5925.9446699999999</v>
          </cell>
          <cell r="K7">
            <v>5925.9446699999999</v>
          </cell>
          <cell r="L7">
            <v>6379.0202436000009</v>
          </cell>
          <cell r="M7">
            <v>6379.0202436000009</v>
          </cell>
          <cell r="N7">
            <v>6379.0202436000009</v>
          </cell>
          <cell r="O7">
            <v>6379.0202436000009</v>
          </cell>
          <cell r="P7">
            <v>6379.0202436000009</v>
          </cell>
        </row>
        <row r="8"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66936.136984200013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</row>
        <row r="9">
          <cell r="E9">
            <v>6176.1512227333342</v>
          </cell>
          <cell r="F9">
            <v>6176.1512227333342</v>
          </cell>
          <cell r="G9">
            <v>6176.1512227333342</v>
          </cell>
          <cell r="H9">
            <v>6176.1512227333342</v>
          </cell>
          <cell r="I9">
            <v>6176.1512227333342</v>
          </cell>
          <cell r="J9">
            <v>6176.1512227333342</v>
          </cell>
          <cell r="K9">
            <v>6176.1512227333342</v>
          </cell>
          <cell r="L9">
            <v>6648.3566538853347</v>
          </cell>
          <cell r="M9">
            <v>6648.3566538853347</v>
          </cell>
          <cell r="N9">
            <v>6648.3566538853347</v>
          </cell>
          <cell r="O9">
            <v>6648.3566538853347</v>
          </cell>
          <cell r="P9">
            <v>6648.3566538853347</v>
          </cell>
        </row>
        <row r="10">
          <cell r="E10">
            <v>4000</v>
          </cell>
          <cell r="F10">
            <v>4000</v>
          </cell>
          <cell r="G10">
            <v>4000</v>
          </cell>
          <cell r="H10">
            <v>4000</v>
          </cell>
          <cell r="I10">
            <v>4000</v>
          </cell>
          <cell r="J10">
            <v>4000</v>
          </cell>
          <cell r="K10">
            <v>4000</v>
          </cell>
          <cell r="L10">
            <v>4000</v>
          </cell>
          <cell r="M10">
            <v>4000</v>
          </cell>
          <cell r="N10">
            <v>4000</v>
          </cell>
          <cell r="O10">
            <v>4000</v>
          </cell>
          <cell r="P10">
            <v>4000</v>
          </cell>
        </row>
        <row r="11"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</row>
        <row r="12">
          <cell r="E12">
            <v>3105</v>
          </cell>
          <cell r="F12">
            <v>3105</v>
          </cell>
          <cell r="G12">
            <v>3105</v>
          </cell>
          <cell r="H12">
            <v>3105</v>
          </cell>
          <cell r="I12">
            <v>3105</v>
          </cell>
          <cell r="J12">
            <v>3105</v>
          </cell>
          <cell r="K12">
            <v>3105</v>
          </cell>
          <cell r="L12">
            <v>3105</v>
          </cell>
          <cell r="M12">
            <v>3105</v>
          </cell>
          <cell r="N12">
            <v>3105</v>
          </cell>
          <cell r="O12">
            <v>3105</v>
          </cell>
          <cell r="P12">
            <v>3105</v>
          </cell>
        </row>
        <row r="13"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</row>
        <row r="14">
          <cell r="E14">
            <v>2250</v>
          </cell>
          <cell r="F14">
            <v>2250</v>
          </cell>
          <cell r="G14">
            <v>2250</v>
          </cell>
          <cell r="H14">
            <v>2250</v>
          </cell>
          <cell r="I14">
            <v>2250</v>
          </cell>
          <cell r="J14">
            <v>2250</v>
          </cell>
          <cell r="K14">
            <v>2250</v>
          </cell>
          <cell r="L14">
            <v>2250</v>
          </cell>
          <cell r="M14">
            <v>2250</v>
          </cell>
          <cell r="N14">
            <v>2250</v>
          </cell>
          <cell r="O14">
            <v>2250</v>
          </cell>
          <cell r="P14">
            <v>2250</v>
          </cell>
        </row>
        <row r="15">
          <cell r="E15">
            <v>8206.2000000000007</v>
          </cell>
          <cell r="F15">
            <v>8206.2000000000007</v>
          </cell>
          <cell r="G15">
            <v>8206.2000000000007</v>
          </cell>
          <cell r="H15">
            <v>8206.2000000000007</v>
          </cell>
          <cell r="I15">
            <v>8206.2000000000007</v>
          </cell>
          <cell r="J15">
            <v>8206.2000000000007</v>
          </cell>
          <cell r="K15">
            <v>8846.4</v>
          </cell>
          <cell r="L15">
            <v>8206.2000000000007</v>
          </cell>
          <cell r="M15">
            <v>8206.2000000000007</v>
          </cell>
          <cell r="N15">
            <v>8206.2000000000007</v>
          </cell>
          <cell r="O15">
            <v>8206.2000000000007</v>
          </cell>
          <cell r="P15">
            <v>8206.2000000000007</v>
          </cell>
        </row>
        <row r="16">
          <cell r="E16">
            <v>1666.6666666666667</v>
          </cell>
          <cell r="F16">
            <v>1666.6666666666667</v>
          </cell>
          <cell r="G16">
            <v>1666.6666666666667</v>
          </cell>
          <cell r="H16">
            <v>1666.6666666666667</v>
          </cell>
          <cell r="I16">
            <v>1666.6666666666667</v>
          </cell>
          <cell r="J16">
            <v>1666.6666666666667</v>
          </cell>
          <cell r="K16">
            <v>1666.6666666666667</v>
          </cell>
          <cell r="L16">
            <v>1666.6666666666667</v>
          </cell>
          <cell r="M16">
            <v>1666.6666666666667</v>
          </cell>
          <cell r="N16">
            <v>1666.6666666666667</v>
          </cell>
          <cell r="O16">
            <v>1666.6666666666667</v>
          </cell>
          <cell r="P16">
            <v>1666.6666666666667</v>
          </cell>
        </row>
        <row r="17">
          <cell r="E17">
            <v>37778.400000000001</v>
          </cell>
          <cell r="F17">
            <v>37778.400000000001</v>
          </cell>
          <cell r="G17">
            <v>37778.400000000001</v>
          </cell>
          <cell r="H17">
            <v>37778.400000000001</v>
          </cell>
          <cell r="I17">
            <v>37778.400000000001</v>
          </cell>
          <cell r="J17">
            <v>37778.400000000001</v>
          </cell>
          <cell r="K17">
            <v>37778.400000000001</v>
          </cell>
          <cell r="L17">
            <v>37778.400000000001</v>
          </cell>
          <cell r="M17">
            <v>37778.400000000001</v>
          </cell>
          <cell r="N17">
            <v>37778.400000000001</v>
          </cell>
          <cell r="O17">
            <v>37778.400000000001</v>
          </cell>
          <cell r="P17">
            <v>37778.400000000001</v>
          </cell>
        </row>
        <row r="18">
          <cell r="E18">
            <v>6501.7333333333336</v>
          </cell>
          <cell r="F18">
            <v>6501.7333333333336</v>
          </cell>
          <cell r="G18">
            <v>6501.7333333333336</v>
          </cell>
          <cell r="H18">
            <v>6501.7333333333336</v>
          </cell>
          <cell r="I18">
            <v>6501.7333333333336</v>
          </cell>
          <cell r="J18">
            <v>6501.7333333333336</v>
          </cell>
          <cell r="K18">
            <v>6501.7333333333336</v>
          </cell>
          <cell r="L18">
            <v>6501.7333333333336</v>
          </cell>
          <cell r="M18">
            <v>6501.7333333333336</v>
          </cell>
          <cell r="N18">
            <v>6501.7333333333336</v>
          </cell>
          <cell r="O18">
            <v>6501.7333333333336</v>
          </cell>
          <cell r="P18">
            <v>6501.7333333333336</v>
          </cell>
        </row>
        <row r="19">
          <cell r="E19">
            <v>2500</v>
          </cell>
          <cell r="F19">
            <v>2500</v>
          </cell>
          <cell r="G19">
            <v>2500</v>
          </cell>
          <cell r="H19">
            <v>2500</v>
          </cell>
          <cell r="I19">
            <v>2500</v>
          </cell>
          <cell r="J19">
            <v>2500</v>
          </cell>
          <cell r="K19">
            <v>2500</v>
          </cell>
          <cell r="L19">
            <v>2500</v>
          </cell>
          <cell r="M19">
            <v>2500</v>
          </cell>
          <cell r="N19">
            <v>2500</v>
          </cell>
          <cell r="O19">
            <v>2500</v>
          </cell>
          <cell r="P19">
            <v>2500</v>
          </cell>
        </row>
        <row r="20">
          <cell r="E20">
            <v>0</v>
          </cell>
          <cell r="F20">
            <v>0</v>
          </cell>
          <cell r="G20">
            <v>335465.90490285697</v>
          </cell>
          <cell r="H20">
            <v>0</v>
          </cell>
          <cell r="I20">
            <v>8079.24</v>
          </cell>
          <cell r="J20">
            <v>8079.24</v>
          </cell>
          <cell r="K20">
            <v>156084.24</v>
          </cell>
          <cell r="L20">
            <v>22345.144902857101</v>
          </cell>
          <cell r="M20">
            <v>32873.24</v>
          </cell>
          <cell r="N20">
            <v>8079.24</v>
          </cell>
          <cell r="O20">
            <v>8079.24</v>
          </cell>
          <cell r="P20">
            <v>8079.24</v>
          </cell>
        </row>
        <row r="21">
          <cell r="E21">
            <v>133913.64300000001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</row>
        <row r="22">
          <cell r="E22">
            <v>17050.499999999902</v>
          </cell>
          <cell r="F22">
            <v>17050.499999999902</v>
          </cell>
          <cell r="G22">
            <v>17050.499999999902</v>
          </cell>
          <cell r="H22">
            <v>17050.499999999902</v>
          </cell>
          <cell r="I22">
            <v>17050.499999999902</v>
          </cell>
          <cell r="J22">
            <v>17050.499999999902</v>
          </cell>
          <cell r="K22">
            <v>17050.499999999902</v>
          </cell>
          <cell r="L22">
            <v>17050.499999999902</v>
          </cell>
          <cell r="M22">
            <v>17050.499999999902</v>
          </cell>
          <cell r="N22">
            <v>17050.499999999902</v>
          </cell>
          <cell r="O22">
            <v>17050.499999999902</v>
          </cell>
          <cell r="P22">
            <v>17050.499999999902</v>
          </cell>
        </row>
        <row r="23"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</row>
        <row r="24">
          <cell r="E24">
            <v>16152.870966447266</v>
          </cell>
          <cell r="F24">
            <v>16152.870966447266</v>
          </cell>
          <cell r="G24">
            <v>16152.870966447266</v>
          </cell>
          <cell r="H24">
            <v>16152.870966447266</v>
          </cell>
          <cell r="I24">
            <v>16152.870966447266</v>
          </cell>
          <cell r="J24">
            <v>16152.870966447266</v>
          </cell>
          <cell r="K24">
            <v>13346.405280687268</v>
          </cell>
          <cell r="L24">
            <v>16152.870966447266</v>
          </cell>
          <cell r="M24">
            <v>16152.870966447266</v>
          </cell>
          <cell r="N24">
            <v>16152.870966447266</v>
          </cell>
          <cell r="O24">
            <v>16152.870966447266</v>
          </cell>
          <cell r="P24">
            <v>16152.870966447266</v>
          </cell>
        </row>
        <row r="25">
          <cell r="E25">
            <v>0</v>
          </cell>
          <cell r="F25">
            <v>0</v>
          </cell>
          <cell r="G25">
            <v>71359.47</v>
          </cell>
          <cell r="H25">
            <v>106526.97900000001</v>
          </cell>
          <cell r="I25">
            <v>106526.978999999</v>
          </cell>
          <cell r="J25">
            <v>109500.417</v>
          </cell>
          <cell r="K25">
            <v>60442.317000000003</v>
          </cell>
          <cell r="L25">
            <v>60442.317000000003</v>
          </cell>
          <cell r="M25">
            <v>60442.317000000003</v>
          </cell>
          <cell r="N25">
            <v>55016.724866999997</v>
          </cell>
          <cell r="O25">
            <v>31092.241946999999</v>
          </cell>
          <cell r="P25">
            <v>31092.241946999999</v>
          </cell>
        </row>
        <row r="26">
          <cell r="E26">
            <v>62894.778898133336</v>
          </cell>
          <cell r="F26">
            <v>128325.54689813334</v>
          </cell>
          <cell r="G26">
            <v>197952.65312213334</v>
          </cell>
          <cell r="H26">
            <v>197952.65312213334</v>
          </cell>
          <cell r="I26">
            <v>221918.52689813331</v>
          </cell>
          <cell r="J26">
            <v>171561.11912213333</v>
          </cell>
          <cell r="K26">
            <v>147595.24534613334</v>
          </cell>
          <cell r="L26">
            <v>197952.65312213334</v>
          </cell>
          <cell r="M26">
            <v>248377.88629733335</v>
          </cell>
          <cell r="N26">
            <v>239440.85500333246</v>
          </cell>
          <cell r="O26">
            <v>175068.49842733331</v>
          </cell>
          <cell r="P26">
            <v>170872.16020333336</v>
          </cell>
        </row>
        <row r="27">
          <cell r="E27">
            <v>2849.6208000000001</v>
          </cell>
          <cell r="F27">
            <v>10287.3264</v>
          </cell>
          <cell r="G27">
            <v>10287.3264</v>
          </cell>
          <cell r="H27">
            <v>10912.395</v>
          </cell>
          <cell r="I27">
            <v>4274.5950000000003</v>
          </cell>
          <cell r="J27">
            <v>13762.015799999999</v>
          </cell>
          <cell r="K27">
            <v>7124.2157999999999</v>
          </cell>
          <cell r="L27">
            <v>13762.015799999999</v>
          </cell>
          <cell r="M27">
            <v>13762.015799999999</v>
          </cell>
          <cell r="N27">
            <v>11682.225235</v>
          </cell>
          <cell r="O27">
            <v>8832.6044349999993</v>
          </cell>
          <cell r="P27">
            <v>8832.6044349999993</v>
          </cell>
        </row>
        <row r="28">
          <cell r="E28">
            <v>9005.49</v>
          </cell>
          <cell r="F28">
            <v>9005.49</v>
          </cell>
          <cell r="G28">
            <v>12007.32</v>
          </cell>
          <cell r="H28">
            <v>12280.905000000001</v>
          </cell>
          <cell r="I28">
            <v>10506.405000000001</v>
          </cell>
          <cell r="J28">
            <v>9279.0750000000007</v>
          </cell>
          <cell r="K28">
            <v>7504.5749999999998</v>
          </cell>
          <cell r="L28">
            <v>12280.905000000001</v>
          </cell>
          <cell r="M28">
            <v>12280.905000000001</v>
          </cell>
          <cell r="N28">
            <v>11656.644495</v>
          </cell>
          <cell r="O28">
            <v>8654.8144950000005</v>
          </cell>
          <cell r="P28">
            <v>8654.8144950000005</v>
          </cell>
        </row>
        <row r="29">
          <cell r="E29">
            <v>15846.698333333336</v>
          </cell>
          <cell r="F29">
            <v>19119.313333333332</v>
          </cell>
          <cell r="G29">
            <v>15846.698333333336</v>
          </cell>
          <cell r="H29">
            <v>19119.313333333332</v>
          </cell>
          <cell r="I29">
            <v>15846.698333333336</v>
          </cell>
          <cell r="J29">
            <v>19119.313333333332</v>
          </cell>
          <cell r="K29">
            <v>15846.698333333336</v>
          </cell>
          <cell r="L29">
            <v>19119.313333333332</v>
          </cell>
          <cell r="M29">
            <v>15846.698333333336</v>
          </cell>
          <cell r="N29">
            <v>19119.313333333332</v>
          </cell>
          <cell r="O29">
            <v>15846.698333333336</v>
          </cell>
          <cell r="P29">
            <v>19119.313333333332</v>
          </cell>
        </row>
        <row r="30">
          <cell r="E30">
            <v>2500</v>
          </cell>
          <cell r="F30">
            <v>2500</v>
          </cell>
          <cell r="G30">
            <v>2500</v>
          </cell>
          <cell r="H30">
            <v>2500</v>
          </cell>
          <cell r="I30">
            <v>2500</v>
          </cell>
          <cell r="J30">
            <v>2500</v>
          </cell>
          <cell r="K30">
            <v>2500</v>
          </cell>
          <cell r="L30">
            <v>2500</v>
          </cell>
          <cell r="M30">
            <v>2500</v>
          </cell>
          <cell r="N30">
            <v>2500</v>
          </cell>
          <cell r="O30">
            <v>2500</v>
          </cell>
          <cell r="P30">
            <v>2500</v>
          </cell>
        </row>
        <row r="31">
          <cell r="E31">
            <v>416.66666666666669</v>
          </cell>
          <cell r="F31">
            <v>416.66666666666669</v>
          </cell>
          <cell r="G31">
            <v>416.66666666666669</v>
          </cell>
          <cell r="H31">
            <v>416.66666666666669</v>
          </cell>
          <cell r="I31">
            <v>416.66666666666669</v>
          </cell>
          <cell r="J31">
            <v>416.66666666666669</v>
          </cell>
          <cell r="K31">
            <v>416.66666666666669</v>
          </cell>
          <cell r="L31">
            <v>416.66666666666669</v>
          </cell>
          <cell r="M31">
            <v>416.66666666666669</v>
          </cell>
          <cell r="N31">
            <v>416.66666666666669</v>
          </cell>
          <cell r="O31">
            <v>416.66666666666669</v>
          </cell>
          <cell r="P31">
            <v>416.66666666666669</v>
          </cell>
        </row>
        <row r="32">
          <cell r="E32">
            <v>531514.67599999998</v>
          </cell>
          <cell r="F32">
            <v>35376</v>
          </cell>
          <cell r="G32">
            <v>324784.41600000003</v>
          </cell>
          <cell r="H32">
            <v>422422.57200000004</v>
          </cell>
          <cell r="I32">
            <v>432982.57200000004</v>
          </cell>
          <cell r="J32">
            <v>492822.57200000004</v>
          </cell>
          <cell r="K32">
            <v>565876.52</v>
          </cell>
          <cell r="L32">
            <v>67760</v>
          </cell>
          <cell r="M32">
            <v>4400</v>
          </cell>
          <cell r="N32">
            <v>4400</v>
          </cell>
          <cell r="O32">
            <v>0</v>
          </cell>
          <cell r="P32">
            <v>0</v>
          </cell>
        </row>
        <row r="33">
          <cell r="E33">
            <v>225510.20408163263</v>
          </cell>
          <cell r="F33">
            <v>0</v>
          </cell>
          <cell r="G33">
            <v>138775.51020408163</v>
          </cell>
          <cell r="H33">
            <v>190816.32653061225</v>
          </cell>
          <cell r="I33">
            <v>190816.32653061225</v>
          </cell>
          <cell r="J33">
            <v>190816.32653061225</v>
          </cell>
          <cell r="K33">
            <v>173469.38775510204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</row>
        <row r="34"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</row>
        <row r="35"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</row>
        <row r="36">
          <cell r="E36">
            <v>16666.666666666668</v>
          </cell>
          <cell r="F36">
            <v>16666.666666666668</v>
          </cell>
          <cell r="G36">
            <v>16666.666666666668</v>
          </cell>
          <cell r="H36">
            <v>16666.666666666668</v>
          </cell>
          <cell r="I36">
            <v>16666.666666666668</v>
          </cell>
          <cell r="J36">
            <v>16666.666666666668</v>
          </cell>
          <cell r="K36">
            <v>16666.666666666668</v>
          </cell>
          <cell r="L36">
            <v>16666.666666666668</v>
          </cell>
          <cell r="M36">
            <v>16666.666666666668</v>
          </cell>
          <cell r="N36">
            <v>16666.666666666668</v>
          </cell>
          <cell r="O36">
            <v>16666.666666666668</v>
          </cell>
          <cell r="P36">
            <v>16666.666666666668</v>
          </cell>
        </row>
        <row r="37">
          <cell r="E37">
            <v>13333.333333333334</v>
          </cell>
          <cell r="F37">
            <v>13333.333333333334</v>
          </cell>
          <cell r="G37">
            <v>13333.333333333334</v>
          </cell>
          <cell r="H37">
            <v>13333.333333333334</v>
          </cell>
          <cell r="I37">
            <v>13333.333333333334</v>
          </cell>
          <cell r="J37">
            <v>13333.333333333334</v>
          </cell>
          <cell r="K37">
            <v>13333.333333333334</v>
          </cell>
          <cell r="L37">
            <v>13333.333333333334</v>
          </cell>
          <cell r="M37">
            <v>13333.333333333334</v>
          </cell>
          <cell r="N37">
            <v>13333.333333333334</v>
          </cell>
          <cell r="O37">
            <v>13333.333333333334</v>
          </cell>
          <cell r="P37">
            <v>13333.333333333334</v>
          </cell>
        </row>
        <row r="38">
          <cell r="E38">
            <v>833.33333333333337</v>
          </cell>
          <cell r="F38">
            <v>833.33333333333337</v>
          </cell>
          <cell r="G38">
            <v>833.33333333333337</v>
          </cell>
          <cell r="H38">
            <v>833.33333333333337</v>
          </cell>
          <cell r="I38">
            <v>833.33333333333337</v>
          </cell>
          <cell r="J38">
            <v>833.33333333333337</v>
          </cell>
          <cell r="K38">
            <v>833.33333333333337</v>
          </cell>
          <cell r="L38">
            <v>833.33333333333337</v>
          </cell>
          <cell r="M38">
            <v>833.33333333333337</v>
          </cell>
          <cell r="N38">
            <v>833.33333333333337</v>
          </cell>
          <cell r="O38">
            <v>833.33333333333337</v>
          </cell>
          <cell r="P38">
            <v>833.33333333333337</v>
          </cell>
        </row>
        <row r="39">
          <cell r="E39">
            <v>666.66666666666663</v>
          </cell>
          <cell r="F39">
            <v>666.66666666666663</v>
          </cell>
          <cell r="G39">
            <v>666.66666666666663</v>
          </cell>
          <cell r="H39">
            <v>666.66666666666663</v>
          </cell>
          <cell r="I39">
            <v>666.66666666666663</v>
          </cell>
          <cell r="J39">
            <v>666.66666666666663</v>
          </cell>
          <cell r="K39">
            <v>666.66666666666663</v>
          </cell>
          <cell r="L39">
            <v>666.66666666666663</v>
          </cell>
          <cell r="M39">
            <v>666.66666666666663</v>
          </cell>
          <cell r="N39">
            <v>666.66666666666663</v>
          </cell>
          <cell r="O39">
            <v>666.66666666666663</v>
          </cell>
          <cell r="P39">
            <v>666.66666666666663</v>
          </cell>
        </row>
        <row r="40">
          <cell r="E40">
            <v>2083.3333333333335</v>
          </cell>
          <cell r="F40">
            <v>2083.3333333333335</v>
          </cell>
          <cell r="G40">
            <v>2083.3333333333335</v>
          </cell>
          <cell r="H40">
            <v>2083.3333333333335</v>
          </cell>
          <cell r="I40">
            <v>2083.3333333333335</v>
          </cell>
          <cell r="J40">
            <v>2083.3333333333335</v>
          </cell>
          <cell r="K40">
            <v>2083.3333333333335</v>
          </cell>
          <cell r="L40">
            <v>2083.3333333333335</v>
          </cell>
          <cell r="M40">
            <v>2083.3333333333335</v>
          </cell>
          <cell r="N40">
            <v>2083.3333333333335</v>
          </cell>
          <cell r="O40">
            <v>2083.3333333333335</v>
          </cell>
          <cell r="P40">
            <v>2083.3333333333335</v>
          </cell>
        </row>
        <row r="41">
          <cell r="E41">
            <v>13083.333333333334</v>
          </cell>
          <cell r="F41">
            <v>13083.333333333334</v>
          </cell>
          <cell r="G41">
            <v>13083.333333333334</v>
          </cell>
          <cell r="H41">
            <v>13083.333333333334</v>
          </cell>
          <cell r="I41">
            <v>13083.333333333334</v>
          </cell>
          <cell r="J41">
            <v>13083.333333333334</v>
          </cell>
          <cell r="K41">
            <v>13083.333333333334</v>
          </cell>
          <cell r="L41">
            <v>13083.333333333334</v>
          </cell>
          <cell r="M41">
            <v>13083.333333333334</v>
          </cell>
          <cell r="N41">
            <v>13083.333333333334</v>
          </cell>
          <cell r="O41">
            <v>13083.333333333334</v>
          </cell>
          <cell r="P41">
            <v>13083.333333333334</v>
          </cell>
        </row>
        <row r="42">
          <cell r="E42">
            <v>81065.399999999994</v>
          </cell>
          <cell r="F42">
            <v>81065.399999999994</v>
          </cell>
          <cell r="G42">
            <v>81065.399999999994</v>
          </cell>
          <cell r="H42">
            <v>81065.399999999994</v>
          </cell>
          <cell r="I42">
            <v>81065.399999999994</v>
          </cell>
          <cell r="J42">
            <v>81065.399999999994</v>
          </cell>
          <cell r="K42">
            <v>81065.399999999994</v>
          </cell>
          <cell r="L42">
            <v>81065.399999999994</v>
          </cell>
          <cell r="M42">
            <v>81065.399999999994</v>
          </cell>
          <cell r="N42">
            <v>81065.399999999994</v>
          </cell>
          <cell r="O42">
            <v>81065.399999999994</v>
          </cell>
          <cell r="P42">
            <v>81065.399999999994</v>
          </cell>
        </row>
        <row r="43">
          <cell r="E43">
            <v>5138.25</v>
          </cell>
          <cell r="F43">
            <v>5138.25</v>
          </cell>
          <cell r="G43">
            <v>5138.25</v>
          </cell>
          <cell r="H43">
            <v>5138.25</v>
          </cell>
          <cell r="I43">
            <v>5138.25</v>
          </cell>
          <cell r="J43">
            <v>5138.25</v>
          </cell>
          <cell r="K43">
            <v>5138.25</v>
          </cell>
          <cell r="L43">
            <v>5138.25</v>
          </cell>
          <cell r="M43">
            <v>5138.25</v>
          </cell>
          <cell r="N43">
            <v>5138.25</v>
          </cell>
          <cell r="O43">
            <v>5138.25</v>
          </cell>
          <cell r="P43">
            <v>5138.25</v>
          </cell>
        </row>
        <row r="44"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</row>
        <row r="45"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</row>
        <row r="46"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</row>
        <row r="47"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</row>
        <row r="48">
          <cell r="E48">
            <v>2083.3333333333335</v>
          </cell>
          <cell r="F48">
            <v>2083.3333333333335</v>
          </cell>
          <cell r="G48">
            <v>2083.3333333333335</v>
          </cell>
          <cell r="H48">
            <v>2083.3333333333335</v>
          </cell>
          <cell r="I48">
            <v>2083.3333333333335</v>
          </cell>
          <cell r="J48">
            <v>2083.3333333333335</v>
          </cell>
          <cell r="K48">
            <v>2083.3333333333335</v>
          </cell>
          <cell r="L48">
            <v>2083.3333333333335</v>
          </cell>
          <cell r="M48">
            <v>2083.3333333333335</v>
          </cell>
          <cell r="N48">
            <v>2083.3333333333335</v>
          </cell>
          <cell r="O48">
            <v>2083.3333333333335</v>
          </cell>
          <cell r="P48">
            <v>2083.3333333333335</v>
          </cell>
        </row>
        <row r="49">
          <cell r="E49">
            <v>5208.333333333333</v>
          </cell>
          <cell r="F49">
            <v>5208.333333333333</v>
          </cell>
          <cell r="G49">
            <v>5208.333333333333</v>
          </cell>
          <cell r="H49">
            <v>5208.333333333333</v>
          </cell>
          <cell r="I49">
            <v>5208.333333333333</v>
          </cell>
          <cell r="J49">
            <v>5208.333333333333</v>
          </cell>
          <cell r="K49">
            <v>5208.333333333333</v>
          </cell>
          <cell r="L49">
            <v>5208.333333333333</v>
          </cell>
          <cell r="M49">
            <v>5208.333333333333</v>
          </cell>
          <cell r="N49">
            <v>5208.333333333333</v>
          </cell>
          <cell r="O49">
            <v>5208.333333333333</v>
          </cell>
          <cell r="P49">
            <v>5208.333333333333</v>
          </cell>
        </row>
        <row r="50">
          <cell r="E50">
            <v>611.26666666666665</v>
          </cell>
          <cell r="F50">
            <v>611.26666666666665</v>
          </cell>
          <cell r="G50">
            <v>611.26666666666665</v>
          </cell>
          <cell r="H50">
            <v>611.26666666666665</v>
          </cell>
          <cell r="I50">
            <v>611.26666666666665</v>
          </cell>
          <cell r="J50">
            <v>611.26666666666665</v>
          </cell>
          <cell r="K50">
            <v>611.26666666666665</v>
          </cell>
          <cell r="L50">
            <v>611.26666666666665</v>
          </cell>
          <cell r="M50">
            <v>611.26666666666665</v>
          </cell>
          <cell r="N50">
            <v>611.26666666666665</v>
          </cell>
          <cell r="O50">
            <v>611.26666666666665</v>
          </cell>
          <cell r="P50">
            <v>611.26666666666665</v>
          </cell>
        </row>
        <row r="51">
          <cell r="E51">
            <v>459.43610000000001</v>
          </cell>
          <cell r="F51">
            <v>459.43610000000001</v>
          </cell>
          <cell r="G51">
            <v>459.43610000000001</v>
          </cell>
          <cell r="H51">
            <v>459.43610000000001</v>
          </cell>
          <cell r="I51">
            <v>459.43610000000001</v>
          </cell>
          <cell r="J51">
            <v>459.43610000000001</v>
          </cell>
          <cell r="K51">
            <v>459.43610000000001</v>
          </cell>
          <cell r="L51">
            <v>459.43610000000001</v>
          </cell>
          <cell r="M51">
            <v>459.43610000000001</v>
          </cell>
          <cell r="N51">
            <v>459.43610000000001</v>
          </cell>
          <cell r="O51">
            <v>459.43610000000001</v>
          </cell>
          <cell r="P51">
            <v>459.43610000000001</v>
          </cell>
        </row>
        <row r="52">
          <cell r="E52">
            <v>1666.6666666666667</v>
          </cell>
          <cell r="F52">
            <v>1666.6666666666667</v>
          </cell>
          <cell r="G52">
            <v>1666.6666666666667</v>
          </cell>
          <cell r="H52">
            <v>1666.6666666666667</v>
          </cell>
          <cell r="I52">
            <v>1666.6666666666667</v>
          </cell>
          <cell r="J52">
            <v>1666.6666666666667</v>
          </cell>
          <cell r="K52">
            <v>1666.6666666666667</v>
          </cell>
          <cell r="L52">
            <v>1666.6666666666667</v>
          </cell>
          <cell r="M52">
            <v>1666.6666666666667</v>
          </cell>
          <cell r="N52">
            <v>1666.6666666666667</v>
          </cell>
          <cell r="O52">
            <v>1666.6666666666667</v>
          </cell>
          <cell r="P52">
            <v>1666.6666666666667</v>
          </cell>
        </row>
        <row r="53">
          <cell r="E53">
            <v>1000</v>
          </cell>
          <cell r="F53">
            <v>1000</v>
          </cell>
          <cell r="G53">
            <v>1000</v>
          </cell>
          <cell r="H53">
            <v>1000</v>
          </cell>
          <cell r="I53">
            <v>1000</v>
          </cell>
          <cell r="J53">
            <v>1000</v>
          </cell>
          <cell r="K53">
            <v>1000</v>
          </cell>
          <cell r="L53">
            <v>1000</v>
          </cell>
          <cell r="M53">
            <v>1000</v>
          </cell>
          <cell r="N53">
            <v>1000</v>
          </cell>
          <cell r="O53">
            <v>1000</v>
          </cell>
          <cell r="P53">
            <v>1000</v>
          </cell>
        </row>
        <row r="54">
          <cell r="E54">
            <v>25257.142857142859</v>
          </cell>
          <cell r="F54">
            <v>25257.142857142859</v>
          </cell>
          <cell r="G54">
            <v>25257.142857142859</v>
          </cell>
          <cell r="H54">
            <v>25257.142857142859</v>
          </cell>
          <cell r="I54">
            <v>25257.142857142859</v>
          </cell>
          <cell r="J54">
            <v>25257.142857142859</v>
          </cell>
          <cell r="K54">
            <v>25257.142857142859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</row>
        <row r="56">
          <cell r="E56">
            <v>-13840.830449826988</v>
          </cell>
          <cell r="F56">
            <v>-13840.830449826988</v>
          </cell>
          <cell r="G56">
            <v>-13840.830449826988</v>
          </cell>
          <cell r="H56">
            <v>-13840.830449826988</v>
          </cell>
          <cell r="I56">
            <v>-13840.830449826988</v>
          </cell>
          <cell r="J56">
            <v>-13840.830449826988</v>
          </cell>
          <cell r="K56">
            <v>-13840.830449826988</v>
          </cell>
          <cell r="L56">
            <v>-13840.830449826988</v>
          </cell>
          <cell r="M56">
            <v>-13840.830449826988</v>
          </cell>
          <cell r="N56">
            <v>-13840.830449826988</v>
          </cell>
          <cell r="O56">
            <v>-13840.830449826988</v>
          </cell>
          <cell r="P56">
            <v>-13840.830449826988</v>
          </cell>
        </row>
        <row r="57">
          <cell r="E57">
            <v>-4613.6101499423303</v>
          </cell>
          <cell r="F57">
            <v>-4613.6101499423303</v>
          </cell>
          <cell r="G57">
            <v>-4613.6101499423303</v>
          </cell>
          <cell r="H57">
            <v>-4613.6101499423303</v>
          </cell>
          <cell r="I57">
            <v>-4613.6101499423303</v>
          </cell>
          <cell r="J57">
            <v>-4613.6101499423303</v>
          </cell>
          <cell r="K57">
            <v>-4613.6101499423303</v>
          </cell>
          <cell r="L57">
            <v>-4613.6101499423303</v>
          </cell>
          <cell r="M57">
            <v>-4613.6101499423303</v>
          </cell>
          <cell r="N57">
            <v>-4613.6101499423303</v>
          </cell>
          <cell r="O57">
            <v>-4613.6101499423303</v>
          </cell>
          <cell r="P57">
            <v>-4613.6101499423303</v>
          </cell>
        </row>
      </sheetData>
      <sheetData sheetId="13" refreshError="1">
        <row r="1">
          <cell r="G1">
            <v>502.43</v>
          </cell>
        </row>
        <row r="4">
          <cell r="E4">
            <v>90865.336032000007</v>
          </cell>
          <cell r="F4">
            <v>139449.33603200002</v>
          </cell>
          <cell r="G4">
            <v>90865.336032000007</v>
          </cell>
          <cell r="H4">
            <v>90865.336032000007</v>
          </cell>
          <cell r="I4">
            <v>90865.336032000007</v>
          </cell>
          <cell r="J4">
            <v>90865.336032000007</v>
          </cell>
          <cell r="K4">
            <v>90865.336032000007</v>
          </cell>
          <cell r="L4">
            <v>98134.562914560011</v>
          </cell>
          <cell r="M4">
            <v>98134.562914560011</v>
          </cell>
          <cell r="N4">
            <v>98134.562914560011</v>
          </cell>
          <cell r="O4">
            <v>98134.562914560011</v>
          </cell>
          <cell r="P4">
            <v>98134.562914560011</v>
          </cell>
        </row>
        <row r="5">
          <cell r="E5">
            <v>2916.6666666666665</v>
          </cell>
          <cell r="F5">
            <v>2916.6666666666665</v>
          </cell>
          <cell r="G5">
            <v>2916.6666666666665</v>
          </cell>
          <cell r="H5">
            <v>2916.6666666666665</v>
          </cell>
          <cell r="I5">
            <v>2916.6666666666665</v>
          </cell>
          <cell r="J5">
            <v>2916.6666666666665</v>
          </cell>
          <cell r="K5">
            <v>2916.6666666666665</v>
          </cell>
          <cell r="L5">
            <v>2916.6666666666665</v>
          </cell>
          <cell r="M5">
            <v>2916.6666666666665</v>
          </cell>
          <cell r="N5">
            <v>2916.6666666666665</v>
          </cell>
          <cell r="O5">
            <v>2916.6666666666665</v>
          </cell>
          <cell r="P5">
            <v>2916.6666666666665</v>
          </cell>
        </row>
        <row r="6">
          <cell r="E6">
            <v>11205.503656586669</v>
          </cell>
          <cell r="F6">
            <v>11205.503656586669</v>
          </cell>
          <cell r="G6">
            <v>11205.503656586669</v>
          </cell>
          <cell r="H6">
            <v>11205.503656586669</v>
          </cell>
          <cell r="I6">
            <v>11205.503656586669</v>
          </cell>
          <cell r="J6">
            <v>11205.503656586669</v>
          </cell>
          <cell r="K6">
            <v>11205.503656586669</v>
          </cell>
          <cell r="L6">
            <v>12076.230615780269</v>
          </cell>
          <cell r="M6">
            <v>12076.230615780269</v>
          </cell>
          <cell r="N6">
            <v>12076.230615780269</v>
          </cell>
          <cell r="O6">
            <v>12076.230615780269</v>
          </cell>
          <cell r="P6">
            <v>12076.230615780269</v>
          </cell>
        </row>
        <row r="7">
          <cell r="E7">
            <v>8693.925250799999</v>
          </cell>
          <cell r="F7">
            <v>8693.925250799999</v>
          </cell>
          <cell r="G7">
            <v>8693.925250799999</v>
          </cell>
          <cell r="H7">
            <v>8693.925250799999</v>
          </cell>
          <cell r="I7">
            <v>8693.925250799999</v>
          </cell>
          <cell r="J7">
            <v>8693.925250799999</v>
          </cell>
          <cell r="K7">
            <v>8693.925250799999</v>
          </cell>
          <cell r="L7">
            <v>9369.4892708640018</v>
          </cell>
          <cell r="M7">
            <v>9369.4892708640018</v>
          </cell>
          <cell r="N7">
            <v>9369.4892708640018</v>
          </cell>
          <cell r="O7">
            <v>9369.4892708640018</v>
          </cell>
          <cell r="P7">
            <v>9369.4892708640018</v>
          </cell>
        </row>
        <row r="8"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113681.43160605335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</row>
        <row r="9">
          <cell r="E9">
            <v>5450.2268238933348</v>
          </cell>
          <cell r="F9">
            <v>5450.2268238933348</v>
          </cell>
          <cell r="G9">
            <v>5450.2268238933348</v>
          </cell>
          <cell r="H9">
            <v>5450.2268238933348</v>
          </cell>
          <cell r="I9">
            <v>5450.2268238933348</v>
          </cell>
          <cell r="J9">
            <v>5450.2268238933348</v>
          </cell>
          <cell r="K9">
            <v>5450.2268238933348</v>
          </cell>
          <cell r="L9">
            <v>5873.7383031381351</v>
          </cell>
          <cell r="M9">
            <v>5873.7383031381351</v>
          </cell>
          <cell r="N9">
            <v>5873.7383031381351</v>
          </cell>
          <cell r="O9">
            <v>5873.7383031381351</v>
          </cell>
          <cell r="P9">
            <v>5873.7383031381351</v>
          </cell>
        </row>
        <row r="10">
          <cell r="E10">
            <v>5000</v>
          </cell>
          <cell r="F10">
            <v>5000</v>
          </cell>
          <cell r="G10">
            <v>5000</v>
          </cell>
          <cell r="H10">
            <v>5000</v>
          </cell>
          <cell r="I10">
            <v>5000</v>
          </cell>
          <cell r="J10">
            <v>5000</v>
          </cell>
          <cell r="K10">
            <v>5000</v>
          </cell>
          <cell r="L10">
            <v>5000</v>
          </cell>
          <cell r="M10">
            <v>5000</v>
          </cell>
          <cell r="N10">
            <v>5000</v>
          </cell>
          <cell r="O10">
            <v>5000</v>
          </cell>
          <cell r="P10">
            <v>5000</v>
          </cell>
        </row>
        <row r="11"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</row>
        <row r="12">
          <cell r="E12">
            <v>3105</v>
          </cell>
          <cell r="F12">
            <v>3105</v>
          </cell>
          <cell r="G12">
            <v>3105</v>
          </cell>
          <cell r="H12">
            <v>3105</v>
          </cell>
          <cell r="I12">
            <v>3105</v>
          </cell>
          <cell r="J12">
            <v>3105</v>
          </cell>
          <cell r="K12">
            <v>3105</v>
          </cell>
          <cell r="L12">
            <v>3105</v>
          </cell>
          <cell r="M12">
            <v>3105</v>
          </cell>
          <cell r="N12">
            <v>3105</v>
          </cell>
          <cell r="O12">
            <v>3105</v>
          </cell>
          <cell r="P12">
            <v>3105</v>
          </cell>
        </row>
        <row r="13">
          <cell r="E13">
            <v>500</v>
          </cell>
          <cell r="F13">
            <v>500</v>
          </cell>
          <cell r="G13">
            <v>500</v>
          </cell>
          <cell r="H13">
            <v>500</v>
          </cell>
          <cell r="I13">
            <v>500</v>
          </cell>
          <cell r="J13">
            <v>500</v>
          </cell>
          <cell r="K13">
            <v>500</v>
          </cell>
          <cell r="L13">
            <v>500</v>
          </cell>
          <cell r="M13">
            <v>500</v>
          </cell>
          <cell r="N13">
            <v>500</v>
          </cell>
          <cell r="O13">
            <v>500</v>
          </cell>
          <cell r="P13">
            <v>500</v>
          </cell>
        </row>
        <row r="14">
          <cell r="E14">
            <v>6661.82</v>
          </cell>
          <cell r="F14">
            <v>6661.82</v>
          </cell>
          <cell r="G14">
            <v>6661.82</v>
          </cell>
          <cell r="H14">
            <v>6661.82</v>
          </cell>
          <cell r="I14">
            <v>6661.82</v>
          </cell>
          <cell r="J14">
            <v>6661.82</v>
          </cell>
          <cell r="K14">
            <v>6661.82</v>
          </cell>
          <cell r="L14">
            <v>6661.82</v>
          </cell>
          <cell r="M14">
            <v>6661.82</v>
          </cell>
          <cell r="N14">
            <v>6661.82</v>
          </cell>
          <cell r="O14">
            <v>6661.82</v>
          </cell>
          <cell r="P14">
            <v>6661.82</v>
          </cell>
        </row>
        <row r="15">
          <cell r="E15">
            <v>10575</v>
          </cell>
          <cell r="F15">
            <v>10575</v>
          </cell>
          <cell r="G15">
            <v>10575</v>
          </cell>
          <cell r="H15">
            <v>10575</v>
          </cell>
          <cell r="I15">
            <v>10575</v>
          </cell>
          <cell r="J15">
            <v>10575</v>
          </cell>
          <cell r="K15">
            <v>11400</v>
          </cell>
          <cell r="L15">
            <v>10575</v>
          </cell>
          <cell r="M15">
            <v>10575</v>
          </cell>
          <cell r="N15">
            <v>10575</v>
          </cell>
          <cell r="O15">
            <v>10575</v>
          </cell>
          <cell r="P15">
            <v>10575</v>
          </cell>
        </row>
        <row r="16">
          <cell r="E16">
            <v>2708.3333333333335</v>
          </cell>
          <cell r="F16">
            <v>2708.3333333333335</v>
          </cell>
          <cell r="G16">
            <v>2708.3333333333335</v>
          </cell>
          <cell r="H16">
            <v>2708.3333333333335</v>
          </cell>
          <cell r="I16">
            <v>2708.3333333333335</v>
          </cell>
          <cell r="J16">
            <v>2708.3333333333335</v>
          </cell>
          <cell r="K16">
            <v>2708.3333333333335</v>
          </cell>
          <cell r="L16">
            <v>2708.3333333333335</v>
          </cell>
          <cell r="M16">
            <v>2708.3333333333335</v>
          </cell>
          <cell r="N16">
            <v>2708.3333333333335</v>
          </cell>
          <cell r="O16">
            <v>2708.3333333333335</v>
          </cell>
          <cell r="P16">
            <v>2708.3333333333335</v>
          </cell>
        </row>
        <row r="17">
          <cell r="E17">
            <v>57240</v>
          </cell>
          <cell r="F17">
            <v>57240</v>
          </cell>
          <cell r="G17">
            <v>57240</v>
          </cell>
          <cell r="H17">
            <v>57240</v>
          </cell>
          <cell r="I17">
            <v>57240</v>
          </cell>
          <cell r="J17">
            <v>57240</v>
          </cell>
          <cell r="K17">
            <v>57240</v>
          </cell>
          <cell r="L17">
            <v>57240</v>
          </cell>
          <cell r="M17">
            <v>57240</v>
          </cell>
          <cell r="N17">
            <v>57240</v>
          </cell>
          <cell r="O17">
            <v>57240</v>
          </cell>
          <cell r="P17">
            <v>57240</v>
          </cell>
        </row>
        <row r="18">
          <cell r="E18">
            <v>9974.25</v>
          </cell>
          <cell r="F18">
            <v>9974.25</v>
          </cell>
          <cell r="G18">
            <v>9974.25</v>
          </cell>
          <cell r="H18">
            <v>9974.25</v>
          </cell>
          <cell r="I18">
            <v>9974.25</v>
          </cell>
          <cell r="J18">
            <v>9974.25</v>
          </cell>
          <cell r="K18">
            <v>9974.25</v>
          </cell>
          <cell r="L18">
            <v>9974.25</v>
          </cell>
          <cell r="M18">
            <v>9974.25</v>
          </cell>
          <cell r="N18">
            <v>9974.25</v>
          </cell>
          <cell r="O18">
            <v>9974.25</v>
          </cell>
          <cell r="P18">
            <v>9974.25</v>
          </cell>
        </row>
        <row r="19">
          <cell r="E19">
            <v>2500</v>
          </cell>
          <cell r="F19">
            <v>2500</v>
          </cell>
          <cell r="G19">
            <v>2500</v>
          </cell>
          <cell r="H19">
            <v>2500</v>
          </cell>
          <cell r="I19">
            <v>2500</v>
          </cell>
          <cell r="J19">
            <v>2500</v>
          </cell>
          <cell r="K19">
            <v>2500</v>
          </cell>
          <cell r="L19">
            <v>2500</v>
          </cell>
          <cell r="M19">
            <v>2500</v>
          </cell>
          <cell r="N19">
            <v>2500</v>
          </cell>
          <cell r="O19">
            <v>2500</v>
          </cell>
          <cell r="P19">
            <v>2500</v>
          </cell>
        </row>
        <row r="20">
          <cell r="E20">
            <v>0</v>
          </cell>
          <cell r="F20">
            <v>0</v>
          </cell>
          <cell r="G20">
            <v>415717.67551999999</v>
          </cell>
          <cell r="H20">
            <v>0</v>
          </cell>
          <cell r="I20">
            <v>10408.13272</v>
          </cell>
          <cell r="J20">
            <v>10408.13272</v>
          </cell>
          <cell r="K20">
            <v>193074.13271999999</v>
          </cell>
          <cell r="L20">
            <v>29025.808239999998</v>
          </cell>
          <cell r="M20">
            <v>193074.13271999999</v>
          </cell>
          <cell r="N20">
            <v>10408.13272</v>
          </cell>
          <cell r="O20">
            <v>10408.13272</v>
          </cell>
          <cell r="P20">
            <v>10408.13272</v>
          </cell>
        </row>
        <row r="21">
          <cell r="E21">
            <v>107523.719999999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</row>
        <row r="22">
          <cell r="E22">
            <v>21965.462666666666</v>
          </cell>
          <cell r="F22">
            <v>21965.462666666666</v>
          </cell>
          <cell r="G22">
            <v>21965.462666666666</v>
          </cell>
          <cell r="H22">
            <v>21965.462666666666</v>
          </cell>
          <cell r="I22">
            <v>21965.462666666666</v>
          </cell>
          <cell r="J22">
            <v>21965.462666666666</v>
          </cell>
          <cell r="K22">
            <v>21965.462666666666</v>
          </cell>
          <cell r="L22">
            <v>21965.462666666666</v>
          </cell>
          <cell r="M22">
            <v>21965.462666666666</v>
          </cell>
          <cell r="N22">
            <v>21965.462666666666</v>
          </cell>
          <cell r="O22">
            <v>21965.462666666666</v>
          </cell>
          <cell r="P22">
            <v>21965.462666666666</v>
          </cell>
        </row>
        <row r="23"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</row>
        <row r="24">
          <cell r="E24">
            <v>21080.163965579301</v>
          </cell>
          <cell r="F24">
            <v>21080.163965579301</v>
          </cell>
          <cell r="G24">
            <v>21080.163965579301</v>
          </cell>
          <cell r="H24">
            <v>21080.163965579301</v>
          </cell>
          <cell r="I24">
            <v>21080.163965579301</v>
          </cell>
          <cell r="J24">
            <v>21080.163965579301</v>
          </cell>
          <cell r="K24">
            <v>17417.594514059299</v>
          </cell>
          <cell r="L24">
            <v>21080.163965579301</v>
          </cell>
          <cell r="M24">
            <v>21080.163965579301</v>
          </cell>
          <cell r="N24">
            <v>21080.163965579301</v>
          </cell>
          <cell r="O24">
            <v>21080.163965579301</v>
          </cell>
          <cell r="P24">
            <v>21080.163965579301</v>
          </cell>
        </row>
        <row r="25">
          <cell r="E25">
            <v>0</v>
          </cell>
          <cell r="F25">
            <v>0</v>
          </cell>
          <cell r="G25">
            <v>64725.626069999897</v>
          </cell>
          <cell r="H25">
            <v>82826.726381999993</v>
          </cell>
          <cell r="I25">
            <v>82826.726381999993</v>
          </cell>
          <cell r="J25">
            <v>86657.276945999998</v>
          </cell>
          <cell r="K25">
            <v>23457.865145999898</v>
          </cell>
          <cell r="L25">
            <v>23457.865145999898</v>
          </cell>
          <cell r="M25">
            <v>23457.865145999898</v>
          </cell>
          <cell r="N25">
            <v>16275.5204219999</v>
          </cell>
          <cell r="O25">
            <v>11960.323097999901</v>
          </cell>
          <cell r="P25">
            <v>11960.323097999901</v>
          </cell>
        </row>
        <row r="26">
          <cell r="E26">
            <v>81034.486392694394</v>
          </cell>
          <cell r="F26">
            <v>165326.09269669437</v>
          </cell>
          <cell r="G26">
            <v>255023.65861736552</v>
          </cell>
          <cell r="H26">
            <v>255023.65861736552</v>
          </cell>
          <cell r="I26">
            <v>285897.84913669439</v>
          </cell>
          <cell r="J26">
            <v>221024.59576536631</v>
          </cell>
          <cell r="K26">
            <v>190150.40524603747</v>
          </cell>
          <cell r="L26">
            <v>255023.65861736552</v>
          </cell>
          <cell r="M26">
            <v>319984.288493992</v>
          </cell>
          <cell r="N26">
            <v>308098.3824773191</v>
          </cell>
          <cell r="O26">
            <v>223820.85912999112</v>
          </cell>
          <cell r="P26">
            <v>218414.89951331913</v>
          </cell>
        </row>
        <row r="27">
          <cell r="E27">
            <v>4221.6986017600002</v>
          </cell>
          <cell r="F27">
            <v>15240.6213060799</v>
          </cell>
          <cell r="G27">
            <v>15240.6213060799</v>
          </cell>
          <cell r="H27">
            <v>14057.962809999901</v>
          </cell>
          <cell r="I27">
            <v>5506.77441</v>
          </cell>
          <cell r="J27">
            <v>18279.66141176</v>
          </cell>
          <cell r="K27">
            <v>9728.4730117599993</v>
          </cell>
          <cell r="L27">
            <v>18279.66141176</v>
          </cell>
          <cell r="M27">
            <v>18279.66141176</v>
          </cell>
          <cell r="N27">
            <v>15436.842611759999</v>
          </cell>
          <cell r="O27">
            <v>11215.1440099999</v>
          </cell>
          <cell r="P27">
            <v>11215.1440099999</v>
          </cell>
        </row>
        <row r="28">
          <cell r="E28">
            <v>11601.380219999999</v>
          </cell>
          <cell r="F28">
            <v>11601.380219999999</v>
          </cell>
          <cell r="G28">
            <v>15468.506959999901</v>
          </cell>
          <cell r="H28">
            <v>15820.954589999899</v>
          </cell>
          <cell r="I28">
            <v>13534.943589999901</v>
          </cell>
          <cell r="J28">
            <v>11953.8278499999</v>
          </cell>
          <cell r="K28">
            <v>9667.8168499999992</v>
          </cell>
          <cell r="L28">
            <v>15820.954589999899</v>
          </cell>
          <cell r="M28">
            <v>15820.954589999899</v>
          </cell>
          <cell r="N28">
            <v>14967.6669899999</v>
          </cell>
          <cell r="O28">
            <v>11100.5402499999</v>
          </cell>
          <cell r="P28">
            <v>11100.5402499999</v>
          </cell>
        </row>
        <row r="29">
          <cell r="E29">
            <v>20636.314999999999</v>
          </cell>
          <cell r="F29">
            <v>31597.133000000002</v>
          </cell>
          <cell r="G29">
            <v>20636.314999999999</v>
          </cell>
          <cell r="H29">
            <v>31597.133000000002</v>
          </cell>
          <cell r="I29">
            <v>20636.314999999999</v>
          </cell>
          <cell r="J29">
            <v>31597.133000000002</v>
          </cell>
          <cell r="K29">
            <v>20636.314999999999</v>
          </cell>
          <cell r="L29">
            <v>31597.133000000002</v>
          </cell>
          <cell r="M29">
            <v>20636.314999999999</v>
          </cell>
          <cell r="N29">
            <v>31597.133000000002</v>
          </cell>
          <cell r="O29">
            <v>20636.314999999999</v>
          </cell>
          <cell r="P29">
            <v>31597.133000000002</v>
          </cell>
        </row>
        <row r="30">
          <cell r="E30">
            <v>6666.666666666667</v>
          </cell>
          <cell r="F30">
            <v>6666.666666666667</v>
          </cell>
          <cell r="G30">
            <v>6666.666666666667</v>
          </cell>
          <cell r="H30">
            <v>6666.666666666667</v>
          </cell>
          <cell r="I30">
            <v>6666.666666666667</v>
          </cell>
          <cell r="J30">
            <v>6666.666666666667</v>
          </cell>
          <cell r="K30">
            <v>6666.666666666667</v>
          </cell>
          <cell r="L30">
            <v>6666.666666666667</v>
          </cell>
          <cell r="M30">
            <v>6666.666666666667</v>
          </cell>
          <cell r="N30">
            <v>6666.666666666667</v>
          </cell>
          <cell r="O30">
            <v>6666.666666666667</v>
          </cell>
          <cell r="P30">
            <v>6666.666666666667</v>
          </cell>
        </row>
        <row r="31">
          <cell r="E31">
            <v>416.66666666666669</v>
          </cell>
          <cell r="F31">
            <v>416.66666666666669</v>
          </cell>
          <cell r="G31">
            <v>416.66666666666669</v>
          </cell>
          <cell r="H31">
            <v>416.66666666666669</v>
          </cell>
          <cell r="I31">
            <v>416.66666666666669</v>
          </cell>
          <cell r="J31">
            <v>416.66666666666669</v>
          </cell>
          <cell r="K31">
            <v>416.66666666666669</v>
          </cell>
          <cell r="L31">
            <v>416.66666666666669</v>
          </cell>
          <cell r="M31">
            <v>416.66666666666669</v>
          </cell>
          <cell r="N31">
            <v>416.66666666666669</v>
          </cell>
          <cell r="O31">
            <v>416.66666666666669</v>
          </cell>
          <cell r="P31">
            <v>416.66666666666669</v>
          </cell>
        </row>
        <row r="32">
          <cell r="E32">
            <v>421069.88000000006</v>
          </cell>
          <cell r="F32">
            <v>421069.88000000006</v>
          </cell>
          <cell r="G32">
            <v>415207.05600000004</v>
          </cell>
          <cell r="H32">
            <v>469184.23200000013</v>
          </cell>
          <cell r="I32">
            <v>545161.40800000005</v>
          </cell>
          <cell r="J32">
            <v>523161.40800000011</v>
          </cell>
          <cell r="K32">
            <v>565984.23200000008</v>
          </cell>
          <cell r="L32">
            <v>331760</v>
          </cell>
          <cell r="M32">
            <v>27280</v>
          </cell>
          <cell r="N32">
            <v>5280</v>
          </cell>
          <cell r="O32">
            <v>0</v>
          </cell>
          <cell r="P32">
            <v>0</v>
          </cell>
        </row>
        <row r="33">
          <cell r="E33">
            <v>173469.38775510204</v>
          </cell>
          <cell r="F33">
            <v>173469.38775510204</v>
          </cell>
          <cell r="G33">
            <v>208163.26530612243</v>
          </cell>
          <cell r="H33">
            <v>242857.14285714284</v>
          </cell>
          <cell r="I33">
            <v>277551.02040816325</v>
          </cell>
          <cell r="J33">
            <v>277551.02040816325</v>
          </cell>
          <cell r="K33">
            <v>242857.14285714284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</row>
        <row r="34"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</row>
        <row r="35"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</row>
        <row r="36">
          <cell r="E36">
            <v>16666.666666666668</v>
          </cell>
          <cell r="F36">
            <v>16666.666666666668</v>
          </cell>
          <cell r="G36">
            <v>16666.666666666668</v>
          </cell>
          <cell r="H36">
            <v>16666.666666666668</v>
          </cell>
          <cell r="I36">
            <v>16666.666666666668</v>
          </cell>
          <cell r="J36">
            <v>16666.666666666668</v>
          </cell>
          <cell r="K36">
            <v>16666.666666666668</v>
          </cell>
          <cell r="L36">
            <v>16666.666666666668</v>
          </cell>
          <cell r="M36">
            <v>16666.666666666668</v>
          </cell>
          <cell r="N36">
            <v>16666.666666666668</v>
          </cell>
          <cell r="O36">
            <v>16666.666666666668</v>
          </cell>
          <cell r="P36">
            <v>16666.666666666668</v>
          </cell>
        </row>
        <row r="37">
          <cell r="E37">
            <v>16666.666666666668</v>
          </cell>
          <cell r="F37">
            <v>16666.666666666668</v>
          </cell>
          <cell r="G37">
            <v>16666.666666666668</v>
          </cell>
          <cell r="H37">
            <v>16666.666666666668</v>
          </cell>
          <cell r="I37">
            <v>16666.666666666668</v>
          </cell>
          <cell r="J37">
            <v>16666.666666666668</v>
          </cell>
          <cell r="K37">
            <v>16666.666666666668</v>
          </cell>
          <cell r="L37">
            <v>16666.666666666668</v>
          </cell>
          <cell r="M37">
            <v>16666.666666666668</v>
          </cell>
          <cell r="N37">
            <v>16666.666666666668</v>
          </cell>
          <cell r="O37">
            <v>16666.666666666668</v>
          </cell>
          <cell r="P37">
            <v>16666.666666666668</v>
          </cell>
        </row>
        <row r="38">
          <cell r="E38">
            <v>5833.333333333333</v>
          </cell>
          <cell r="F38">
            <v>5833.333333333333</v>
          </cell>
          <cell r="G38">
            <v>5833.333333333333</v>
          </cell>
          <cell r="H38">
            <v>5833.333333333333</v>
          </cell>
          <cell r="I38">
            <v>5833.333333333333</v>
          </cell>
          <cell r="J38">
            <v>5833.333333333333</v>
          </cell>
          <cell r="K38">
            <v>5833.333333333333</v>
          </cell>
          <cell r="L38">
            <v>5833.333333333333</v>
          </cell>
          <cell r="M38">
            <v>5833.333333333333</v>
          </cell>
          <cell r="N38">
            <v>5833.333333333333</v>
          </cell>
          <cell r="O38">
            <v>5833.333333333333</v>
          </cell>
          <cell r="P38">
            <v>5833.333333333333</v>
          </cell>
        </row>
        <row r="39">
          <cell r="E39">
            <v>833.33333333333337</v>
          </cell>
          <cell r="F39">
            <v>833.33333333333337</v>
          </cell>
          <cell r="G39">
            <v>833.33333333333337</v>
          </cell>
          <cell r="H39">
            <v>833.33333333333337</v>
          </cell>
          <cell r="I39">
            <v>833.33333333333337</v>
          </cell>
          <cell r="J39">
            <v>833.33333333333337</v>
          </cell>
          <cell r="K39">
            <v>833.33333333333337</v>
          </cell>
          <cell r="L39">
            <v>833.33333333333337</v>
          </cell>
          <cell r="M39">
            <v>833.33333333333337</v>
          </cell>
          <cell r="N39">
            <v>833.33333333333337</v>
          </cell>
          <cell r="O39">
            <v>833.33333333333337</v>
          </cell>
          <cell r="P39">
            <v>833.33333333333337</v>
          </cell>
        </row>
        <row r="40">
          <cell r="E40">
            <v>4166.666666666667</v>
          </cell>
          <cell r="F40">
            <v>4166.666666666667</v>
          </cell>
          <cell r="G40">
            <v>4166.666666666667</v>
          </cell>
          <cell r="H40">
            <v>4166.666666666667</v>
          </cell>
          <cell r="I40">
            <v>4166.666666666667</v>
          </cell>
          <cell r="J40">
            <v>4166.666666666667</v>
          </cell>
          <cell r="K40">
            <v>4166.666666666667</v>
          </cell>
          <cell r="L40">
            <v>4166.666666666667</v>
          </cell>
          <cell r="M40">
            <v>4166.666666666667</v>
          </cell>
          <cell r="N40">
            <v>4166.666666666667</v>
          </cell>
          <cell r="O40">
            <v>4166.666666666667</v>
          </cell>
          <cell r="P40">
            <v>4166.666666666667</v>
          </cell>
        </row>
        <row r="41">
          <cell r="E41">
            <v>21000</v>
          </cell>
          <cell r="F41">
            <v>21000</v>
          </cell>
          <cell r="G41">
            <v>21000</v>
          </cell>
          <cell r="H41">
            <v>21000</v>
          </cell>
          <cell r="I41">
            <v>21000</v>
          </cell>
          <cell r="J41">
            <v>21000</v>
          </cell>
          <cell r="K41">
            <v>21000</v>
          </cell>
          <cell r="L41">
            <v>21000</v>
          </cell>
          <cell r="M41">
            <v>21000</v>
          </cell>
          <cell r="N41">
            <v>21000</v>
          </cell>
          <cell r="O41">
            <v>21000</v>
          </cell>
          <cell r="P41">
            <v>21000</v>
          </cell>
        </row>
        <row r="42">
          <cell r="E42">
            <v>152962.86448199998</v>
          </cell>
          <cell r="F42">
            <v>152962.86448199998</v>
          </cell>
          <cell r="G42">
            <v>152962.86448199998</v>
          </cell>
          <cell r="H42">
            <v>152962.86448199998</v>
          </cell>
          <cell r="I42">
            <v>152962.86448199998</v>
          </cell>
          <cell r="J42">
            <v>152962.86448199998</v>
          </cell>
          <cell r="K42">
            <v>152962.86448199998</v>
          </cell>
          <cell r="L42">
            <v>152962.86448199998</v>
          </cell>
          <cell r="M42">
            <v>152962.86448199998</v>
          </cell>
          <cell r="N42">
            <v>152962.86448199998</v>
          </cell>
          <cell r="O42">
            <v>152962.86448199998</v>
          </cell>
          <cell r="P42">
            <v>152962.86448199998</v>
          </cell>
        </row>
        <row r="43">
          <cell r="E43">
            <v>6618.4999999999991</v>
          </cell>
          <cell r="F43">
            <v>6618.4999999999991</v>
          </cell>
          <cell r="G43">
            <v>6618.4999999999991</v>
          </cell>
          <cell r="H43">
            <v>6618.4999999999991</v>
          </cell>
          <cell r="I43">
            <v>6618.4999999999991</v>
          </cell>
          <cell r="J43">
            <v>6618.4999999999991</v>
          </cell>
          <cell r="K43">
            <v>6618.4999999999991</v>
          </cell>
          <cell r="L43">
            <v>6618.4999999999991</v>
          </cell>
          <cell r="M43">
            <v>6618.4999999999991</v>
          </cell>
          <cell r="N43">
            <v>6618.4999999999991</v>
          </cell>
          <cell r="O43">
            <v>6618.4999999999991</v>
          </cell>
          <cell r="P43">
            <v>6618.4999999999991</v>
          </cell>
        </row>
        <row r="44"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</row>
        <row r="45"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</row>
        <row r="46"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</row>
        <row r="47"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</row>
        <row r="48">
          <cell r="E48">
            <v>4166.666666666667</v>
          </cell>
          <cell r="F48">
            <v>4166.666666666667</v>
          </cell>
          <cell r="G48">
            <v>4166.666666666667</v>
          </cell>
          <cell r="H48">
            <v>4166.666666666667</v>
          </cell>
          <cell r="I48">
            <v>4166.666666666667</v>
          </cell>
          <cell r="J48">
            <v>4166.666666666667</v>
          </cell>
          <cell r="K48">
            <v>4166.666666666667</v>
          </cell>
          <cell r="L48">
            <v>4166.666666666667</v>
          </cell>
          <cell r="M48">
            <v>4166.666666666667</v>
          </cell>
          <cell r="N48">
            <v>4166.666666666667</v>
          </cell>
          <cell r="O48">
            <v>4166.666666666667</v>
          </cell>
          <cell r="P48">
            <v>4166.666666666667</v>
          </cell>
        </row>
        <row r="49">
          <cell r="E49">
            <v>11625</v>
          </cell>
          <cell r="F49">
            <v>11625</v>
          </cell>
          <cell r="G49">
            <v>11625</v>
          </cell>
          <cell r="H49">
            <v>11625</v>
          </cell>
          <cell r="I49">
            <v>11625</v>
          </cell>
          <cell r="J49">
            <v>11625</v>
          </cell>
          <cell r="K49">
            <v>11625</v>
          </cell>
          <cell r="L49">
            <v>11625</v>
          </cell>
          <cell r="M49">
            <v>11625</v>
          </cell>
          <cell r="N49">
            <v>11625</v>
          </cell>
          <cell r="O49">
            <v>11625</v>
          </cell>
          <cell r="P49">
            <v>11625</v>
          </cell>
        </row>
        <row r="50">
          <cell r="E50">
            <v>787.93333333333339</v>
          </cell>
          <cell r="F50">
            <v>787.93333333333339</v>
          </cell>
          <cell r="G50">
            <v>787.93333333333339</v>
          </cell>
          <cell r="H50">
            <v>787.93333333333339</v>
          </cell>
          <cell r="I50">
            <v>787.93333333333339</v>
          </cell>
          <cell r="J50">
            <v>787.93333333333339</v>
          </cell>
          <cell r="K50">
            <v>787.93333333333339</v>
          </cell>
          <cell r="L50">
            <v>787.93333333333339</v>
          </cell>
          <cell r="M50">
            <v>787.93333333333339</v>
          </cell>
          <cell r="N50">
            <v>787.93333333333339</v>
          </cell>
          <cell r="O50">
            <v>787.93333333333339</v>
          </cell>
          <cell r="P50">
            <v>787.93333333333339</v>
          </cell>
        </row>
        <row r="51">
          <cell r="E51">
            <v>592.22109999999998</v>
          </cell>
          <cell r="F51">
            <v>592.22109999999998</v>
          </cell>
          <cell r="G51">
            <v>592.22109999999998</v>
          </cell>
          <cell r="H51">
            <v>592.22109999999998</v>
          </cell>
          <cell r="I51">
            <v>592.22109999999998</v>
          </cell>
          <cell r="J51">
            <v>592.22109999999998</v>
          </cell>
          <cell r="K51">
            <v>592.22109999999998</v>
          </cell>
          <cell r="L51">
            <v>592.22109999999998</v>
          </cell>
          <cell r="M51">
            <v>592.22109999999998</v>
          </cell>
          <cell r="N51">
            <v>592.22109999999998</v>
          </cell>
          <cell r="O51">
            <v>592.22109999999998</v>
          </cell>
          <cell r="P51">
            <v>592.22109999999998</v>
          </cell>
        </row>
        <row r="52">
          <cell r="E52">
            <v>2500</v>
          </cell>
          <cell r="F52">
            <v>2500</v>
          </cell>
          <cell r="G52">
            <v>2500</v>
          </cell>
          <cell r="H52">
            <v>2500</v>
          </cell>
          <cell r="I52">
            <v>2500</v>
          </cell>
          <cell r="J52">
            <v>2500</v>
          </cell>
          <cell r="K52">
            <v>2500</v>
          </cell>
          <cell r="L52">
            <v>2500</v>
          </cell>
          <cell r="M52">
            <v>2500</v>
          </cell>
          <cell r="N52">
            <v>2500</v>
          </cell>
          <cell r="O52">
            <v>2500</v>
          </cell>
          <cell r="P52">
            <v>2500</v>
          </cell>
        </row>
        <row r="53">
          <cell r="E53">
            <v>416.66666666666669</v>
          </cell>
          <cell r="F53">
            <v>416.66666666666669</v>
          </cell>
          <cell r="G53">
            <v>416.66666666666669</v>
          </cell>
          <cell r="H53">
            <v>416.66666666666669</v>
          </cell>
          <cell r="I53">
            <v>416.66666666666669</v>
          </cell>
          <cell r="J53">
            <v>416.66666666666669</v>
          </cell>
          <cell r="K53">
            <v>416.66666666666669</v>
          </cell>
          <cell r="L53">
            <v>416.66666666666669</v>
          </cell>
          <cell r="M53">
            <v>416.66666666666669</v>
          </cell>
          <cell r="N53">
            <v>416.66666666666669</v>
          </cell>
          <cell r="O53">
            <v>416.66666666666669</v>
          </cell>
          <cell r="P53">
            <v>416.66666666666669</v>
          </cell>
        </row>
        <row r="54">
          <cell r="E54">
            <v>36307.142857142855</v>
          </cell>
          <cell r="F54">
            <v>36307.142857142855</v>
          </cell>
          <cell r="G54">
            <v>36307.142857142855</v>
          </cell>
          <cell r="H54">
            <v>36307.142857142855</v>
          </cell>
          <cell r="I54">
            <v>36307.142857142855</v>
          </cell>
          <cell r="J54">
            <v>36307.142857142855</v>
          </cell>
          <cell r="K54">
            <v>36307.142857142855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</row>
        <row r="56">
          <cell r="E56">
            <v>-19896.193771626298</v>
          </cell>
          <cell r="F56">
            <v>-19896.193771626298</v>
          </cell>
          <cell r="G56">
            <v>-19896.193771626298</v>
          </cell>
          <cell r="H56">
            <v>-19896.193771626298</v>
          </cell>
          <cell r="I56">
            <v>-19896.193771626298</v>
          </cell>
          <cell r="J56">
            <v>-19896.193771626298</v>
          </cell>
          <cell r="K56">
            <v>-19896.193771626298</v>
          </cell>
          <cell r="L56">
            <v>-19896.193771626298</v>
          </cell>
          <cell r="M56">
            <v>-19896.193771626298</v>
          </cell>
          <cell r="N56">
            <v>-19896.193771626298</v>
          </cell>
          <cell r="O56">
            <v>-19896.193771626298</v>
          </cell>
          <cell r="P56">
            <v>-19896.193771626298</v>
          </cell>
        </row>
        <row r="57">
          <cell r="E57">
            <v>-6632.0645905420997</v>
          </cell>
          <cell r="F57">
            <v>-6632.0645905420997</v>
          </cell>
          <cell r="G57">
            <v>-6632.0645905420997</v>
          </cell>
          <cell r="H57">
            <v>-6632.0645905420997</v>
          </cell>
          <cell r="I57">
            <v>-6632.0645905420997</v>
          </cell>
          <cell r="J57">
            <v>-6632.0645905420997</v>
          </cell>
          <cell r="K57">
            <v>-6632.0645905420997</v>
          </cell>
          <cell r="L57">
            <v>-6632.0645905420997</v>
          </cell>
          <cell r="M57">
            <v>-6632.0645905420997</v>
          </cell>
          <cell r="N57">
            <v>-6632.0645905420997</v>
          </cell>
          <cell r="O57">
            <v>-6632.0645905420997</v>
          </cell>
          <cell r="P57">
            <v>-6632.0645905420997</v>
          </cell>
        </row>
      </sheetData>
      <sheetData sheetId="14" refreshError="1"/>
      <sheetData sheetId="15" refreshError="1">
        <row r="4">
          <cell r="E4">
            <v>38375.127664150357</v>
          </cell>
          <cell r="F4">
            <v>52490.135024722302</v>
          </cell>
          <cell r="G4">
            <v>38375.127664150357</v>
          </cell>
          <cell r="H4">
            <v>38375.127664150357</v>
          </cell>
          <cell r="I4">
            <v>38375.127664150357</v>
          </cell>
          <cell r="J4">
            <v>38375.127664150357</v>
          </cell>
          <cell r="K4">
            <v>38375.127664150357</v>
          </cell>
          <cell r="L4">
            <v>41445.137877282395</v>
          </cell>
          <cell r="M4">
            <v>41445.137877282395</v>
          </cell>
          <cell r="N4">
            <v>41445.137877282395</v>
          </cell>
          <cell r="O4">
            <v>41445.137877282395</v>
          </cell>
          <cell r="P4">
            <v>41445.137877282395</v>
          </cell>
        </row>
        <row r="5">
          <cell r="E5">
            <v>1667.4353948059604</v>
          </cell>
          <cell r="F5">
            <v>1667.4353948059604</v>
          </cell>
          <cell r="G5">
            <v>1667.4353948059604</v>
          </cell>
          <cell r="H5">
            <v>1667.4353948059604</v>
          </cell>
          <cell r="I5">
            <v>1667.4353948059604</v>
          </cell>
          <cell r="J5">
            <v>1667.4353948059604</v>
          </cell>
          <cell r="K5">
            <v>1667.4353948059604</v>
          </cell>
          <cell r="L5">
            <v>1667.4353948059604</v>
          </cell>
          <cell r="M5">
            <v>1667.4353948059604</v>
          </cell>
          <cell r="N5">
            <v>1667.4353948059604</v>
          </cell>
          <cell r="O5">
            <v>1667.4353948059604</v>
          </cell>
          <cell r="P5">
            <v>1667.4353948059604</v>
          </cell>
        </row>
        <row r="6">
          <cell r="E6">
            <v>5032.0255591034065</v>
          </cell>
          <cell r="F6">
            <v>5032.0255591034065</v>
          </cell>
          <cell r="G6">
            <v>5032.0255591034065</v>
          </cell>
          <cell r="H6">
            <v>5032.0255591034065</v>
          </cell>
          <cell r="I6">
            <v>5032.0255591034065</v>
          </cell>
          <cell r="J6">
            <v>5032.0255591034065</v>
          </cell>
          <cell r="K6">
            <v>5032.0255591034065</v>
          </cell>
          <cell r="L6">
            <v>5419.1138033678808</v>
          </cell>
          <cell r="M6">
            <v>5419.1138033678808</v>
          </cell>
          <cell r="N6">
            <v>5419.1138033678808</v>
          </cell>
          <cell r="O6">
            <v>5419.1138033678808</v>
          </cell>
          <cell r="P6">
            <v>5419.1138033678808</v>
          </cell>
        </row>
        <row r="7">
          <cell r="E7">
            <v>3470.3624545540733</v>
          </cell>
          <cell r="F7">
            <v>3470.3624545540733</v>
          </cell>
          <cell r="G7">
            <v>3470.3624545540733</v>
          </cell>
          <cell r="H7">
            <v>3470.3624545540733</v>
          </cell>
          <cell r="I7">
            <v>3470.3624545540733</v>
          </cell>
          <cell r="J7">
            <v>3470.3624545540733</v>
          </cell>
          <cell r="K7">
            <v>3470.3624545540733</v>
          </cell>
          <cell r="L7">
            <v>3737.3198643916417</v>
          </cell>
          <cell r="M7">
            <v>3737.3198643916417</v>
          </cell>
          <cell r="N7">
            <v>3737.3198643916417</v>
          </cell>
          <cell r="O7">
            <v>3737.3198643916417</v>
          </cell>
          <cell r="P7">
            <v>3737.3198643916417</v>
          </cell>
        </row>
        <row r="8"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48544.951072613796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</row>
        <row r="9">
          <cell r="E9">
            <v>5812.8571113780727</v>
          </cell>
          <cell r="F9">
            <v>5812.8571113780727</v>
          </cell>
          <cell r="G9">
            <v>5812.8571113780727</v>
          </cell>
          <cell r="H9">
            <v>5812.8571113780727</v>
          </cell>
          <cell r="I9">
            <v>5812.8571113780727</v>
          </cell>
          <cell r="J9">
            <v>5812.8571113780727</v>
          </cell>
          <cell r="K9">
            <v>5812.8571113780727</v>
          </cell>
          <cell r="L9">
            <v>6260.0107728560006</v>
          </cell>
          <cell r="M9">
            <v>6260.0107728560006</v>
          </cell>
          <cell r="N9">
            <v>6260.0107728560006</v>
          </cell>
          <cell r="O9">
            <v>6260.0107728560006</v>
          </cell>
          <cell r="P9">
            <v>6260.0107728560006</v>
          </cell>
        </row>
        <row r="10">
          <cell r="E10">
            <v>1750.8071645462583</v>
          </cell>
          <cell r="F10">
            <v>1750.8071645462583</v>
          </cell>
          <cell r="G10">
            <v>1750.8071645462583</v>
          </cell>
          <cell r="H10">
            <v>1750.8071645462583</v>
          </cell>
          <cell r="I10">
            <v>1750.8071645462583</v>
          </cell>
          <cell r="J10">
            <v>1750.8071645462583</v>
          </cell>
          <cell r="K10">
            <v>1750.8071645462583</v>
          </cell>
          <cell r="L10">
            <v>1750.8071645462583</v>
          </cell>
          <cell r="M10">
            <v>1750.8071645462583</v>
          </cell>
          <cell r="N10">
            <v>1750.8071645462583</v>
          </cell>
          <cell r="O10">
            <v>1750.8071645462583</v>
          </cell>
          <cell r="P10">
            <v>1750.8071645462583</v>
          </cell>
        </row>
        <row r="11"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</row>
        <row r="12">
          <cell r="E12">
            <v>1553.2160702617518</v>
          </cell>
          <cell r="F12">
            <v>1553.2160702617518</v>
          </cell>
          <cell r="G12">
            <v>1553.2160702617518</v>
          </cell>
          <cell r="H12">
            <v>1553.2160702617518</v>
          </cell>
          <cell r="I12">
            <v>1553.2160702617518</v>
          </cell>
          <cell r="J12">
            <v>1553.2160702617518</v>
          </cell>
          <cell r="K12">
            <v>1553.2160702617518</v>
          </cell>
          <cell r="L12">
            <v>1553.2160702617518</v>
          </cell>
          <cell r="M12">
            <v>1553.2160702617518</v>
          </cell>
          <cell r="N12">
            <v>1553.2160702617518</v>
          </cell>
          <cell r="O12">
            <v>1553.2160702617518</v>
          </cell>
          <cell r="P12">
            <v>1553.2160702617518</v>
          </cell>
        </row>
        <row r="13"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</row>
        <row r="14">
          <cell r="E14">
            <v>3332.4463385478725</v>
          </cell>
          <cell r="F14">
            <v>3332.4463385478725</v>
          </cell>
          <cell r="G14">
            <v>3332.4463385478725</v>
          </cell>
          <cell r="H14">
            <v>3332.4463385478725</v>
          </cell>
          <cell r="I14">
            <v>3332.4463385478725</v>
          </cell>
          <cell r="J14">
            <v>3332.4463385478725</v>
          </cell>
          <cell r="K14">
            <v>3332.4463385478725</v>
          </cell>
          <cell r="L14">
            <v>3332.4463385478725</v>
          </cell>
          <cell r="M14">
            <v>3332.4463385478725</v>
          </cell>
          <cell r="N14">
            <v>3332.4463385478725</v>
          </cell>
          <cell r="O14">
            <v>3332.4463385478725</v>
          </cell>
          <cell r="P14">
            <v>3332.4463385478725</v>
          </cell>
        </row>
        <row r="15">
          <cell r="E15">
            <v>5473.3233347426685</v>
          </cell>
          <cell r="F15">
            <v>5473.3233347426685</v>
          </cell>
          <cell r="G15">
            <v>5473.3233347426685</v>
          </cell>
          <cell r="H15">
            <v>5473.3233347426685</v>
          </cell>
          <cell r="I15">
            <v>5473.3233347426685</v>
          </cell>
          <cell r="J15">
            <v>5473.3233347426685</v>
          </cell>
          <cell r="K15">
            <v>5900.3201906445793</v>
          </cell>
          <cell r="L15">
            <v>5473.3233347426685</v>
          </cell>
          <cell r="M15">
            <v>5473.3233347426685</v>
          </cell>
          <cell r="N15">
            <v>5473.3233347426685</v>
          </cell>
          <cell r="O15">
            <v>5473.3233347426685</v>
          </cell>
          <cell r="P15">
            <v>5473.3233347426685</v>
          </cell>
        </row>
        <row r="16">
          <cell r="E16">
            <v>1354.7912582798429</v>
          </cell>
          <cell r="F16">
            <v>1354.7912582798429</v>
          </cell>
          <cell r="G16">
            <v>1354.7912582798429</v>
          </cell>
          <cell r="H16">
            <v>1354.7912582798429</v>
          </cell>
          <cell r="I16">
            <v>1354.7912582798429</v>
          </cell>
          <cell r="J16">
            <v>1354.7912582798429</v>
          </cell>
          <cell r="K16">
            <v>1354.7912582798429</v>
          </cell>
          <cell r="L16">
            <v>1354.7912582798429</v>
          </cell>
          <cell r="M16">
            <v>1354.7912582798429</v>
          </cell>
          <cell r="N16">
            <v>1354.7912582798429</v>
          </cell>
          <cell r="O16">
            <v>1354.7912582798429</v>
          </cell>
          <cell r="P16">
            <v>1354.7912582798429</v>
          </cell>
        </row>
        <row r="17">
          <cell r="E17">
            <v>36304.737364031207</v>
          </cell>
          <cell r="F17">
            <v>36304.737364031207</v>
          </cell>
          <cell r="G17">
            <v>36304.737364031207</v>
          </cell>
          <cell r="H17">
            <v>36304.737364031207</v>
          </cell>
          <cell r="I17">
            <v>36304.737364031207</v>
          </cell>
          <cell r="J17">
            <v>36304.737364031207</v>
          </cell>
          <cell r="K17">
            <v>36304.737364031207</v>
          </cell>
          <cell r="L17">
            <v>36304.737364031207</v>
          </cell>
          <cell r="M17">
            <v>36304.737364031207</v>
          </cell>
          <cell r="N17">
            <v>36304.737364031207</v>
          </cell>
          <cell r="O17">
            <v>36304.737364031207</v>
          </cell>
          <cell r="P17">
            <v>36304.737364031207</v>
          </cell>
        </row>
        <row r="18">
          <cell r="E18">
            <v>4805.8155974939455</v>
          </cell>
          <cell r="F18">
            <v>4805.8155974939455</v>
          </cell>
          <cell r="G18">
            <v>4805.8155974939455</v>
          </cell>
          <cell r="H18">
            <v>4805.8155974939455</v>
          </cell>
          <cell r="I18">
            <v>4805.8155974939455</v>
          </cell>
          <cell r="J18">
            <v>4805.8155974939455</v>
          </cell>
          <cell r="K18">
            <v>4805.8155974939455</v>
          </cell>
          <cell r="L18">
            <v>4805.8155974939455</v>
          </cell>
          <cell r="M18">
            <v>4805.8155974939455</v>
          </cell>
          <cell r="N18">
            <v>4805.8155974939455</v>
          </cell>
          <cell r="O18">
            <v>4805.8155974939455</v>
          </cell>
          <cell r="P18">
            <v>4805.8155974939455</v>
          </cell>
        </row>
        <row r="19">
          <cell r="E19">
            <v>2084.2942435074501</v>
          </cell>
          <cell r="F19">
            <v>2084.2942435074501</v>
          </cell>
          <cell r="G19">
            <v>2084.2942435074501</v>
          </cell>
          <cell r="H19">
            <v>2084.2942435074501</v>
          </cell>
          <cell r="I19">
            <v>2084.2942435074501</v>
          </cell>
          <cell r="J19">
            <v>2084.2942435074501</v>
          </cell>
          <cell r="K19">
            <v>2084.2942435074501</v>
          </cell>
          <cell r="L19">
            <v>2084.2942435074501</v>
          </cell>
          <cell r="M19">
            <v>2084.2942435074501</v>
          </cell>
          <cell r="N19">
            <v>2084.2942435074501</v>
          </cell>
          <cell r="O19">
            <v>2084.2942435074501</v>
          </cell>
          <cell r="P19">
            <v>2084.2942435074501</v>
          </cell>
        </row>
        <row r="20">
          <cell r="E20">
            <v>0</v>
          </cell>
          <cell r="F20">
            <v>0</v>
          </cell>
          <cell r="G20">
            <v>147644.26047999901</v>
          </cell>
          <cell r="H20">
            <v>0</v>
          </cell>
          <cell r="I20">
            <v>4984.0624399999997</v>
          </cell>
          <cell r="J20">
            <v>4984.0624399999997</v>
          </cell>
          <cell r="K20">
            <v>81896.062439999994</v>
          </cell>
          <cell r="L20">
            <v>12103.322920000001</v>
          </cell>
          <cell r="M20">
            <v>96317.062439999994</v>
          </cell>
          <cell r="N20">
            <v>4984.0624399999997</v>
          </cell>
          <cell r="O20">
            <v>4984.0624399999997</v>
          </cell>
          <cell r="P20">
            <v>4984.0624399999997</v>
          </cell>
        </row>
        <row r="21"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</row>
        <row r="22">
          <cell r="E22">
            <v>14146.691999999999</v>
          </cell>
          <cell r="F22">
            <v>14146.691999999999</v>
          </cell>
          <cell r="G22">
            <v>14146.691999999999</v>
          </cell>
          <cell r="H22">
            <v>14146.691999999999</v>
          </cell>
          <cell r="I22">
            <v>14146.691999999999</v>
          </cell>
          <cell r="J22">
            <v>14146.691999999999</v>
          </cell>
          <cell r="K22">
            <v>14146.691999999999</v>
          </cell>
          <cell r="L22">
            <v>14146.691999999999</v>
          </cell>
          <cell r="M22">
            <v>14146.691999999999</v>
          </cell>
          <cell r="N22">
            <v>14146.691999999999</v>
          </cell>
          <cell r="O22">
            <v>14146.691999999999</v>
          </cell>
          <cell r="P22">
            <v>14146.691999999999</v>
          </cell>
        </row>
        <row r="23"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</row>
        <row r="24">
          <cell r="E24">
            <v>11254.8315264262</v>
          </cell>
          <cell r="F24">
            <v>11254.8315264262</v>
          </cell>
          <cell r="G24">
            <v>11254.8315264262</v>
          </cell>
          <cell r="H24">
            <v>11254.8315264262</v>
          </cell>
          <cell r="I24">
            <v>11254.8315264262</v>
          </cell>
          <cell r="J24">
            <v>11254.8315264262</v>
          </cell>
          <cell r="K24">
            <v>9854.2922419461993</v>
          </cell>
          <cell r="L24">
            <v>11254.8315264262</v>
          </cell>
          <cell r="M24">
            <v>11254.8315264262</v>
          </cell>
          <cell r="N24">
            <v>11254.8315264262</v>
          </cell>
          <cell r="O24">
            <v>11254.8315264262</v>
          </cell>
          <cell r="P24">
            <v>11254.8315264262</v>
          </cell>
        </row>
        <row r="25">
          <cell r="E25">
            <v>0</v>
          </cell>
          <cell r="F25">
            <v>0</v>
          </cell>
          <cell r="G25">
            <v>33933.535369999998</v>
          </cell>
          <cell r="H25">
            <v>29947.271836999898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</row>
        <row r="26">
          <cell r="E26">
            <v>50081.897095985994</v>
          </cell>
          <cell r="F26">
            <v>68142.461602319905</v>
          </cell>
          <cell r="G26">
            <v>83737.055448703904</v>
          </cell>
          <cell r="H26">
            <v>78960.979851619515</v>
          </cell>
          <cell r="I26">
            <v>86448.636890355512</v>
          </cell>
          <cell r="J26">
            <v>78896.938296609995</v>
          </cell>
          <cell r="K26">
            <v>80807.539222143911</v>
          </cell>
          <cell r="L26">
            <v>78960.979851619515</v>
          </cell>
          <cell r="M26">
            <v>103074.44585726313</v>
          </cell>
          <cell r="N26">
            <v>86431.122682289919</v>
          </cell>
          <cell r="O26">
            <v>24485.962751266001</v>
          </cell>
          <cell r="P26">
            <v>66760.636684799931</v>
          </cell>
        </row>
        <row r="27">
          <cell r="E27">
            <v>2021.61232952</v>
          </cell>
          <cell r="F27">
            <v>7298.1590701599998</v>
          </cell>
          <cell r="G27">
            <v>7298.1590701599998</v>
          </cell>
          <cell r="H27">
            <v>6731.8284949999897</v>
          </cell>
          <cell r="I27">
            <v>2636.98669499999</v>
          </cell>
          <cell r="J27">
            <v>8753.4408245199993</v>
          </cell>
          <cell r="K27">
            <v>4658.5990245199901</v>
          </cell>
          <cell r="L27">
            <v>8753.4408245199993</v>
          </cell>
          <cell r="M27">
            <v>8753.4408245199993</v>
          </cell>
          <cell r="N27">
            <v>2403.52495</v>
          </cell>
          <cell r="O27">
            <v>2403.52495</v>
          </cell>
          <cell r="P27">
            <v>2403.52495</v>
          </cell>
        </row>
        <row r="28">
          <cell r="E28">
            <v>0</v>
          </cell>
          <cell r="F28">
            <v>0</v>
          </cell>
          <cell r="G28">
            <v>0</v>
          </cell>
          <cell r="H28">
            <v>2020.5951149999901</v>
          </cell>
          <cell r="I28">
            <v>462.95530749999898</v>
          </cell>
          <cell r="J28">
            <v>2020.5951149999901</v>
          </cell>
          <cell r="K28">
            <v>2483.5504225</v>
          </cell>
          <cell r="L28">
            <v>2020.5951149999901</v>
          </cell>
          <cell r="M28">
            <v>2020.5951149999901</v>
          </cell>
          <cell r="N28">
            <v>0</v>
          </cell>
          <cell r="O28">
            <v>0</v>
          </cell>
          <cell r="P28">
            <v>0</v>
          </cell>
        </row>
        <row r="29"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</row>
        <row r="30">
          <cell r="E30">
            <v>2501.1530922089405</v>
          </cell>
          <cell r="F30">
            <v>2501.1530922089405</v>
          </cell>
          <cell r="G30">
            <v>2501.1530922089405</v>
          </cell>
          <cell r="H30">
            <v>2501.1530922089405</v>
          </cell>
          <cell r="I30">
            <v>2501.1530922089405</v>
          </cell>
          <cell r="J30">
            <v>2501.1530922089405</v>
          </cell>
          <cell r="K30">
            <v>2501.1530922089405</v>
          </cell>
          <cell r="L30">
            <v>2501.1530922089405</v>
          </cell>
          <cell r="M30">
            <v>2501.1530922089405</v>
          </cell>
          <cell r="N30">
            <v>2501.1530922089405</v>
          </cell>
          <cell r="O30">
            <v>2501.1530922089405</v>
          </cell>
          <cell r="P30">
            <v>2501.1530922089405</v>
          </cell>
        </row>
        <row r="31">
          <cell r="E31">
            <v>416.8588487014901</v>
          </cell>
          <cell r="F31">
            <v>416.8588487014901</v>
          </cell>
          <cell r="G31">
            <v>416.8588487014901</v>
          </cell>
          <cell r="H31">
            <v>416.8588487014901</v>
          </cell>
          <cell r="I31">
            <v>416.8588487014901</v>
          </cell>
          <cell r="J31">
            <v>416.8588487014901</v>
          </cell>
          <cell r="K31">
            <v>416.8588487014901</v>
          </cell>
          <cell r="L31">
            <v>416.8588487014901</v>
          </cell>
          <cell r="M31">
            <v>416.8588487014901</v>
          </cell>
          <cell r="N31">
            <v>416.8588487014901</v>
          </cell>
          <cell r="O31">
            <v>416.8588487014901</v>
          </cell>
          <cell r="P31">
            <v>416.8588487014901</v>
          </cell>
        </row>
        <row r="32">
          <cell r="E32">
            <v>214147.78032713759</v>
          </cell>
          <cell r="F32">
            <v>285530.37376951671</v>
          </cell>
          <cell r="G32">
            <v>285530.37376951671</v>
          </cell>
          <cell r="H32">
            <v>142765.18688475835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</row>
        <row r="33">
          <cell r="E33">
            <v>122448.97959183673</v>
          </cell>
          <cell r="F33">
            <v>163265.30612244899</v>
          </cell>
          <cell r="G33">
            <v>163265.30612244899</v>
          </cell>
          <cell r="H33">
            <v>81632.653061224497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</row>
        <row r="34"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</row>
        <row r="35"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</row>
        <row r="36">
          <cell r="E36">
            <v>8337.1769740298005</v>
          </cell>
          <cell r="F36">
            <v>8337.1769740298005</v>
          </cell>
          <cell r="G36">
            <v>8337.1769740298005</v>
          </cell>
          <cell r="H36">
            <v>8337.1769740298005</v>
          </cell>
          <cell r="I36">
            <v>8337.1769740298005</v>
          </cell>
          <cell r="J36">
            <v>8337.1769740298005</v>
          </cell>
          <cell r="K36">
            <v>8337.1769740298005</v>
          </cell>
          <cell r="L36">
            <v>8337.1769740298005</v>
          </cell>
          <cell r="M36">
            <v>8337.1769740298005</v>
          </cell>
          <cell r="N36">
            <v>8337.1769740298005</v>
          </cell>
          <cell r="O36">
            <v>8337.1769740298005</v>
          </cell>
          <cell r="P36">
            <v>8337.1769740298005</v>
          </cell>
        </row>
        <row r="37">
          <cell r="E37">
            <v>8337.1769740298005</v>
          </cell>
          <cell r="F37">
            <v>8337.1769740298005</v>
          </cell>
          <cell r="G37">
            <v>8337.1769740298005</v>
          </cell>
          <cell r="H37">
            <v>8337.1769740298005</v>
          </cell>
          <cell r="I37">
            <v>8337.1769740298005</v>
          </cell>
          <cell r="J37">
            <v>8337.1769740298005</v>
          </cell>
          <cell r="K37">
            <v>8337.1769740298005</v>
          </cell>
          <cell r="L37">
            <v>8337.1769740298005</v>
          </cell>
          <cell r="M37">
            <v>8337.1769740298005</v>
          </cell>
          <cell r="N37">
            <v>8337.1769740298005</v>
          </cell>
          <cell r="O37">
            <v>8337.1769740298005</v>
          </cell>
          <cell r="P37">
            <v>8337.1769740298005</v>
          </cell>
        </row>
        <row r="38">
          <cell r="E38">
            <v>1667.4353948059604</v>
          </cell>
          <cell r="F38">
            <v>1667.4353948059604</v>
          </cell>
          <cell r="G38">
            <v>1667.4353948059604</v>
          </cell>
          <cell r="H38">
            <v>1667.4353948059604</v>
          </cell>
          <cell r="I38">
            <v>1667.4353948059604</v>
          </cell>
          <cell r="J38">
            <v>1667.4353948059604</v>
          </cell>
          <cell r="K38">
            <v>1667.4353948059604</v>
          </cell>
          <cell r="L38">
            <v>1667.4353948059604</v>
          </cell>
          <cell r="M38">
            <v>1667.4353948059604</v>
          </cell>
          <cell r="N38">
            <v>1667.4353948059604</v>
          </cell>
          <cell r="O38">
            <v>1667.4353948059604</v>
          </cell>
          <cell r="P38">
            <v>1667.4353948059604</v>
          </cell>
        </row>
        <row r="39">
          <cell r="E39">
            <v>208.42942435074505</v>
          </cell>
          <cell r="F39">
            <v>208.42942435074505</v>
          </cell>
          <cell r="G39">
            <v>208.42942435074505</v>
          </cell>
          <cell r="H39">
            <v>208.42942435074505</v>
          </cell>
          <cell r="I39">
            <v>208.42942435074505</v>
          </cell>
          <cell r="J39">
            <v>208.42942435074505</v>
          </cell>
          <cell r="K39">
            <v>208.42942435074505</v>
          </cell>
          <cell r="L39">
            <v>208.42942435074505</v>
          </cell>
          <cell r="M39">
            <v>208.42942435074505</v>
          </cell>
          <cell r="N39">
            <v>208.42942435074505</v>
          </cell>
          <cell r="O39">
            <v>208.42942435074505</v>
          </cell>
          <cell r="P39">
            <v>208.42942435074505</v>
          </cell>
        </row>
        <row r="40">
          <cell r="E40">
            <v>833.71769740298021</v>
          </cell>
          <cell r="F40">
            <v>833.71769740298021</v>
          </cell>
          <cell r="G40">
            <v>833.71769740298021</v>
          </cell>
          <cell r="H40">
            <v>833.71769740298021</v>
          </cell>
          <cell r="I40">
            <v>833.71769740298021</v>
          </cell>
          <cell r="J40">
            <v>833.71769740298021</v>
          </cell>
          <cell r="K40">
            <v>833.71769740298021</v>
          </cell>
          <cell r="L40">
            <v>833.71769740298021</v>
          </cell>
          <cell r="M40">
            <v>833.71769740298021</v>
          </cell>
          <cell r="N40">
            <v>833.71769740298021</v>
          </cell>
          <cell r="O40">
            <v>833.71769740298021</v>
          </cell>
          <cell r="P40">
            <v>833.71769740298021</v>
          </cell>
        </row>
        <row r="41">
          <cell r="E41">
            <v>5169.0497238984772</v>
          </cell>
          <cell r="F41">
            <v>5169.0497238984772</v>
          </cell>
          <cell r="G41">
            <v>5169.0497238984772</v>
          </cell>
          <cell r="H41">
            <v>5169.0497238984772</v>
          </cell>
          <cell r="I41">
            <v>5169.0497238984772</v>
          </cell>
          <cell r="J41">
            <v>5169.0497238984772</v>
          </cell>
          <cell r="K41">
            <v>5169.0497238984772</v>
          </cell>
          <cell r="L41">
            <v>5169.0497238984772</v>
          </cell>
          <cell r="M41">
            <v>5169.0497238984772</v>
          </cell>
          <cell r="N41">
            <v>5169.0497238984772</v>
          </cell>
          <cell r="O41">
            <v>5169.0497238984772</v>
          </cell>
          <cell r="P41">
            <v>5169.0497238984772</v>
          </cell>
        </row>
        <row r="42">
          <cell r="E42">
            <v>5874.123599999999</v>
          </cell>
          <cell r="F42">
            <v>5874.123599999999</v>
          </cell>
          <cell r="G42">
            <v>5874.123599999999</v>
          </cell>
          <cell r="H42">
            <v>5874.123599999999</v>
          </cell>
          <cell r="I42">
            <v>5874.123599999999</v>
          </cell>
          <cell r="J42">
            <v>5874.123599999999</v>
          </cell>
          <cell r="K42">
            <v>5874.123599999999</v>
          </cell>
          <cell r="L42">
            <v>5874.123599999999</v>
          </cell>
          <cell r="M42">
            <v>5874.123599999999</v>
          </cell>
          <cell r="N42">
            <v>5874.123599999999</v>
          </cell>
          <cell r="O42">
            <v>5874.123599999999</v>
          </cell>
          <cell r="P42">
            <v>5874.123599999999</v>
          </cell>
        </row>
        <row r="43">
          <cell r="E43">
            <v>3430.9567542376139</v>
          </cell>
          <cell r="F43">
            <v>3430.9567542376139</v>
          </cell>
          <cell r="G43">
            <v>3430.9567542376139</v>
          </cell>
          <cell r="H43">
            <v>3430.9567542376139</v>
          </cell>
          <cell r="I43">
            <v>3430.9567542376139</v>
          </cell>
          <cell r="J43">
            <v>3430.9567542376139</v>
          </cell>
          <cell r="K43">
            <v>3430.9567542376139</v>
          </cell>
          <cell r="L43">
            <v>3430.9567542376139</v>
          </cell>
          <cell r="M43">
            <v>3430.9567542376139</v>
          </cell>
          <cell r="N43">
            <v>3430.9567542376139</v>
          </cell>
          <cell r="O43">
            <v>3430.9567542376139</v>
          </cell>
          <cell r="P43">
            <v>3430.9567542376139</v>
          </cell>
        </row>
        <row r="44"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</row>
        <row r="45"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</row>
        <row r="46"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</row>
        <row r="47"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</row>
        <row r="48">
          <cell r="E48">
            <v>2709.5825165596857</v>
          </cell>
          <cell r="F48">
            <v>2709.5825165596857</v>
          </cell>
          <cell r="G48">
            <v>2709.5825165596857</v>
          </cell>
          <cell r="H48">
            <v>2709.5825165596857</v>
          </cell>
          <cell r="I48">
            <v>2709.5825165596857</v>
          </cell>
          <cell r="J48">
            <v>2709.5825165596857</v>
          </cell>
          <cell r="K48">
            <v>2709.5825165596857</v>
          </cell>
          <cell r="L48">
            <v>2709.5825165596857</v>
          </cell>
          <cell r="M48">
            <v>2709.5825165596857</v>
          </cell>
          <cell r="N48">
            <v>2709.5825165596857</v>
          </cell>
          <cell r="O48">
            <v>2709.5825165596857</v>
          </cell>
          <cell r="P48">
            <v>2709.5825165596857</v>
          </cell>
        </row>
        <row r="49">
          <cell r="E49">
            <v>2605.3678043843129</v>
          </cell>
          <cell r="F49">
            <v>2605.3678043843129</v>
          </cell>
          <cell r="G49">
            <v>2605.3678043843129</v>
          </cell>
          <cell r="H49">
            <v>2605.3678043843129</v>
          </cell>
          <cell r="I49">
            <v>2605.3678043843129</v>
          </cell>
          <cell r="J49">
            <v>2605.3678043843129</v>
          </cell>
          <cell r="K49">
            <v>2605.3678043843129</v>
          </cell>
          <cell r="L49">
            <v>2605.3678043843129</v>
          </cell>
          <cell r="M49">
            <v>2605.3678043843129</v>
          </cell>
          <cell r="N49">
            <v>2605.3678043843129</v>
          </cell>
          <cell r="O49">
            <v>2605.3678043843129</v>
          </cell>
          <cell r="P49">
            <v>2605.3678043843129</v>
          </cell>
        </row>
        <row r="50"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</row>
        <row r="51"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</row>
        <row r="52">
          <cell r="E52">
            <v>1667.4353948059604</v>
          </cell>
          <cell r="F52">
            <v>1667.4353948059604</v>
          </cell>
          <cell r="G52">
            <v>1667.4353948059604</v>
          </cell>
          <cell r="H52">
            <v>1667.4353948059604</v>
          </cell>
          <cell r="I52">
            <v>1667.4353948059604</v>
          </cell>
          <cell r="J52">
            <v>1667.4353948059604</v>
          </cell>
          <cell r="K52">
            <v>1667.4353948059604</v>
          </cell>
          <cell r="L52">
            <v>1667.4353948059604</v>
          </cell>
          <cell r="M52">
            <v>1667.4353948059604</v>
          </cell>
          <cell r="N52">
            <v>1667.4353948059604</v>
          </cell>
          <cell r="O52">
            <v>1667.4353948059604</v>
          </cell>
          <cell r="P52">
            <v>1667.4353948059604</v>
          </cell>
        </row>
        <row r="53">
          <cell r="E53">
            <v>416.8588487014901</v>
          </cell>
          <cell r="F53">
            <v>416.8588487014901</v>
          </cell>
          <cell r="G53">
            <v>416.8588487014901</v>
          </cell>
          <cell r="H53">
            <v>416.8588487014901</v>
          </cell>
          <cell r="I53">
            <v>416.8588487014901</v>
          </cell>
          <cell r="J53">
            <v>416.8588487014901</v>
          </cell>
          <cell r="K53">
            <v>416.8588487014901</v>
          </cell>
          <cell r="L53">
            <v>416.8588487014901</v>
          </cell>
          <cell r="M53">
            <v>416.8588487014901</v>
          </cell>
          <cell r="N53">
            <v>416.8588487014901</v>
          </cell>
          <cell r="O53">
            <v>416.8588487014901</v>
          </cell>
          <cell r="P53">
            <v>416.8588487014901</v>
          </cell>
        </row>
        <row r="54">
          <cell r="E54">
            <v>10260.714285714286</v>
          </cell>
          <cell r="F54">
            <v>10260.714285714286</v>
          </cell>
          <cell r="G54">
            <v>10260.714285714286</v>
          </cell>
          <cell r="H54">
            <v>10260.714285714286</v>
          </cell>
          <cell r="I54">
            <v>10260.714285714286</v>
          </cell>
          <cell r="J54">
            <v>10260.714285714286</v>
          </cell>
          <cell r="K54">
            <v>10260.714285714286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</row>
        <row r="56">
          <cell r="E56">
            <v>-2812.7154151138598</v>
          </cell>
          <cell r="F56">
            <v>-2812.7154151138598</v>
          </cell>
          <cell r="G56">
            <v>-2812.7154151138598</v>
          </cell>
          <cell r="H56">
            <v>-2812.7154151138598</v>
          </cell>
          <cell r="I56">
            <v>-2812.7154151138598</v>
          </cell>
          <cell r="J56">
            <v>-2812.7154151138598</v>
          </cell>
          <cell r="K56">
            <v>-2812.7154151138598</v>
          </cell>
          <cell r="L56">
            <v>-2812.7154151138598</v>
          </cell>
          <cell r="M56">
            <v>-2812.7154151138598</v>
          </cell>
          <cell r="N56">
            <v>-2812.7154151138598</v>
          </cell>
          <cell r="O56">
            <v>-2812.7154151138598</v>
          </cell>
          <cell r="P56">
            <v>-2812.7154151138598</v>
          </cell>
        </row>
        <row r="57">
          <cell r="E57">
            <v>-937.57180503795337</v>
          </cell>
          <cell r="F57">
            <v>-937.57180503795337</v>
          </cell>
          <cell r="G57">
            <v>-937.57180503795337</v>
          </cell>
          <cell r="H57">
            <v>-937.57180503795337</v>
          </cell>
          <cell r="I57">
            <v>-937.57180503795337</v>
          </cell>
          <cell r="J57">
            <v>-937.57180503795337</v>
          </cell>
          <cell r="K57">
            <v>-937.57180503795337</v>
          </cell>
          <cell r="L57">
            <v>-937.57180503795337</v>
          </cell>
          <cell r="M57">
            <v>-937.57180503795337</v>
          </cell>
          <cell r="N57">
            <v>-937.57180503795337</v>
          </cell>
          <cell r="O57">
            <v>-937.57180503795337</v>
          </cell>
          <cell r="P57">
            <v>-937.57180503795337</v>
          </cell>
        </row>
      </sheetData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UMO"/>
      <sheetName val="RESUMO INVESTIMENTOS"/>
      <sheetName val="RESUMO - ATUAL"/>
      <sheetName val="resumo cereais"/>
      <sheetName val="SLP - CEREAIS"/>
      <sheetName val="SLP-CITROS"/>
      <sheetName val="ROSA "/>
      <sheetName val="FUNIL"/>
      <sheetName val="STA CLARA"/>
      <sheetName val="STA MARIA"/>
      <sheetName val="STA ANA"/>
      <sheetName val="BOA ESP."/>
      <sheetName val="CAMBARÁ - CITROS"/>
      <sheetName val="CAMBARA II"/>
      <sheetName val="CAMBARA III"/>
      <sheetName val="IGARATÁ - CITROS"/>
      <sheetName val="PAINEIRAS"/>
      <sheetName val="MONJOLINHO"/>
      <sheetName val="RUBIÃO I"/>
      <sheetName val="MIRANTE"/>
      <sheetName val="SF I"/>
      <sheetName val="RUBIÃO II"/>
      <sheetName val="RUBIÃO III"/>
      <sheetName val="SF II"/>
      <sheetName val="SF III"/>
      <sheetName val="SF IV"/>
      <sheetName val="SF V - CN LAR."/>
      <sheetName val="SF VI"/>
      <sheetName val="HARAS_SEDE"/>
      <sheetName val="GADO STA CLARA"/>
      <sheetName val="SÃO PAULO DA CANASTRA"/>
    </sheetNames>
    <sheetDataSet>
      <sheetData sheetId="0" refreshError="1"/>
      <sheetData sheetId="1" refreshError="1"/>
      <sheetData sheetId="2" refreshError="1">
        <row r="14">
          <cell r="P14">
            <v>64897152.817567013</v>
          </cell>
        </row>
        <row r="182">
          <cell r="P182">
            <v>17568538.049129162</v>
          </cell>
        </row>
        <row r="238">
          <cell r="P238">
            <v>16608140.294564327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42">
          <cell r="O42">
            <v>8590605.129999999</v>
          </cell>
        </row>
        <row r="90">
          <cell r="O90">
            <v>2007324.1900000002</v>
          </cell>
        </row>
        <row r="136">
          <cell r="O136">
            <v>1989098.35</v>
          </cell>
        </row>
        <row r="182">
          <cell r="O182">
            <v>2440017.6999999997</v>
          </cell>
        </row>
        <row r="231">
          <cell r="O231">
            <v>2154164.8899999997</v>
          </cell>
        </row>
      </sheetData>
      <sheetData sheetId="10" refreshError="1"/>
      <sheetData sheetId="11" refreshError="1">
        <row r="51">
          <cell r="N51">
            <v>9647107.9886666685</v>
          </cell>
        </row>
        <row r="109">
          <cell r="N109">
            <v>2858154.566666666</v>
          </cell>
        </row>
        <row r="164">
          <cell r="N164">
            <v>1988012.7666666668</v>
          </cell>
        </row>
        <row r="219">
          <cell r="N219">
            <v>2573381.158666668</v>
          </cell>
        </row>
        <row r="277">
          <cell r="N277">
            <v>2227559.4966666671</v>
          </cell>
        </row>
      </sheetData>
      <sheetData sheetId="12" refreshError="1">
        <row r="5">
          <cell r="U5">
            <v>0.61536584879672618</v>
          </cell>
        </row>
        <row r="46">
          <cell r="N46">
            <v>3370012.1487811152</v>
          </cell>
        </row>
        <row r="99">
          <cell r="N99">
            <v>853678.88575554523</v>
          </cell>
        </row>
        <row r="151">
          <cell r="N151">
            <v>673023.25206420582</v>
          </cell>
        </row>
        <row r="203">
          <cell r="N203">
            <v>1004032.0436495087</v>
          </cell>
        </row>
        <row r="256">
          <cell r="N256">
            <v>839277.96731185541</v>
          </cell>
        </row>
      </sheetData>
      <sheetData sheetId="13" refreshError="1"/>
      <sheetData sheetId="14" refreshError="1"/>
      <sheetData sheetId="15" refreshError="1">
        <row r="106">
          <cell r="N106">
            <v>12217763.322293324</v>
          </cell>
        </row>
        <row r="222">
          <cell r="N222">
            <v>3226562.833333334</v>
          </cell>
        </row>
        <row r="332">
          <cell r="N332">
            <v>2748591.2633333323</v>
          </cell>
        </row>
        <row r="442">
          <cell r="N442">
            <v>3248328.3522933302</v>
          </cell>
        </row>
        <row r="554">
          <cell r="N554">
            <v>2994280.8733333317</v>
          </cell>
        </row>
      </sheetData>
      <sheetData sheetId="16" refreshError="1">
        <row r="46">
          <cell r="N46">
            <v>3650083.5955510926</v>
          </cell>
        </row>
        <row r="102">
          <cell r="N102">
            <v>1077666.0833333333</v>
          </cell>
        </row>
        <row r="154">
          <cell r="N154">
            <v>780658.82333333313</v>
          </cell>
        </row>
        <row r="206">
          <cell r="N206">
            <v>963199.59555109299</v>
          </cell>
        </row>
        <row r="259">
          <cell r="N259">
            <v>828559.09333333327</v>
          </cell>
        </row>
      </sheetData>
      <sheetData sheetId="17" refreshError="1">
        <row r="57">
          <cell r="N57">
            <v>4021706.6933333334</v>
          </cell>
        </row>
        <row r="120">
          <cell r="N120">
            <v>993390.56333333324</v>
          </cell>
        </row>
        <row r="180">
          <cell r="N180">
            <v>985178.10333333293</v>
          </cell>
        </row>
        <row r="240">
          <cell r="N240">
            <v>1129090.023333333</v>
          </cell>
        </row>
        <row r="302">
          <cell r="N302">
            <v>914048.00333333365</v>
          </cell>
        </row>
      </sheetData>
      <sheetData sheetId="18" refreshError="1">
        <row r="48">
          <cell r="N48">
            <v>4930756.5</v>
          </cell>
        </row>
        <row r="109">
          <cell r="N109">
            <v>1268431.0000000002</v>
          </cell>
        </row>
        <row r="163">
          <cell r="N163">
            <v>1059228.0100000002</v>
          </cell>
        </row>
        <row r="218">
          <cell r="N218">
            <v>1462013.1900000011</v>
          </cell>
        </row>
        <row r="274">
          <cell r="N274">
            <v>1141084.2999999998</v>
          </cell>
        </row>
      </sheetData>
      <sheetData sheetId="19" refreshError="1"/>
      <sheetData sheetId="20" refreshError="1">
        <row r="4">
          <cell r="X4">
            <v>0.45506322432429475</v>
          </cell>
        </row>
        <row r="58">
          <cell r="N58">
            <v>2719138.9183036205</v>
          </cell>
        </row>
        <row r="125">
          <cell r="N125">
            <v>402738.96337871515</v>
          </cell>
        </row>
        <row r="189">
          <cell r="N189">
            <v>733483.86388990667</v>
          </cell>
        </row>
        <row r="253">
          <cell r="N253">
            <v>877674.19129548385</v>
          </cell>
        </row>
        <row r="318">
          <cell r="N318">
            <v>705241.89973951317</v>
          </cell>
        </row>
      </sheetData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UMO"/>
      <sheetName val="RESUMO CITRUS-CEREAIS"/>
      <sheetName val="RESUMO CAFÉ"/>
      <sheetName val="RESUMO INVESTIMENTOS"/>
      <sheetName val="RESUMO ATUAL - CITRUS-CEREAIS"/>
      <sheetName val="RESUMO ATUAL - CAFÉ"/>
      <sheetName val="RESUMO - ATUAL"/>
      <sheetName val="resumo cereais"/>
      <sheetName val="SLP - CEREAIS"/>
      <sheetName val="SLP-CITROS"/>
      <sheetName val="ROSA "/>
      <sheetName val="FUNIL"/>
      <sheetName val="STA CLARA"/>
      <sheetName val="STA MARIA"/>
      <sheetName val="STA ANA"/>
      <sheetName val="BOA ESP."/>
      <sheetName val="CAMBARÁ - CITROS"/>
      <sheetName val="CAMBARA II"/>
      <sheetName val="CAMBARA III"/>
      <sheetName val="IGARATÁ - CITROS"/>
      <sheetName val="PAINEIRAS"/>
      <sheetName val="MONJOLINHO"/>
      <sheetName val="RUBIÃO I"/>
      <sheetName val="MIRANTE"/>
      <sheetName val="SF I"/>
      <sheetName val="RUBIÃO II"/>
      <sheetName val="RUBIÃO III"/>
      <sheetName val="SF II"/>
      <sheetName val="SF III"/>
      <sheetName val="SF IV"/>
      <sheetName val="SF V - CN LAR."/>
      <sheetName val="HARAS_SEDE"/>
      <sheetName val="GADO STA CLARA"/>
      <sheetName val="CANASTRA I"/>
      <sheetName val="CANASTRA II"/>
      <sheetName val="SÃO PAULO DA CANASTRA"/>
    </sheetNames>
    <sheetDataSet>
      <sheetData sheetId="0"/>
      <sheetData sheetId="1"/>
      <sheetData sheetId="2"/>
      <sheetData sheetId="3"/>
      <sheetData sheetId="4"/>
      <sheetData sheetId="5"/>
      <sheetData sheetId="6">
        <row r="78">
          <cell r="P78">
            <v>17072920.391927104</v>
          </cell>
        </row>
        <row r="142">
          <cell r="P142">
            <v>13647554.081946423</v>
          </cell>
        </row>
        <row r="334">
          <cell r="P334">
            <v>0</v>
          </cell>
        </row>
        <row r="398">
          <cell r="P398">
            <v>0</v>
          </cell>
        </row>
        <row r="462">
          <cell r="P462">
            <v>0</v>
          </cell>
        </row>
        <row r="526">
          <cell r="P526">
            <v>0</v>
          </cell>
        </row>
        <row r="590">
          <cell r="P590">
            <v>0</v>
          </cell>
        </row>
        <row r="654">
          <cell r="P654">
            <v>0</v>
          </cell>
        </row>
        <row r="718">
          <cell r="P718">
            <v>0</v>
          </cell>
        </row>
        <row r="782">
          <cell r="P782">
            <v>0</v>
          </cell>
        </row>
      </sheetData>
      <sheetData sheetId="7"/>
      <sheetData sheetId="8">
        <row r="398">
          <cell r="Q398">
            <v>0</v>
          </cell>
        </row>
      </sheetData>
      <sheetData sheetId="9">
        <row r="5">
          <cell r="V5">
            <v>0.43872366728323609</v>
          </cell>
        </row>
      </sheetData>
      <sheetData sheetId="10">
        <row r="139">
          <cell r="O139">
            <v>0</v>
          </cell>
        </row>
      </sheetData>
      <sheetData sheetId="11">
        <row r="271">
          <cell r="O271">
            <v>0</v>
          </cell>
        </row>
      </sheetData>
      <sheetData sheetId="12">
        <row r="218">
          <cell r="O218">
            <v>0</v>
          </cell>
        </row>
      </sheetData>
      <sheetData sheetId="13">
        <row r="272">
          <cell r="O272">
            <v>0</v>
          </cell>
        </row>
        <row r="318">
          <cell r="O318">
            <v>0</v>
          </cell>
        </row>
        <row r="364">
          <cell r="O364">
            <v>0</v>
          </cell>
        </row>
        <row r="410">
          <cell r="O410">
            <v>0</v>
          </cell>
        </row>
        <row r="456">
          <cell r="O456">
            <v>0</v>
          </cell>
        </row>
        <row r="502">
          <cell r="O502">
            <v>0</v>
          </cell>
        </row>
        <row r="548">
          <cell r="O548">
            <v>0</v>
          </cell>
        </row>
        <row r="594">
          <cell r="O594">
            <v>0</v>
          </cell>
        </row>
      </sheetData>
      <sheetData sheetId="14">
        <row r="515">
          <cell r="N515">
            <v>0</v>
          </cell>
        </row>
      </sheetData>
      <sheetData sheetId="15">
        <row r="327">
          <cell r="N327">
            <v>0</v>
          </cell>
        </row>
        <row r="382">
          <cell r="N382">
            <v>0</v>
          </cell>
        </row>
        <row r="437">
          <cell r="N437">
            <v>0</v>
          </cell>
        </row>
        <row r="492">
          <cell r="N492">
            <v>0</v>
          </cell>
        </row>
        <row r="547">
          <cell r="N547">
            <v>0</v>
          </cell>
        </row>
        <row r="602">
          <cell r="N602">
            <v>0</v>
          </cell>
        </row>
        <row r="657">
          <cell r="N657">
            <v>0</v>
          </cell>
        </row>
        <row r="712">
          <cell r="N712">
            <v>0</v>
          </cell>
        </row>
      </sheetData>
      <sheetData sheetId="16">
        <row r="5">
          <cell r="U5">
            <v>0.62188919831037515</v>
          </cell>
        </row>
        <row r="336">
          <cell r="N336">
            <v>0</v>
          </cell>
        </row>
        <row r="393">
          <cell r="N393">
            <v>0</v>
          </cell>
        </row>
        <row r="450">
          <cell r="N450">
            <v>0</v>
          </cell>
        </row>
        <row r="507">
          <cell r="N507">
            <v>0</v>
          </cell>
        </row>
        <row r="564">
          <cell r="N564">
            <v>0</v>
          </cell>
        </row>
        <row r="621">
          <cell r="N621">
            <v>0</v>
          </cell>
        </row>
        <row r="678">
          <cell r="N678">
            <v>0</v>
          </cell>
        </row>
        <row r="735">
          <cell r="N735">
            <v>0</v>
          </cell>
        </row>
      </sheetData>
      <sheetData sheetId="17">
        <row r="156">
          <cell r="N156">
            <v>0</v>
          </cell>
        </row>
      </sheetData>
      <sheetData sheetId="18">
        <row r="78">
          <cell r="N78">
            <v>0</v>
          </cell>
        </row>
      </sheetData>
      <sheetData sheetId="19">
        <row r="659">
          <cell r="N659">
            <v>0</v>
          </cell>
        </row>
        <row r="769">
          <cell r="N769">
            <v>0</v>
          </cell>
        </row>
        <row r="879">
          <cell r="N879">
            <v>0</v>
          </cell>
        </row>
        <row r="989">
          <cell r="N989">
            <v>0</v>
          </cell>
        </row>
        <row r="1099">
          <cell r="N1099">
            <v>0</v>
          </cell>
        </row>
        <row r="1209">
          <cell r="N1209">
            <v>0</v>
          </cell>
        </row>
        <row r="1319">
          <cell r="N1319">
            <v>0</v>
          </cell>
        </row>
        <row r="1429">
          <cell r="N1429">
            <v>0</v>
          </cell>
        </row>
      </sheetData>
      <sheetData sheetId="20">
        <row r="307">
          <cell r="N307">
            <v>0</v>
          </cell>
        </row>
        <row r="359">
          <cell r="N359">
            <v>0</v>
          </cell>
        </row>
        <row r="411">
          <cell r="N411">
            <v>0</v>
          </cell>
        </row>
        <row r="463">
          <cell r="N463">
            <v>0</v>
          </cell>
        </row>
        <row r="515">
          <cell r="N515">
            <v>0</v>
          </cell>
        </row>
        <row r="567">
          <cell r="N567">
            <v>0</v>
          </cell>
        </row>
        <row r="619">
          <cell r="N619">
            <v>0</v>
          </cell>
        </row>
        <row r="671">
          <cell r="N671">
            <v>0</v>
          </cell>
        </row>
      </sheetData>
      <sheetData sheetId="21">
        <row r="357">
          <cell r="N357">
            <v>0</v>
          </cell>
        </row>
        <row r="417">
          <cell r="N417">
            <v>0</v>
          </cell>
        </row>
        <row r="477">
          <cell r="N477">
            <v>0</v>
          </cell>
        </row>
        <row r="537">
          <cell r="N537">
            <v>0</v>
          </cell>
        </row>
        <row r="597">
          <cell r="N597">
            <v>0</v>
          </cell>
        </row>
        <row r="657">
          <cell r="N657">
            <v>0</v>
          </cell>
        </row>
        <row r="717">
          <cell r="N717">
            <v>0</v>
          </cell>
        </row>
        <row r="777">
          <cell r="N777">
            <v>0</v>
          </cell>
        </row>
      </sheetData>
      <sheetData sheetId="22">
        <row r="326">
          <cell r="N326">
            <v>0</v>
          </cell>
        </row>
        <row r="381">
          <cell r="N381">
            <v>0</v>
          </cell>
        </row>
        <row r="436">
          <cell r="N436">
            <v>0</v>
          </cell>
        </row>
        <row r="491">
          <cell r="N491">
            <v>0</v>
          </cell>
        </row>
        <row r="546">
          <cell r="N546">
            <v>0</v>
          </cell>
        </row>
        <row r="601">
          <cell r="N601">
            <v>0</v>
          </cell>
        </row>
        <row r="656">
          <cell r="N656">
            <v>0</v>
          </cell>
        </row>
        <row r="711">
          <cell r="N711">
            <v>0</v>
          </cell>
        </row>
      </sheetData>
      <sheetData sheetId="23">
        <row r="603">
          <cell r="N603">
            <v>0</v>
          </cell>
        </row>
      </sheetData>
      <sheetData sheetId="24">
        <row r="4">
          <cell r="X4">
            <v>0.45506322432429475</v>
          </cell>
        </row>
      </sheetData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>
        <row r="24">
          <cell r="N24">
            <v>200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LP+ROSA+FUNIL"/>
      <sheetName val="SLP+ROSA"/>
      <sheetName val="SLP"/>
      <sheetName val="ROSA"/>
      <sheetName val="STA ANA"/>
      <sheetName val="BOA"/>
      <sheetName val="STA MARIA"/>
      <sheetName val="CB"/>
      <sheetName val="CB I"/>
      <sheetName val="CB II"/>
      <sheetName val="CB III"/>
      <sheetName val="IG"/>
      <sheetName val="PN"/>
      <sheetName val="MJ"/>
      <sheetName val="RB"/>
      <sheetName val="RB I"/>
      <sheetName val="SÃO FRANCISCO"/>
      <sheetName val="SF I"/>
      <sheetName val="TOTAL CITRUS PRODUÇÃO"/>
      <sheetName val="FUNIL"/>
      <sheetName val="MIRANTE"/>
      <sheetName val="STA CLARA"/>
      <sheetName val="RB II"/>
      <sheetName val="RB III"/>
      <sheetName val="SF II"/>
      <sheetName val="SF III"/>
      <sheetName val="SF IV"/>
      <sheetName val="SF V - CN LAR."/>
      <sheetName val="TOTAL CITRUS"/>
      <sheetName val="TOTAL CAPEX"/>
      <sheetName val="CEREAIS"/>
      <sheetName val="SÃO PAULO DA CANASTRA"/>
      <sheetName val="TOTAL CITRUS-CEREAIS-SPCN"/>
      <sheetName val="CUSTO COLHEITA"/>
      <sheetName val="ANALISE - CITRUS"/>
      <sheetName val="OUTRAS DESPESAS - CITRUS"/>
      <sheetName val="IMP. OUT. DESP. - CITRUS"/>
      <sheetName val="ANALISE MAURICIO"/>
    </sheetNames>
    <sheetDataSet>
      <sheetData sheetId="0">
        <row r="2">
          <cell r="S2">
            <v>510000</v>
          </cell>
          <cell r="U2">
            <v>32751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3">
          <cell r="CY3" t="str">
            <v>DEZ.23</v>
          </cell>
        </row>
      </sheetData>
      <sheetData sheetId="16">
        <row r="4">
          <cell r="X4">
            <v>71739.520000000019</v>
          </cell>
          <cell r="AE4">
            <v>73494.45</v>
          </cell>
          <cell r="AL4">
            <v>135819.88</v>
          </cell>
          <cell r="BG4"/>
          <cell r="BN4"/>
          <cell r="BU4"/>
          <cell r="CB4"/>
          <cell r="CI4"/>
          <cell r="CP4"/>
        </row>
        <row r="5">
          <cell r="X5">
            <v>10806.509999999998</v>
          </cell>
          <cell r="AE5">
            <v>6310.6900000000005</v>
          </cell>
          <cell r="AL5">
            <v>9556.4500000000007</v>
          </cell>
          <cell r="BG5"/>
          <cell r="BN5"/>
          <cell r="BU5"/>
          <cell r="CB5"/>
          <cell r="CI5"/>
          <cell r="CP5"/>
        </row>
        <row r="6">
          <cell r="X6">
            <v>10498.98</v>
          </cell>
          <cell r="AE6">
            <v>10044.040000000001</v>
          </cell>
          <cell r="AL6">
            <v>10321.799999999999</v>
          </cell>
          <cell r="BG6"/>
          <cell r="BN6"/>
          <cell r="BU6"/>
          <cell r="CB6"/>
          <cell r="CI6"/>
          <cell r="CP6"/>
        </row>
        <row r="7">
          <cell r="X7">
            <v>7069.08</v>
          </cell>
          <cell r="AE7">
            <v>6777.42</v>
          </cell>
          <cell r="AL7">
            <v>6843.05</v>
          </cell>
          <cell r="BG7"/>
          <cell r="BN7"/>
          <cell r="BU7"/>
          <cell r="CB7"/>
          <cell r="CI7"/>
          <cell r="CP7"/>
        </row>
        <row r="8">
          <cell r="X8"/>
          <cell r="AE8"/>
          <cell r="AL8"/>
          <cell r="BG8"/>
          <cell r="BN8"/>
          <cell r="BU8"/>
          <cell r="CB8"/>
          <cell r="CI8"/>
          <cell r="CP8"/>
        </row>
        <row r="9">
          <cell r="X9">
            <v>10452.709999999999</v>
          </cell>
          <cell r="AE9">
            <v>746.63</v>
          </cell>
          <cell r="AL9"/>
          <cell r="BG9"/>
          <cell r="BN9"/>
          <cell r="BU9"/>
          <cell r="CB9"/>
          <cell r="CI9"/>
          <cell r="CP9"/>
        </row>
        <row r="10">
          <cell r="X10"/>
          <cell r="AE10"/>
          <cell r="AL10">
            <v>2627.52</v>
          </cell>
          <cell r="BG10"/>
          <cell r="BN10"/>
          <cell r="BU10"/>
          <cell r="CB10"/>
          <cell r="CI10"/>
          <cell r="CP10"/>
        </row>
        <row r="11">
          <cell r="X11"/>
          <cell r="AE11"/>
          <cell r="AL11"/>
          <cell r="BG11"/>
          <cell r="BN11"/>
          <cell r="BU11"/>
          <cell r="CB11"/>
          <cell r="CI11"/>
          <cell r="CP11"/>
        </row>
        <row r="12">
          <cell r="X12">
            <v>9641</v>
          </cell>
          <cell r="AE12">
            <v>5998.65</v>
          </cell>
          <cell r="AL12">
            <v>3102.75</v>
          </cell>
          <cell r="BG12"/>
          <cell r="BN12"/>
          <cell r="BU12"/>
          <cell r="CB12"/>
          <cell r="CI12"/>
          <cell r="CP12"/>
        </row>
        <row r="13">
          <cell r="X13"/>
          <cell r="AE13"/>
          <cell r="AL13"/>
          <cell r="BG13"/>
          <cell r="BN13"/>
          <cell r="BU13"/>
          <cell r="CB13"/>
          <cell r="CI13"/>
          <cell r="CP13"/>
        </row>
        <row r="14">
          <cell r="X14">
            <v>1115.52</v>
          </cell>
          <cell r="AE14">
            <v>1676.82</v>
          </cell>
          <cell r="AL14">
            <v>2080.2399999999998</v>
          </cell>
          <cell r="BG14"/>
          <cell r="BN14"/>
          <cell r="BU14"/>
          <cell r="CB14"/>
          <cell r="CI14"/>
          <cell r="CP14"/>
        </row>
        <row r="15">
          <cell r="X15">
            <v>2307.089999999982</v>
          </cell>
          <cell r="AE15">
            <v>14639.64</v>
          </cell>
          <cell r="AL15">
            <v>17227.640000000003</v>
          </cell>
          <cell r="BG15"/>
          <cell r="BN15"/>
          <cell r="BU15"/>
          <cell r="CB15"/>
          <cell r="CI15"/>
          <cell r="CP15"/>
        </row>
        <row r="16">
          <cell r="X16"/>
          <cell r="AE16">
            <v>821.19</v>
          </cell>
          <cell r="AL16">
            <v>2197.91</v>
          </cell>
          <cell r="BG16"/>
          <cell r="BN16"/>
          <cell r="BU16"/>
          <cell r="CB16"/>
          <cell r="CI16"/>
          <cell r="CP16"/>
        </row>
        <row r="30">
          <cell r="X30">
            <v>4577.5</v>
          </cell>
          <cell r="AE30">
            <v>2500</v>
          </cell>
          <cell r="AL30">
            <v>2415.8000000000002</v>
          </cell>
          <cell r="BG30"/>
          <cell r="BN30"/>
          <cell r="BU30"/>
          <cell r="CB30"/>
          <cell r="CI30"/>
          <cell r="CP30"/>
        </row>
        <row r="31">
          <cell r="X31">
            <v>73600</v>
          </cell>
          <cell r="AE31"/>
          <cell r="AL31">
            <v>13494.53</v>
          </cell>
          <cell r="BG31"/>
          <cell r="BN31"/>
          <cell r="BU31"/>
          <cell r="CB31"/>
          <cell r="CI31"/>
          <cell r="CP31"/>
        </row>
        <row r="32">
          <cell r="BG32"/>
          <cell r="BN32"/>
          <cell r="BU32"/>
          <cell r="CB32"/>
          <cell r="CI32"/>
          <cell r="CP32"/>
        </row>
        <row r="33">
          <cell r="BG33"/>
          <cell r="BN33"/>
          <cell r="BU33"/>
          <cell r="CB33"/>
          <cell r="CI33"/>
          <cell r="CP33"/>
        </row>
        <row r="34">
          <cell r="X34"/>
          <cell r="AE34"/>
          <cell r="AL34"/>
          <cell r="BG34"/>
          <cell r="BN34"/>
          <cell r="BU34"/>
          <cell r="CB34"/>
          <cell r="CI34"/>
          <cell r="CP34"/>
        </row>
        <row r="35">
          <cell r="X35"/>
          <cell r="AE35"/>
          <cell r="AL35"/>
          <cell r="BG35"/>
          <cell r="BN35"/>
          <cell r="BU35"/>
          <cell r="CB35"/>
          <cell r="CI35"/>
          <cell r="CP35"/>
        </row>
        <row r="36">
          <cell r="X36">
            <v>47459.519999999997</v>
          </cell>
          <cell r="AE36">
            <v>47725.61</v>
          </cell>
          <cell r="AL36">
            <v>33990.92</v>
          </cell>
          <cell r="BG36"/>
          <cell r="BN36"/>
          <cell r="BU36"/>
          <cell r="CB36"/>
          <cell r="CI36"/>
          <cell r="CP36"/>
        </row>
        <row r="37">
          <cell r="X37">
            <v>24415.65</v>
          </cell>
          <cell r="AE37">
            <v>12332.379999999997</v>
          </cell>
          <cell r="AL37">
            <v>31901.990000000005</v>
          </cell>
          <cell r="BG37"/>
          <cell r="BN37"/>
          <cell r="BU37"/>
          <cell r="CB37"/>
          <cell r="CI37"/>
          <cell r="CP37"/>
        </row>
        <row r="38">
          <cell r="X38">
            <v>1304</v>
          </cell>
          <cell r="AE38">
            <v>5350</v>
          </cell>
          <cell r="AL38">
            <v>5285</v>
          </cell>
          <cell r="BG38"/>
          <cell r="BN38"/>
          <cell r="BU38"/>
          <cell r="CB38"/>
          <cell r="CI38"/>
          <cell r="CP38"/>
        </row>
        <row r="39">
          <cell r="X39">
            <v>320</v>
          </cell>
          <cell r="AE39">
            <v>3032.25</v>
          </cell>
          <cell r="AL39">
            <v>1809.7</v>
          </cell>
          <cell r="BG39"/>
          <cell r="BN39"/>
          <cell r="BU39"/>
          <cell r="CB39"/>
          <cell r="CI39"/>
          <cell r="CP39"/>
        </row>
        <row r="40">
          <cell r="X40">
            <v>3044.5</v>
          </cell>
          <cell r="AE40">
            <v>12101.18</v>
          </cell>
          <cell r="AL40">
            <v>20358.12</v>
          </cell>
          <cell r="BG40"/>
          <cell r="BN40"/>
          <cell r="BU40"/>
          <cell r="CB40"/>
          <cell r="CI40"/>
          <cell r="CP40"/>
        </row>
        <row r="43">
          <cell r="X43">
            <v>14525.35</v>
          </cell>
          <cell r="AE43">
            <v>9638.2999999999993</v>
          </cell>
          <cell r="AL43">
            <v>11709.59</v>
          </cell>
          <cell r="BG43"/>
          <cell r="BN43"/>
          <cell r="BU43"/>
          <cell r="CB43"/>
          <cell r="CI43"/>
          <cell r="CP43"/>
        </row>
        <row r="44">
          <cell r="X44"/>
          <cell r="AE44"/>
          <cell r="AL44"/>
          <cell r="BG44"/>
          <cell r="BN44"/>
          <cell r="BU44"/>
          <cell r="CB44"/>
          <cell r="CI44"/>
          <cell r="CP44"/>
        </row>
        <row r="45">
          <cell r="X45"/>
          <cell r="AE45"/>
          <cell r="AL45"/>
          <cell r="BG45"/>
          <cell r="BN45"/>
          <cell r="BU45"/>
          <cell r="CB45"/>
          <cell r="CI45"/>
          <cell r="CP45"/>
        </row>
        <row r="46">
          <cell r="X46"/>
          <cell r="AE46"/>
          <cell r="AL46"/>
          <cell r="BG46"/>
          <cell r="BN46"/>
          <cell r="BU46"/>
          <cell r="CB46"/>
          <cell r="CI46"/>
          <cell r="CP46"/>
        </row>
        <row r="47">
          <cell r="X47"/>
          <cell r="AE47"/>
          <cell r="AL47"/>
          <cell r="BG47"/>
          <cell r="BN47"/>
          <cell r="BU47"/>
          <cell r="CB47"/>
          <cell r="CI47"/>
          <cell r="CP47"/>
        </row>
        <row r="48">
          <cell r="X48"/>
          <cell r="AE48">
            <v>3158</v>
          </cell>
          <cell r="AL48">
            <v>1823.22</v>
          </cell>
          <cell r="BG48"/>
          <cell r="BN48"/>
          <cell r="BU48"/>
          <cell r="CB48"/>
          <cell r="CI48"/>
          <cell r="CP48"/>
        </row>
        <row r="49">
          <cell r="X49">
            <v>31779.18</v>
          </cell>
          <cell r="AE49">
            <v>15238.599999999999</v>
          </cell>
          <cell r="AL49">
            <v>44928.52</v>
          </cell>
          <cell r="BG49"/>
          <cell r="BN49"/>
          <cell r="BU49"/>
          <cell r="CB49"/>
          <cell r="CI49"/>
          <cell r="CP49"/>
        </row>
        <row r="50">
          <cell r="X50"/>
          <cell r="AE50"/>
          <cell r="AL50"/>
          <cell r="BG50"/>
          <cell r="BN50"/>
          <cell r="BU50"/>
          <cell r="CB50"/>
          <cell r="CI50"/>
          <cell r="CP50"/>
        </row>
        <row r="51">
          <cell r="X51"/>
          <cell r="AE51"/>
          <cell r="AL51"/>
          <cell r="BG51"/>
          <cell r="BN51"/>
          <cell r="BU51"/>
          <cell r="CB51"/>
          <cell r="CI51"/>
          <cell r="CP51"/>
        </row>
        <row r="52">
          <cell r="X52">
            <v>21563.32</v>
          </cell>
          <cell r="AE52">
            <v>37892.559999999998</v>
          </cell>
          <cell r="AL52">
            <v>2047.31</v>
          </cell>
          <cell r="BG52"/>
          <cell r="BN52"/>
          <cell r="BU52"/>
          <cell r="CB52"/>
          <cell r="CI52"/>
          <cell r="CP52"/>
        </row>
        <row r="53">
          <cell r="X53">
            <v>16.18</v>
          </cell>
          <cell r="AE53"/>
          <cell r="AL53">
            <v>126.8</v>
          </cell>
          <cell r="BG53"/>
          <cell r="BN53"/>
          <cell r="BU53"/>
          <cell r="CB53"/>
          <cell r="CI53"/>
          <cell r="CP53"/>
        </row>
        <row r="54">
          <cell r="X54">
            <v>8299.74</v>
          </cell>
          <cell r="AE54">
            <v>24620.050000000003</v>
          </cell>
          <cell r="AL54"/>
          <cell r="BG54"/>
          <cell r="BN54"/>
          <cell r="BU54"/>
          <cell r="CB54"/>
          <cell r="CI54"/>
          <cell r="CP54"/>
        </row>
        <row r="56">
          <cell r="X56"/>
          <cell r="AE56"/>
          <cell r="AL56"/>
          <cell r="AS56"/>
          <cell r="AZ56"/>
          <cell r="BG56"/>
          <cell r="BN56"/>
          <cell r="BU56"/>
          <cell r="CB56"/>
          <cell r="CI56"/>
          <cell r="CP56"/>
        </row>
        <row r="57">
          <cell r="X57"/>
          <cell r="AE57"/>
          <cell r="AL57"/>
          <cell r="AS57"/>
          <cell r="AZ57"/>
          <cell r="BG57"/>
          <cell r="BN57"/>
          <cell r="BU57"/>
          <cell r="CB57"/>
          <cell r="CI57"/>
          <cell r="CP57"/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AC5BC-3F75-CC41-9716-F3625E42CAED}">
  <sheetPr>
    <pageSetUpPr fitToPage="1"/>
  </sheetPr>
  <dimension ref="A1:DF1000"/>
  <sheetViews>
    <sheetView zoomScale="90" zoomScaleNormal="90" workbookViewId="0">
      <pane xSplit="1" ySplit="3" topLeftCell="AX26" activePane="bottomRight" state="frozen"/>
      <selection pane="topRight" activeCell="B1" sqref="B1"/>
      <selection pane="bottomLeft" activeCell="A4" sqref="A4"/>
      <selection pane="bottomRight" activeCell="AZ55" sqref="AZ55"/>
    </sheetView>
  </sheetViews>
  <sheetFormatPr baseColWidth="10" defaultColWidth="14.5" defaultRowHeight="15" customHeight="1" x14ac:dyDescent="0.2"/>
  <cols>
    <col min="1" max="1" width="32.33203125" customWidth="1"/>
    <col min="2" max="9" width="11.5" customWidth="1"/>
    <col min="10" max="10" width="11.33203125" customWidth="1"/>
    <col min="11" max="37" width="11.5" customWidth="1"/>
    <col min="38" max="38" width="11.83203125" bestFit="1" customWidth="1"/>
    <col min="39" max="65" width="11.5" customWidth="1"/>
    <col min="66" max="66" width="11.33203125" customWidth="1"/>
    <col min="67" max="72" width="11.5" customWidth="1"/>
    <col min="73" max="73" width="11.33203125" customWidth="1"/>
    <col min="74" max="96" width="11.5" customWidth="1"/>
    <col min="97" max="97" width="10.83203125" hidden="1" customWidth="1"/>
    <col min="98" max="98" width="10.6640625" hidden="1" customWidth="1"/>
    <col min="99" max="99" width="10.33203125" hidden="1" customWidth="1"/>
    <col min="100" max="100" width="11" bestFit="1" customWidth="1"/>
    <col min="101" max="101" width="10.33203125" customWidth="1"/>
    <col min="102" max="102" width="10.83203125" customWidth="1"/>
    <col min="103" max="103" width="10.5" customWidth="1"/>
    <col min="104" max="104" width="10.33203125" customWidth="1"/>
    <col min="105" max="105" width="12.33203125" customWidth="1"/>
    <col min="106" max="106" width="10.1640625" customWidth="1"/>
    <col min="107" max="107" width="11" customWidth="1"/>
    <col min="108" max="108" width="9.83203125" customWidth="1"/>
    <col min="109" max="110" width="9.1640625" customWidth="1"/>
  </cols>
  <sheetData>
    <row r="1" spans="1:110" ht="20" customHeight="1" thickBot="1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2"/>
      <c r="AA1" s="2"/>
      <c r="AB1" s="2"/>
      <c r="AC1" s="2"/>
      <c r="AD1" s="2"/>
      <c r="AE1" s="1"/>
      <c r="AF1" s="1"/>
      <c r="AG1" s="3" t="s">
        <v>1</v>
      </c>
      <c r="AH1" s="3"/>
      <c r="AI1" s="3"/>
      <c r="AJ1" s="3"/>
      <c r="AK1" s="3"/>
      <c r="AL1" s="3"/>
      <c r="AM1" s="3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4"/>
      <c r="DA1" s="4"/>
      <c r="DB1" s="4"/>
      <c r="DC1" s="4"/>
      <c r="DD1" s="4"/>
      <c r="DE1" s="4"/>
      <c r="DF1" s="4"/>
    </row>
    <row r="2" spans="1:110" ht="14.25" customHeight="1" thickBot="1" x14ac:dyDescent="0.25">
      <c r="A2" s="5"/>
      <c r="B2" s="253"/>
      <c r="C2" s="254"/>
      <c r="D2" s="254"/>
      <c r="E2" s="255"/>
      <c r="F2" s="255"/>
      <c r="G2" s="255"/>
      <c r="H2" s="247"/>
      <c r="I2" s="247"/>
      <c r="J2" s="247"/>
      <c r="K2" s="248"/>
      <c r="L2" s="245" t="s">
        <v>2</v>
      </c>
      <c r="M2" s="246"/>
      <c r="N2" s="246"/>
      <c r="O2" s="246"/>
      <c r="P2" s="246"/>
      <c r="Q2" s="247"/>
      <c r="R2" s="248"/>
      <c r="S2" s="245" t="s">
        <v>3</v>
      </c>
      <c r="T2" s="246"/>
      <c r="U2" s="246"/>
      <c r="V2" s="246"/>
      <c r="W2" s="246"/>
      <c r="X2" s="247"/>
      <c r="Y2" s="248"/>
      <c r="Z2" s="245" t="s">
        <v>4</v>
      </c>
      <c r="AA2" s="246"/>
      <c r="AB2" s="246"/>
      <c r="AC2" s="246"/>
      <c r="AD2" s="246"/>
      <c r="AE2" s="247"/>
      <c r="AF2" s="248"/>
      <c r="AG2" s="245" t="s">
        <v>5</v>
      </c>
      <c r="AH2" s="246"/>
      <c r="AI2" s="246"/>
      <c r="AJ2" s="246"/>
      <c r="AK2" s="246"/>
      <c r="AL2" s="247"/>
      <c r="AM2" s="248"/>
      <c r="AN2" s="249" t="s">
        <v>6</v>
      </c>
      <c r="AO2" s="250"/>
      <c r="AP2" s="250"/>
      <c r="AQ2" s="250"/>
      <c r="AR2" s="250"/>
      <c r="AS2" s="251"/>
      <c r="AT2" s="252"/>
      <c r="AU2" s="245" t="s">
        <v>7</v>
      </c>
      <c r="AV2" s="246"/>
      <c r="AW2" s="246"/>
      <c r="AX2" s="246"/>
      <c r="AY2" s="246"/>
      <c r="AZ2" s="247"/>
      <c r="BA2" s="248"/>
      <c r="BB2" s="249" t="s">
        <v>8</v>
      </c>
      <c r="BC2" s="250"/>
      <c r="BD2" s="250"/>
      <c r="BE2" s="250"/>
      <c r="BF2" s="250"/>
      <c r="BG2" s="251"/>
      <c r="BH2" s="252"/>
      <c r="BI2" s="249" t="s">
        <v>9</v>
      </c>
      <c r="BJ2" s="250"/>
      <c r="BK2" s="250"/>
      <c r="BL2" s="250"/>
      <c r="BM2" s="250"/>
      <c r="BN2" s="251"/>
      <c r="BO2" s="252"/>
      <c r="BP2" s="249" t="s">
        <v>10</v>
      </c>
      <c r="BQ2" s="250"/>
      <c r="BR2" s="250"/>
      <c r="BS2" s="250"/>
      <c r="BT2" s="250"/>
      <c r="BU2" s="251"/>
      <c r="BV2" s="252"/>
      <c r="BW2" s="245" t="s">
        <v>11</v>
      </c>
      <c r="BX2" s="246"/>
      <c r="BY2" s="246"/>
      <c r="BZ2" s="246"/>
      <c r="CA2" s="246"/>
      <c r="CB2" s="247"/>
      <c r="CC2" s="248"/>
      <c r="CD2" s="245" t="s">
        <v>12</v>
      </c>
      <c r="CE2" s="246"/>
      <c r="CF2" s="246"/>
      <c r="CG2" s="246"/>
      <c r="CH2" s="246"/>
      <c r="CI2" s="247"/>
      <c r="CJ2" s="248"/>
      <c r="CK2" s="245" t="s">
        <v>13</v>
      </c>
      <c r="CL2" s="246"/>
      <c r="CM2" s="246"/>
      <c r="CN2" s="246"/>
      <c r="CO2" s="246"/>
      <c r="CP2" s="247"/>
      <c r="CQ2" s="248"/>
      <c r="CS2" s="7">
        <v>45444</v>
      </c>
      <c r="CT2" s="7">
        <v>45474</v>
      </c>
      <c r="CU2" s="7">
        <v>45505</v>
      </c>
      <c r="CV2" s="7">
        <v>45536</v>
      </c>
      <c r="CW2" s="7">
        <v>45566</v>
      </c>
      <c r="CX2" s="7">
        <v>45597</v>
      </c>
      <c r="CY2" s="7">
        <v>45627</v>
      </c>
      <c r="CZ2" s="7">
        <v>45658</v>
      </c>
      <c r="DA2" s="7">
        <v>45689</v>
      </c>
      <c r="DB2" s="7">
        <v>45717</v>
      </c>
      <c r="DC2" s="7">
        <v>45748</v>
      </c>
      <c r="DD2" s="7">
        <v>45778</v>
      </c>
    </row>
    <row r="3" spans="1:110" ht="45" customHeight="1" thickBot="1" x14ac:dyDescent="0.25">
      <c r="A3" s="5"/>
      <c r="B3" s="8" t="s">
        <v>14</v>
      </c>
      <c r="C3" s="9" t="s">
        <v>15</v>
      </c>
      <c r="D3" s="10" t="s">
        <v>16</v>
      </c>
      <c r="E3" s="8" t="s">
        <v>17</v>
      </c>
      <c r="F3" s="11" t="s">
        <v>18</v>
      </c>
      <c r="G3" s="12" t="s">
        <v>19</v>
      </c>
      <c r="H3" s="13" t="s">
        <v>20</v>
      </c>
      <c r="I3" s="14" t="s">
        <v>21</v>
      </c>
      <c r="J3" s="14" t="s">
        <v>22</v>
      </c>
      <c r="K3" s="15" t="s">
        <v>23</v>
      </c>
      <c r="L3" s="6" t="s">
        <v>24</v>
      </c>
      <c r="M3" s="14" t="s">
        <v>25</v>
      </c>
      <c r="N3" s="14" t="s">
        <v>26</v>
      </c>
      <c r="O3" s="14" t="s">
        <v>20</v>
      </c>
      <c r="P3" s="14" t="s">
        <v>21</v>
      </c>
      <c r="Q3" s="14" t="s">
        <v>27</v>
      </c>
      <c r="R3" s="15" t="s">
        <v>23</v>
      </c>
      <c r="S3" s="6" t="s">
        <v>24</v>
      </c>
      <c r="T3" s="14" t="s">
        <v>25</v>
      </c>
      <c r="U3" s="14" t="s">
        <v>26</v>
      </c>
      <c r="V3" s="14" t="s">
        <v>20</v>
      </c>
      <c r="W3" s="14" t="s">
        <v>21</v>
      </c>
      <c r="X3" s="14" t="s">
        <v>27</v>
      </c>
      <c r="Y3" s="15" t="s">
        <v>23</v>
      </c>
      <c r="Z3" s="6" t="s">
        <v>24</v>
      </c>
      <c r="AA3" s="14" t="s">
        <v>25</v>
      </c>
      <c r="AB3" s="14" t="s">
        <v>26</v>
      </c>
      <c r="AC3" s="14" t="s">
        <v>20</v>
      </c>
      <c r="AD3" s="14" t="s">
        <v>21</v>
      </c>
      <c r="AE3" s="14" t="s">
        <v>22</v>
      </c>
      <c r="AF3" s="15" t="s">
        <v>23</v>
      </c>
      <c r="AG3" s="6" t="s">
        <v>24</v>
      </c>
      <c r="AH3" s="14" t="s">
        <v>25</v>
      </c>
      <c r="AI3" s="14" t="s">
        <v>26</v>
      </c>
      <c r="AJ3" s="14" t="s">
        <v>20</v>
      </c>
      <c r="AK3" s="14" t="s">
        <v>21</v>
      </c>
      <c r="AL3" s="14" t="s">
        <v>22</v>
      </c>
      <c r="AM3" s="15" t="s">
        <v>23</v>
      </c>
      <c r="AN3" s="6" t="s">
        <v>24</v>
      </c>
      <c r="AO3" s="14" t="s">
        <v>25</v>
      </c>
      <c r="AP3" s="14" t="s">
        <v>26</v>
      </c>
      <c r="AQ3" s="14" t="s">
        <v>20</v>
      </c>
      <c r="AR3" s="14" t="s">
        <v>21</v>
      </c>
      <c r="AS3" s="14" t="s">
        <v>22</v>
      </c>
      <c r="AT3" s="15" t="s">
        <v>23</v>
      </c>
      <c r="AU3" s="6" t="s">
        <v>24</v>
      </c>
      <c r="AV3" s="14" t="s">
        <v>25</v>
      </c>
      <c r="AW3" s="14" t="s">
        <v>26</v>
      </c>
      <c r="AX3" s="14" t="s">
        <v>20</v>
      </c>
      <c r="AY3" s="14" t="s">
        <v>21</v>
      </c>
      <c r="AZ3" s="14" t="s">
        <v>22</v>
      </c>
      <c r="BA3" s="15" t="s">
        <v>23</v>
      </c>
      <c r="BB3" s="6" t="s">
        <v>24</v>
      </c>
      <c r="BC3" s="14" t="s">
        <v>25</v>
      </c>
      <c r="BD3" s="14" t="s">
        <v>26</v>
      </c>
      <c r="BE3" s="14" t="s">
        <v>20</v>
      </c>
      <c r="BF3" s="14" t="s">
        <v>21</v>
      </c>
      <c r="BG3" s="14" t="s">
        <v>22</v>
      </c>
      <c r="BH3" s="15" t="s">
        <v>23</v>
      </c>
      <c r="BI3" s="6" t="s">
        <v>24</v>
      </c>
      <c r="BJ3" s="14" t="s">
        <v>25</v>
      </c>
      <c r="BK3" s="14" t="s">
        <v>26</v>
      </c>
      <c r="BL3" s="14" t="s">
        <v>20</v>
      </c>
      <c r="BM3" s="14" t="s">
        <v>21</v>
      </c>
      <c r="BN3" s="14" t="s">
        <v>22</v>
      </c>
      <c r="BO3" s="15" t="s">
        <v>23</v>
      </c>
      <c r="BP3" s="6" t="s">
        <v>24</v>
      </c>
      <c r="BQ3" s="14" t="s">
        <v>25</v>
      </c>
      <c r="BR3" s="14" t="s">
        <v>26</v>
      </c>
      <c r="BS3" s="14" t="s">
        <v>20</v>
      </c>
      <c r="BT3" s="14" t="s">
        <v>21</v>
      </c>
      <c r="BU3" s="14" t="s">
        <v>22</v>
      </c>
      <c r="BV3" s="15" t="s">
        <v>23</v>
      </c>
      <c r="BW3" s="6" t="s">
        <v>24</v>
      </c>
      <c r="BX3" s="14" t="s">
        <v>25</v>
      </c>
      <c r="BY3" s="14" t="s">
        <v>26</v>
      </c>
      <c r="BZ3" s="14" t="s">
        <v>20</v>
      </c>
      <c r="CA3" s="14" t="s">
        <v>21</v>
      </c>
      <c r="CB3" s="14" t="s">
        <v>22</v>
      </c>
      <c r="CC3" s="15" t="s">
        <v>23</v>
      </c>
      <c r="CD3" s="6" t="s">
        <v>24</v>
      </c>
      <c r="CE3" s="14" t="s">
        <v>25</v>
      </c>
      <c r="CF3" s="14" t="s">
        <v>26</v>
      </c>
      <c r="CG3" s="14" t="s">
        <v>20</v>
      </c>
      <c r="CH3" s="14" t="s">
        <v>21</v>
      </c>
      <c r="CI3" s="14" t="s">
        <v>27</v>
      </c>
      <c r="CJ3" s="15" t="s">
        <v>23</v>
      </c>
      <c r="CK3" s="6" t="s">
        <v>24</v>
      </c>
      <c r="CL3" s="14" t="s">
        <v>25</v>
      </c>
      <c r="CM3" s="14" t="s">
        <v>26</v>
      </c>
      <c r="CN3" s="14" t="s">
        <v>20</v>
      </c>
      <c r="CO3" s="14" t="s">
        <v>21</v>
      </c>
      <c r="CP3" s="14" t="s">
        <v>22</v>
      </c>
      <c r="CQ3" s="15" t="s">
        <v>23</v>
      </c>
    </row>
    <row r="4" spans="1:110" s="26" customFormat="1" ht="14.25" customHeight="1" x14ac:dyDescent="0.2">
      <c r="A4" s="16" t="s">
        <v>28</v>
      </c>
      <c r="B4" s="17">
        <f t="shared" ref="B4:D35" si="0">+L4+S4+Z4+AG4+AN4+AU4+BB4+BI4+BP4+BW4+CD4+CK4</f>
        <v>742418.13509640982</v>
      </c>
      <c r="C4" s="18">
        <f t="shared" si="0"/>
        <v>651174.94629306102</v>
      </c>
      <c r="D4" s="19">
        <f t="shared" si="0"/>
        <v>91243.188803348763</v>
      </c>
      <c r="E4" s="17">
        <f>+L4+S4+Z4+AG4</f>
        <v>262173.76586980961</v>
      </c>
      <c r="F4" s="20">
        <f>+M4+T4+AA4+AH4</f>
        <v>229952.61004440999</v>
      </c>
      <c r="G4" s="21">
        <f>+N4+U4+AB4+AI4</f>
        <v>32221.155825399597</v>
      </c>
      <c r="H4" s="18">
        <f t="shared" ref="H4:J35" si="1">+O4+V4+AC4+AJ4+AQ4+AX4+BE4+BL4+BS4+BZ4+CG4+CN4</f>
        <v>321903.01427732321</v>
      </c>
      <c r="I4" s="20">
        <f t="shared" si="1"/>
        <v>45105.324882776215</v>
      </c>
      <c r="J4" s="20">
        <f t="shared" si="1"/>
        <v>367008.33916009945</v>
      </c>
      <c r="K4" s="22">
        <f t="shared" ref="K4:K54" si="2">IF(E4=0,"",(+J4/E4-1))</f>
        <v>0.39986675609011413</v>
      </c>
      <c r="L4" s="23">
        <v>57171.948717452404</v>
      </c>
      <c r="M4" s="18">
        <f>L4-N4</f>
        <v>50145.516220077501</v>
      </c>
      <c r="N4" s="18">
        <f>+L4*12.29%</f>
        <v>7026.4324973748999</v>
      </c>
      <c r="O4" s="18">
        <f>+Q4-P4</f>
        <v>37693.385218802978</v>
      </c>
      <c r="P4" s="18">
        <f>+Q4*12.29%</f>
        <v>5281.6292821695197</v>
      </c>
      <c r="Q4" s="20">
        <v>42975.014500972495</v>
      </c>
      <c r="R4" s="22">
        <f t="shared" ref="R4:R54" si="3">IF(L4=0,"",(+Q4/L4-1))</f>
        <v>-0.24831992847824913</v>
      </c>
      <c r="S4" s="23">
        <v>90657.919717452402</v>
      </c>
      <c r="T4" s="18">
        <f>S4-U4</f>
        <v>79516.061384177505</v>
      </c>
      <c r="U4" s="18">
        <f>+S4*12.29%</f>
        <v>11141.8583332749</v>
      </c>
      <c r="V4" s="18">
        <f>+X4-W4</f>
        <v>52958.426945527135</v>
      </c>
      <c r="W4" s="18">
        <f>+X4*12.29%</f>
        <v>7420.5799471044174</v>
      </c>
      <c r="X4" s="20">
        <v>60379.006892631551</v>
      </c>
      <c r="Y4" s="22">
        <f t="shared" ref="Y4:Y54" si="4">IF(S4=0,"",(+X4/S4-1))</f>
        <v>-0.33399081866415148</v>
      </c>
      <c r="Z4" s="23">
        <v>57171.948717452404</v>
      </c>
      <c r="AA4" s="18">
        <f>Z4-AB4</f>
        <v>50145.516220077501</v>
      </c>
      <c r="AB4" s="18">
        <f>+Z4*12.29%</f>
        <v>7026.4324973748999</v>
      </c>
      <c r="AC4" s="18">
        <f>+AE4-AD4</f>
        <v>39070.204277905344</v>
      </c>
      <c r="AD4" s="18">
        <f>+AE4*12.29%</f>
        <v>5474.550342896553</v>
      </c>
      <c r="AE4" s="24">
        <v>44544.754620801898</v>
      </c>
      <c r="AF4" s="22">
        <f t="shared" ref="AF4:AF54" si="5">IF(Z4=0,"",(+AE4/Z4-1))</f>
        <v>-0.22086345454227818</v>
      </c>
      <c r="AG4" s="23">
        <v>57171.948717452404</v>
      </c>
      <c r="AH4" s="18">
        <f>AG4-AI4</f>
        <v>50145.516220077501</v>
      </c>
      <c r="AI4" s="18">
        <f>+AG4*12.29%</f>
        <v>7026.4324973748999</v>
      </c>
      <c r="AJ4" s="18">
        <f>+AL4-AK4</f>
        <v>76506.09754641293</v>
      </c>
      <c r="AK4" s="18">
        <f>+AL4*12.29%</f>
        <v>10720.09963339887</v>
      </c>
      <c r="AL4" s="24">
        <v>87226.197179811803</v>
      </c>
      <c r="AM4" s="22">
        <f t="shared" ref="AM4:AM54" si="6">IF(AG4=0,"",(+AL4/AG4-1))</f>
        <v>0.52568172218318998</v>
      </c>
      <c r="AN4" s="23">
        <v>57171.948717452404</v>
      </c>
      <c r="AO4" s="18">
        <f>AN4-AP4</f>
        <v>50145.516220077501</v>
      </c>
      <c r="AP4" s="18">
        <f>+AN4*12.29%</f>
        <v>7026.4324973748999</v>
      </c>
      <c r="AQ4" s="18">
        <f>+AS4-AR4</f>
        <v>58676.814642402955</v>
      </c>
      <c r="AR4" s="18">
        <f>+AS4*12.29%</f>
        <v>8221.8453078911443</v>
      </c>
      <c r="AS4" s="24">
        <v>66898.659950294095</v>
      </c>
      <c r="AT4" s="22">
        <f t="shared" ref="AT4:AT54" si="7">IF(AN4=0,"",(+AS4/AN4-1))</f>
        <v>0.17013083253313166</v>
      </c>
      <c r="AU4" s="23">
        <v>57171.948717452404</v>
      </c>
      <c r="AV4" s="18">
        <f>AU4-AW4</f>
        <v>50145.516220077501</v>
      </c>
      <c r="AW4" s="18">
        <f>+AU4*12.29%</f>
        <v>7026.4324973748999</v>
      </c>
      <c r="AX4" s="18">
        <f>+AZ4-AY4</f>
        <v>56998.085646271888</v>
      </c>
      <c r="AY4" s="18">
        <f>+AZ4*12.29%</f>
        <v>7986.6203693157158</v>
      </c>
      <c r="AZ4" s="24">
        <v>64984.706015587602</v>
      </c>
      <c r="BA4" s="22">
        <f t="shared" ref="BA4:BA54" si="8">IF(AU4=0,"",(+AZ4/AU4-1))</f>
        <v>0.13665368197866345</v>
      </c>
      <c r="BB4" s="23">
        <v>57171.948717452404</v>
      </c>
      <c r="BC4" s="18">
        <f>BB4-BD4</f>
        <v>50145.516220077501</v>
      </c>
      <c r="BD4" s="18">
        <f>+BB4*12.29%</f>
        <v>7026.4324973748999</v>
      </c>
      <c r="BE4" s="18">
        <f>+BG4-BF4</f>
        <v>0</v>
      </c>
      <c r="BF4" s="18">
        <f>+BG4*12.29%</f>
        <v>0</v>
      </c>
      <c r="BG4" s="24">
        <f t="shared" ref="BG4:BG16" si="9">CY4*0.51</f>
        <v>0</v>
      </c>
      <c r="BH4" s="22">
        <f t="shared" ref="BH4:BH54" si="10">IF(BB4=0,"",(+BG4/BB4-1))</f>
        <v>-1</v>
      </c>
      <c r="BI4" s="23">
        <v>61745.704614848597</v>
      </c>
      <c r="BJ4" s="18">
        <f>BI4-BK4</f>
        <v>54157.157517683707</v>
      </c>
      <c r="BK4" s="18">
        <f>+BI4*12.29%</f>
        <v>7588.547097164892</v>
      </c>
      <c r="BL4" s="18">
        <f>+BN4-BM4</f>
        <v>0</v>
      </c>
      <c r="BM4" s="18">
        <f>+BN4*12.29%</f>
        <v>0</v>
      </c>
      <c r="BN4" s="24">
        <f t="shared" ref="BN4:BN16" si="11">CZ4*0.51</f>
        <v>0</v>
      </c>
      <c r="BO4" s="25">
        <f t="shared" ref="BO4:BO54" si="12">IF(BI4=0,"",(+BN4/BI4-1))</f>
        <v>-1</v>
      </c>
      <c r="BP4" s="23">
        <v>61745.704614848597</v>
      </c>
      <c r="BQ4" s="18">
        <f>BP4-BR4</f>
        <v>54157.157517683707</v>
      </c>
      <c r="BR4" s="18">
        <f>+BP4*12.29%</f>
        <v>7588.547097164892</v>
      </c>
      <c r="BS4" s="18">
        <f>+BU4-BT4</f>
        <v>0</v>
      </c>
      <c r="BT4" s="18">
        <f>+BU4*12.29%</f>
        <v>0</v>
      </c>
      <c r="BU4" s="24">
        <f t="shared" ref="BU4:BU16" si="13">DA4*0.51</f>
        <v>0</v>
      </c>
      <c r="BV4" s="25">
        <f t="shared" ref="BV4:BV54" si="14">IF(BP4=0,"",(+BU4/BP4-1))</f>
        <v>-1</v>
      </c>
      <c r="BW4" s="23">
        <v>61745.704614848597</v>
      </c>
      <c r="BX4" s="18">
        <f>BW4-BY4</f>
        <v>54157.157517683707</v>
      </c>
      <c r="BY4" s="18">
        <f>+BW4*12.29%</f>
        <v>7588.547097164892</v>
      </c>
      <c r="BZ4" s="18">
        <f>+CB4-CA4</f>
        <v>0</v>
      </c>
      <c r="CA4" s="18">
        <f>+CB4*12.29%</f>
        <v>0</v>
      </c>
      <c r="CB4" s="24">
        <f t="shared" ref="CB4:CB16" si="15">DB4*0.51</f>
        <v>0</v>
      </c>
      <c r="CC4" s="25">
        <f t="shared" ref="CC4:CC54" si="16">IF(BW4=0,"",(+CB4/BW4-1))</f>
        <v>-1</v>
      </c>
      <c r="CD4" s="23">
        <v>61745.704614848597</v>
      </c>
      <c r="CE4" s="18">
        <f>CD4-CF4</f>
        <v>54157.157517683707</v>
      </c>
      <c r="CF4" s="18">
        <f>+CD4*12.29%</f>
        <v>7588.547097164892</v>
      </c>
      <c r="CG4" s="18">
        <f>+CI4-CH4</f>
        <v>0</v>
      </c>
      <c r="CH4" s="18">
        <f>+CI4*12.29%</f>
        <v>0</v>
      </c>
      <c r="CI4" s="24">
        <f t="shared" ref="CI4:CI16" si="17">DC4*0.51</f>
        <v>0</v>
      </c>
      <c r="CJ4" s="25">
        <f t="shared" ref="CJ4:CJ54" si="18">IF(CD4=0,"",(+CI4/CD4-1))</f>
        <v>-1</v>
      </c>
      <c r="CK4" s="23">
        <v>61745.704614848597</v>
      </c>
      <c r="CL4" s="18">
        <f>CK4-CM4</f>
        <v>54157.157517683707</v>
      </c>
      <c r="CM4" s="18">
        <f>+CK4*12.29%</f>
        <v>7588.547097164892</v>
      </c>
      <c r="CN4" s="18">
        <f>+CP4-CO4</f>
        <v>0</v>
      </c>
      <c r="CO4" s="18">
        <f>+CP4*12.29%</f>
        <v>0</v>
      </c>
      <c r="CP4" s="24">
        <f t="shared" ref="CP4:CP16" si="19">DD4*0.51</f>
        <v>0</v>
      </c>
      <c r="CQ4" s="25">
        <f t="shared" ref="CQ4:CQ54" si="20">IF(CK4=0,"",(+CP4/CK4-1))</f>
        <v>-1</v>
      </c>
      <c r="CS4" s="27">
        <f>155301.13-CS5-CS6-CS7-CS8-CS9</f>
        <v>97954.62999999999</v>
      </c>
      <c r="CT4" s="27">
        <f>184761.4-CT5-CT6-CT7-CT8-CT9</f>
        <v>137624.22999999998</v>
      </c>
      <c r="CU4" s="27">
        <f>154651.95-CU5-CU6-CU7-CU8-CU9</f>
        <v>101532.6</v>
      </c>
      <c r="CV4" s="27">
        <f>241924.03-CV5-CV6-CV7-CV8-CV9</f>
        <v>198818.08</v>
      </c>
      <c r="CW4" s="27"/>
      <c r="CX4" s="27"/>
      <c r="CY4" s="27"/>
      <c r="CZ4" s="27"/>
      <c r="DA4" s="27"/>
      <c r="DB4" s="27"/>
      <c r="DC4" s="27"/>
      <c r="DD4" s="27"/>
      <c r="DF4" s="28"/>
    </row>
    <row r="5" spans="1:110" s="26" customFormat="1" ht="14.25" customHeight="1" x14ac:dyDescent="0.2">
      <c r="A5" s="29" t="s">
        <v>29</v>
      </c>
      <c r="B5" s="30">
        <f t="shared" si="0"/>
        <v>46063.5</v>
      </c>
      <c r="C5" s="31">
        <f t="shared" si="0"/>
        <v>40402.295850000002</v>
      </c>
      <c r="D5" s="32">
        <f t="shared" si="0"/>
        <v>5661.2041500000014</v>
      </c>
      <c r="E5" s="30">
        <f t="shared" ref="E5:G36" si="21">+L5+S5+Z5+AG5</f>
        <v>15354.5</v>
      </c>
      <c r="F5" s="33">
        <f t="shared" si="21"/>
        <v>13467.43195</v>
      </c>
      <c r="G5" s="34">
        <f t="shared" si="21"/>
        <v>1887.0680499999999</v>
      </c>
      <c r="H5" s="31">
        <f t="shared" si="1"/>
        <v>28432.440855330336</v>
      </c>
      <c r="I5" s="33">
        <f t="shared" si="1"/>
        <v>3983.9778601300854</v>
      </c>
      <c r="J5" s="33">
        <f t="shared" si="1"/>
        <v>32416.418715460415</v>
      </c>
      <c r="K5" s="35">
        <f t="shared" si="2"/>
        <v>1.1111998902901701</v>
      </c>
      <c r="L5" s="36">
        <v>3838.625</v>
      </c>
      <c r="M5" s="31">
        <f t="shared" ref="M5:M54" si="22">L5-N5</f>
        <v>3366.8579875</v>
      </c>
      <c r="N5" s="31">
        <f t="shared" ref="N5:N54" si="23">+L5*12.29%</f>
        <v>471.76701249999996</v>
      </c>
      <c r="O5" s="31">
        <f t="shared" ref="O5:O54" si="24">+Q5-P5</f>
        <v>4328.9201129192061</v>
      </c>
      <c r="P5" s="31">
        <f t="shared" ref="P5:P54" si="25">+Q5*12.29%</f>
        <v>606.57197797032313</v>
      </c>
      <c r="Q5" s="33">
        <v>4935.4920908895292</v>
      </c>
      <c r="R5" s="35">
        <f t="shared" si="3"/>
        <v>0.28574478905585443</v>
      </c>
      <c r="S5" s="36">
        <v>3838.625</v>
      </c>
      <c r="T5" s="31">
        <f t="shared" ref="T5:T54" si="26">S5-U5</f>
        <v>3366.8579875</v>
      </c>
      <c r="U5" s="31">
        <f t="shared" ref="U5:U54" si="27">+S5*12.29%</f>
        <v>471.76701249999996</v>
      </c>
      <c r="V5" s="31">
        <f t="shared" ref="V5:V54" si="28">+X5-W5</f>
        <v>4418.3756216768343</v>
      </c>
      <c r="W5" s="31">
        <f t="shared" ref="W5:W54" si="29">+X5*12.29%</f>
        <v>619.10656014602989</v>
      </c>
      <c r="X5" s="33">
        <v>5037.4821818228638</v>
      </c>
      <c r="Y5" s="35">
        <f t="shared" si="4"/>
        <v>0.31231422236422257</v>
      </c>
      <c r="Z5" s="36">
        <v>3838.625</v>
      </c>
      <c r="AA5" s="31">
        <f t="shared" ref="AA5:AA54" si="30">Z5-AB5</f>
        <v>3366.8579875</v>
      </c>
      <c r="AB5" s="31">
        <f t="shared" ref="AB5:AB54" si="31">+Z5*12.29%</f>
        <v>471.76701249999996</v>
      </c>
      <c r="AC5" s="31">
        <f t="shared" ref="AC5:AC54" si="32">+AE5-AD5</f>
        <v>2980.541956523753</v>
      </c>
      <c r="AD5" s="31">
        <f t="shared" ref="AD5:AD54" si="33">+AE5*12.29%</f>
        <v>417.63608078528017</v>
      </c>
      <c r="AE5" s="27">
        <v>3398.1780373090332</v>
      </c>
      <c r="AF5" s="35">
        <f t="shared" si="5"/>
        <v>-0.11474081544588666</v>
      </c>
      <c r="AG5" s="36">
        <v>3838.625</v>
      </c>
      <c r="AH5" s="31">
        <f t="shared" ref="AH5:AH54" si="34">AG5-AI5</f>
        <v>3366.8579875</v>
      </c>
      <c r="AI5" s="31">
        <f t="shared" ref="AI5:AI54" si="35">+AG5*12.29%</f>
        <v>471.76701249999996</v>
      </c>
      <c r="AJ5" s="31">
        <f t="shared" ref="AJ5:AJ54" si="36">+AL5-AK5</f>
        <v>4165.0318641994854</v>
      </c>
      <c r="AK5" s="31">
        <f t="shared" ref="AK5:AK54" si="37">+AL5*12.29%</f>
        <v>583.60781679411321</v>
      </c>
      <c r="AL5" s="27">
        <v>4748.6396809935986</v>
      </c>
      <c r="AM5" s="35">
        <f t="shared" si="6"/>
        <v>0.23706787742840163</v>
      </c>
      <c r="AN5" s="36">
        <v>3838.625</v>
      </c>
      <c r="AO5" s="31">
        <f t="shared" ref="AO5:AO54" si="38">AN5-AP5</f>
        <v>3366.8579875</v>
      </c>
      <c r="AP5" s="31">
        <f t="shared" ref="AP5:AP54" si="39">+AN5*12.29%</f>
        <v>471.76701249999996</v>
      </c>
      <c r="AQ5" s="31">
        <f t="shared" ref="AQ5:AQ54" si="40">+AS5-AR5</f>
        <v>6390.6912328835188</v>
      </c>
      <c r="AR5" s="31">
        <f t="shared" ref="AR5:AR54" si="41">+AS5*12.29%</f>
        <v>895.46910559957178</v>
      </c>
      <c r="AS5" s="27">
        <v>7286.1603384830905</v>
      </c>
      <c r="AT5" s="35">
        <f t="shared" si="7"/>
        <v>0.89811725252742591</v>
      </c>
      <c r="AU5" s="36">
        <v>3838.625</v>
      </c>
      <c r="AV5" s="31">
        <f t="shared" ref="AV5:AV54" si="42">AU5-AW5</f>
        <v>3366.8579875</v>
      </c>
      <c r="AW5" s="31">
        <f t="shared" ref="AW5:AW54" si="43">+AU5*12.29%</f>
        <v>471.76701249999996</v>
      </c>
      <c r="AX5" s="31">
        <f t="shared" ref="AX5:AX54" si="44">+AZ5-AY5</f>
        <v>6148.8800671275367</v>
      </c>
      <c r="AY5" s="31">
        <f t="shared" ref="AY5:AY54" si="45">+AZ5*12.29%</f>
        <v>861.58631883476721</v>
      </c>
      <c r="AZ5" s="27">
        <v>7010.4663859623042</v>
      </c>
      <c r="BA5" s="35">
        <f t="shared" si="8"/>
        <v>0.82629623523066309</v>
      </c>
      <c r="BB5" s="36">
        <v>3838.625</v>
      </c>
      <c r="BC5" s="31">
        <f t="shared" ref="BC5:BC54" si="46">BB5-BD5</f>
        <v>3366.8579875</v>
      </c>
      <c r="BD5" s="31">
        <f t="shared" ref="BD5:BD54" si="47">+BB5*12.29%</f>
        <v>471.76701249999996</v>
      </c>
      <c r="BE5" s="31">
        <f t="shared" ref="BE5:BE54" si="48">+BG5-BF5</f>
        <v>0</v>
      </c>
      <c r="BF5" s="31">
        <f t="shared" ref="BF5:BF54" si="49">+BG5*12.29%</f>
        <v>0</v>
      </c>
      <c r="BG5" s="27">
        <f t="shared" si="9"/>
        <v>0</v>
      </c>
      <c r="BH5" s="35">
        <f t="shared" si="10"/>
        <v>-1</v>
      </c>
      <c r="BI5" s="36">
        <v>3838.625</v>
      </c>
      <c r="BJ5" s="31">
        <f t="shared" ref="BJ5:BJ54" si="50">BI5-BK5</f>
        <v>3366.8579875</v>
      </c>
      <c r="BK5" s="31">
        <f t="shared" ref="BK5:BK54" si="51">+BI5*12.29%</f>
        <v>471.76701249999996</v>
      </c>
      <c r="BL5" s="31">
        <f t="shared" ref="BL5:BL54" si="52">+BN5-BM5</f>
        <v>0</v>
      </c>
      <c r="BM5" s="31">
        <f t="shared" ref="BM5:BM54" si="53">+BN5*12.29%</f>
        <v>0</v>
      </c>
      <c r="BN5" s="27">
        <f t="shared" si="11"/>
        <v>0</v>
      </c>
      <c r="BO5" s="37">
        <f t="shared" si="12"/>
        <v>-1</v>
      </c>
      <c r="BP5" s="36">
        <v>3838.625</v>
      </c>
      <c r="BQ5" s="31">
        <f t="shared" ref="BQ5:BQ54" si="54">BP5-BR5</f>
        <v>3366.8579875</v>
      </c>
      <c r="BR5" s="31">
        <f t="shared" ref="BR5:BR54" si="55">+BP5*12.29%</f>
        <v>471.76701249999996</v>
      </c>
      <c r="BS5" s="31">
        <f t="shared" ref="BS5:BS54" si="56">+BU5-BT5</f>
        <v>0</v>
      </c>
      <c r="BT5" s="31">
        <f t="shared" ref="BT5:BT54" si="57">+BU5*12.29%</f>
        <v>0</v>
      </c>
      <c r="BU5" s="27">
        <f t="shared" si="13"/>
        <v>0</v>
      </c>
      <c r="BV5" s="37">
        <f t="shared" si="14"/>
        <v>-1</v>
      </c>
      <c r="BW5" s="36">
        <v>3838.625</v>
      </c>
      <c r="BX5" s="31">
        <f t="shared" ref="BX5:BX54" si="58">BW5-BY5</f>
        <v>3366.8579875</v>
      </c>
      <c r="BY5" s="31">
        <f t="shared" ref="BY5:BY54" si="59">+BW5*12.29%</f>
        <v>471.76701249999996</v>
      </c>
      <c r="BZ5" s="31">
        <f t="shared" ref="BZ5:BZ54" si="60">+CB5-CA5</f>
        <v>0</v>
      </c>
      <c r="CA5" s="31">
        <f t="shared" ref="CA5:CA54" si="61">+CB5*12.29%</f>
        <v>0</v>
      </c>
      <c r="CB5" s="27">
        <f t="shared" si="15"/>
        <v>0</v>
      </c>
      <c r="CC5" s="37">
        <f t="shared" si="16"/>
        <v>-1</v>
      </c>
      <c r="CD5" s="36">
        <v>3838.625</v>
      </c>
      <c r="CE5" s="31">
        <f t="shared" ref="CE5:CE54" si="62">CD5-CF5</f>
        <v>3366.8579875</v>
      </c>
      <c r="CF5" s="31">
        <f t="shared" ref="CF5:CF54" si="63">+CD5*12.29%</f>
        <v>471.76701249999996</v>
      </c>
      <c r="CG5" s="31">
        <f t="shared" ref="CG5:CG54" si="64">+CI5-CH5</f>
        <v>0</v>
      </c>
      <c r="CH5" s="31">
        <f t="shared" ref="CH5:CH54" si="65">+CI5*12.29%</f>
        <v>0</v>
      </c>
      <c r="CI5" s="27">
        <f t="shared" si="17"/>
        <v>0</v>
      </c>
      <c r="CJ5" s="37">
        <f t="shared" si="18"/>
        <v>-1</v>
      </c>
      <c r="CK5" s="36">
        <v>3838.625</v>
      </c>
      <c r="CL5" s="31">
        <f t="shared" ref="CL5:CL54" si="66">CK5-CM5</f>
        <v>3366.8579875</v>
      </c>
      <c r="CM5" s="31">
        <f t="shared" ref="CM5:CM54" si="67">+CK5*12.29%</f>
        <v>471.76701249999996</v>
      </c>
      <c r="CN5" s="31">
        <f t="shared" ref="CN5:CN54" si="68">+CP5-CO5</f>
        <v>0</v>
      </c>
      <c r="CO5" s="31">
        <f t="shared" ref="CO5:CO54" si="69">+CP5*12.29%</f>
        <v>0</v>
      </c>
      <c r="CP5" s="27">
        <f t="shared" si="19"/>
        <v>0</v>
      </c>
      <c r="CQ5" s="37">
        <f t="shared" si="20"/>
        <v>-1</v>
      </c>
      <c r="CS5" s="27">
        <f>6489.86+2823.24+1145.88+790.68</f>
        <v>11249.66</v>
      </c>
      <c r="CT5" s="27">
        <f>6827.85+2562.51+1091.78+999.99</f>
        <v>11482.130000000001</v>
      </c>
      <c r="CU5" s="27">
        <f>4652.29+1753.02+964.46+375.83</f>
        <v>7745.5999999999995</v>
      </c>
      <c r="CV5" s="27">
        <f>6702.11+1419.04+2320.47+382.14</f>
        <v>10823.759999999998</v>
      </c>
      <c r="CW5" s="27"/>
      <c r="CX5" s="27"/>
      <c r="CY5" s="27"/>
      <c r="CZ5" s="27"/>
      <c r="DA5" s="27"/>
      <c r="DB5" s="27"/>
      <c r="DC5" s="27"/>
      <c r="DD5" s="27"/>
      <c r="DF5" s="28"/>
    </row>
    <row r="6" spans="1:110" s="26" customFormat="1" ht="14.25" customHeight="1" x14ac:dyDescent="0.2">
      <c r="A6" s="29" t="s">
        <v>30</v>
      </c>
      <c r="B6" s="30">
        <f t="shared" si="0"/>
        <v>89993.941703722128</v>
      </c>
      <c r="C6" s="31">
        <f t="shared" si="0"/>
        <v>78933.686268334684</v>
      </c>
      <c r="D6" s="32">
        <f t="shared" si="0"/>
        <v>11060.255435387449</v>
      </c>
      <c r="E6" s="30">
        <f t="shared" si="21"/>
        <v>29084.886546361977</v>
      </c>
      <c r="F6" s="33">
        <f t="shared" si="21"/>
        <v>25510.353989814088</v>
      </c>
      <c r="G6" s="34">
        <f t="shared" si="21"/>
        <v>3574.532556547887</v>
      </c>
      <c r="H6" s="31">
        <f t="shared" si="1"/>
        <v>36589.819703486384</v>
      </c>
      <c r="I6" s="33">
        <f t="shared" si="1"/>
        <v>5126.9967410312129</v>
      </c>
      <c r="J6" s="33">
        <f t="shared" si="1"/>
        <v>41716.816444517593</v>
      </c>
      <c r="K6" s="35">
        <f t="shared" si="2"/>
        <v>0.43431250378164732</v>
      </c>
      <c r="L6" s="36">
        <v>7271.2216365904942</v>
      </c>
      <c r="M6" s="31">
        <f t="shared" si="22"/>
        <v>6377.588497453522</v>
      </c>
      <c r="N6" s="31">
        <f t="shared" si="23"/>
        <v>893.63313913697175</v>
      </c>
      <c r="O6" s="31">
        <f t="shared" si="24"/>
        <v>5729.8009991933131</v>
      </c>
      <c r="P6" s="31">
        <f t="shared" si="25"/>
        <v>802.86460244083707</v>
      </c>
      <c r="Q6" s="33">
        <v>6532.6656016341503</v>
      </c>
      <c r="R6" s="35">
        <f t="shared" si="3"/>
        <v>-0.10157248284659026</v>
      </c>
      <c r="S6" s="36">
        <v>7271.2216365904942</v>
      </c>
      <c r="T6" s="31">
        <f t="shared" si="26"/>
        <v>6377.588497453522</v>
      </c>
      <c r="U6" s="31">
        <f t="shared" si="27"/>
        <v>893.63313913697175</v>
      </c>
      <c r="V6" s="31">
        <f t="shared" si="28"/>
        <v>5656.5803934962287</v>
      </c>
      <c r="W6" s="31">
        <f t="shared" si="29"/>
        <v>792.60486872726767</v>
      </c>
      <c r="X6" s="33">
        <v>6449.1852622234965</v>
      </c>
      <c r="Y6" s="35">
        <f t="shared" si="4"/>
        <v>-0.11305340635338601</v>
      </c>
      <c r="Z6" s="36">
        <v>7271.2216365904942</v>
      </c>
      <c r="AA6" s="31">
        <f t="shared" si="30"/>
        <v>6377.588497453522</v>
      </c>
      <c r="AB6" s="31">
        <f t="shared" si="31"/>
        <v>893.63313913697175</v>
      </c>
      <c r="AC6" s="31">
        <f t="shared" si="32"/>
        <v>6097.2239072117463</v>
      </c>
      <c r="AD6" s="31">
        <f t="shared" si="33"/>
        <v>854.34821365445623</v>
      </c>
      <c r="AE6" s="27">
        <v>6951.5721208662026</v>
      </c>
      <c r="AF6" s="35">
        <f t="shared" si="5"/>
        <v>-4.3960909417991134E-2</v>
      </c>
      <c r="AG6" s="36">
        <v>7271.2216365904942</v>
      </c>
      <c r="AH6" s="31">
        <f t="shared" si="34"/>
        <v>6377.588497453522</v>
      </c>
      <c r="AI6" s="31">
        <f t="shared" si="35"/>
        <v>893.63313913697175</v>
      </c>
      <c r="AJ6" s="31">
        <f t="shared" si="36"/>
        <v>5922.130150619947</v>
      </c>
      <c r="AK6" s="31">
        <f t="shared" si="37"/>
        <v>829.81392715903712</v>
      </c>
      <c r="AL6" s="27">
        <v>6751.9440777789841</v>
      </c>
      <c r="AM6" s="35">
        <f t="shared" si="6"/>
        <v>-7.1415449117708585E-2</v>
      </c>
      <c r="AN6" s="36">
        <v>7271.2216365904942</v>
      </c>
      <c r="AO6" s="31">
        <f t="shared" si="38"/>
        <v>6377.588497453522</v>
      </c>
      <c r="AP6" s="31">
        <f t="shared" si="39"/>
        <v>893.63313913697175</v>
      </c>
      <c r="AQ6" s="31">
        <f t="shared" si="40"/>
        <v>6876.6223915669252</v>
      </c>
      <c r="AR6" s="31">
        <f t="shared" si="41"/>
        <v>963.55819396143556</v>
      </c>
      <c r="AS6" s="27">
        <v>7840.180585528361</v>
      </c>
      <c r="AT6" s="35">
        <f t="shared" si="7"/>
        <v>7.8248054780056808E-2</v>
      </c>
      <c r="AU6" s="36">
        <v>7271.2216365904942</v>
      </c>
      <c r="AV6" s="31">
        <f t="shared" si="42"/>
        <v>6377.588497453522</v>
      </c>
      <c r="AW6" s="31">
        <f t="shared" si="43"/>
        <v>893.63313913697175</v>
      </c>
      <c r="AX6" s="31">
        <f t="shared" si="44"/>
        <v>6307.4618613982202</v>
      </c>
      <c r="AY6" s="31">
        <f t="shared" si="45"/>
        <v>883.80693508817842</v>
      </c>
      <c r="AZ6" s="27">
        <v>7191.268796486399</v>
      </c>
      <c r="BA6" s="35">
        <f t="shared" si="8"/>
        <v>-1.0995791917791875E-2</v>
      </c>
      <c r="BB6" s="36">
        <v>7271.2216365904942</v>
      </c>
      <c r="BC6" s="31">
        <f t="shared" si="46"/>
        <v>6377.588497453522</v>
      </c>
      <c r="BD6" s="31">
        <f t="shared" si="47"/>
        <v>893.63313913697175</v>
      </c>
      <c r="BE6" s="31">
        <f t="shared" si="48"/>
        <v>0</v>
      </c>
      <c r="BF6" s="31">
        <f t="shared" si="49"/>
        <v>0</v>
      </c>
      <c r="BG6" s="27">
        <f t="shared" si="9"/>
        <v>0</v>
      </c>
      <c r="BH6" s="35">
        <f t="shared" si="10"/>
        <v>-1</v>
      </c>
      <c r="BI6" s="36">
        <v>7819.0780495177332</v>
      </c>
      <c r="BJ6" s="31">
        <f t="shared" si="50"/>
        <v>6858.1133572320041</v>
      </c>
      <c r="BK6" s="31">
        <f t="shared" si="51"/>
        <v>960.96469228572937</v>
      </c>
      <c r="BL6" s="31">
        <f t="shared" si="52"/>
        <v>0</v>
      </c>
      <c r="BM6" s="31">
        <f t="shared" si="53"/>
        <v>0</v>
      </c>
      <c r="BN6" s="27">
        <f t="shared" si="11"/>
        <v>0</v>
      </c>
      <c r="BO6" s="37">
        <f t="shared" si="12"/>
        <v>-1</v>
      </c>
      <c r="BP6" s="36">
        <v>7819.0780495177332</v>
      </c>
      <c r="BQ6" s="31">
        <f t="shared" si="54"/>
        <v>6858.1133572320041</v>
      </c>
      <c r="BR6" s="31">
        <f t="shared" si="55"/>
        <v>960.96469228572937</v>
      </c>
      <c r="BS6" s="31">
        <f t="shared" si="56"/>
        <v>0</v>
      </c>
      <c r="BT6" s="31">
        <f t="shared" si="57"/>
        <v>0</v>
      </c>
      <c r="BU6" s="27">
        <f t="shared" si="13"/>
        <v>0</v>
      </c>
      <c r="BV6" s="37">
        <f t="shared" si="14"/>
        <v>-1</v>
      </c>
      <c r="BW6" s="36">
        <v>7819.0780495177332</v>
      </c>
      <c r="BX6" s="31">
        <f t="shared" si="58"/>
        <v>6858.1133572320041</v>
      </c>
      <c r="BY6" s="31">
        <f t="shared" si="59"/>
        <v>960.96469228572937</v>
      </c>
      <c r="BZ6" s="31">
        <f t="shared" si="60"/>
        <v>0</v>
      </c>
      <c r="CA6" s="31">
        <f t="shared" si="61"/>
        <v>0</v>
      </c>
      <c r="CB6" s="27">
        <f t="shared" si="15"/>
        <v>0</v>
      </c>
      <c r="CC6" s="37">
        <f t="shared" si="16"/>
        <v>-1</v>
      </c>
      <c r="CD6" s="36">
        <v>7819.0780495177332</v>
      </c>
      <c r="CE6" s="31">
        <f t="shared" si="62"/>
        <v>6858.1133572320041</v>
      </c>
      <c r="CF6" s="31">
        <f t="shared" si="63"/>
        <v>960.96469228572937</v>
      </c>
      <c r="CG6" s="31">
        <f t="shared" si="64"/>
        <v>0</v>
      </c>
      <c r="CH6" s="31">
        <f t="shared" si="65"/>
        <v>0</v>
      </c>
      <c r="CI6" s="27">
        <f t="shared" si="17"/>
        <v>0</v>
      </c>
      <c r="CJ6" s="37">
        <f t="shared" si="18"/>
        <v>-1</v>
      </c>
      <c r="CK6" s="36">
        <v>7819.0780495177332</v>
      </c>
      <c r="CL6" s="31">
        <f t="shared" si="66"/>
        <v>6858.1133572320041</v>
      </c>
      <c r="CM6" s="31">
        <f t="shared" si="67"/>
        <v>960.96469228572937</v>
      </c>
      <c r="CN6" s="31">
        <f t="shared" si="68"/>
        <v>0</v>
      </c>
      <c r="CO6" s="31">
        <f t="shared" si="69"/>
        <v>0</v>
      </c>
      <c r="CP6" s="27">
        <f t="shared" si="19"/>
        <v>0</v>
      </c>
      <c r="CQ6" s="37">
        <f t="shared" si="20"/>
        <v>-1</v>
      </c>
      <c r="CS6" s="27">
        <v>14890.16</v>
      </c>
      <c r="CT6" s="27">
        <v>14699.88</v>
      </c>
      <c r="CU6" s="27">
        <v>15844.99</v>
      </c>
      <c r="CV6" s="27">
        <v>15389.97</v>
      </c>
      <c r="CW6" s="27"/>
      <c r="CX6" s="27"/>
      <c r="CY6" s="27"/>
      <c r="CZ6" s="27"/>
      <c r="DA6" s="27"/>
      <c r="DB6" s="27"/>
      <c r="DC6" s="27"/>
      <c r="DD6" s="27"/>
      <c r="DF6" s="28"/>
    </row>
    <row r="7" spans="1:110" s="26" customFormat="1" ht="14.25" customHeight="1" x14ac:dyDescent="0.2">
      <c r="A7" s="29" t="s">
        <v>31</v>
      </c>
      <c r="B7" s="30">
        <f t="shared" si="0"/>
        <v>69822.885804611986</v>
      </c>
      <c r="C7" s="31">
        <f t="shared" si="0"/>
        <v>61241.653139225164</v>
      </c>
      <c r="D7" s="32">
        <f t="shared" si="0"/>
        <v>8581.2326653868149</v>
      </c>
      <c r="E7" s="30">
        <f t="shared" si="21"/>
        <v>22565.860251487738</v>
      </c>
      <c r="F7" s="33">
        <f t="shared" si="21"/>
        <v>19792.516026579895</v>
      </c>
      <c r="G7" s="34">
        <f t="shared" si="21"/>
        <v>2773.344224907843</v>
      </c>
      <c r="H7" s="31">
        <f t="shared" si="1"/>
        <v>24376.00852518504</v>
      </c>
      <c r="I7" s="33">
        <f t="shared" si="1"/>
        <v>3415.5871026624573</v>
      </c>
      <c r="J7" s="33">
        <f t="shared" si="1"/>
        <v>27791.595627847495</v>
      </c>
      <c r="K7" s="35">
        <f t="shared" si="2"/>
        <v>0.23157705126775441</v>
      </c>
      <c r="L7" s="36">
        <v>5641.4650628719346</v>
      </c>
      <c r="M7" s="31">
        <f t="shared" si="22"/>
        <v>4948.1290066449737</v>
      </c>
      <c r="N7" s="31">
        <f t="shared" si="23"/>
        <v>693.33605622696075</v>
      </c>
      <c r="O7" s="31">
        <f t="shared" si="24"/>
        <v>3925.7950407396656</v>
      </c>
      <c r="P7" s="31">
        <f t="shared" si="25"/>
        <v>550.08574906727267</v>
      </c>
      <c r="Q7" s="33">
        <v>4475.8807898069381</v>
      </c>
      <c r="R7" s="35">
        <f t="shared" si="3"/>
        <v>-0.20661020853182865</v>
      </c>
      <c r="S7" s="36">
        <v>5641.4650628719346</v>
      </c>
      <c r="T7" s="31">
        <f t="shared" si="26"/>
        <v>4948.1290066449737</v>
      </c>
      <c r="U7" s="31">
        <f t="shared" si="27"/>
        <v>693.33605622696075</v>
      </c>
      <c r="V7" s="31">
        <f t="shared" si="28"/>
        <v>3878.9373932951949</v>
      </c>
      <c r="W7" s="31">
        <f t="shared" si="29"/>
        <v>543.52001554666447</v>
      </c>
      <c r="X7" s="33">
        <v>4422.4574088418594</v>
      </c>
      <c r="Y7" s="35">
        <f t="shared" si="4"/>
        <v>-0.21607997930408307</v>
      </c>
      <c r="Z7" s="36">
        <v>5641.4650628719346</v>
      </c>
      <c r="AA7" s="31">
        <f t="shared" si="30"/>
        <v>4948.1290066449737</v>
      </c>
      <c r="AB7" s="31">
        <f t="shared" si="31"/>
        <v>693.33605622696075</v>
      </c>
      <c r="AC7" s="31">
        <f t="shared" si="32"/>
        <v>4098.3413913523045</v>
      </c>
      <c r="AD7" s="31">
        <f t="shared" si="33"/>
        <v>574.26309086443757</v>
      </c>
      <c r="AE7" s="27">
        <v>4672.6044822167423</v>
      </c>
      <c r="AF7" s="35">
        <f t="shared" si="5"/>
        <v>-0.17173917942548922</v>
      </c>
      <c r="AG7" s="36">
        <v>5641.4650628719346</v>
      </c>
      <c r="AH7" s="31">
        <f t="shared" si="34"/>
        <v>4948.1290066449737</v>
      </c>
      <c r="AI7" s="31">
        <f t="shared" si="35"/>
        <v>693.33605622696075</v>
      </c>
      <c r="AJ7" s="31">
        <f t="shared" si="36"/>
        <v>4044.8381696993579</v>
      </c>
      <c r="AK7" s="31">
        <f t="shared" si="37"/>
        <v>566.76617381832295</v>
      </c>
      <c r="AL7" s="27">
        <v>4611.6043435176807</v>
      </c>
      <c r="AM7" s="35">
        <f t="shared" si="6"/>
        <v>-0.18255199808504641</v>
      </c>
      <c r="AN7" s="36">
        <v>5641.4650628719346</v>
      </c>
      <c r="AO7" s="31">
        <f t="shared" si="38"/>
        <v>4948.1290066449737</v>
      </c>
      <c r="AP7" s="31">
        <f t="shared" si="39"/>
        <v>693.33605622696075</v>
      </c>
      <c r="AQ7" s="31">
        <f t="shared" si="40"/>
        <v>4263.7611620957496</v>
      </c>
      <c r="AR7" s="31">
        <f t="shared" si="41"/>
        <v>597.44185021270971</v>
      </c>
      <c r="AS7" s="27">
        <v>4861.2030123084596</v>
      </c>
      <c r="AT7" s="35">
        <f t="shared" si="7"/>
        <v>-0.13830840781033971</v>
      </c>
      <c r="AU7" s="36">
        <v>5641.4650628719346</v>
      </c>
      <c r="AV7" s="31">
        <f t="shared" si="42"/>
        <v>4948.1290066449737</v>
      </c>
      <c r="AW7" s="31">
        <f t="shared" si="43"/>
        <v>693.33605622696075</v>
      </c>
      <c r="AX7" s="31">
        <f t="shared" si="44"/>
        <v>4164.3353680027667</v>
      </c>
      <c r="AY7" s="31">
        <f t="shared" si="45"/>
        <v>583.51022315304988</v>
      </c>
      <c r="AZ7" s="27">
        <v>4747.8455911558167</v>
      </c>
      <c r="BA7" s="35">
        <f t="shared" si="8"/>
        <v>-0.15840202177219509</v>
      </c>
      <c r="BB7" s="36">
        <v>5641.4650628719346</v>
      </c>
      <c r="BC7" s="31">
        <f t="shared" si="46"/>
        <v>4948.1290066449737</v>
      </c>
      <c r="BD7" s="31">
        <f t="shared" si="47"/>
        <v>693.33605622696075</v>
      </c>
      <c r="BE7" s="31">
        <f t="shared" si="48"/>
        <v>0</v>
      </c>
      <c r="BF7" s="31">
        <f t="shared" si="49"/>
        <v>0</v>
      </c>
      <c r="BG7" s="27">
        <f t="shared" si="9"/>
        <v>0</v>
      </c>
      <c r="BH7" s="35">
        <f t="shared" si="10"/>
        <v>-1</v>
      </c>
      <c r="BI7" s="36">
        <v>6066.5260729016891</v>
      </c>
      <c r="BJ7" s="31">
        <f t="shared" si="50"/>
        <v>5320.9500185420711</v>
      </c>
      <c r="BK7" s="31">
        <f t="shared" si="51"/>
        <v>745.57605435961761</v>
      </c>
      <c r="BL7" s="31">
        <f t="shared" si="52"/>
        <v>0</v>
      </c>
      <c r="BM7" s="31">
        <f t="shared" si="53"/>
        <v>0</v>
      </c>
      <c r="BN7" s="27">
        <f t="shared" si="11"/>
        <v>0</v>
      </c>
      <c r="BO7" s="37">
        <f t="shared" si="12"/>
        <v>-1</v>
      </c>
      <c r="BP7" s="36">
        <v>6066.5260729016891</v>
      </c>
      <c r="BQ7" s="31">
        <f t="shared" si="54"/>
        <v>5320.9500185420711</v>
      </c>
      <c r="BR7" s="31">
        <f t="shared" si="55"/>
        <v>745.57605435961761</v>
      </c>
      <c r="BS7" s="31">
        <f t="shared" si="56"/>
        <v>0</v>
      </c>
      <c r="BT7" s="31">
        <f t="shared" si="57"/>
        <v>0</v>
      </c>
      <c r="BU7" s="27">
        <f t="shared" si="13"/>
        <v>0</v>
      </c>
      <c r="BV7" s="37">
        <f t="shared" si="14"/>
        <v>-1</v>
      </c>
      <c r="BW7" s="36">
        <v>6066.5260729016891</v>
      </c>
      <c r="BX7" s="31">
        <f t="shared" si="58"/>
        <v>5320.9500185420711</v>
      </c>
      <c r="BY7" s="31">
        <f t="shared" si="59"/>
        <v>745.57605435961761</v>
      </c>
      <c r="BZ7" s="31">
        <f t="shared" si="60"/>
        <v>0</v>
      </c>
      <c r="CA7" s="31">
        <f t="shared" si="61"/>
        <v>0</v>
      </c>
      <c r="CB7" s="27">
        <f t="shared" si="15"/>
        <v>0</v>
      </c>
      <c r="CC7" s="37">
        <f t="shared" si="16"/>
        <v>-1</v>
      </c>
      <c r="CD7" s="36">
        <v>6066.5260729016891</v>
      </c>
      <c r="CE7" s="31">
        <f t="shared" si="62"/>
        <v>5320.9500185420711</v>
      </c>
      <c r="CF7" s="31">
        <f t="shared" si="63"/>
        <v>745.57605435961761</v>
      </c>
      <c r="CG7" s="31">
        <f t="shared" si="64"/>
        <v>0</v>
      </c>
      <c r="CH7" s="31">
        <f t="shared" si="65"/>
        <v>0</v>
      </c>
      <c r="CI7" s="27">
        <f t="shared" si="17"/>
        <v>0</v>
      </c>
      <c r="CJ7" s="37">
        <f t="shared" si="18"/>
        <v>-1</v>
      </c>
      <c r="CK7" s="36">
        <v>6066.5260729016891</v>
      </c>
      <c r="CL7" s="31">
        <f t="shared" si="66"/>
        <v>5320.9500185420711</v>
      </c>
      <c r="CM7" s="31">
        <f t="shared" si="67"/>
        <v>745.57605435961761</v>
      </c>
      <c r="CN7" s="31">
        <f t="shared" si="68"/>
        <v>0</v>
      </c>
      <c r="CO7" s="31">
        <f t="shared" si="69"/>
        <v>0</v>
      </c>
      <c r="CP7" s="27">
        <f t="shared" si="19"/>
        <v>0</v>
      </c>
      <c r="CQ7" s="37">
        <f t="shared" si="20"/>
        <v>-1</v>
      </c>
      <c r="CS7" s="27">
        <f>10202.05</f>
        <v>10202.049999999999</v>
      </c>
      <c r="CT7" s="27">
        <v>10080.280000000001</v>
      </c>
      <c r="CU7" s="27">
        <v>10650.45</v>
      </c>
      <c r="CV7" s="27">
        <f>10511.41</f>
        <v>10511.41</v>
      </c>
      <c r="CW7" s="27"/>
      <c r="CX7" s="27"/>
      <c r="CY7" s="27"/>
      <c r="CZ7" s="27"/>
      <c r="DA7" s="27"/>
      <c r="DB7" s="27"/>
      <c r="DC7" s="27"/>
      <c r="DD7" s="27"/>
      <c r="DF7" s="28"/>
    </row>
    <row r="8" spans="1:110" s="26" customFormat="1" ht="14.25" customHeight="1" x14ac:dyDescent="0.2">
      <c r="A8" s="38" t="s">
        <v>32</v>
      </c>
      <c r="B8" s="30">
        <f t="shared" si="0"/>
        <v>62834.771354377612</v>
      </c>
      <c r="C8" s="31">
        <f t="shared" si="0"/>
        <v>55112.377954924603</v>
      </c>
      <c r="D8" s="32">
        <f t="shared" si="0"/>
        <v>7722.393399453008</v>
      </c>
      <c r="E8" s="30">
        <f t="shared" si="21"/>
        <v>0</v>
      </c>
      <c r="F8" s="33">
        <f t="shared" si="21"/>
        <v>0</v>
      </c>
      <c r="G8" s="34">
        <f t="shared" si="21"/>
        <v>0</v>
      </c>
      <c r="H8" s="31">
        <f t="shared" si="1"/>
        <v>1633.7376506501682</v>
      </c>
      <c r="I8" s="33">
        <f t="shared" si="1"/>
        <v>228.92071287755746</v>
      </c>
      <c r="J8" s="33">
        <f t="shared" si="1"/>
        <v>1862.6583635277257</v>
      </c>
      <c r="K8" s="35" t="str">
        <f t="shared" si="2"/>
        <v/>
      </c>
      <c r="L8" s="36">
        <v>0</v>
      </c>
      <c r="M8" s="31">
        <f t="shared" si="22"/>
        <v>0</v>
      </c>
      <c r="N8" s="31">
        <f t="shared" si="23"/>
        <v>0</v>
      </c>
      <c r="O8" s="31">
        <f t="shared" si="24"/>
        <v>0</v>
      </c>
      <c r="P8" s="31">
        <f t="shared" si="25"/>
        <v>0</v>
      </c>
      <c r="Q8" s="33">
        <v>0</v>
      </c>
      <c r="R8" s="35" t="str">
        <f t="shared" si="3"/>
        <v/>
      </c>
      <c r="S8" s="36">
        <v>0</v>
      </c>
      <c r="T8" s="31">
        <f t="shared" si="26"/>
        <v>0</v>
      </c>
      <c r="U8" s="31">
        <f t="shared" si="27"/>
        <v>0</v>
      </c>
      <c r="V8" s="31">
        <f t="shared" si="28"/>
        <v>0</v>
      </c>
      <c r="W8" s="31">
        <f t="shared" si="29"/>
        <v>0</v>
      </c>
      <c r="X8" s="33">
        <v>0</v>
      </c>
      <c r="Y8" s="35" t="str">
        <f t="shared" si="4"/>
        <v/>
      </c>
      <c r="Z8" s="36">
        <v>0</v>
      </c>
      <c r="AA8" s="31">
        <f t="shared" si="30"/>
        <v>0</v>
      </c>
      <c r="AB8" s="31">
        <f t="shared" si="31"/>
        <v>0</v>
      </c>
      <c r="AC8" s="31">
        <f t="shared" si="32"/>
        <v>0</v>
      </c>
      <c r="AD8" s="31">
        <f t="shared" si="33"/>
        <v>0</v>
      </c>
      <c r="AE8" s="27">
        <v>0</v>
      </c>
      <c r="AF8" s="35" t="str">
        <f t="shared" si="5"/>
        <v/>
      </c>
      <c r="AG8" s="36">
        <v>0</v>
      </c>
      <c r="AH8" s="31">
        <f t="shared" si="34"/>
        <v>0</v>
      </c>
      <c r="AI8" s="31">
        <f t="shared" si="35"/>
        <v>0</v>
      </c>
      <c r="AJ8" s="31">
        <f t="shared" si="36"/>
        <v>0</v>
      </c>
      <c r="AK8" s="31">
        <f t="shared" si="37"/>
        <v>0</v>
      </c>
      <c r="AL8" s="27">
        <v>0</v>
      </c>
      <c r="AM8" s="35" t="str">
        <f t="shared" si="6"/>
        <v/>
      </c>
      <c r="AN8" s="36">
        <v>0</v>
      </c>
      <c r="AO8" s="31">
        <f t="shared" si="38"/>
        <v>0</v>
      </c>
      <c r="AP8" s="31">
        <f t="shared" si="39"/>
        <v>0</v>
      </c>
      <c r="AQ8" s="31">
        <f t="shared" si="40"/>
        <v>1633.7376506501682</v>
      </c>
      <c r="AR8" s="31">
        <f t="shared" si="41"/>
        <v>228.92071287755746</v>
      </c>
      <c r="AS8" s="27">
        <v>1862.6583635277257</v>
      </c>
      <c r="AT8" s="35" t="str">
        <f t="shared" si="7"/>
        <v/>
      </c>
      <c r="AU8" s="36">
        <v>0</v>
      </c>
      <c r="AV8" s="31">
        <f t="shared" si="42"/>
        <v>0</v>
      </c>
      <c r="AW8" s="31">
        <f t="shared" si="43"/>
        <v>0</v>
      </c>
      <c r="AX8" s="31">
        <f t="shared" si="44"/>
        <v>0</v>
      </c>
      <c r="AY8" s="31">
        <f t="shared" si="45"/>
        <v>0</v>
      </c>
      <c r="AZ8" s="27">
        <v>0</v>
      </c>
      <c r="BA8" s="35" t="str">
        <f t="shared" si="8"/>
        <v/>
      </c>
      <c r="BB8" s="36">
        <v>62834.771354377612</v>
      </c>
      <c r="BC8" s="31">
        <f t="shared" si="46"/>
        <v>55112.377954924603</v>
      </c>
      <c r="BD8" s="31">
        <f t="shared" si="47"/>
        <v>7722.393399453008</v>
      </c>
      <c r="BE8" s="31">
        <f t="shared" si="48"/>
        <v>0</v>
      </c>
      <c r="BF8" s="31">
        <f t="shared" si="49"/>
        <v>0</v>
      </c>
      <c r="BG8" s="27">
        <f t="shared" si="9"/>
        <v>0</v>
      </c>
      <c r="BH8" s="35">
        <f t="shared" si="10"/>
        <v>-1</v>
      </c>
      <c r="BI8" s="36">
        <v>0</v>
      </c>
      <c r="BJ8" s="31">
        <f t="shared" si="50"/>
        <v>0</v>
      </c>
      <c r="BK8" s="31">
        <f t="shared" si="51"/>
        <v>0</v>
      </c>
      <c r="BL8" s="31">
        <f t="shared" si="52"/>
        <v>0</v>
      </c>
      <c r="BM8" s="31">
        <f t="shared" si="53"/>
        <v>0</v>
      </c>
      <c r="BN8" s="27">
        <f t="shared" si="11"/>
        <v>0</v>
      </c>
      <c r="BO8" s="37" t="str">
        <f t="shared" si="12"/>
        <v/>
      </c>
      <c r="BP8" s="36">
        <v>0</v>
      </c>
      <c r="BQ8" s="31">
        <f t="shared" si="54"/>
        <v>0</v>
      </c>
      <c r="BR8" s="31">
        <f t="shared" si="55"/>
        <v>0</v>
      </c>
      <c r="BS8" s="31">
        <f t="shared" si="56"/>
        <v>0</v>
      </c>
      <c r="BT8" s="31">
        <f t="shared" si="57"/>
        <v>0</v>
      </c>
      <c r="BU8" s="27">
        <f t="shared" si="13"/>
        <v>0</v>
      </c>
      <c r="BV8" s="37" t="str">
        <f t="shared" si="14"/>
        <v/>
      </c>
      <c r="BW8" s="36">
        <v>0</v>
      </c>
      <c r="BX8" s="31">
        <f t="shared" si="58"/>
        <v>0</v>
      </c>
      <c r="BY8" s="31">
        <f t="shared" si="59"/>
        <v>0</v>
      </c>
      <c r="BZ8" s="31">
        <f t="shared" si="60"/>
        <v>0</v>
      </c>
      <c r="CA8" s="31">
        <f t="shared" si="61"/>
        <v>0</v>
      </c>
      <c r="CB8" s="27">
        <f t="shared" si="15"/>
        <v>0</v>
      </c>
      <c r="CC8" s="37" t="str">
        <f t="shared" si="16"/>
        <v/>
      </c>
      <c r="CD8" s="36">
        <v>0</v>
      </c>
      <c r="CE8" s="31">
        <f t="shared" si="62"/>
        <v>0</v>
      </c>
      <c r="CF8" s="31">
        <f t="shared" si="63"/>
        <v>0</v>
      </c>
      <c r="CG8" s="31">
        <f t="shared" si="64"/>
        <v>0</v>
      </c>
      <c r="CH8" s="31">
        <f t="shared" si="65"/>
        <v>0</v>
      </c>
      <c r="CI8" s="27">
        <f t="shared" si="17"/>
        <v>0</v>
      </c>
      <c r="CJ8" s="37" t="str">
        <f t="shared" si="18"/>
        <v/>
      </c>
      <c r="CK8" s="36">
        <v>0</v>
      </c>
      <c r="CL8" s="31">
        <f t="shared" si="66"/>
        <v>0</v>
      </c>
      <c r="CM8" s="31">
        <f t="shared" si="67"/>
        <v>0</v>
      </c>
      <c r="CN8" s="31">
        <f t="shared" si="68"/>
        <v>0</v>
      </c>
      <c r="CO8" s="31">
        <f t="shared" si="69"/>
        <v>0</v>
      </c>
      <c r="CP8" s="27">
        <f t="shared" si="19"/>
        <v>0</v>
      </c>
      <c r="CQ8" s="37" t="str">
        <f t="shared" si="20"/>
        <v/>
      </c>
      <c r="CS8" s="27"/>
      <c r="CT8" s="27"/>
      <c r="CU8" s="27"/>
      <c r="CV8" s="27"/>
      <c r="CW8" s="27"/>
      <c r="CX8" s="27"/>
      <c r="CY8" s="27"/>
      <c r="CZ8" s="27"/>
      <c r="DA8" s="27"/>
      <c r="DB8" s="27"/>
      <c r="DC8" s="27"/>
      <c r="DD8" s="27"/>
      <c r="DF8" s="28"/>
    </row>
    <row r="9" spans="1:110" s="26" customFormat="1" ht="14.25" customHeight="1" x14ac:dyDescent="0.2">
      <c r="A9" s="38" t="s">
        <v>33</v>
      </c>
      <c r="B9" s="30">
        <f t="shared" si="0"/>
        <v>54715.009928760293</v>
      </c>
      <c r="C9" s="31">
        <f t="shared" si="0"/>
        <v>47990.535208515634</v>
      </c>
      <c r="D9" s="32">
        <f t="shared" si="0"/>
        <v>6724.474720244637</v>
      </c>
      <c r="E9" s="30">
        <f t="shared" si="21"/>
        <v>17683.188735083961</v>
      </c>
      <c r="F9" s="33">
        <f t="shared" si="21"/>
        <v>15509.924839542142</v>
      </c>
      <c r="G9" s="34">
        <f t="shared" si="21"/>
        <v>2173.2638955418188</v>
      </c>
      <c r="H9" s="31">
        <f t="shared" si="1"/>
        <v>24728.589522536367</v>
      </c>
      <c r="I9" s="33">
        <f t="shared" si="1"/>
        <v>3464.9910526960653</v>
      </c>
      <c r="J9" s="33">
        <f t="shared" si="1"/>
        <v>28193.580575232438</v>
      </c>
      <c r="K9" s="35">
        <f t="shared" si="2"/>
        <v>0.59437197654829954</v>
      </c>
      <c r="L9" s="36">
        <v>4420.7971837709902</v>
      </c>
      <c r="M9" s="31">
        <f t="shared" si="22"/>
        <v>3877.4812098855355</v>
      </c>
      <c r="N9" s="31">
        <f t="shared" si="23"/>
        <v>543.3159738854547</v>
      </c>
      <c r="O9" s="31">
        <f t="shared" si="24"/>
        <v>8082.6767450239522</v>
      </c>
      <c r="P9" s="31">
        <f t="shared" si="25"/>
        <v>1132.5515585035271</v>
      </c>
      <c r="Q9" s="33">
        <v>9215.2283035274795</v>
      </c>
      <c r="R9" s="35">
        <f t="shared" si="3"/>
        <v>1.0845173213005861</v>
      </c>
      <c r="S9" s="36">
        <v>4420.7971837709902</v>
      </c>
      <c r="T9" s="31">
        <f t="shared" si="26"/>
        <v>3877.4812098855355</v>
      </c>
      <c r="U9" s="31">
        <f t="shared" si="27"/>
        <v>543.3159738854547</v>
      </c>
      <c r="V9" s="31">
        <f t="shared" si="28"/>
        <v>4184.7030717001944</v>
      </c>
      <c r="W9" s="31">
        <f t="shared" si="29"/>
        <v>586.36416316492296</v>
      </c>
      <c r="X9" s="33">
        <v>4771.0672348651178</v>
      </c>
      <c r="Y9" s="35">
        <f t="shared" si="4"/>
        <v>7.9232327685149206E-2</v>
      </c>
      <c r="Z9" s="36">
        <v>4420.7971837709902</v>
      </c>
      <c r="AA9" s="31">
        <f t="shared" si="30"/>
        <v>3877.4812098855355</v>
      </c>
      <c r="AB9" s="31">
        <f t="shared" si="31"/>
        <v>543.3159738854547</v>
      </c>
      <c r="AC9" s="31">
        <f t="shared" si="32"/>
        <v>7264.4591798262154</v>
      </c>
      <c r="AD9" s="31">
        <f t="shared" si="33"/>
        <v>1017.9022154835729</v>
      </c>
      <c r="AE9" s="27">
        <v>8282.3613953097883</v>
      </c>
      <c r="AF9" s="35">
        <f t="shared" si="5"/>
        <v>0.87349951852910834</v>
      </c>
      <c r="AG9" s="36">
        <v>4420.7971837709902</v>
      </c>
      <c r="AH9" s="31">
        <f t="shared" si="34"/>
        <v>3877.4812098855355</v>
      </c>
      <c r="AI9" s="31">
        <f t="shared" si="35"/>
        <v>543.3159738854547</v>
      </c>
      <c r="AJ9" s="31">
        <f t="shared" si="36"/>
        <v>2455.3645839710716</v>
      </c>
      <c r="AK9" s="31">
        <f t="shared" si="37"/>
        <v>344.04777946647437</v>
      </c>
      <c r="AL9" s="27">
        <v>2799.412363437546</v>
      </c>
      <c r="AM9" s="35">
        <f t="shared" si="6"/>
        <v>-0.36676299611428553</v>
      </c>
      <c r="AN9" s="36">
        <v>4420.7971837709902</v>
      </c>
      <c r="AO9" s="31">
        <f t="shared" si="38"/>
        <v>3877.4812098855355</v>
      </c>
      <c r="AP9" s="31">
        <f t="shared" si="39"/>
        <v>543.3159738854547</v>
      </c>
      <c r="AQ9" s="31">
        <f t="shared" si="40"/>
        <v>917.25855476214485</v>
      </c>
      <c r="AR9" s="31">
        <f t="shared" si="41"/>
        <v>128.52705094090479</v>
      </c>
      <c r="AS9" s="27">
        <v>1045.7856057030497</v>
      </c>
      <c r="AT9" s="35">
        <f t="shared" si="7"/>
        <v>-0.76343958742504836</v>
      </c>
      <c r="AU9" s="36">
        <v>4420.7971837709902</v>
      </c>
      <c r="AV9" s="31">
        <f t="shared" si="42"/>
        <v>3877.4812098855355</v>
      </c>
      <c r="AW9" s="31">
        <f t="shared" si="43"/>
        <v>543.3159738854547</v>
      </c>
      <c r="AX9" s="31">
        <f t="shared" si="44"/>
        <v>1824.1273872527884</v>
      </c>
      <c r="AY9" s="31">
        <f t="shared" si="45"/>
        <v>255.59828513666363</v>
      </c>
      <c r="AZ9" s="27">
        <v>2079.725672389452</v>
      </c>
      <c r="BA9" s="35">
        <f t="shared" si="8"/>
        <v>-0.52955867778231291</v>
      </c>
      <c r="BB9" s="36">
        <v>4420.7971837709902</v>
      </c>
      <c r="BC9" s="31">
        <f t="shared" si="46"/>
        <v>3877.4812098855355</v>
      </c>
      <c r="BD9" s="31">
        <f t="shared" si="47"/>
        <v>543.3159738854547</v>
      </c>
      <c r="BE9" s="31">
        <f t="shared" si="48"/>
        <v>0</v>
      </c>
      <c r="BF9" s="31">
        <f t="shared" si="49"/>
        <v>0</v>
      </c>
      <c r="BG9" s="27">
        <f t="shared" si="9"/>
        <v>0</v>
      </c>
      <c r="BH9" s="35">
        <f t="shared" si="10"/>
        <v>-1</v>
      </c>
      <c r="BI9" s="36">
        <v>4753.8859284726695</v>
      </c>
      <c r="BJ9" s="31">
        <f t="shared" si="50"/>
        <v>4169.6333478633787</v>
      </c>
      <c r="BK9" s="31">
        <f t="shared" si="51"/>
        <v>584.25258060929104</v>
      </c>
      <c r="BL9" s="31">
        <f t="shared" si="52"/>
        <v>0</v>
      </c>
      <c r="BM9" s="31">
        <f t="shared" si="53"/>
        <v>0</v>
      </c>
      <c r="BN9" s="27">
        <f t="shared" si="11"/>
        <v>0</v>
      </c>
      <c r="BO9" s="37">
        <f t="shared" si="12"/>
        <v>-1</v>
      </c>
      <c r="BP9" s="36">
        <v>4753.8859284726695</v>
      </c>
      <c r="BQ9" s="31">
        <f t="shared" si="54"/>
        <v>4169.6333478633787</v>
      </c>
      <c r="BR9" s="31">
        <f t="shared" si="55"/>
        <v>584.25258060929104</v>
      </c>
      <c r="BS9" s="31">
        <f t="shared" si="56"/>
        <v>0</v>
      </c>
      <c r="BT9" s="31">
        <f t="shared" si="57"/>
        <v>0</v>
      </c>
      <c r="BU9" s="27">
        <f t="shared" si="13"/>
        <v>0</v>
      </c>
      <c r="BV9" s="37">
        <f t="shared" si="14"/>
        <v>-1</v>
      </c>
      <c r="BW9" s="36">
        <v>4753.8859284726695</v>
      </c>
      <c r="BX9" s="31">
        <f t="shared" si="58"/>
        <v>4169.6333478633787</v>
      </c>
      <c r="BY9" s="31">
        <f t="shared" si="59"/>
        <v>584.25258060929104</v>
      </c>
      <c r="BZ9" s="31">
        <f t="shared" si="60"/>
        <v>0</v>
      </c>
      <c r="CA9" s="31">
        <f t="shared" si="61"/>
        <v>0</v>
      </c>
      <c r="CB9" s="27">
        <f t="shared" si="15"/>
        <v>0</v>
      </c>
      <c r="CC9" s="37">
        <f t="shared" si="16"/>
        <v>-1</v>
      </c>
      <c r="CD9" s="36">
        <v>4753.8859284726695</v>
      </c>
      <c r="CE9" s="31">
        <f t="shared" si="62"/>
        <v>4169.6333478633787</v>
      </c>
      <c r="CF9" s="31">
        <f t="shared" si="63"/>
        <v>584.25258060929104</v>
      </c>
      <c r="CG9" s="31">
        <f t="shared" si="64"/>
        <v>0</v>
      </c>
      <c r="CH9" s="31">
        <f t="shared" si="65"/>
        <v>0</v>
      </c>
      <c r="CI9" s="27">
        <f t="shared" si="17"/>
        <v>0</v>
      </c>
      <c r="CJ9" s="37">
        <f t="shared" si="18"/>
        <v>-1</v>
      </c>
      <c r="CK9" s="36">
        <v>4753.8859284726695</v>
      </c>
      <c r="CL9" s="31">
        <f t="shared" si="66"/>
        <v>4169.6333478633787</v>
      </c>
      <c r="CM9" s="31">
        <f t="shared" si="67"/>
        <v>584.25258060929104</v>
      </c>
      <c r="CN9" s="31">
        <f t="shared" si="68"/>
        <v>0</v>
      </c>
      <c r="CO9" s="31">
        <f t="shared" si="69"/>
        <v>0</v>
      </c>
      <c r="CP9" s="27">
        <f t="shared" si="19"/>
        <v>0</v>
      </c>
      <c r="CQ9" s="37">
        <f t="shared" si="20"/>
        <v>-1</v>
      </c>
      <c r="CS9" s="27">
        <f>15400.34+5604.29</f>
        <v>21004.63</v>
      </c>
      <c r="CT9" s="27">
        <f>9414.91+1459.97</f>
        <v>10874.88</v>
      </c>
      <c r="CU9" s="27">
        <f>12213.22+6665.09</f>
        <v>18878.309999999998</v>
      </c>
      <c r="CV9" s="27">
        <f>6380.81</f>
        <v>6380.81</v>
      </c>
      <c r="CW9" s="27"/>
      <c r="CX9" s="27"/>
      <c r="CY9" s="27"/>
      <c r="CZ9" s="27"/>
      <c r="DA9" s="27"/>
      <c r="DB9" s="27"/>
      <c r="DC9" s="27"/>
      <c r="DD9" s="27"/>
      <c r="DF9" s="28"/>
    </row>
    <row r="10" spans="1:110" s="26" customFormat="1" ht="14.25" customHeight="1" x14ac:dyDescent="0.2">
      <c r="A10" s="38" t="s">
        <v>34</v>
      </c>
      <c r="B10" s="30">
        <f t="shared" si="0"/>
        <v>52644</v>
      </c>
      <c r="C10" s="31">
        <f t="shared" si="0"/>
        <v>46174.052400000015</v>
      </c>
      <c r="D10" s="32">
        <f t="shared" si="0"/>
        <v>6469.9475999999995</v>
      </c>
      <c r="E10" s="30">
        <f t="shared" si="21"/>
        <v>17548</v>
      </c>
      <c r="F10" s="33">
        <f t="shared" si="21"/>
        <v>15391.3508</v>
      </c>
      <c r="G10" s="34">
        <f t="shared" si="21"/>
        <v>2156.6491999999998</v>
      </c>
      <c r="H10" s="31">
        <f t="shared" si="1"/>
        <v>25174.089269402491</v>
      </c>
      <c r="I10" s="33">
        <f t="shared" si="1"/>
        <v>3527.4148571537635</v>
      </c>
      <c r="J10" s="33">
        <f t="shared" si="1"/>
        <v>28701.504126556254</v>
      </c>
      <c r="K10" s="35">
        <f t="shared" si="2"/>
        <v>0.63559973367655886</v>
      </c>
      <c r="L10" s="36">
        <v>4387</v>
      </c>
      <c r="M10" s="31">
        <f t="shared" si="22"/>
        <v>3847.8377</v>
      </c>
      <c r="N10" s="31">
        <f t="shared" si="23"/>
        <v>539.16229999999996</v>
      </c>
      <c r="O10" s="31">
        <f t="shared" si="24"/>
        <v>4780.0764863553695</v>
      </c>
      <c r="P10" s="31">
        <f t="shared" si="25"/>
        <v>669.78839376704468</v>
      </c>
      <c r="Q10" s="33">
        <v>5449.8648801224144</v>
      </c>
      <c r="R10" s="35">
        <f t="shared" si="3"/>
        <v>0.24227601552824574</v>
      </c>
      <c r="S10" s="36">
        <v>4387</v>
      </c>
      <c r="T10" s="31">
        <f t="shared" si="26"/>
        <v>3847.8377</v>
      </c>
      <c r="U10" s="31">
        <f t="shared" si="27"/>
        <v>539.16229999999996</v>
      </c>
      <c r="V10" s="31">
        <f t="shared" si="28"/>
        <v>4714.6327801807683</v>
      </c>
      <c r="W10" s="31">
        <f t="shared" si="29"/>
        <v>660.61836584678645</v>
      </c>
      <c r="X10" s="33">
        <v>5375.2511460275546</v>
      </c>
      <c r="Y10" s="35">
        <f t="shared" si="4"/>
        <v>0.22526809802314895</v>
      </c>
      <c r="Z10" s="36">
        <v>4387</v>
      </c>
      <c r="AA10" s="31">
        <f t="shared" si="30"/>
        <v>3847.8377</v>
      </c>
      <c r="AB10" s="31">
        <f t="shared" si="31"/>
        <v>539.16229999999996</v>
      </c>
      <c r="AC10" s="31">
        <f t="shared" si="32"/>
        <v>4860.3313188347893</v>
      </c>
      <c r="AD10" s="31">
        <f t="shared" si="33"/>
        <v>681.03376933621655</v>
      </c>
      <c r="AE10" s="33">
        <v>5541.3650881710055</v>
      </c>
      <c r="AF10" s="35">
        <f t="shared" si="5"/>
        <v>0.26313314068178828</v>
      </c>
      <c r="AG10" s="36">
        <v>4387</v>
      </c>
      <c r="AH10" s="31">
        <f t="shared" si="34"/>
        <v>3847.8377</v>
      </c>
      <c r="AI10" s="31">
        <f t="shared" si="35"/>
        <v>539.16229999999996</v>
      </c>
      <c r="AJ10" s="31">
        <f t="shared" si="36"/>
        <v>769.60905714825276</v>
      </c>
      <c r="AK10" s="31">
        <f t="shared" si="37"/>
        <v>107.83827741821942</v>
      </c>
      <c r="AL10" s="33">
        <v>877.44733456647214</v>
      </c>
      <c r="AM10" s="35">
        <f t="shared" si="6"/>
        <v>-0.79998921026522174</v>
      </c>
      <c r="AN10" s="36">
        <v>4387</v>
      </c>
      <c r="AO10" s="31">
        <f t="shared" si="38"/>
        <v>3847.8377</v>
      </c>
      <c r="AP10" s="31">
        <f t="shared" si="39"/>
        <v>539.16229999999996</v>
      </c>
      <c r="AQ10" s="31">
        <f t="shared" si="40"/>
        <v>4853.8088820754583</v>
      </c>
      <c r="AR10" s="31">
        <f t="shared" si="41"/>
        <v>680.11983993509716</v>
      </c>
      <c r="AS10" s="27">
        <v>5533.9287220105552</v>
      </c>
      <c r="AT10" s="35">
        <f t="shared" si="7"/>
        <v>0.26143804923878622</v>
      </c>
      <c r="AU10" s="36">
        <v>4387</v>
      </c>
      <c r="AV10" s="31">
        <f t="shared" si="42"/>
        <v>3847.8377</v>
      </c>
      <c r="AW10" s="31">
        <f t="shared" si="43"/>
        <v>539.16229999999996</v>
      </c>
      <c r="AX10" s="31">
        <f t="shared" si="44"/>
        <v>5195.6307448078542</v>
      </c>
      <c r="AY10" s="31">
        <f t="shared" si="45"/>
        <v>728.01621085039926</v>
      </c>
      <c r="AZ10" s="27">
        <v>5923.6469556582533</v>
      </c>
      <c r="BA10" s="35">
        <f t="shared" si="8"/>
        <v>0.35027284149948779</v>
      </c>
      <c r="BB10" s="36">
        <v>4387</v>
      </c>
      <c r="BC10" s="31">
        <f t="shared" si="46"/>
        <v>3847.8377</v>
      </c>
      <c r="BD10" s="31">
        <f t="shared" si="47"/>
        <v>539.16229999999996</v>
      </c>
      <c r="BE10" s="31">
        <f t="shared" si="48"/>
        <v>0</v>
      </c>
      <c r="BF10" s="31">
        <f t="shared" si="49"/>
        <v>0</v>
      </c>
      <c r="BG10" s="27">
        <f t="shared" si="9"/>
        <v>0</v>
      </c>
      <c r="BH10" s="35">
        <f t="shared" si="10"/>
        <v>-1</v>
      </c>
      <c r="BI10" s="36">
        <v>4387</v>
      </c>
      <c r="BJ10" s="31">
        <f t="shared" si="50"/>
        <v>3847.8377</v>
      </c>
      <c r="BK10" s="31">
        <f t="shared" si="51"/>
        <v>539.16229999999996</v>
      </c>
      <c r="BL10" s="31">
        <f t="shared" si="52"/>
        <v>0</v>
      </c>
      <c r="BM10" s="31">
        <f t="shared" si="53"/>
        <v>0</v>
      </c>
      <c r="BN10" s="27">
        <f t="shared" si="11"/>
        <v>0</v>
      </c>
      <c r="BO10" s="37">
        <f t="shared" si="12"/>
        <v>-1</v>
      </c>
      <c r="BP10" s="36">
        <v>4387</v>
      </c>
      <c r="BQ10" s="31">
        <f t="shared" si="54"/>
        <v>3847.8377</v>
      </c>
      <c r="BR10" s="31">
        <f t="shared" si="55"/>
        <v>539.16229999999996</v>
      </c>
      <c r="BS10" s="31">
        <f t="shared" si="56"/>
        <v>0</v>
      </c>
      <c r="BT10" s="31">
        <f t="shared" si="57"/>
        <v>0</v>
      </c>
      <c r="BU10" s="27">
        <f t="shared" si="13"/>
        <v>0</v>
      </c>
      <c r="BV10" s="37">
        <f t="shared" si="14"/>
        <v>-1</v>
      </c>
      <c r="BW10" s="36">
        <v>4387</v>
      </c>
      <c r="BX10" s="31">
        <f t="shared" si="58"/>
        <v>3847.8377</v>
      </c>
      <c r="BY10" s="31">
        <f t="shared" si="59"/>
        <v>539.16229999999996</v>
      </c>
      <c r="BZ10" s="31">
        <f t="shared" si="60"/>
        <v>0</v>
      </c>
      <c r="CA10" s="31">
        <f t="shared" si="61"/>
        <v>0</v>
      </c>
      <c r="CB10" s="27">
        <f t="shared" si="15"/>
        <v>0</v>
      </c>
      <c r="CC10" s="37">
        <f t="shared" si="16"/>
        <v>-1</v>
      </c>
      <c r="CD10" s="36">
        <v>4387</v>
      </c>
      <c r="CE10" s="31">
        <f t="shared" si="62"/>
        <v>3847.8377</v>
      </c>
      <c r="CF10" s="31">
        <f t="shared" si="63"/>
        <v>539.16229999999996</v>
      </c>
      <c r="CG10" s="31">
        <f t="shared" si="64"/>
        <v>0</v>
      </c>
      <c r="CH10" s="31">
        <f t="shared" si="65"/>
        <v>0</v>
      </c>
      <c r="CI10" s="27">
        <f t="shared" si="17"/>
        <v>0</v>
      </c>
      <c r="CJ10" s="37">
        <f t="shared" si="18"/>
        <v>-1</v>
      </c>
      <c r="CK10" s="36">
        <v>4387</v>
      </c>
      <c r="CL10" s="31">
        <f t="shared" si="66"/>
        <v>3847.8377</v>
      </c>
      <c r="CM10" s="31">
        <f t="shared" si="67"/>
        <v>539.16229999999996</v>
      </c>
      <c r="CN10" s="31">
        <f t="shared" si="68"/>
        <v>0</v>
      </c>
      <c r="CO10" s="31">
        <f t="shared" si="69"/>
        <v>0</v>
      </c>
      <c r="CP10" s="27">
        <f t="shared" si="19"/>
        <v>0</v>
      </c>
      <c r="CQ10" s="37">
        <f t="shared" si="20"/>
        <v>-1</v>
      </c>
      <c r="CS10" s="27">
        <f>2000+10422.09</f>
        <v>12422.09</v>
      </c>
      <c r="CT10" s="27">
        <f>2000+10252.02</f>
        <v>12252.02</v>
      </c>
      <c r="CU10" s="27">
        <f>2000+10630.65</f>
        <v>12630.65</v>
      </c>
      <c r="CV10" s="27">
        <f>2000</f>
        <v>2000</v>
      </c>
      <c r="CW10" s="27"/>
      <c r="CX10" s="27"/>
      <c r="CY10" s="27"/>
      <c r="CZ10" s="27"/>
      <c r="DA10" s="27"/>
      <c r="DB10" s="27"/>
      <c r="DC10" s="27"/>
      <c r="DD10" s="27"/>
      <c r="DF10" s="28"/>
    </row>
    <row r="11" spans="1:110" s="26" customFormat="1" ht="14.25" customHeight="1" x14ac:dyDescent="0.2">
      <c r="A11" s="38" t="s">
        <v>35</v>
      </c>
      <c r="B11" s="30">
        <f t="shared" si="0"/>
        <v>0</v>
      </c>
      <c r="C11" s="31">
        <f t="shared" si="0"/>
        <v>0</v>
      </c>
      <c r="D11" s="32">
        <f t="shared" si="0"/>
        <v>0</v>
      </c>
      <c r="E11" s="30">
        <f t="shared" si="21"/>
        <v>0</v>
      </c>
      <c r="F11" s="33">
        <f t="shared" si="21"/>
        <v>0</v>
      </c>
      <c r="G11" s="34">
        <f t="shared" si="21"/>
        <v>0</v>
      </c>
      <c r="H11" s="31">
        <f t="shared" si="1"/>
        <v>3961.8165926594897</v>
      </c>
      <c r="I11" s="33">
        <f t="shared" si="1"/>
        <v>555.13311964183242</v>
      </c>
      <c r="J11" s="33">
        <f t="shared" si="1"/>
        <v>4516.9497123013225</v>
      </c>
      <c r="K11" s="35" t="str">
        <f t="shared" si="2"/>
        <v/>
      </c>
      <c r="L11" s="36">
        <v>0</v>
      </c>
      <c r="M11" s="31">
        <f t="shared" si="22"/>
        <v>0</v>
      </c>
      <c r="N11" s="31">
        <f t="shared" si="23"/>
        <v>0</v>
      </c>
      <c r="O11" s="31">
        <f t="shared" si="24"/>
        <v>0</v>
      </c>
      <c r="P11" s="31">
        <f t="shared" si="25"/>
        <v>0</v>
      </c>
      <c r="Q11" s="33">
        <v>0</v>
      </c>
      <c r="R11" s="35" t="str">
        <f t="shared" si="3"/>
        <v/>
      </c>
      <c r="S11" s="36">
        <v>0</v>
      </c>
      <c r="T11" s="31">
        <f t="shared" si="26"/>
        <v>0</v>
      </c>
      <c r="U11" s="31">
        <f t="shared" si="27"/>
        <v>0</v>
      </c>
      <c r="V11" s="31">
        <f t="shared" si="28"/>
        <v>0</v>
      </c>
      <c r="W11" s="31">
        <f t="shared" si="29"/>
        <v>0</v>
      </c>
      <c r="X11" s="33">
        <v>0</v>
      </c>
      <c r="Y11" s="35" t="str">
        <f t="shared" si="4"/>
        <v/>
      </c>
      <c r="Z11" s="36">
        <v>0</v>
      </c>
      <c r="AA11" s="31">
        <f t="shared" si="30"/>
        <v>0</v>
      </c>
      <c r="AB11" s="31">
        <f t="shared" si="31"/>
        <v>0</v>
      </c>
      <c r="AC11" s="31">
        <f t="shared" si="32"/>
        <v>0</v>
      </c>
      <c r="AD11" s="31">
        <f t="shared" si="33"/>
        <v>0</v>
      </c>
      <c r="AE11" s="27">
        <v>0</v>
      </c>
      <c r="AF11" s="35" t="str">
        <f t="shared" si="5"/>
        <v/>
      </c>
      <c r="AG11" s="36">
        <v>0</v>
      </c>
      <c r="AH11" s="31">
        <f t="shared" si="34"/>
        <v>0</v>
      </c>
      <c r="AI11" s="31">
        <f t="shared" si="35"/>
        <v>0</v>
      </c>
      <c r="AJ11" s="31">
        <f t="shared" si="36"/>
        <v>0</v>
      </c>
      <c r="AK11" s="31">
        <f t="shared" si="37"/>
        <v>0</v>
      </c>
      <c r="AL11" s="27">
        <v>0</v>
      </c>
      <c r="AM11" s="35" t="str">
        <f t="shared" si="6"/>
        <v/>
      </c>
      <c r="AN11" s="36">
        <v>0</v>
      </c>
      <c r="AO11" s="31">
        <f t="shared" si="38"/>
        <v>0</v>
      </c>
      <c r="AP11" s="31">
        <f t="shared" si="39"/>
        <v>0</v>
      </c>
      <c r="AQ11" s="31">
        <f t="shared" si="40"/>
        <v>3322.4831086600075</v>
      </c>
      <c r="AR11" s="31">
        <f t="shared" si="41"/>
        <v>465.5491666335821</v>
      </c>
      <c r="AS11" s="27">
        <v>3788.0322752935895</v>
      </c>
      <c r="AT11" s="35" t="str">
        <f t="shared" si="7"/>
        <v/>
      </c>
      <c r="AU11" s="36">
        <v>0</v>
      </c>
      <c r="AV11" s="31">
        <f t="shared" si="42"/>
        <v>0</v>
      </c>
      <c r="AW11" s="31">
        <f t="shared" si="43"/>
        <v>0</v>
      </c>
      <c r="AX11" s="31">
        <f t="shared" si="44"/>
        <v>639.33348399948227</v>
      </c>
      <c r="AY11" s="31">
        <f t="shared" si="45"/>
        <v>89.583953008250333</v>
      </c>
      <c r="AZ11" s="27">
        <v>728.91743700773259</v>
      </c>
      <c r="BA11" s="35" t="str">
        <f t="shared" si="8"/>
        <v/>
      </c>
      <c r="BB11" s="36">
        <v>0</v>
      </c>
      <c r="BC11" s="31">
        <f t="shared" si="46"/>
        <v>0</v>
      </c>
      <c r="BD11" s="31">
        <f t="shared" si="47"/>
        <v>0</v>
      </c>
      <c r="BE11" s="31">
        <f t="shared" si="48"/>
        <v>0</v>
      </c>
      <c r="BF11" s="31">
        <f t="shared" si="49"/>
        <v>0</v>
      </c>
      <c r="BG11" s="27">
        <f t="shared" si="9"/>
        <v>0</v>
      </c>
      <c r="BH11" s="35" t="str">
        <f t="shared" si="10"/>
        <v/>
      </c>
      <c r="BI11" s="36">
        <v>0</v>
      </c>
      <c r="BJ11" s="31">
        <f t="shared" si="50"/>
        <v>0</v>
      </c>
      <c r="BK11" s="31">
        <f t="shared" si="51"/>
        <v>0</v>
      </c>
      <c r="BL11" s="31">
        <f t="shared" si="52"/>
        <v>0</v>
      </c>
      <c r="BM11" s="31">
        <f t="shared" si="53"/>
        <v>0</v>
      </c>
      <c r="BN11" s="27">
        <f t="shared" si="11"/>
        <v>0</v>
      </c>
      <c r="BO11" s="37" t="str">
        <f t="shared" si="12"/>
        <v/>
      </c>
      <c r="BP11" s="36">
        <v>0</v>
      </c>
      <c r="BQ11" s="31">
        <f t="shared" si="54"/>
        <v>0</v>
      </c>
      <c r="BR11" s="31">
        <f t="shared" si="55"/>
        <v>0</v>
      </c>
      <c r="BS11" s="31">
        <f t="shared" si="56"/>
        <v>0</v>
      </c>
      <c r="BT11" s="31">
        <f t="shared" si="57"/>
        <v>0</v>
      </c>
      <c r="BU11" s="27">
        <f t="shared" si="13"/>
        <v>0</v>
      </c>
      <c r="BV11" s="37" t="str">
        <f t="shared" si="14"/>
        <v/>
      </c>
      <c r="BW11" s="36">
        <v>0</v>
      </c>
      <c r="BX11" s="31">
        <f t="shared" si="58"/>
        <v>0</v>
      </c>
      <c r="BY11" s="31">
        <f t="shared" si="59"/>
        <v>0</v>
      </c>
      <c r="BZ11" s="31">
        <f t="shared" si="60"/>
        <v>0</v>
      </c>
      <c r="CA11" s="31">
        <f t="shared" si="61"/>
        <v>0</v>
      </c>
      <c r="CB11" s="27">
        <f t="shared" si="15"/>
        <v>0</v>
      </c>
      <c r="CC11" s="37" t="str">
        <f t="shared" si="16"/>
        <v/>
      </c>
      <c r="CD11" s="36">
        <v>0</v>
      </c>
      <c r="CE11" s="31">
        <f t="shared" si="62"/>
        <v>0</v>
      </c>
      <c r="CF11" s="31">
        <f t="shared" si="63"/>
        <v>0</v>
      </c>
      <c r="CG11" s="31">
        <f t="shared" si="64"/>
        <v>0</v>
      </c>
      <c r="CH11" s="31">
        <f t="shared" si="65"/>
        <v>0</v>
      </c>
      <c r="CI11" s="27">
        <f t="shared" si="17"/>
        <v>0</v>
      </c>
      <c r="CJ11" s="37" t="str">
        <f t="shared" si="18"/>
        <v/>
      </c>
      <c r="CK11" s="36">
        <v>0</v>
      </c>
      <c r="CL11" s="31">
        <f t="shared" si="66"/>
        <v>0</v>
      </c>
      <c r="CM11" s="31">
        <f t="shared" si="67"/>
        <v>0</v>
      </c>
      <c r="CN11" s="31">
        <f t="shared" si="68"/>
        <v>0</v>
      </c>
      <c r="CO11" s="31">
        <f t="shared" si="69"/>
        <v>0</v>
      </c>
      <c r="CP11" s="27">
        <f t="shared" si="19"/>
        <v>0</v>
      </c>
      <c r="CQ11" s="37" t="str">
        <f t="shared" si="20"/>
        <v/>
      </c>
      <c r="CS11" s="27"/>
      <c r="CT11" s="27"/>
      <c r="CU11" s="27"/>
      <c r="CV11" s="27"/>
      <c r="CW11" s="27"/>
      <c r="CX11" s="27"/>
      <c r="CY11" s="27"/>
      <c r="CZ11" s="27"/>
      <c r="DA11" s="27"/>
      <c r="DB11" s="27"/>
      <c r="DC11" s="27"/>
      <c r="DD11" s="27"/>
      <c r="DF11" s="28"/>
    </row>
    <row r="12" spans="1:110" s="26" customFormat="1" ht="14.25" customHeight="1" x14ac:dyDescent="0.2">
      <c r="A12" s="29" t="s">
        <v>36</v>
      </c>
      <c r="B12" s="30">
        <f t="shared" si="0"/>
        <v>16345.962000000001</v>
      </c>
      <c r="C12" s="31">
        <f t="shared" si="0"/>
        <v>14337.043270200003</v>
      </c>
      <c r="D12" s="32">
        <f t="shared" si="0"/>
        <v>2008.9187297999995</v>
      </c>
      <c r="E12" s="30">
        <f t="shared" si="21"/>
        <v>5448.6539999999995</v>
      </c>
      <c r="F12" s="33">
        <f t="shared" si="21"/>
        <v>4779.0144233999999</v>
      </c>
      <c r="G12" s="34">
        <f t="shared" si="21"/>
        <v>669.63957659999994</v>
      </c>
      <c r="H12" s="31">
        <f t="shared" si="1"/>
        <v>10346.046957508248</v>
      </c>
      <c r="I12" s="33">
        <f t="shared" si="1"/>
        <v>1449.6969229024783</v>
      </c>
      <c r="J12" s="33">
        <f t="shared" si="1"/>
        <v>11795.743880410726</v>
      </c>
      <c r="K12" s="35">
        <f t="shared" si="2"/>
        <v>1.1648913438824939</v>
      </c>
      <c r="L12" s="36">
        <v>1362.1634999999999</v>
      </c>
      <c r="M12" s="31">
        <f t="shared" si="22"/>
        <v>1194.75360585</v>
      </c>
      <c r="N12" s="31">
        <f t="shared" si="23"/>
        <v>167.40989414999999</v>
      </c>
      <c r="O12" s="31">
        <f t="shared" si="24"/>
        <v>1113.9706297692385</v>
      </c>
      <c r="P12" s="31">
        <f t="shared" si="25"/>
        <v>156.09051464900173</v>
      </c>
      <c r="Q12" s="33">
        <v>1270.0611444182402</v>
      </c>
      <c r="R12" s="35">
        <f t="shared" si="3"/>
        <v>-6.7614758126876562E-2</v>
      </c>
      <c r="S12" s="36">
        <v>1362.1634999999999</v>
      </c>
      <c r="T12" s="31">
        <f t="shared" si="26"/>
        <v>1194.75360585</v>
      </c>
      <c r="U12" s="31">
        <f t="shared" si="27"/>
        <v>167.40989414999999</v>
      </c>
      <c r="V12" s="31">
        <f t="shared" si="28"/>
        <v>1113.9706297692385</v>
      </c>
      <c r="W12" s="31">
        <f t="shared" si="29"/>
        <v>156.09051464900173</v>
      </c>
      <c r="X12" s="33">
        <v>1270.0611444182402</v>
      </c>
      <c r="Y12" s="35">
        <f t="shared" si="4"/>
        <v>-6.7614758126876562E-2</v>
      </c>
      <c r="Z12" s="36">
        <v>1362.1634999999999</v>
      </c>
      <c r="AA12" s="31">
        <f t="shared" si="30"/>
        <v>1194.75360585</v>
      </c>
      <c r="AB12" s="31">
        <f t="shared" si="31"/>
        <v>167.40989414999999</v>
      </c>
      <c r="AC12" s="31">
        <f t="shared" si="32"/>
        <v>2308.3076853311832</v>
      </c>
      <c r="AD12" s="31">
        <f t="shared" si="33"/>
        <v>323.44204141740096</v>
      </c>
      <c r="AE12" s="33">
        <v>2631.7497267485842</v>
      </c>
      <c r="AF12" s="35">
        <f t="shared" si="5"/>
        <v>0.93203659233901393</v>
      </c>
      <c r="AG12" s="36">
        <v>1362.1634999999999</v>
      </c>
      <c r="AH12" s="31">
        <f t="shared" si="34"/>
        <v>1194.75360585</v>
      </c>
      <c r="AI12" s="31">
        <f t="shared" si="35"/>
        <v>167.40989414999999</v>
      </c>
      <c r="AJ12" s="31">
        <f t="shared" si="36"/>
        <v>2307.9228808026091</v>
      </c>
      <c r="AK12" s="31">
        <f t="shared" si="37"/>
        <v>323.38812227869187</v>
      </c>
      <c r="AL12" s="33">
        <v>2631.3110030813009</v>
      </c>
      <c r="AM12" s="35">
        <f t="shared" si="6"/>
        <v>0.93171451377261327</v>
      </c>
      <c r="AN12" s="36">
        <v>1362.1634999999999</v>
      </c>
      <c r="AO12" s="31">
        <f t="shared" si="38"/>
        <v>1194.75360585</v>
      </c>
      <c r="AP12" s="31">
        <f t="shared" si="39"/>
        <v>167.40989414999999</v>
      </c>
      <c r="AQ12" s="31">
        <f t="shared" si="40"/>
        <v>2307.9228808026091</v>
      </c>
      <c r="AR12" s="31">
        <f t="shared" si="41"/>
        <v>323.38812227869187</v>
      </c>
      <c r="AS12" s="27">
        <v>2631.3110030813009</v>
      </c>
      <c r="AT12" s="35">
        <f t="shared" si="7"/>
        <v>0.93171451377261327</v>
      </c>
      <c r="AU12" s="36">
        <v>1362.1634999999999</v>
      </c>
      <c r="AV12" s="31">
        <f t="shared" si="42"/>
        <v>1194.75360585</v>
      </c>
      <c r="AW12" s="31">
        <f t="shared" si="43"/>
        <v>167.40989414999999</v>
      </c>
      <c r="AX12" s="31">
        <f t="shared" si="44"/>
        <v>1193.9522510333704</v>
      </c>
      <c r="AY12" s="31">
        <f t="shared" si="45"/>
        <v>167.29760762969013</v>
      </c>
      <c r="AZ12" s="27">
        <v>1361.2498586630606</v>
      </c>
      <c r="BA12" s="35">
        <f t="shared" si="8"/>
        <v>-6.7072810051016507E-4</v>
      </c>
      <c r="BB12" s="36">
        <v>1362.1634999999999</v>
      </c>
      <c r="BC12" s="31">
        <f t="shared" si="46"/>
        <v>1194.75360585</v>
      </c>
      <c r="BD12" s="31">
        <f t="shared" si="47"/>
        <v>167.40989414999999</v>
      </c>
      <c r="BE12" s="31">
        <f t="shared" si="48"/>
        <v>0</v>
      </c>
      <c r="BF12" s="31">
        <f t="shared" si="49"/>
        <v>0</v>
      </c>
      <c r="BG12" s="27">
        <f t="shared" si="9"/>
        <v>0</v>
      </c>
      <c r="BH12" s="35">
        <f t="shared" si="10"/>
        <v>-1</v>
      </c>
      <c r="BI12" s="36">
        <v>1362.1634999999999</v>
      </c>
      <c r="BJ12" s="31">
        <f t="shared" si="50"/>
        <v>1194.75360585</v>
      </c>
      <c r="BK12" s="31">
        <f t="shared" si="51"/>
        <v>167.40989414999999</v>
      </c>
      <c r="BL12" s="31">
        <f t="shared" si="52"/>
        <v>0</v>
      </c>
      <c r="BM12" s="31">
        <f t="shared" si="53"/>
        <v>0</v>
      </c>
      <c r="BN12" s="27">
        <f t="shared" si="11"/>
        <v>0</v>
      </c>
      <c r="BO12" s="37">
        <f t="shared" si="12"/>
        <v>-1</v>
      </c>
      <c r="BP12" s="36">
        <v>1362.1634999999999</v>
      </c>
      <c r="BQ12" s="31">
        <f t="shared" si="54"/>
        <v>1194.75360585</v>
      </c>
      <c r="BR12" s="31">
        <f t="shared" si="55"/>
        <v>167.40989414999999</v>
      </c>
      <c r="BS12" s="31">
        <f t="shared" si="56"/>
        <v>0</v>
      </c>
      <c r="BT12" s="31">
        <f t="shared" si="57"/>
        <v>0</v>
      </c>
      <c r="BU12" s="27">
        <f t="shared" si="13"/>
        <v>0</v>
      </c>
      <c r="BV12" s="37">
        <f t="shared" si="14"/>
        <v>-1</v>
      </c>
      <c r="BW12" s="36">
        <v>1362.1634999999999</v>
      </c>
      <c r="BX12" s="31">
        <f t="shared" si="58"/>
        <v>1194.75360585</v>
      </c>
      <c r="BY12" s="31">
        <f t="shared" si="59"/>
        <v>167.40989414999999</v>
      </c>
      <c r="BZ12" s="31">
        <f t="shared" si="60"/>
        <v>0</v>
      </c>
      <c r="CA12" s="31">
        <f t="shared" si="61"/>
        <v>0</v>
      </c>
      <c r="CB12" s="27">
        <f t="shared" si="15"/>
        <v>0</v>
      </c>
      <c r="CC12" s="37">
        <f t="shared" si="16"/>
        <v>-1</v>
      </c>
      <c r="CD12" s="36">
        <v>1362.1634999999999</v>
      </c>
      <c r="CE12" s="31">
        <f t="shared" si="62"/>
        <v>1194.75360585</v>
      </c>
      <c r="CF12" s="31">
        <f t="shared" si="63"/>
        <v>167.40989414999999</v>
      </c>
      <c r="CG12" s="31">
        <f t="shared" si="64"/>
        <v>0</v>
      </c>
      <c r="CH12" s="31">
        <f t="shared" si="65"/>
        <v>0</v>
      </c>
      <c r="CI12" s="27">
        <f t="shared" si="17"/>
        <v>0</v>
      </c>
      <c r="CJ12" s="37">
        <f t="shared" si="18"/>
        <v>-1</v>
      </c>
      <c r="CK12" s="36">
        <v>1362.1634999999999</v>
      </c>
      <c r="CL12" s="31">
        <f t="shared" si="66"/>
        <v>1194.75360585</v>
      </c>
      <c r="CM12" s="31">
        <f t="shared" si="67"/>
        <v>167.40989414999999</v>
      </c>
      <c r="CN12" s="31">
        <f t="shared" si="68"/>
        <v>0</v>
      </c>
      <c r="CO12" s="31">
        <f t="shared" si="69"/>
        <v>0</v>
      </c>
      <c r="CP12" s="27">
        <f t="shared" si="19"/>
        <v>0</v>
      </c>
      <c r="CQ12" s="37">
        <f t="shared" si="20"/>
        <v>-1</v>
      </c>
      <c r="CS12" s="27">
        <f>2894.9</f>
        <v>2894.9</v>
      </c>
      <c r="CT12" s="27">
        <f>2894.9</f>
        <v>2894.9</v>
      </c>
      <c r="CU12" s="27">
        <f>5998.65</f>
        <v>5998.65</v>
      </c>
      <c r="CV12" s="27">
        <f>3102.75+2894.9</f>
        <v>5997.65</v>
      </c>
      <c r="CW12" s="27"/>
      <c r="CX12" s="27"/>
      <c r="CY12" s="27"/>
      <c r="CZ12" s="27"/>
      <c r="DA12" s="27"/>
      <c r="DB12" s="27"/>
      <c r="DC12" s="27"/>
      <c r="DD12" s="27"/>
      <c r="DF12" s="28"/>
    </row>
    <row r="13" spans="1:110" s="26" customFormat="1" ht="16" customHeight="1" x14ac:dyDescent="0.2">
      <c r="A13" s="38" t="s">
        <v>37</v>
      </c>
      <c r="B13" s="30">
        <f t="shared" si="0"/>
        <v>57908.399999999987</v>
      </c>
      <c r="C13" s="31">
        <f t="shared" si="0"/>
        <v>50791.457639999986</v>
      </c>
      <c r="D13" s="32">
        <f t="shared" si="0"/>
        <v>7116.9423599999982</v>
      </c>
      <c r="E13" s="30">
        <f t="shared" si="21"/>
        <v>19302.8</v>
      </c>
      <c r="F13" s="33">
        <f t="shared" si="21"/>
        <v>16930.48588</v>
      </c>
      <c r="G13" s="34">
        <f t="shared" si="21"/>
        <v>2372.31412</v>
      </c>
      <c r="H13" s="31">
        <f t="shared" si="1"/>
        <v>70958.947864752627</v>
      </c>
      <c r="I13" s="33">
        <f t="shared" si="1"/>
        <v>9942.8282893377</v>
      </c>
      <c r="J13" s="33">
        <f t="shared" si="1"/>
        <v>80901.77615409033</v>
      </c>
      <c r="K13" s="35">
        <f t="shared" si="2"/>
        <v>3.1911938244239346</v>
      </c>
      <c r="L13" s="36">
        <v>4825.7</v>
      </c>
      <c r="M13" s="31">
        <f t="shared" si="22"/>
        <v>4232.62147</v>
      </c>
      <c r="N13" s="31">
        <f t="shared" si="23"/>
        <v>593.07853</v>
      </c>
      <c r="O13" s="31">
        <f t="shared" si="24"/>
        <v>3990.3190640909752</v>
      </c>
      <c r="P13" s="31">
        <f t="shared" si="25"/>
        <v>559.12691024601622</v>
      </c>
      <c r="Q13" s="33">
        <v>4549.4459743369916</v>
      </c>
      <c r="R13" s="35">
        <f t="shared" si="3"/>
        <v>-5.7246415165262743E-2</v>
      </c>
      <c r="S13" s="36">
        <v>4825.7</v>
      </c>
      <c r="T13" s="31">
        <f t="shared" si="26"/>
        <v>4232.62147</v>
      </c>
      <c r="U13" s="31">
        <f t="shared" si="27"/>
        <v>593.07853</v>
      </c>
      <c r="V13" s="31">
        <f t="shared" si="28"/>
        <v>4158.7249179761566</v>
      </c>
      <c r="W13" s="31">
        <f t="shared" si="29"/>
        <v>582.72408211067102</v>
      </c>
      <c r="X13" s="33">
        <v>4741.4490000868273</v>
      </c>
      <c r="Y13" s="35">
        <f t="shared" si="4"/>
        <v>-1.7458814247295229E-2</v>
      </c>
      <c r="Z13" s="36">
        <v>4825.7</v>
      </c>
      <c r="AA13" s="31">
        <f t="shared" si="30"/>
        <v>4232.62147</v>
      </c>
      <c r="AB13" s="31">
        <f t="shared" si="31"/>
        <v>593.07853</v>
      </c>
      <c r="AC13" s="31">
        <f t="shared" si="32"/>
        <v>4158.7249179761566</v>
      </c>
      <c r="AD13" s="31">
        <f t="shared" si="33"/>
        <v>582.72408211067102</v>
      </c>
      <c r="AE13" s="33">
        <v>4741.4490000868273</v>
      </c>
      <c r="AF13" s="35">
        <f t="shared" si="5"/>
        <v>-1.7458814247295229E-2</v>
      </c>
      <c r="AG13" s="36">
        <v>4825.7</v>
      </c>
      <c r="AH13" s="31">
        <f t="shared" si="34"/>
        <v>4232.62147</v>
      </c>
      <c r="AI13" s="31">
        <f t="shared" si="35"/>
        <v>593.07853</v>
      </c>
      <c r="AJ13" s="31">
        <f t="shared" si="36"/>
        <v>4158.7249179761566</v>
      </c>
      <c r="AK13" s="31">
        <f t="shared" si="37"/>
        <v>582.72408211067102</v>
      </c>
      <c r="AL13" s="33">
        <v>4741.4490000868273</v>
      </c>
      <c r="AM13" s="35">
        <f t="shared" si="6"/>
        <v>-1.7458814247295229E-2</v>
      </c>
      <c r="AN13" s="36">
        <v>4825.7</v>
      </c>
      <c r="AO13" s="31">
        <f t="shared" si="38"/>
        <v>4232.62147</v>
      </c>
      <c r="AP13" s="31">
        <f t="shared" si="39"/>
        <v>593.07853</v>
      </c>
      <c r="AQ13" s="31">
        <f t="shared" si="40"/>
        <v>30195.753734887265</v>
      </c>
      <c r="AR13" s="31">
        <f t="shared" si="41"/>
        <v>4231.0547645851611</v>
      </c>
      <c r="AS13" s="27">
        <v>34426.808499472427</v>
      </c>
      <c r="AT13" s="35">
        <f t="shared" si="7"/>
        <v>6.1340548520364768</v>
      </c>
      <c r="AU13" s="36">
        <v>4825.7</v>
      </c>
      <c r="AV13" s="31">
        <f t="shared" si="42"/>
        <v>4232.62147</v>
      </c>
      <c r="AW13" s="31">
        <f t="shared" si="43"/>
        <v>593.07853</v>
      </c>
      <c r="AX13" s="31">
        <f t="shared" si="44"/>
        <v>24296.700311845914</v>
      </c>
      <c r="AY13" s="31">
        <f t="shared" si="45"/>
        <v>3404.4743681745099</v>
      </c>
      <c r="AZ13" s="27">
        <v>27701.174680020424</v>
      </c>
      <c r="BA13" s="35">
        <f t="shared" si="8"/>
        <v>4.7403433035664104</v>
      </c>
      <c r="BB13" s="36">
        <v>4825.7</v>
      </c>
      <c r="BC13" s="31">
        <f t="shared" si="46"/>
        <v>4232.62147</v>
      </c>
      <c r="BD13" s="31">
        <f t="shared" si="47"/>
        <v>593.07853</v>
      </c>
      <c r="BE13" s="31">
        <f t="shared" si="48"/>
        <v>0</v>
      </c>
      <c r="BF13" s="31">
        <f t="shared" si="49"/>
        <v>0</v>
      </c>
      <c r="BG13" s="27">
        <f t="shared" si="9"/>
        <v>0</v>
      </c>
      <c r="BH13" s="35">
        <f t="shared" si="10"/>
        <v>-1</v>
      </c>
      <c r="BI13" s="36">
        <v>4825.7</v>
      </c>
      <c r="BJ13" s="31">
        <f t="shared" si="50"/>
        <v>4232.62147</v>
      </c>
      <c r="BK13" s="31">
        <f t="shared" si="51"/>
        <v>593.07853</v>
      </c>
      <c r="BL13" s="31">
        <f t="shared" si="52"/>
        <v>0</v>
      </c>
      <c r="BM13" s="31">
        <f t="shared" si="53"/>
        <v>0</v>
      </c>
      <c r="BN13" s="27">
        <f t="shared" si="11"/>
        <v>0</v>
      </c>
      <c r="BO13" s="37">
        <f t="shared" si="12"/>
        <v>-1</v>
      </c>
      <c r="BP13" s="36">
        <v>4825.7</v>
      </c>
      <c r="BQ13" s="31">
        <f t="shared" si="54"/>
        <v>4232.62147</v>
      </c>
      <c r="BR13" s="31">
        <f t="shared" si="55"/>
        <v>593.07853</v>
      </c>
      <c r="BS13" s="31">
        <f t="shared" si="56"/>
        <v>0</v>
      </c>
      <c r="BT13" s="31">
        <f t="shared" si="57"/>
        <v>0</v>
      </c>
      <c r="BU13" s="27">
        <f t="shared" si="13"/>
        <v>0</v>
      </c>
      <c r="BV13" s="37">
        <f t="shared" si="14"/>
        <v>-1</v>
      </c>
      <c r="BW13" s="36">
        <v>4825.7</v>
      </c>
      <c r="BX13" s="31">
        <f t="shared" si="58"/>
        <v>4232.62147</v>
      </c>
      <c r="BY13" s="31">
        <f t="shared" si="59"/>
        <v>593.07853</v>
      </c>
      <c r="BZ13" s="31">
        <f t="shared" si="60"/>
        <v>0</v>
      </c>
      <c r="CA13" s="31">
        <f t="shared" si="61"/>
        <v>0</v>
      </c>
      <c r="CB13" s="27">
        <f t="shared" si="15"/>
        <v>0</v>
      </c>
      <c r="CC13" s="37">
        <f t="shared" si="16"/>
        <v>-1</v>
      </c>
      <c r="CD13" s="36">
        <v>4825.7</v>
      </c>
      <c r="CE13" s="31">
        <f t="shared" si="62"/>
        <v>4232.62147</v>
      </c>
      <c r="CF13" s="31">
        <f t="shared" si="63"/>
        <v>593.07853</v>
      </c>
      <c r="CG13" s="31">
        <f t="shared" si="64"/>
        <v>0</v>
      </c>
      <c r="CH13" s="31">
        <f t="shared" si="65"/>
        <v>0</v>
      </c>
      <c r="CI13" s="27">
        <f t="shared" si="17"/>
        <v>0</v>
      </c>
      <c r="CJ13" s="37">
        <f t="shared" si="18"/>
        <v>-1</v>
      </c>
      <c r="CK13" s="36">
        <v>4825.7</v>
      </c>
      <c r="CL13" s="31">
        <f t="shared" si="66"/>
        <v>4232.62147</v>
      </c>
      <c r="CM13" s="31">
        <f t="shared" si="67"/>
        <v>593.07853</v>
      </c>
      <c r="CN13" s="31">
        <f t="shared" si="68"/>
        <v>0</v>
      </c>
      <c r="CO13" s="31">
        <f t="shared" si="69"/>
        <v>0</v>
      </c>
      <c r="CP13" s="27">
        <f t="shared" si="19"/>
        <v>0</v>
      </c>
      <c r="CQ13" s="37">
        <f t="shared" si="20"/>
        <v>-1</v>
      </c>
      <c r="CS13" s="27">
        <f>10369.73</f>
        <v>10369.73</v>
      </c>
      <c r="CT13" s="27">
        <f>10807.37</f>
        <v>10807.37</v>
      </c>
      <c r="CU13" s="27">
        <v>10807.37</v>
      </c>
      <c r="CV13" s="27">
        <f>10807.37</f>
        <v>10807.37</v>
      </c>
      <c r="CW13" s="27"/>
      <c r="CX13" s="27"/>
      <c r="CY13" s="27"/>
      <c r="CZ13" s="27"/>
      <c r="DA13" s="27"/>
      <c r="DB13" s="27"/>
      <c r="DC13" s="27"/>
      <c r="DD13" s="27"/>
      <c r="DF13" s="28"/>
    </row>
    <row r="14" spans="1:110" s="26" customFormat="1" ht="16" customHeight="1" x14ac:dyDescent="0.2">
      <c r="A14" s="39" t="s">
        <v>38</v>
      </c>
      <c r="B14" s="30">
        <f t="shared" si="0"/>
        <v>35754.857208000001</v>
      </c>
      <c r="C14" s="31">
        <f t="shared" si="0"/>
        <v>31360.585257136801</v>
      </c>
      <c r="D14" s="32">
        <f t="shared" si="0"/>
        <v>4394.271950863199</v>
      </c>
      <c r="E14" s="30">
        <f t="shared" si="21"/>
        <v>11918.285736</v>
      </c>
      <c r="F14" s="33">
        <f t="shared" si="21"/>
        <v>10453.5284190456</v>
      </c>
      <c r="G14" s="34">
        <f t="shared" si="21"/>
        <v>1464.7573169543998</v>
      </c>
      <c r="H14" s="31">
        <f t="shared" si="1"/>
        <v>20171.92669742585</v>
      </c>
      <c r="I14" s="33">
        <f t="shared" si="1"/>
        <v>2826.5075716721435</v>
      </c>
      <c r="J14" s="33">
        <f t="shared" si="1"/>
        <v>22998.434269097994</v>
      </c>
      <c r="K14" s="35">
        <f t="shared" si="2"/>
        <v>0.92967636273643328</v>
      </c>
      <c r="L14" s="36">
        <v>2979.571434</v>
      </c>
      <c r="M14" s="31">
        <f t="shared" si="22"/>
        <v>2613.3821047614001</v>
      </c>
      <c r="N14" s="31">
        <f t="shared" si="23"/>
        <v>366.18932923859995</v>
      </c>
      <c r="O14" s="31">
        <f t="shared" si="24"/>
        <v>1966.6705287725024</v>
      </c>
      <c r="P14" s="31">
        <f t="shared" si="25"/>
        <v>275.57155168867922</v>
      </c>
      <c r="Q14" s="33">
        <v>2242.2420804611816</v>
      </c>
      <c r="R14" s="35">
        <f t="shared" si="3"/>
        <v>-0.24746154602139281</v>
      </c>
      <c r="S14" s="36">
        <v>2979.571434</v>
      </c>
      <c r="T14" s="31">
        <f t="shared" si="26"/>
        <v>2613.3821047614001</v>
      </c>
      <c r="U14" s="31">
        <f t="shared" si="27"/>
        <v>366.18932923859995</v>
      </c>
      <c r="V14" s="31">
        <f t="shared" si="28"/>
        <v>7185.9128794536646</v>
      </c>
      <c r="W14" s="31">
        <f t="shared" si="29"/>
        <v>1006.8962408902695</v>
      </c>
      <c r="X14" s="33">
        <v>8192.8091203439344</v>
      </c>
      <c r="Y14" s="35">
        <f t="shared" si="4"/>
        <v>1.7496602453814285</v>
      </c>
      <c r="Z14" s="36">
        <v>2979.571434</v>
      </c>
      <c r="AA14" s="31">
        <f t="shared" si="30"/>
        <v>2613.3821047614001</v>
      </c>
      <c r="AB14" s="31">
        <f t="shared" si="31"/>
        <v>366.18932923859995</v>
      </c>
      <c r="AC14" s="31">
        <f t="shared" si="32"/>
        <v>2678.2433669212055</v>
      </c>
      <c r="AD14" s="31">
        <f t="shared" si="33"/>
        <v>375.27774460679075</v>
      </c>
      <c r="AE14" s="33">
        <v>3053.5211115279963</v>
      </c>
      <c r="AF14" s="35">
        <f t="shared" si="5"/>
        <v>2.4818897336762458E-2</v>
      </c>
      <c r="AG14" s="36">
        <v>2979.571434</v>
      </c>
      <c r="AH14" s="31">
        <f t="shared" si="34"/>
        <v>2613.3821047614001</v>
      </c>
      <c r="AI14" s="31">
        <f t="shared" si="35"/>
        <v>366.18932923859995</v>
      </c>
      <c r="AJ14" s="31">
        <f t="shared" si="36"/>
        <v>2560.4931811775227</v>
      </c>
      <c r="AK14" s="31">
        <f t="shared" si="37"/>
        <v>358.77848816180312</v>
      </c>
      <c r="AL14" s="33">
        <v>2919.2716693393259</v>
      </c>
      <c r="AM14" s="35">
        <f t="shared" si="6"/>
        <v>-2.0237730826853539E-2</v>
      </c>
      <c r="AN14" s="36">
        <v>2979.571434</v>
      </c>
      <c r="AO14" s="31">
        <f t="shared" si="38"/>
        <v>2613.3821047614001</v>
      </c>
      <c r="AP14" s="31">
        <f t="shared" si="39"/>
        <v>366.18932923859995</v>
      </c>
      <c r="AQ14" s="31">
        <f t="shared" si="40"/>
        <v>3198.1142850248502</v>
      </c>
      <c r="AR14" s="31">
        <f t="shared" si="41"/>
        <v>448.12250100279795</v>
      </c>
      <c r="AS14" s="27">
        <v>3646.2367860276481</v>
      </c>
      <c r="AT14" s="35">
        <f t="shared" si="7"/>
        <v>0.22374538311795611</v>
      </c>
      <c r="AU14" s="36">
        <v>2979.571434</v>
      </c>
      <c r="AV14" s="31">
        <f t="shared" si="42"/>
        <v>2613.3821047614001</v>
      </c>
      <c r="AW14" s="31">
        <f t="shared" si="43"/>
        <v>366.18932923859995</v>
      </c>
      <c r="AX14" s="31">
        <f t="shared" si="44"/>
        <v>2582.4924560761056</v>
      </c>
      <c r="AY14" s="31">
        <f t="shared" si="45"/>
        <v>361.86104532180292</v>
      </c>
      <c r="AZ14" s="27">
        <v>2944.3535013979085</v>
      </c>
      <c r="BA14" s="35">
        <f t="shared" si="8"/>
        <v>-1.1819798042167484E-2</v>
      </c>
      <c r="BB14" s="36">
        <v>2979.571434</v>
      </c>
      <c r="BC14" s="31">
        <f t="shared" si="46"/>
        <v>2613.3821047614001</v>
      </c>
      <c r="BD14" s="31">
        <f t="shared" si="47"/>
        <v>366.18932923859995</v>
      </c>
      <c r="BE14" s="31">
        <f t="shared" si="48"/>
        <v>0</v>
      </c>
      <c r="BF14" s="31">
        <f t="shared" si="49"/>
        <v>0</v>
      </c>
      <c r="BG14" s="27">
        <f t="shared" si="9"/>
        <v>0</v>
      </c>
      <c r="BH14" s="35">
        <f t="shared" si="10"/>
        <v>-1</v>
      </c>
      <c r="BI14" s="36">
        <v>2979.571434</v>
      </c>
      <c r="BJ14" s="31">
        <f t="shared" si="50"/>
        <v>2613.3821047614001</v>
      </c>
      <c r="BK14" s="31">
        <f t="shared" si="51"/>
        <v>366.18932923859995</v>
      </c>
      <c r="BL14" s="31">
        <f t="shared" si="52"/>
        <v>0</v>
      </c>
      <c r="BM14" s="31">
        <f t="shared" si="53"/>
        <v>0</v>
      </c>
      <c r="BN14" s="27">
        <f t="shared" si="11"/>
        <v>0</v>
      </c>
      <c r="BO14" s="37">
        <f t="shared" si="12"/>
        <v>-1</v>
      </c>
      <c r="BP14" s="36">
        <v>2979.571434</v>
      </c>
      <c r="BQ14" s="31">
        <f t="shared" si="54"/>
        <v>2613.3821047614001</v>
      </c>
      <c r="BR14" s="31">
        <f t="shared" si="55"/>
        <v>366.18932923859995</v>
      </c>
      <c r="BS14" s="31">
        <f t="shared" si="56"/>
        <v>0</v>
      </c>
      <c r="BT14" s="31">
        <f t="shared" si="57"/>
        <v>0</v>
      </c>
      <c r="BU14" s="27">
        <f t="shared" si="13"/>
        <v>0</v>
      </c>
      <c r="BV14" s="37">
        <f t="shared" si="14"/>
        <v>-1</v>
      </c>
      <c r="BW14" s="36">
        <v>2979.571434</v>
      </c>
      <c r="BX14" s="31">
        <f t="shared" si="58"/>
        <v>2613.3821047614001</v>
      </c>
      <c r="BY14" s="31">
        <f t="shared" si="59"/>
        <v>366.18932923859995</v>
      </c>
      <c r="BZ14" s="31">
        <f t="shared" si="60"/>
        <v>0</v>
      </c>
      <c r="CA14" s="31">
        <f t="shared" si="61"/>
        <v>0</v>
      </c>
      <c r="CB14" s="27">
        <f t="shared" si="15"/>
        <v>0</v>
      </c>
      <c r="CC14" s="37">
        <f t="shared" si="16"/>
        <v>-1</v>
      </c>
      <c r="CD14" s="36">
        <v>2979.571434</v>
      </c>
      <c r="CE14" s="31">
        <f t="shared" si="62"/>
        <v>2613.3821047614001</v>
      </c>
      <c r="CF14" s="31">
        <f t="shared" si="63"/>
        <v>366.18932923859995</v>
      </c>
      <c r="CG14" s="31">
        <f t="shared" si="64"/>
        <v>0</v>
      </c>
      <c r="CH14" s="31">
        <f t="shared" si="65"/>
        <v>0</v>
      </c>
      <c r="CI14" s="27">
        <f t="shared" si="17"/>
        <v>0</v>
      </c>
      <c r="CJ14" s="37">
        <f t="shared" si="18"/>
        <v>-1</v>
      </c>
      <c r="CK14" s="36">
        <v>2979.571434</v>
      </c>
      <c r="CL14" s="31">
        <f t="shared" si="66"/>
        <v>2613.3821047614001</v>
      </c>
      <c r="CM14" s="31">
        <f t="shared" si="67"/>
        <v>366.18932923859995</v>
      </c>
      <c r="CN14" s="31">
        <f t="shared" si="68"/>
        <v>0</v>
      </c>
      <c r="CO14" s="31">
        <f t="shared" si="69"/>
        <v>0</v>
      </c>
      <c r="CP14" s="27">
        <f t="shared" si="19"/>
        <v>0</v>
      </c>
      <c r="CQ14" s="37">
        <f t="shared" si="20"/>
        <v>-1</v>
      </c>
      <c r="CS14" s="27">
        <f>5110.83</f>
        <v>5110.83</v>
      </c>
      <c r="CT14" s="27">
        <f>18674.19</f>
        <v>18674.189999999999</v>
      </c>
      <c r="CU14" s="27">
        <f>6960.01</f>
        <v>6960.01</v>
      </c>
      <c r="CV14" s="27">
        <f>6654.01</f>
        <v>6654.01</v>
      </c>
      <c r="CW14" s="27"/>
      <c r="CX14" s="27"/>
      <c r="CY14" s="27"/>
      <c r="CZ14" s="27"/>
      <c r="DA14" s="27"/>
      <c r="DB14" s="27"/>
      <c r="DC14" s="27"/>
      <c r="DD14" s="27"/>
      <c r="DF14" s="28"/>
    </row>
    <row r="15" spans="1:110" s="26" customFormat="1" ht="16" customHeight="1" x14ac:dyDescent="0.2">
      <c r="A15" s="38" t="s">
        <v>39</v>
      </c>
      <c r="B15" s="30">
        <f t="shared" si="0"/>
        <v>97572.056659999973</v>
      </c>
      <c r="C15" s="31">
        <f t="shared" si="0"/>
        <v>85580.450896485985</v>
      </c>
      <c r="D15" s="32">
        <f t="shared" si="0"/>
        <v>11991.605763513999</v>
      </c>
      <c r="E15" s="30">
        <f t="shared" si="21"/>
        <v>32313.940079999997</v>
      </c>
      <c r="F15" s="33">
        <f t="shared" si="21"/>
        <v>28342.556844167997</v>
      </c>
      <c r="G15" s="34">
        <f t="shared" si="21"/>
        <v>3971.3832358319996</v>
      </c>
      <c r="H15" s="31">
        <f t="shared" si="1"/>
        <v>50163.187609738248</v>
      </c>
      <c r="I15" s="33">
        <f t="shared" si="1"/>
        <v>7028.9086275645086</v>
      </c>
      <c r="J15" s="33">
        <f t="shared" si="1"/>
        <v>57192.096237302758</v>
      </c>
      <c r="K15" s="35">
        <f t="shared" si="2"/>
        <v>0.76988928294450076</v>
      </c>
      <c r="L15" s="36">
        <v>8078.4850199999992</v>
      </c>
      <c r="M15" s="40">
        <f t="shared" si="22"/>
        <v>7085.6392110419993</v>
      </c>
      <c r="N15" s="40">
        <f t="shared" si="23"/>
        <v>992.84580895799991</v>
      </c>
      <c r="O15" s="40">
        <f t="shared" si="24"/>
        <v>6349.1246477069399</v>
      </c>
      <c r="P15" s="40">
        <f t="shared" si="25"/>
        <v>889.64476023621364</v>
      </c>
      <c r="Q15" s="41">
        <v>7238.769407943154</v>
      </c>
      <c r="R15" s="35">
        <f t="shared" si="3"/>
        <v>-0.10394468888386266</v>
      </c>
      <c r="S15" s="36">
        <v>8078.4850199999992</v>
      </c>
      <c r="T15" s="40">
        <f t="shared" si="26"/>
        <v>7085.6392110419993</v>
      </c>
      <c r="U15" s="40">
        <f t="shared" si="27"/>
        <v>992.84580895799991</v>
      </c>
      <c r="V15" s="40">
        <f t="shared" si="28"/>
        <v>6325.7323804149109</v>
      </c>
      <c r="W15" s="40">
        <f t="shared" si="29"/>
        <v>886.36701579408566</v>
      </c>
      <c r="X15" s="41">
        <v>7212.099396208997</v>
      </c>
      <c r="Y15" s="35">
        <f t="shared" si="4"/>
        <v>-0.1072460519077626</v>
      </c>
      <c r="Z15" s="36">
        <v>8078.4850199999992</v>
      </c>
      <c r="AA15" s="40">
        <f t="shared" si="30"/>
        <v>7085.6392110419993</v>
      </c>
      <c r="AB15" s="40">
        <f t="shared" si="31"/>
        <v>992.84580895799991</v>
      </c>
      <c r="AC15" s="40">
        <f t="shared" si="32"/>
        <v>9476.0193105832914</v>
      </c>
      <c r="AD15" s="40">
        <f t="shared" si="33"/>
        <v>1327.7879070467295</v>
      </c>
      <c r="AE15" s="41">
        <v>10803.807217630021</v>
      </c>
      <c r="AF15" s="35">
        <f t="shared" si="5"/>
        <v>0.33735560453264557</v>
      </c>
      <c r="AG15" s="36">
        <v>8078.4850199999992</v>
      </c>
      <c r="AH15" s="40">
        <f t="shared" si="34"/>
        <v>7085.6392110419993</v>
      </c>
      <c r="AI15" s="40">
        <f t="shared" si="35"/>
        <v>992.84580895799991</v>
      </c>
      <c r="AJ15" s="40">
        <f t="shared" si="36"/>
        <v>11183.116096560832</v>
      </c>
      <c r="AK15" s="40">
        <f t="shared" si="37"/>
        <v>1566.9877645277918</v>
      </c>
      <c r="AL15" s="41">
        <v>12750.103861088624</v>
      </c>
      <c r="AM15" s="35">
        <f t="shared" si="6"/>
        <v>0.57827907454467575</v>
      </c>
      <c r="AN15" s="36">
        <v>8078.4850199999992</v>
      </c>
      <c r="AO15" s="40">
        <f t="shared" si="38"/>
        <v>7085.6392110419993</v>
      </c>
      <c r="AP15" s="40">
        <f t="shared" si="39"/>
        <v>992.84580895799991</v>
      </c>
      <c r="AQ15" s="40">
        <f t="shared" si="40"/>
        <v>8976.5930570827895</v>
      </c>
      <c r="AR15" s="40">
        <f t="shared" si="41"/>
        <v>1257.8078744903373</v>
      </c>
      <c r="AS15" s="42">
        <v>10234.400931573127</v>
      </c>
      <c r="AT15" s="35">
        <f t="shared" si="7"/>
        <v>0.26687131389557606</v>
      </c>
      <c r="AU15" s="36">
        <v>8078.4850199999992</v>
      </c>
      <c r="AV15" s="40">
        <f t="shared" si="42"/>
        <v>7085.6392110419993</v>
      </c>
      <c r="AW15" s="40">
        <f t="shared" si="43"/>
        <v>992.84580895799991</v>
      </c>
      <c r="AX15" s="40">
        <f t="shared" si="44"/>
        <v>7852.6021173894833</v>
      </c>
      <c r="AY15" s="40">
        <f t="shared" si="45"/>
        <v>1100.3133054693506</v>
      </c>
      <c r="AZ15" s="42">
        <v>8952.9154228588341</v>
      </c>
      <c r="BA15" s="35">
        <f t="shared" si="8"/>
        <v>0.10824187959673104</v>
      </c>
      <c r="BB15" s="36">
        <v>8708.7214399999993</v>
      </c>
      <c r="BC15" s="40">
        <f t="shared" si="46"/>
        <v>7638.4195750239996</v>
      </c>
      <c r="BD15" s="40">
        <f t="shared" si="47"/>
        <v>1070.3018649759999</v>
      </c>
      <c r="BE15" s="40">
        <f t="shared" si="48"/>
        <v>0</v>
      </c>
      <c r="BF15" s="40">
        <f t="shared" si="49"/>
        <v>0</v>
      </c>
      <c r="BG15" s="42">
        <f t="shared" si="9"/>
        <v>0</v>
      </c>
      <c r="BH15" s="35">
        <f t="shared" si="10"/>
        <v>-1</v>
      </c>
      <c r="BI15" s="36">
        <v>8078.4850199999992</v>
      </c>
      <c r="BJ15" s="40">
        <f t="shared" si="50"/>
        <v>7085.6392110419993</v>
      </c>
      <c r="BK15" s="40">
        <f t="shared" si="51"/>
        <v>992.84580895799991</v>
      </c>
      <c r="BL15" s="40">
        <f t="shared" si="52"/>
        <v>0</v>
      </c>
      <c r="BM15" s="40">
        <f t="shared" si="53"/>
        <v>0</v>
      </c>
      <c r="BN15" s="42">
        <f t="shared" si="11"/>
        <v>0</v>
      </c>
      <c r="BO15" s="37">
        <f t="shared" si="12"/>
        <v>-1</v>
      </c>
      <c r="BP15" s="36">
        <v>8078.4850199999992</v>
      </c>
      <c r="BQ15" s="40">
        <f t="shared" si="54"/>
        <v>7085.6392110419993</v>
      </c>
      <c r="BR15" s="40">
        <f t="shared" si="55"/>
        <v>992.84580895799991</v>
      </c>
      <c r="BS15" s="40">
        <f t="shared" si="56"/>
        <v>0</v>
      </c>
      <c r="BT15" s="40">
        <f t="shared" si="57"/>
        <v>0</v>
      </c>
      <c r="BU15" s="42">
        <f t="shared" si="13"/>
        <v>0</v>
      </c>
      <c r="BV15" s="37">
        <f t="shared" si="14"/>
        <v>-1</v>
      </c>
      <c r="BW15" s="36">
        <v>8078.4850199999992</v>
      </c>
      <c r="BX15" s="40">
        <f t="shared" si="58"/>
        <v>7085.6392110419993</v>
      </c>
      <c r="BY15" s="40">
        <f t="shared" si="59"/>
        <v>992.84580895799991</v>
      </c>
      <c r="BZ15" s="40">
        <f t="shared" si="60"/>
        <v>0</v>
      </c>
      <c r="CA15" s="40">
        <f t="shared" si="61"/>
        <v>0</v>
      </c>
      <c r="CB15" s="42">
        <f t="shared" si="15"/>
        <v>0</v>
      </c>
      <c r="CC15" s="37">
        <f t="shared" si="16"/>
        <v>-1</v>
      </c>
      <c r="CD15" s="36">
        <v>8078.4850199999992</v>
      </c>
      <c r="CE15" s="40">
        <f t="shared" si="62"/>
        <v>7085.6392110419993</v>
      </c>
      <c r="CF15" s="40">
        <f t="shared" si="63"/>
        <v>992.84580895799991</v>
      </c>
      <c r="CG15" s="40">
        <f t="shared" si="64"/>
        <v>0</v>
      </c>
      <c r="CH15" s="40">
        <f t="shared" si="65"/>
        <v>0</v>
      </c>
      <c r="CI15" s="42">
        <f t="shared" si="17"/>
        <v>0</v>
      </c>
      <c r="CJ15" s="37">
        <f t="shared" si="18"/>
        <v>-1</v>
      </c>
      <c r="CK15" s="36">
        <v>8078.4850199999992</v>
      </c>
      <c r="CL15" s="40">
        <f t="shared" si="66"/>
        <v>7085.6392110419993</v>
      </c>
      <c r="CM15" s="40">
        <f t="shared" si="67"/>
        <v>992.84580895799991</v>
      </c>
      <c r="CN15" s="40">
        <f t="shared" si="68"/>
        <v>0</v>
      </c>
      <c r="CO15" s="40">
        <f t="shared" si="69"/>
        <v>0</v>
      </c>
      <c r="CP15" s="42">
        <f t="shared" si="19"/>
        <v>0</v>
      </c>
      <c r="CQ15" s="37">
        <f t="shared" si="20"/>
        <v>-1</v>
      </c>
      <c r="CS15" s="27">
        <f>1264.62+27233.78-(19.42+11979.37)</f>
        <v>16499.609999999997</v>
      </c>
      <c r="CT15" s="27">
        <f>1279.3+160660.28-(43565.68+101935.08)</f>
        <v>16438.819999999978</v>
      </c>
      <c r="CU15" s="27">
        <f>1264.62+23360.92</f>
        <v>24625.539999999997</v>
      </c>
      <c r="CV15" s="27">
        <f>1273.98+27787.83</f>
        <v>29061.81</v>
      </c>
      <c r="CW15" s="27"/>
      <c r="CX15" s="27"/>
      <c r="CY15" s="27"/>
      <c r="CZ15" s="27"/>
      <c r="DA15" s="27"/>
      <c r="DB15" s="27"/>
      <c r="DC15" s="27"/>
      <c r="DD15" s="27"/>
      <c r="DF15" s="28"/>
    </row>
    <row r="16" spans="1:110" s="26" customFormat="1" ht="16" customHeight="1" x14ac:dyDescent="0.2">
      <c r="A16" s="29" t="s">
        <v>40</v>
      </c>
      <c r="B16" s="30">
        <f t="shared" si="0"/>
        <v>32902.5</v>
      </c>
      <c r="C16" s="31">
        <f t="shared" si="0"/>
        <v>28858.782749999995</v>
      </c>
      <c r="D16" s="32">
        <f t="shared" si="0"/>
        <v>4043.7172499999997</v>
      </c>
      <c r="E16" s="30">
        <f t="shared" si="21"/>
        <v>10967.5</v>
      </c>
      <c r="F16" s="33">
        <f t="shared" si="21"/>
        <v>9619.5942500000001</v>
      </c>
      <c r="G16" s="34">
        <f t="shared" si="21"/>
        <v>1347.9057499999999</v>
      </c>
      <c r="H16" s="31">
        <f t="shared" si="1"/>
        <v>80850.017339855971</v>
      </c>
      <c r="I16" s="33">
        <f t="shared" si="1"/>
        <v>11328.773379396076</v>
      </c>
      <c r="J16" s="33">
        <f t="shared" si="1"/>
        <v>92178.790719252051</v>
      </c>
      <c r="K16" s="35">
        <f t="shared" si="2"/>
        <v>7.4047221991567866</v>
      </c>
      <c r="L16" s="36">
        <v>2741.875</v>
      </c>
      <c r="M16" s="31">
        <f t="shared" si="22"/>
        <v>2404.8985625</v>
      </c>
      <c r="N16" s="31">
        <f t="shared" si="23"/>
        <v>336.97643749999997</v>
      </c>
      <c r="O16" s="31">
        <f t="shared" si="24"/>
        <v>2203.1829361700179</v>
      </c>
      <c r="P16" s="31">
        <f t="shared" si="25"/>
        <v>308.71187191345933</v>
      </c>
      <c r="Q16" s="33">
        <v>2511.8948080834771</v>
      </c>
      <c r="R16" s="35">
        <f t="shared" si="3"/>
        <v>-8.3876979044093192E-2</v>
      </c>
      <c r="S16" s="36">
        <v>2741.875</v>
      </c>
      <c r="T16" s="31">
        <f t="shared" si="26"/>
        <v>2404.8985625</v>
      </c>
      <c r="U16" s="31">
        <f t="shared" si="27"/>
        <v>336.97643749999997</v>
      </c>
      <c r="V16" s="31">
        <f t="shared" si="28"/>
        <v>38683.025505389916</v>
      </c>
      <c r="W16" s="31">
        <f t="shared" si="29"/>
        <v>5420.2985231016082</v>
      </c>
      <c r="X16" s="33">
        <v>44103.324028491523</v>
      </c>
      <c r="Y16" s="35">
        <f t="shared" si="4"/>
        <v>15.085096522814322</v>
      </c>
      <c r="Z16" s="36">
        <v>2741.875</v>
      </c>
      <c r="AA16" s="31">
        <f t="shared" si="30"/>
        <v>2404.8985625</v>
      </c>
      <c r="AB16" s="31">
        <f t="shared" si="31"/>
        <v>336.97643749999997</v>
      </c>
      <c r="AC16" s="31">
        <f t="shared" si="32"/>
        <v>2417.6999167142358</v>
      </c>
      <c r="AD16" s="31">
        <f t="shared" si="33"/>
        <v>338.77017416962673</v>
      </c>
      <c r="AE16" s="33">
        <v>2756.4700908838627</v>
      </c>
      <c r="AF16" s="35">
        <f t="shared" si="5"/>
        <v>5.3230329186642056E-3</v>
      </c>
      <c r="AG16" s="36">
        <v>2741.875</v>
      </c>
      <c r="AH16" s="31">
        <f t="shared" si="34"/>
        <v>2404.8985625</v>
      </c>
      <c r="AI16" s="31">
        <f t="shared" si="35"/>
        <v>336.97643749999997</v>
      </c>
      <c r="AJ16" s="31">
        <f t="shared" si="36"/>
        <v>8795.1654179506622</v>
      </c>
      <c r="AK16" s="31">
        <f t="shared" si="37"/>
        <v>1232.3860789717664</v>
      </c>
      <c r="AL16" s="33">
        <v>10027.551496922428</v>
      </c>
      <c r="AM16" s="35">
        <f t="shared" si="6"/>
        <v>2.6571876897825129</v>
      </c>
      <c r="AN16" s="36">
        <v>2741.875</v>
      </c>
      <c r="AO16" s="31">
        <f t="shared" si="38"/>
        <v>2404.8985625</v>
      </c>
      <c r="AP16" s="31">
        <f t="shared" si="39"/>
        <v>336.97643749999997</v>
      </c>
      <c r="AQ16" s="31">
        <f t="shared" si="40"/>
        <v>5315.6974538135528</v>
      </c>
      <c r="AR16" s="31">
        <f t="shared" si="41"/>
        <v>744.84006051041581</v>
      </c>
      <c r="AS16" s="27">
        <v>6060.5375143239689</v>
      </c>
      <c r="AT16" s="35">
        <f t="shared" si="7"/>
        <v>1.2103624396896171</v>
      </c>
      <c r="AU16" s="36">
        <v>2741.875</v>
      </c>
      <c r="AV16" s="31">
        <f t="shared" si="42"/>
        <v>2404.8985625</v>
      </c>
      <c r="AW16" s="31">
        <f t="shared" si="43"/>
        <v>336.97643749999997</v>
      </c>
      <c r="AX16" s="31">
        <f t="shared" si="44"/>
        <v>23435.246109817585</v>
      </c>
      <c r="AY16" s="31">
        <f t="shared" si="45"/>
        <v>3283.7666707291996</v>
      </c>
      <c r="AZ16" s="27">
        <v>26719.012780546786</v>
      </c>
      <c r="BA16" s="35">
        <f t="shared" si="8"/>
        <v>8.7447960904661173</v>
      </c>
      <c r="BB16" s="36">
        <v>2741.875</v>
      </c>
      <c r="BC16" s="31">
        <f t="shared" si="46"/>
        <v>2404.8985625</v>
      </c>
      <c r="BD16" s="31">
        <f t="shared" si="47"/>
        <v>336.97643749999997</v>
      </c>
      <c r="BE16" s="31">
        <f t="shared" si="48"/>
        <v>0</v>
      </c>
      <c r="BF16" s="31">
        <f t="shared" si="49"/>
        <v>0</v>
      </c>
      <c r="BG16" s="27">
        <f t="shared" si="9"/>
        <v>0</v>
      </c>
      <c r="BH16" s="35">
        <f t="shared" si="10"/>
        <v>-1</v>
      </c>
      <c r="BI16" s="36">
        <v>2741.875</v>
      </c>
      <c r="BJ16" s="31">
        <f t="shared" si="50"/>
        <v>2404.8985625</v>
      </c>
      <c r="BK16" s="31">
        <f t="shared" si="51"/>
        <v>336.97643749999997</v>
      </c>
      <c r="BL16" s="31">
        <f t="shared" si="52"/>
        <v>0</v>
      </c>
      <c r="BM16" s="31">
        <f t="shared" si="53"/>
        <v>0</v>
      </c>
      <c r="BN16" s="27">
        <f t="shared" si="11"/>
        <v>0</v>
      </c>
      <c r="BO16" s="37">
        <f t="shared" si="12"/>
        <v>-1</v>
      </c>
      <c r="BP16" s="36">
        <v>2741.875</v>
      </c>
      <c r="BQ16" s="31">
        <f t="shared" si="54"/>
        <v>2404.8985625</v>
      </c>
      <c r="BR16" s="31">
        <f t="shared" si="55"/>
        <v>336.97643749999997</v>
      </c>
      <c r="BS16" s="31">
        <f t="shared" si="56"/>
        <v>0</v>
      </c>
      <c r="BT16" s="31">
        <f t="shared" si="57"/>
        <v>0</v>
      </c>
      <c r="BU16" s="27">
        <f t="shared" si="13"/>
        <v>0</v>
      </c>
      <c r="BV16" s="37">
        <f t="shared" si="14"/>
        <v>-1</v>
      </c>
      <c r="BW16" s="36">
        <v>2741.875</v>
      </c>
      <c r="BX16" s="31">
        <f t="shared" si="58"/>
        <v>2404.8985625</v>
      </c>
      <c r="BY16" s="31">
        <f t="shared" si="59"/>
        <v>336.97643749999997</v>
      </c>
      <c r="BZ16" s="31">
        <f t="shared" si="60"/>
        <v>0</v>
      </c>
      <c r="CA16" s="31">
        <f t="shared" si="61"/>
        <v>0</v>
      </c>
      <c r="CB16" s="27">
        <f t="shared" si="15"/>
        <v>0</v>
      </c>
      <c r="CC16" s="37">
        <f t="shared" si="16"/>
        <v>-1</v>
      </c>
      <c r="CD16" s="36">
        <v>2741.875</v>
      </c>
      <c r="CE16" s="31">
        <f t="shared" si="62"/>
        <v>2404.8985625</v>
      </c>
      <c r="CF16" s="31">
        <f t="shared" si="63"/>
        <v>336.97643749999997</v>
      </c>
      <c r="CG16" s="31">
        <f t="shared" si="64"/>
        <v>0</v>
      </c>
      <c r="CH16" s="31">
        <f t="shared" si="65"/>
        <v>0</v>
      </c>
      <c r="CI16" s="27">
        <f t="shared" si="17"/>
        <v>0</v>
      </c>
      <c r="CJ16" s="37">
        <f t="shared" si="18"/>
        <v>-1</v>
      </c>
      <c r="CK16" s="36">
        <v>2741.875</v>
      </c>
      <c r="CL16" s="31">
        <f t="shared" si="66"/>
        <v>2404.8985625</v>
      </c>
      <c r="CM16" s="31">
        <f t="shared" si="67"/>
        <v>336.97643749999997</v>
      </c>
      <c r="CN16" s="31">
        <f t="shared" si="68"/>
        <v>0</v>
      </c>
      <c r="CO16" s="31">
        <f t="shared" si="69"/>
        <v>0</v>
      </c>
      <c r="CP16" s="27">
        <f t="shared" si="19"/>
        <v>0</v>
      </c>
      <c r="CQ16" s="37">
        <f t="shared" si="20"/>
        <v>-1</v>
      </c>
      <c r="CS16" s="27">
        <f>5725.46</f>
        <v>5725.46</v>
      </c>
      <c r="CT16" s="27">
        <f>100526.43</f>
        <v>100526.43</v>
      </c>
      <c r="CU16" s="27">
        <f>6282.93</f>
        <v>6282.93</v>
      </c>
      <c r="CV16" s="27">
        <f>22856.19</f>
        <v>22856.19</v>
      </c>
      <c r="CW16" s="27"/>
      <c r="CX16" s="27"/>
      <c r="CY16" s="27"/>
      <c r="CZ16" s="27"/>
      <c r="DA16" s="27"/>
      <c r="DB16" s="27"/>
      <c r="DC16" s="27"/>
      <c r="DD16" s="27"/>
      <c r="DF16" s="28"/>
    </row>
    <row r="17" spans="1:110" s="26" customFormat="1" ht="16" customHeight="1" x14ac:dyDescent="0.2">
      <c r="A17" s="38" t="s">
        <v>41</v>
      </c>
      <c r="B17" s="30">
        <f t="shared" si="0"/>
        <v>414334.60199999996</v>
      </c>
      <c r="C17" s="31">
        <f t="shared" si="0"/>
        <v>363412.87941420003</v>
      </c>
      <c r="D17" s="32">
        <f t="shared" si="0"/>
        <v>50921.72258579998</v>
      </c>
      <c r="E17" s="30">
        <f t="shared" si="21"/>
        <v>138111.53399999999</v>
      </c>
      <c r="F17" s="33">
        <f t="shared" si="21"/>
        <v>121137.62647139998</v>
      </c>
      <c r="G17" s="34">
        <f t="shared" si="21"/>
        <v>16973.907528599997</v>
      </c>
      <c r="H17" s="31">
        <f t="shared" si="1"/>
        <v>208971.17228216492</v>
      </c>
      <c r="I17" s="33">
        <f t="shared" si="1"/>
        <v>29281.218872965532</v>
      </c>
      <c r="J17" s="33">
        <f t="shared" si="1"/>
        <v>238252.39115513049</v>
      </c>
      <c r="K17" s="35">
        <f t="shared" si="2"/>
        <v>0.72507236908345774</v>
      </c>
      <c r="L17" s="36">
        <v>34527.883499999996</v>
      </c>
      <c r="M17" s="31">
        <f t="shared" si="22"/>
        <v>30284.406617849996</v>
      </c>
      <c r="N17" s="31">
        <f t="shared" si="23"/>
        <v>4243.4768821499993</v>
      </c>
      <c r="O17" s="31">
        <f t="shared" si="24"/>
        <v>23525.92644657335</v>
      </c>
      <c r="P17" s="31">
        <f t="shared" si="25"/>
        <v>3296.4728768485516</v>
      </c>
      <c r="Q17" s="33">
        <v>26822.399323421901</v>
      </c>
      <c r="R17" s="35">
        <f t="shared" si="3"/>
        <v>-0.22316699998649192</v>
      </c>
      <c r="S17" s="36">
        <v>34527.883499999996</v>
      </c>
      <c r="T17" s="31">
        <f t="shared" si="26"/>
        <v>30284.406617849996</v>
      </c>
      <c r="U17" s="31">
        <f t="shared" si="27"/>
        <v>4243.4768821499993</v>
      </c>
      <c r="V17" s="31">
        <f t="shared" si="28"/>
        <v>23642.466378930621</v>
      </c>
      <c r="W17" s="31">
        <f t="shared" si="29"/>
        <v>3312.8025515569184</v>
      </c>
      <c r="X17" s="33">
        <v>26955.268930487538</v>
      </c>
      <c r="Y17" s="35">
        <f t="shared" si="4"/>
        <v>-0.21931881719632362</v>
      </c>
      <c r="Z17" s="36">
        <v>34527.883499999996</v>
      </c>
      <c r="AA17" s="31">
        <f t="shared" si="30"/>
        <v>30284.406617849996</v>
      </c>
      <c r="AB17" s="31">
        <f t="shared" si="31"/>
        <v>4243.4768821499993</v>
      </c>
      <c r="AC17" s="31">
        <f t="shared" si="32"/>
        <v>28968.638096563922</v>
      </c>
      <c r="AD17" s="31">
        <f t="shared" si="33"/>
        <v>4059.1102748463186</v>
      </c>
      <c r="AE17" s="27">
        <v>33027.748371410242</v>
      </c>
      <c r="AF17" s="35">
        <f t="shared" si="5"/>
        <v>-4.3447062968390626E-2</v>
      </c>
      <c r="AG17" s="36">
        <v>34527.883499999996</v>
      </c>
      <c r="AH17" s="31">
        <f t="shared" si="34"/>
        <v>30284.406617849996</v>
      </c>
      <c r="AI17" s="31">
        <f t="shared" si="35"/>
        <v>4243.4768821499993</v>
      </c>
      <c r="AJ17" s="31">
        <f t="shared" si="36"/>
        <v>49545.467486650945</v>
      </c>
      <c r="AK17" s="31">
        <f t="shared" si="37"/>
        <v>6942.3531571193716</v>
      </c>
      <c r="AL17" s="27">
        <v>56487.820643770319</v>
      </c>
      <c r="AM17" s="35">
        <f t="shared" si="6"/>
        <v>0.63600588619254128</v>
      </c>
      <c r="AN17" s="36">
        <v>34527.883499999996</v>
      </c>
      <c r="AO17" s="31">
        <f t="shared" si="38"/>
        <v>30284.406617849996</v>
      </c>
      <c r="AP17" s="31">
        <f t="shared" si="39"/>
        <v>4243.4768821499993</v>
      </c>
      <c r="AQ17" s="31">
        <f t="shared" si="40"/>
        <v>35569.17931977009</v>
      </c>
      <c r="AR17" s="31">
        <f t="shared" si="41"/>
        <v>4983.9837400521537</v>
      </c>
      <c r="AS17" s="27">
        <v>40553.163059822247</v>
      </c>
      <c r="AT17" s="35">
        <f t="shared" si="7"/>
        <v>0.17450474657162962</v>
      </c>
      <c r="AU17" s="36">
        <v>34527.883499999996</v>
      </c>
      <c r="AV17" s="31">
        <f t="shared" si="42"/>
        <v>30284.406617849996</v>
      </c>
      <c r="AW17" s="31">
        <f t="shared" si="43"/>
        <v>4243.4768821499993</v>
      </c>
      <c r="AX17" s="31">
        <f t="shared" si="44"/>
        <v>47719.494553676006</v>
      </c>
      <c r="AY17" s="31">
        <f t="shared" si="45"/>
        <v>6686.4962725422192</v>
      </c>
      <c r="AZ17" s="27">
        <v>54405.990826218222</v>
      </c>
      <c r="BA17" s="35">
        <f t="shared" si="8"/>
        <v>0.57571172372086532</v>
      </c>
      <c r="BB17" s="36">
        <v>34527.883499999996</v>
      </c>
      <c r="BC17" s="31">
        <f t="shared" si="46"/>
        <v>30284.406617849996</v>
      </c>
      <c r="BD17" s="31">
        <f t="shared" si="47"/>
        <v>4243.4768821499993</v>
      </c>
      <c r="BE17" s="31">
        <f t="shared" si="48"/>
        <v>0</v>
      </c>
      <c r="BF17" s="31">
        <f t="shared" si="49"/>
        <v>0</v>
      </c>
      <c r="BG17" s="27"/>
      <c r="BH17" s="35">
        <f t="shared" si="10"/>
        <v>-1</v>
      </c>
      <c r="BI17" s="36">
        <v>34527.883499999996</v>
      </c>
      <c r="BJ17" s="31">
        <f t="shared" si="50"/>
        <v>30284.406617849996</v>
      </c>
      <c r="BK17" s="31">
        <f t="shared" si="51"/>
        <v>4243.4768821499993</v>
      </c>
      <c r="BL17" s="31">
        <f t="shared" si="52"/>
        <v>0</v>
      </c>
      <c r="BM17" s="31">
        <f t="shared" si="53"/>
        <v>0</v>
      </c>
      <c r="BN17" s="27"/>
      <c r="BO17" s="37">
        <f t="shared" si="12"/>
        <v>-1</v>
      </c>
      <c r="BP17" s="36">
        <v>34527.883499999996</v>
      </c>
      <c r="BQ17" s="31">
        <f t="shared" si="54"/>
        <v>30284.406617849996</v>
      </c>
      <c r="BR17" s="31">
        <f t="shared" si="55"/>
        <v>4243.4768821499993</v>
      </c>
      <c r="BS17" s="31">
        <f t="shared" si="56"/>
        <v>0</v>
      </c>
      <c r="BT17" s="31">
        <f t="shared" si="57"/>
        <v>0</v>
      </c>
      <c r="BU17" s="27"/>
      <c r="BV17" s="37">
        <f t="shared" si="14"/>
        <v>-1</v>
      </c>
      <c r="BW17" s="36">
        <v>34527.883499999996</v>
      </c>
      <c r="BX17" s="31">
        <f t="shared" si="58"/>
        <v>30284.406617849996</v>
      </c>
      <c r="BY17" s="31">
        <f t="shared" si="59"/>
        <v>4243.4768821499993</v>
      </c>
      <c r="BZ17" s="31">
        <f t="shared" si="60"/>
        <v>0</v>
      </c>
      <c r="CA17" s="31">
        <f t="shared" si="61"/>
        <v>0</v>
      </c>
      <c r="CB17" s="27"/>
      <c r="CC17" s="37">
        <f t="shared" si="16"/>
        <v>-1</v>
      </c>
      <c r="CD17" s="36">
        <v>34527.883499999996</v>
      </c>
      <c r="CE17" s="31">
        <f t="shared" si="62"/>
        <v>30284.406617849996</v>
      </c>
      <c r="CF17" s="31">
        <f t="shared" si="63"/>
        <v>4243.4768821499993</v>
      </c>
      <c r="CG17" s="31">
        <f t="shared" si="64"/>
        <v>0</v>
      </c>
      <c r="CH17" s="31">
        <f t="shared" si="65"/>
        <v>0</v>
      </c>
      <c r="CI17" s="27"/>
      <c r="CJ17" s="37">
        <f t="shared" si="18"/>
        <v>-1</v>
      </c>
      <c r="CK17" s="36">
        <v>34527.883499999996</v>
      </c>
      <c r="CL17" s="31">
        <f t="shared" si="66"/>
        <v>30284.406617849996</v>
      </c>
      <c r="CM17" s="31">
        <f t="shared" si="67"/>
        <v>4243.4768821499993</v>
      </c>
      <c r="CN17" s="31">
        <f t="shared" si="68"/>
        <v>0</v>
      </c>
      <c r="CO17" s="31">
        <f t="shared" si="69"/>
        <v>0</v>
      </c>
      <c r="CP17" s="27"/>
      <c r="CQ17" s="37">
        <f t="shared" si="20"/>
        <v>-1</v>
      </c>
      <c r="CS17" s="27"/>
      <c r="CT17" s="27"/>
      <c r="CU17" s="27"/>
      <c r="CV17" s="27"/>
      <c r="CW17" s="27"/>
      <c r="CX17" s="27"/>
      <c r="CY17" s="27"/>
      <c r="CZ17" s="27"/>
      <c r="DA17" s="27"/>
      <c r="DB17" s="27"/>
      <c r="DC17" s="27"/>
      <c r="DD17" s="27"/>
      <c r="DF17" s="28"/>
    </row>
    <row r="18" spans="1:110" s="26" customFormat="1" ht="16" customHeight="1" x14ac:dyDescent="0.2">
      <c r="A18" s="38" t="s">
        <v>42</v>
      </c>
      <c r="B18" s="30">
        <f t="shared" si="0"/>
        <v>57951.831300000013</v>
      </c>
      <c r="C18" s="31">
        <f t="shared" si="0"/>
        <v>50829.551233229991</v>
      </c>
      <c r="D18" s="32">
        <f t="shared" si="0"/>
        <v>7122.2800667700003</v>
      </c>
      <c r="E18" s="30">
        <f t="shared" si="21"/>
        <v>19317.277099999999</v>
      </c>
      <c r="F18" s="33">
        <f t="shared" si="21"/>
        <v>16943.183744409998</v>
      </c>
      <c r="G18" s="34">
        <f t="shared" si="21"/>
        <v>2374.0933555899996</v>
      </c>
      <c r="H18" s="31">
        <f t="shared" si="1"/>
        <v>25377.586357346863</v>
      </c>
      <c r="I18" s="33">
        <f t="shared" si="1"/>
        <v>3555.9290426609614</v>
      </c>
      <c r="J18" s="33">
        <f t="shared" si="1"/>
        <v>28933.515400007826</v>
      </c>
      <c r="K18" s="35">
        <f t="shared" si="2"/>
        <v>0.49780506073538833</v>
      </c>
      <c r="L18" s="36">
        <v>4829.3192749999998</v>
      </c>
      <c r="M18" s="31">
        <f t="shared" si="22"/>
        <v>4235.7959361024996</v>
      </c>
      <c r="N18" s="31">
        <f t="shared" si="23"/>
        <v>593.52333889749991</v>
      </c>
      <c r="O18" s="31">
        <f t="shared" si="24"/>
        <v>5727.4664558040813</v>
      </c>
      <c r="P18" s="31">
        <f t="shared" si="25"/>
        <v>802.537484230215</v>
      </c>
      <c r="Q18" s="33">
        <v>6530.0039400342966</v>
      </c>
      <c r="R18" s="35">
        <f t="shared" si="3"/>
        <v>0.35215825837779113</v>
      </c>
      <c r="S18" s="36">
        <v>4829.3192749999998</v>
      </c>
      <c r="T18" s="31">
        <f t="shared" si="26"/>
        <v>4235.7959361024996</v>
      </c>
      <c r="U18" s="31">
        <f t="shared" si="27"/>
        <v>593.52333889749991</v>
      </c>
      <c r="V18" s="31">
        <f t="shared" si="28"/>
        <v>10761.023858543078</v>
      </c>
      <c r="W18" s="31">
        <f t="shared" si="29"/>
        <v>1507.8438401720946</v>
      </c>
      <c r="X18" s="33">
        <v>12268.867698715172</v>
      </c>
      <c r="Y18" s="35">
        <f t="shared" si="4"/>
        <v>1.5404962894517205</v>
      </c>
      <c r="Z18" s="36">
        <v>4829.3192749999998</v>
      </c>
      <c r="AA18" s="31">
        <f t="shared" si="30"/>
        <v>4235.7959361024996</v>
      </c>
      <c r="AB18" s="31">
        <f t="shared" si="31"/>
        <v>593.52333889749991</v>
      </c>
      <c r="AC18" s="31">
        <f t="shared" si="32"/>
        <v>0</v>
      </c>
      <c r="AD18" s="31">
        <f t="shared" si="33"/>
        <v>0</v>
      </c>
      <c r="AE18" s="27">
        <v>0</v>
      </c>
      <c r="AF18" s="35">
        <f t="shared" si="5"/>
        <v>-1</v>
      </c>
      <c r="AG18" s="36">
        <v>4829.3192749999998</v>
      </c>
      <c r="AH18" s="31">
        <f t="shared" si="34"/>
        <v>4235.7959361024996</v>
      </c>
      <c r="AI18" s="31">
        <f t="shared" si="35"/>
        <v>593.52333889749991</v>
      </c>
      <c r="AJ18" s="31">
        <f t="shared" si="36"/>
        <v>0</v>
      </c>
      <c r="AK18" s="31">
        <f t="shared" si="37"/>
        <v>0</v>
      </c>
      <c r="AL18" s="27">
        <v>0</v>
      </c>
      <c r="AM18" s="35">
        <f t="shared" si="6"/>
        <v>-1</v>
      </c>
      <c r="AN18" s="36">
        <v>4829.3192749999998</v>
      </c>
      <c r="AO18" s="31">
        <f t="shared" si="38"/>
        <v>4235.7959361024996</v>
      </c>
      <c r="AP18" s="31">
        <f t="shared" si="39"/>
        <v>593.52333889749991</v>
      </c>
      <c r="AQ18" s="31">
        <f t="shared" si="40"/>
        <v>8889.0960429997031</v>
      </c>
      <c r="AR18" s="31">
        <f t="shared" si="41"/>
        <v>1245.5477182586519</v>
      </c>
      <c r="AS18" s="27">
        <v>10134.643761258356</v>
      </c>
      <c r="AT18" s="35">
        <f t="shared" si="7"/>
        <v>1.0985656951120415</v>
      </c>
      <c r="AU18" s="36">
        <v>4829.3192749999998</v>
      </c>
      <c r="AV18" s="31">
        <f t="shared" si="42"/>
        <v>4235.7959361024996</v>
      </c>
      <c r="AW18" s="31">
        <f t="shared" si="43"/>
        <v>593.52333889749991</v>
      </c>
      <c r="AX18" s="31">
        <f t="shared" si="44"/>
        <v>0</v>
      </c>
      <c r="AY18" s="31">
        <f t="shared" si="45"/>
        <v>0</v>
      </c>
      <c r="AZ18" s="27">
        <v>0</v>
      </c>
      <c r="BA18" s="35">
        <f t="shared" si="8"/>
        <v>-1</v>
      </c>
      <c r="BB18" s="36">
        <v>4829.3192749999998</v>
      </c>
      <c r="BC18" s="31">
        <f t="shared" si="46"/>
        <v>4235.7959361024996</v>
      </c>
      <c r="BD18" s="31">
        <f t="shared" si="47"/>
        <v>593.52333889749991</v>
      </c>
      <c r="BE18" s="31">
        <f t="shared" si="48"/>
        <v>0</v>
      </c>
      <c r="BF18" s="31">
        <f t="shared" si="49"/>
        <v>0</v>
      </c>
      <c r="BG18" s="27"/>
      <c r="BH18" s="35">
        <f t="shared" si="10"/>
        <v>-1</v>
      </c>
      <c r="BI18" s="36">
        <v>4829.3192749999998</v>
      </c>
      <c r="BJ18" s="31">
        <f t="shared" si="50"/>
        <v>4235.7959361024996</v>
      </c>
      <c r="BK18" s="31">
        <f t="shared" si="51"/>
        <v>593.52333889749991</v>
      </c>
      <c r="BL18" s="31">
        <f t="shared" si="52"/>
        <v>0</v>
      </c>
      <c r="BM18" s="31">
        <f t="shared" si="53"/>
        <v>0</v>
      </c>
      <c r="BN18" s="27"/>
      <c r="BO18" s="37">
        <f t="shared" si="12"/>
        <v>-1</v>
      </c>
      <c r="BP18" s="36">
        <v>4829.3192749999998</v>
      </c>
      <c r="BQ18" s="31">
        <f t="shared" si="54"/>
        <v>4235.7959361024996</v>
      </c>
      <c r="BR18" s="31">
        <f t="shared" si="55"/>
        <v>593.52333889749991</v>
      </c>
      <c r="BS18" s="31">
        <f t="shared" si="56"/>
        <v>0</v>
      </c>
      <c r="BT18" s="31">
        <f t="shared" si="57"/>
        <v>0</v>
      </c>
      <c r="BU18" s="27"/>
      <c r="BV18" s="37">
        <f t="shared" si="14"/>
        <v>-1</v>
      </c>
      <c r="BW18" s="36">
        <v>4829.3192749999998</v>
      </c>
      <c r="BX18" s="31">
        <f t="shared" si="58"/>
        <v>4235.7959361024996</v>
      </c>
      <c r="BY18" s="31">
        <f t="shared" si="59"/>
        <v>593.52333889749991</v>
      </c>
      <c r="BZ18" s="31">
        <f t="shared" si="60"/>
        <v>0</v>
      </c>
      <c r="CA18" s="31">
        <f t="shared" si="61"/>
        <v>0</v>
      </c>
      <c r="CB18" s="27"/>
      <c r="CC18" s="37">
        <f t="shared" si="16"/>
        <v>-1</v>
      </c>
      <c r="CD18" s="36">
        <v>4829.3192749999998</v>
      </c>
      <c r="CE18" s="31">
        <f t="shared" si="62"/>
        <v>4235.7959361024996</v>
      </c>
      <c r="CF18" s="31">
        <f t="shared" si="63"/>
        <v>593.52333889749991</v>
      </c>
      <c r="CG18" s="31">
        <f t="shared" si="64"/>
        <v>0</v>
      </c>
      <c r="CH18" s="31">
        <f t="shared" si="65"/>
        <v>0</v>
      </c>
      <c r="CI18" s="27"/>
      <c r="CJ18" s="37">
        <f t="shared" si="18"/>
        <v>-1</v>
      </c>
      <c r="CK18" s="36">
        <v>4829.3192749999998</v>
      </c>
      <c r="CL18" s="31">
        <f t="shared" si="66"/>
        <v>4235.7959361024996</v>
      </c>
      <c r="CM18" s="31">
        <f t="shared" si="67"/>
        <v>593.52333889749991</v>
      </c>
      <c r="CN18" s="31">
        <f t="shared" si="68"/>
        <v>0</v>
      </c>
      <c r="CO18" s="31">
        <f t="shared" si="69"/>
        <v>0</v>
      </c>
      <c r="CP18" s="27"/>
      <c r="CQ18" s="37">
        <f t="shared" si="20"/>
        <v>-1</v>
      </c>
      <c r="CS18" s="27"/>
      <c r="CT18" s="27"/>
      <c r="CU18" s="27"/>
      <c r="CV18" s="27"/>
      <c r="CW18" s="27"/>
      <c r="CX18" s="27"/>
      <c r="CY18" s="27"/>
      <c r="CZ18" s="27"/>
      <c r="DA18" s="27"/>
      <c r="DB18" s="27"/>
      <c r="DC18" s="27"/>
      <c r="DD18" s="27"/>
      <c r="DF18" s="28"/>
    </row>
    <row r="19" spans="1:110" s="26" customFormat="1" ht="16" customHeight="1" x14ac:dyDescent="0.2">
      <c r="A19" s="38" t="s">
        <v>43</v>
      </c>
      <c r="B19" s="30">
        <f t="shared" si="0"/>
        <v>15354.499999999995</v>
      </c>
      <c r="C19" s="31">
        <f t="shared" si="0"/>
        <v>13467.43195</v>
      </c>
      <c r="D19" s="32">
        <f t="shared" si="0"/>
        <v>1887.0680500000001</v>
      </c>
      <c r="E19" s="30">
        <f t="shared" si="21"/>
        <v>5118.1666666666661</v>
      </c>
      <c r="F19" s="33">
        <f t="shared" si="21"/>
        <v>4489.1439833333325</v>
      </c>
      <c r="G19" s="34">
        <f t="shared" si="21"/>
        <v>629.02268333333325</v>
      </c>
      <c r="H19" s="31">
        <f t="shared" si="1"/>
        <v>8247.3116023087932</v>
      </c>
      <c r="I19" s="33">
        <f t="shared" si="1"/>
        <v>1155.6203351085971</v>
      </c>
      <c r="J19" s="33">
        <f t="shared" si="1"/>
        <v>9402.9319374173901</v>
      </c>
      <c r="K19" s="35">
        <f t="shared" si="2"/>
        <v>0.83716798412531657</v>
      </c>
      <c r="L19" s="36">
        <v>1279.5416666666665</v>
      </c>
      <c r="M19" s="31">
        <f t="shared" si="22"/>
        <v>1122.2859958333331</v>
      </c>
      <c r="N19" s="31">
        <f t="shared" si="23"/>
        <v>157.25567083333331</v>
      </c>
      <c r="O19" s="31">
        <f t="shared" si="24"/>
        <v>1995.51531324149</v>
      </c>
      <c r="P19" s="31">
        <f t="shared" si="25"/>
        <v>279.61330748760588</v>
      </c>
      <c r="Q19" s="33">
        <v>2275.1286207290959</v>
      </c>
      <c r="R19" s="35">
        <f t="shared" si="3"/>
        <v>0.77808091756482822</v>
      </c>
      <c r="S19" s="36">
        <v>1279.5416666666665</v>
      </c>
      <c r="T19" s="31">
        <f t="shared" si="26"/>
        <v>1122.2859958333331</v>
      </c>
      <c r="U19" s="31">
        <f t="shared" si="27"/>
        <v>157.25567083333331</v>
      </c>
      <c r="V19" s="31">
        <f t="shared" si="28"/>
        <v>974.87142146993574</v>
      </c>
      <c r="W19" s="31">
        <f t="shared" si="29"/>
        <v>136.59981495685224</v>
      </c>
      <c r="X19" s="33">
        <v>1111.471236426788</v>
      </c>
      <c r="Y19" s="35">
        <f t="shared" si="4"/>
        <v>-0.13135205723915089</v>
      </c>
      <c r="Z19" s="36">
        <v>1279.5416666666665</v>
      </c>
      <c r="AA19" s="31">
        <f t="shared" si="30"/>
        <v>1122.2859958333331</v>
      </c>
      <c r="AB19" s="31">
        <f t="shared" si="31"/>
        <v>157.25567083333331</v>
      </c>
      <c r="AC19" s="31">
        <f t="shared" si="32"/>
        <v>215.79428431858904</v>
      </c>
      <c r="AD19" s="31">
        <f t="shared" si="33"/>
        <v>30.237279150330171</v>
      </c>
      <c r="AE19" s="27">
        <v>246.03156346891922</v>
      </c>
      <c r="AF19" s="35">
        <f t="shared" si="5"/>
        <v>-0.80771899041798623</v>
      </c>
      <c r="AG19" s="36">
        <v>1279.5416666666665</v>
      </c>
      <c r="AH19" s="31">
        <f t="shared" si="34"/>
        <v>1122.2859958333331</v>
      </c>
      <c r="AI19" s="31">
        <f t="shared" si="35"/>
        <v>157.25567083333331</v>
      </c>
      <c r="AJ19" s="31">
        <f t="shared" si="36"/>
        <v>2641.5703739247283</v>
      </c>
      <c r="AK19" s="31">
        <f t="shared" si="37"/>
        <v>370.13909355301462</v>
      </c>
      <c r="AL19" s="27">
        <v>3011.7094674777431</v>
      </c>
      <c r="AM19" s="35">
        <f t="shared" si="6"/>
        <v>1.3537408323118902</v>
      </c>
      <c r="AN19" s="36">
        <v>1279.5416666666665</v>
      </c>
      <c r="AO19" s="31">
        <f t="shared" si="38"/>
        <v>1122.2859958333331</v>
      </c>
      <c r="AP19" s="31">
        <f t="shared" si="39"/>
        <v>157.25567083333331</v>
      </c>
      <c r="AQ19" s="31">
        <f t="shared" si="40"/>
        <v>1151.7112421261165</v>
      </c>
      <c r="AR19" s="31">
        <f t="shared" si="41"/>
        <v>161.3787614380341</v>
      </c>
      <c r="AS19" s="27">
        <v>1313.0900035641507</v>
      </c>
      <c r="AT19" s="35">
        <f t="shared" si="7"/>
        <v>2.6219026524459288E-2</v>
      </c>
      <c r="AU19" s="36">
        <v>1279.5416666666665</v>
      </c>
      <c r="AV19" s="31">
        <f t="shared" si="42"/>
        <v>1122.2859958333331</v>
      </c>
      <c r="AW19" s="31">
        <f t="shared" si="43"/>
        <v>157.25567083333331</v>
      </c>
      <c r="AX19" s="31">
        <f t="shared" si="44"/>
        <v>1267.8489672279334</v>
      </c>
      <c r="AY19" s="31">
        <f t="shared" si="45"/>
        <v>177.65207852276026</v>
      </c>
      <c r="AZ19" s="27">
        <v>1445.5010457506937</v>
      </c>
      <c r="BA19" s="35">
        <f t="shared" si="8"/>
        <v>0.12970220775722607</v>
      </c>
      <c r="BB19" s="36">
        <v>1279.5416666666665</v>
      </c>
      <c r="BC19" s="31">
        <f t="shared" si="46"/>
        <v>1122.2859958333331</v>
      </c>
      <c r="BD19" s="31">
        <f t="shared" si="47"/>
        <v>157.25567083333331</v>
      </c>
      <c r="BE19" s="31">
        <f t="shared" si="48"/>
        <v>0</v>
      </c>
      <c r="BF19" s="31">
        <f t="shared" si="49"/>
        <v>0</v>
      </c>
      <c r="BG19" s="27"/>
      <c r="BH19" s="35">
        <f t="shared" si="10"/>
        <v>-1</v>
      </c>
      <c r="BI19" s="36">
        <v>1279.5416666666665</v>
      </c>
      <c r="BJ19" s="31">
        <f t="shared" si="50"/>
        <v>1122.2859958333331</v>
      </c>
      <c r="BK19" s="31">
        <f t="shared" si="51"/>
        <v>157.25567083333331</v>
      </c>
      <c r="BL19" s="31">
        <f t="shared" si="52"/>
        <v>0</v>
      </c>
      <c r="BM19" s="31">
        <f t="shared" si="53"/>
        <v>0</v>
      </c>
      <c r="BN19" s="27"/>
      <c r="BO19" s="37">
        <f t="shared" si="12"/>
        <v>-1</v>
      </c>
      <c r="BP19" s="36">
        <v>1279.5416666666665</v>
      </c>
      <c r="BQ19" s="31">
        <f t="shared" si="54"/>
        <v>1122.2859958333331</v>
      </c>
      <c r="BR19" s="31">
        <f t="shared" si="55"/>
        <v>157.25567083333331</v>
      </c>
      <c r="BS19" s="31">
        <f t="shared" si="56"/>
        <v>0</v>
      </c>
      <c r="BT19" s="31">
        <f t="shared" si="57"/>
        <v>0</v>
      </c>
      <c r="BU19" s="27"/>
      <c r="BV19" s="37">
        <f t="shared" si="14"/>
        <v>-1</v>
      </c>
      <c r="BW19" s="36">
        <v>1279.5416666666665</v>
      </c>
      <c r="BX19" s="31">
        <f t="shared" si="58"/>
        <v>1122.2859958333331</v>
      </c>
      <c r="BY19" s="31">
        <f t="shared" si="59"/>
        <v>157.25567083333331</v>
      </c>
      <c r="BZ19" s="31">
        <f t="shared" si="60"/>
        <v>0</v>
      </c>
      <c r="CA19" s="31">
        <f t="shared" si="61"/>
        <v>0</v>
      </c>
      <c r="CB19" s="27"/>
      <c r="CC19" s="37">
        <f t="shared" si="16"/>
        <v>-1</v>
      </c>
      <c r="CD19" s="36">
        <v>1279.5416666666665</v>
      </c>
      <c r="CE19" s="31">
        <f t="shared" si="62"/>
        <v>1122.2859958333331</v>
      </c>
      <c r="CF19" s="31">
        <f t="shared" si="63"/>
        <v>157.25567083333331</v>
      </c>
      <c r="CG19" s="31">
        <f t="shared" si="64"/>
        <v>0</v>
      </c>
      <c r="CH19" s="31">
        <f t="shared" si="65"/>
        <v>0</v>
      </c>
      <c r="CI19" s="27"/>
      <c r="CJ19" s="37">
        <f t="shared" si="18"/>
        <v>-1</v>
      </c>
      <c r="CK19" s="36">
        <v>1279.5416666666665</v>
      </c>
      <c r="CL19" s="31">
        <f t="shared" si="66"/>
        <v>1122.2859958333331</v>
      </c>
      <c r="CM19" s="31">
        <f t="shared" si="67"/>
        <v>157.25567083333331</v>
      </c>
      <c r="CN19" s="31">
        <f t="shared" si="68"/>
        <v>0</v>
      </c>
      <c r="CO19" s="31">
        <f t="shared" si="69"/>
        <v>0</v>
      </c>
      <c r="CP19" s="27"/>
      <c r="CQ19" s="37">
        <f t="shared" si="20"/>
        <v>-1</v>
      </c>
      <c r="CS19" s="27"/>
      <c r="CT19" s="27"/>
      <c r="CU19" s="27"/>
      <c r="CV19" s="27"/>
      <c r="CW19" s="27"/>
      <c r="CX19" s="27"/>
      <c r="CY19" s="27"/>
      <c r="CZ19" s="27"/>
      <c r="DA19" s="27"/>
      <c r="DB19" s="27"/>
      <c r="DC19" s="27"/>
      <c r="DD19" s="27"/>
      <c r="DF19" s="28"/>
    </row>
    <row r="20" spans="1:110" s="26" customFormat="1" ht="16" customHeight="1" x14ac:dyDescent="0.2">
      <c r="A20" s="29" t="s">
        <v>44</v>
      </c>
      <c r="B20" s="30">
        <f t="shared" si="0"/>
        <v>656071.42822857085</v>
      </c>
      <c r="C20" s="31">
        <f t="shared" si="0"/>
        <v>575440.24969927932</v>
      </c>
      <c r="D20" s="32">
        <f t="shared" si="0"/>
        <v>80631.178529291326</v>
      </c>
      <c r="E20" s="30">
        <f t="shared" si="21"/>
        <v>298811.938114285</v>
      </c>
      <c r="F20" s="33">
        <f t="shared" si="21"/>
        <v>262087.95092003938</v>
      </c>
      <c r="G20" s="34">
        <f t="shared" si="21"/>
        <v>36723.987194245623</v>
      </c>
      <c r="H20" s="31">
        <f t="shared" si="1"/>
        <v>214626.41722556134</v>
      </c>
      <c r="I20" s="33">
        <f t="shared" si="1"/>
        <v>30073.636617285931</v>
      </c>
      <c r="J20" s="33">
        <f t="shared" si="1"/>
        <v>244700.05384284729</v>
      </c>
      <c r="K20" s="35">
        <f t="shared" si="2"/>
        <v>-0.18109010173061368</v>
      </c>
      <c r="L20" s="36">
        <v>0</v>
      </c>
      <c r="M20" s="31">
        <f t="shared" si="22"/>
        <v>0</v>
      </c>
      <c r="N20" s="31">
        <f t="shared" si="23"/>
        <v>0</v>
      </c>
      <c r="O20" s="31">
        <f t="shared" si="24"/>
        <v>1132.4764360000001</v>
      </c>
      <c r="P20" s="31">
        <f t="shared" si="25"/>
        <v>158.68356400000002</v>
      </c>
      <c r="Q20" s="33">
        <v>1291.1600000000001</v>
      </c>
      <c r="R20" s="35" t="str">
        <f t="shared" si="3"/>
        <v/>
      </c>
      <c r="S20" s="36">
        <v>0</v>
      </c>
      <c r="T20" s="31">
        <f t="shared" si="26"/>
        <v>0</v>
      </c>
      <c r="U20" s="31">
        <f t="shared" si="27"/>
        <v>0</v>
      </c>
      <c r="V20" s="31">
        <f t="shared" si="28"/>
        <v>72.448459999999997</v>
      </c>
      <c r="W20" s="31">
        <f t="shared" si="29"/>
        <v>10.151539999999999</v>
      </c>
      <c r="X20" s="33">
        <v>82.6</v>
      </c>
      <c r="Y20" s="35" t="str">
        <f t="shared" si="4"/>
        <v/>
      </c>
      <c r="Z20" s="36">
        <v>298811.938114285</v>
      </c>
      <c r="AA20" s="31">
        <f t="shared" si="30"/>
        <v>262087.95092003938</v>
      </c>
      <c r="AB20" s="31">
        <f t="shared" si="31"/>
        <v>36723.987194245623</v>
      </c>
      <c r="AC20" s="31">
        <f t="shared" si="32"/>
        <v>1337.1301790000002</v>
      </c>
      <c r="AD20" s="31">
        <f t="shared" si="33"/>
        <v>187.35982100000001</v>
      </c>
      <c r="AE20" s="27">
        <v>1524.4900000000002</v>
      </c>
      <c r="AF20" s="35">
        <f t="shared" si="5"/>
        <v>-0.99489816233708528</v>
      </c>
      <c r="AG20" s="36">
        <v>0</v>
      </c>
      <c r="AH20" s="31">
        <f t="shared" si="34"/>
        <v>0</v>
      </c>
      <c r="AI20" s="31">
        <f t="shared" si="35"/>
        <v>0</v>
      </c>
      <c r="AJ20" s="31">
        <f t="shared" si="36"/>
        <v>105153.25608199999</v>
      </c>
      <c r="AK20" s="31">
        <f t="shared" si="37"/>
        <v>14734.163917999997</v>
      </c>
      <c r="AL20" s="27">
        <v>119887.41999999998</v>
      </c>
      <c r="AM20" s="35" t="str">
        <f t="shared" si="6"/>
        <v/>
      </c>
      <c r="AN20" s="36">
        <v>7954.9439999999904</v>
      </c>
      <c r="AO20" s="31">
        <f t="shared" si="38"/>
        <v>6977.2813823999913</v>
      </c>
      <c r="AP20" s="31">
        <f t="shared" si="39"/>
        <v>977.66261759999884</v>
      </c>
      <c r="AQ20" s="31">
        <f t="shared" si="40"/>
        <v>98249.689691999985</v>
      </c>
      <c r="AR20" s="31">
        <f t="shared" si="41"/>
        <v>13766.830307999999</v>
      </c>
      <c r="AS20" s="27">
        <v>112016.51999999999</v>
      </c>
      <c r="AT20" s="35">
        <f t="shared" si="7"/>
        <v>13.081371283066245</v>
      </c>
      <c r="AU20" s="36">
        <v>7954.9439999999904</v>
      </c>
      <c r="AV20" s="31">
        <f t="shared" si="42"/>
        <v>6977.2813823999913</v>
      </c>
      <c r="AW20" s="31">
        <f t="shared" si="43"/>
        <v>977.66261759999884</v>
      </c>
      <c r="AX20" s="31">
        <f t="shared" si="44"/>
        <v>8681.4163765613739</v>
      </c>
      <c r="AY20" s="31">
        <f t="shared" si="45"/>
        <v>1216.4474662859341</v>
      </c>
      <c r="AZ20" s="27">
        <v>9897.8638428473078</v>
      </c>
      <c r="BA20" s="35">
        <f t="shared" si="8"/>
        <v>0.24424054309462395</v>
      </c>
      <c r="BB20" s="36">
        <v>145333.94399999999</v>
      </c>
      <c r="BC20" s="31">
        <f t="shared" si="46"/>
        <v>127472.4022824</v>
      </c>
      <c r="BD20" s="31">
        <f t="shared" si="47"/>
        <v>17861.541717599997</v>
      </c>
      <c r="BE20" s="31">
        <f t="shared" si="48"/>
        <v>0</v>
      </c>
      <c r="BF20" s="31">
        <f t="shared" si="49"/>
        <v>0</v>
      </c>
      <c r="BG20" s="27"/>
      <c r="BH20" s="35">
        <f t="shared" si="10"/>
        <v>-1</v>
      </c>
      <c r="BI20" s="36">
        <v>20491.88211428569</v>
      </c>
      <c r="BJ20" s="31">
        <f t="shared" si="50"/>
        <v>17973.42980243998</v>
      </c>
      <c r="BK20" s="31">
        <f t="shared" si="51"/>
        <v>2518.4523118457114</v>
      </c>
      <c r="BL20" s="31">
        <f t="shared" si="52"/>
        <v>0</v>
      </c>
      <c r="BM20" s="31">
        <f t="shared" si="53"/>
        <v>0</v>
      </c>
      <c r="BN20" s="27"/>
      <c r="BO20" s="37">
        <f t="shared" si="12"/>
        <v>-1</v>
      </c>
      <c r="BP20" s="36">
        <v>151658.94399999999</v>
      </c>
      <c r="BQ20" s="31">
        <f t="shared" si="54"/>
        <v>133020.0597824</v>
      </c>
      <c r="BR20" s="31">
        <f t="shared" si="55"/>
        <v>18638.884217599996</v>
      </c>
      <c r="BS20" s="31">
        <f t="shared" si="56"/>
        <v>0</v>
      </c>
      <c r="BT20" s="31">
        <f t="shared" si="57"/>
        <v>0</v>
      </c>
      <c r="BU20" s="27"/>
      <c r="BV20" s="37">
        <f t="shared" si="14"/>
        <v>-1</v>
      </c>
      <c r="BW20" s="36">
        <v>7954.9439999999904</v>
      </c>
      <c r="BX20" s="31">
        <f t="shared" si="58"/>
        <v>6977.2813823999913</v>
      </c>
      <c r="BY20" s="31">
        <f t="shared" si="59"/>
        <v>977.66261759999884</v>
      </c>
      <c r="BZ20" s="31">
        <f t="shared" si="60"/>
        <v>0</v>
      </c>
      <c r="CA20" s="31">
        <f t="shared" si="61"/>
        <v>0</v>
      </c>
      <c r="CB20" s="27"/>
      <c r="CC20" s="37">
        <f t="shared" si="16"/>
        <v>-1</v>
      </c>
      <c r="CD20" s="36">
        <v>7954.9439999999904</v>
      </c>
      <c r="CE20" s="31">
        <f t="shared" si="62"/>
        <v>6977.2813823999913</v>
      </c>
      <c r="CF20" s="31">
        <f t="shared" si="63"/>
        <v>977.66261759999884</v>
      </c>
      <c r="CG20" s="31">
        <f t="shared" si="64"/>
        <v>0</v>
      </c>
      <c r="CH20" s="31">
        <f t="shared" si="65"/>
        <v>0</v>
      </c>
      <c r="CI20" s="27"/>
      <c r="CJ20" s="37">
        <f t="shared" si="18"/>
        <v>-1</v>
      </c>
      <c r="CK20" s="36">
        <v>7954.9439999999904</v>
      </c>
      <c r="CL20" s="31">
        <f t="shared" si="66"/>
        <v>6977.2813823999913</v>
      </c>
      <c r="CM20" s="31">
        <f t="shared" si="67"/>
        <v>977.66261759999884</v>
      </c>
      <c r="CN20" s="31">
        <f t="shared" si="68"/>
        <v>0</v>
      </c>
      <c r="CO20" s="31">
        <f t="shared" si="69"/>
        <v>0</v>
      </c>
      <c r="CP20" s="27"/>
      <c r="CQ20" s="37">
        <f t="shared" si="20"/>
        <v>-1</v>
      </c>
      <c r="CS20" s="27"/>
      <c r="CT20" s="27"/>
      <c r="CU20" s="27"/>
      <c r="CV20" s="27"/>
      <c r="CW20" s="27"/>
      <c r="CX20" s="27"/>
      <c r="CY20" s="27"/>
      <c r="CZ20" s="27"/>
      <c r="DA20" s="27"/>
      <c r="DB20" s="27"/>
      <c r="DC20" s="27"/>
      <c r="DD20" s="27"/>
      <c r="DF20" s="28"/>
    </row>
    <row r="21" spans="1:110" s="26" customFormat="1" ht="16" customHeight="1" x14ac:dyDescent="0.2">
      <c r="A21" s="38" t="s">
        <v>45</v>
      </c>
      <c r="B21" s="30">
        <f t="shared" si="0"/>
        <v>68919.661500000002</v>
      </c>
      <c r="C21" s="31">
        <f t="shared" si="0"/>
        <v>60449.43510165</v>
      </c>
      <c r="D21" s="32">
        <f t="shared" si="0"/>
        <v>8470.2263983499997</v>
      </c>
      <c r="E21" s="30">
        <f t="shared" si="21"/>
        <v>68919.661500000002</v>
      </c>
      <c r="F21" s="33">
        <f t="shared" si="21"/>
        <v>60449.43510165</v>
      </c>
      <c r="G21" s="34">
        <f t="shared" si="21"/>
        <v>8470.2263983499997</v>
      </c>
      <c r="H21" s="31">
        <f t="shared" si="1"/>
        <v>42369.102630102789</v>
      </c>
      <c r="I21" s="33">
        <f t="shared" si="1"/>
        <v>5936.7947933412761</v>
      </c>
      <c r="J21" s="33">
        <f t="shared" si="1"/>
        <v>48305.897423444068</v>
      </c>
      <c r="K21" s="35">
        <f t="shared" si="2"/>
        <v>-0.2990984521384501</v>
      </c>
      <c r="L21" s="36">
        <v>68919.661500000002</v>
      </c>
      <c r="M21" s="31">
        <f t="shared" si="22"/>
        <v>60449.43510165</v>
      </c>
      <c r="N21" s="31">
        <f t="shared" si="23"/>
        <v>8470.2263983499997</v>
      </c>
      <c r="O21" s="31">
        <f t="shared" si="24"/>
        <v>0</v>
      </c>
      <c r="P21" s="31">
        <f t="shared" si="25"/>
        <v>0</v>
      </c>
      <c r="Q21" s="33">
        <v>0</v>
      </c>
      <c r="R21" s="35">
        <f t="shared" si="3"/>
        <v>-1</v>
      </c>
      <c r="S21" s="36">
        <v>0</v>
      </c>
      <c r="T21" s="31">
        <f t="shared" si="26"/>
        <v>0</v>
      </c>
      <c r="U21" s="31">
        <f t="shared" si="27"/>
        <v>0</v>
      </c>
      <c r="V21" s="31">
        <f t="shared" si="28"/>
        <v>0</v>
      </c>
      <c r="W21" s="31">
        <f t="shared" si="29"/>
        <v>0</v>
      </c>
      <c r="X21" s="33">
        <v>0</v>
      </c>
      <c r="Y21" s="35" t="str">
        <f t="shared" si="4"/>
        <v/>
      </c>
      <c r="Z21" s="36">
        <v>0</v>
      </c>
      <c r="AA21" s="31">
        <f t="shared" si="30"/>
        <v>0</v>
      </c>
      <c r="AB21" s="31">
        <f t="shared" si="31"/>
        <v>0</v>
      </c>
      <c r="AC21" s="31">
        <f t="shared" si="32"/>
        <v>11972.415000000001</v>
      </c>
      <c r="AD21" s="31">
        <f t="shared" si="33"/>
        <v>1677.585</v>
      </c>
      <c r="AE21" s="27">
        <v>13650</v>
      </c>
      <c r="AF21" s="35" t="str">
        <f t="shared" si="5"/>
        <v/>
      </c>
      <c r="AG21" s="36">
        <v>0</v>
      </c>
      <c r="AH21" s="31">
        <f t="shared" si="34"/>
        <v>0</v>
      </c>
      <c r="AI21" s="31">
        <f t="shared" si="35"/>
        <v>0</v>
      </c>
      <c r="AJ21" s="31">
        <f t="shared" si="36"/>
        <v>30396.687630102791</v>
      </c>
      <c r="AK21" s="31">
        <f t="shared" si="37"/>
        <v>4259.2097933412761</v>
      </c>
      <c r="AL21" s="27">
        <v>34655.897423444068</v>
      </c>
      <c r="AM21" s="35" t="str">
        <f t="shared" si="6"/>
        <v/>
      </c>
      <c r="AN21" s="36">
        <v>0</v>
      </c>
      <c r="AO21" s="31">
        <f t="shared" si="38"/>
        <v>0</v>
      </c>
      <c r="AP21" s="31">
        <f t="shared" si="39"/>
        <v>0</v>
      </c>
      <c r="AQ21" s="31">
        <f t="shared" si="40"/>
        <v>0</v>
      </c>
      <c r="AR21" s="31">
        <f t="shared" si="41"/>
        <v>0</v>
      </c>
      <c r="AS21" s="27">
        <v>0</v>
      </c>
      <c r="AT21" s="35" t="str">
        <f t="shared" si="7"/>
        <v/>
      </c>
      <c r="AU21" s="36">
        <v>0</v>
      </c>
      <c r="AV21" s="31">
        <f t="shared" si="42"/>
        <v>0</v>
      </c>
      <c r="AW21" s="31">
        <f t="shared" si="43"/>
        <v>0</v>
      </c>
      <c r="AX21" s="31">
        <f t="shared" si="44"/>
        <v>0</v>
      </c>
      <c r="AY21" s="31">
        <f t="shared" si="45"/>
        <v>0</v>
      </c>
      <c r="AZ21" s="27">
        <v>0</v>
      </c>
      <c r="BA21" s="35" t="str">
        <f t="shared" si="8"/>
        <v/>
      </c>
      <c r="BB21" s="36">
        <v>0</v>
      </c>
      <c r="BC21" s="31">
        <f t="shared" si="46"/>
        <v>0</v>
      </c>
      <c r="BD21" s="31">
        <f t="shared" si="47"/>
        <v>0</v>
      </c>
      <c r="BE21" s="31">
        <f t="shared" si="48"/>
        <v>0</v>
      </c>
      <c r="BF21" s="31">
        <f t="shared" si="49"/>
        <v>0</v>
      </c>
      <c r="BG21" s="27"/>
      <c r="BH21" s="35" t="str">
        <f t="shared" si="10"/>
        <v/>
      </c>
      <c r="BI21" s="36">
        <v>0</v>
      </c>
      <c r="BJ21" s="31">
        <f t="shared" si="50"/>
        <v>0</v>
      </c>
      <c r="BK21" s="31">
        <f t="shared" si="51"/>
        <v>0</v>
      </c>
      <c r="BL21" s="31">
        <f t="shared" si="52"/>
        <v>0</v>
      </c>
      <c r="BM21" s="31">
        <f t="shared" si="53"/>
        <v>0</v>
      </c>
      <c r="BN21" s="27"/>
      <c r="BO21" s="37" t="str">
        <f t="shared" si="12"/>
        <v/>
      </c>
      <c r="BP21" s="36">
        <v>0</v>
      </c>
      <c r="BQ21" s="31">
        <f t="shared" si="54"/>
        <v>0</v>
      </c>
      <c r="BR21" s="31">
        <f t="shared" si="55"/>
        <v>0</v>
      </c>
      <c r="BS21" s="31">
        <f t="shared" si="56"/>
        <v>0</v>
      </c>
      <c r="BT21" s="31">
        <f t="shared" si="57"/>
        <v>0</v>
      </c>
      <c r="BU21" s="27"/>
      <c r="BV21" s="37" t="str">
        <f t="shared" si="14"/>
        <v/>
      </c>
      <c r="BW21" s="36">
        <v>0</v>
      </c>
      <c r="BX21" s="31">
        <f t="shared" si="58"/>
        <v>0</v>
      </c>
      <c r="BY21" s="31">
        <f t="shared" si="59"/>
        <v>0</v>
      </c>
      <c r="BZ21" s="31">
        <f t="shared" si="60"/>
        <v>0</v>
      </c>
      <c r="CA21" s="31">
        <f t="shared" si="61"/>
        <v>0</v>
      </c>
      <c r="CB21" s="27"/>
      <c r="CC21" s="37" t="str">
        <f t="shared" si="16"/>
        <v/>
      </c>
      <c r="CD21" s="36">
        <v>0</v>
      </c>
      <c r="CE21" s="31">
        <f t="shared" si="62"/>
        <v>0</v>
      </c>
      <c r="CF21" s="31">
        <f t="shared" si="63"/>
        <v>0</v>
      </c>
      <c r="CG21" s="31">
        <f t="shared" si="64"/>
        <v>0</v>
      </c>
      <c r="CH21" s="31">
        <f t="shared" si="65"/>
        <v>0</v>
      </c>
      <c r="CI21" s="27"/>
      <c r="CJ21" s="37" t="str">
        <f t="shared" si="18"/>
        <v/>
      </c>
      <c r="CK21" s="36">
        <v>0</v>
      </c>
      <c r="CL21" s="31">
        <f t="shared" si="66"/>
        <v>0</v>
      </c>
      <c r="CM21" s="31">
        <f t="shared" si="67"/>
        <v>0</v>
      </c>
      <c r="CN21" s="31">
        <f t="shared" si="68"/>
        <v>0</v>
      </c>
      <c r="CO21" s="31">
        <f t="shared" si="69"/>
        <v>0</v>
      </c>
      <c r="CP21" s="27"/>
      <c r="CQ21" s="37" t="str">
        <f t="shared" si="20"/>
        <v/>
      </c>
      <c r="CS21" s="27"/>
      <c r="CT21" s="27"/>
      <c r="CU21" s="27"/>
      <c r="CV21" s="27"/>
      <c r="CW21" s="27"/>
      <c r="CX21" s="27"/>
      <c r="CY21" s="27"/>
      <c r="CZ21" s="27"/>
      <c r="DA21" s="27"/>
      <c r="DB21" s="27"/>
      <c r="DC21" s="27"/>
      <c r="DD21" s="27"/>
      <c r="DF21" s="28"/>
    </row>
    <row r="22" spans="1:110" s="26" customFormat="1" ht="16" customHeight="1" x14ac:dyDescent="0.2">
      <c r="A22" s="38" t="s">
        <v>46</v>
      </c>
      <c r="B22" s="30">
        <f t="shared" si="0"/>
        <v>187596.39999999863</v>
      </c>
      <c r="C22" s="31">
        <f t="shared" si="0"/>
        <v>164540.80243999884</v>
      </c>
      <c r="D22" s="32">
        <f t="shared" si="0"/>
        <v>23055.597559999835</v>
      </c>
      <c r="E22" s="30">
        <f t="shared" si="21"/>
        <v>62532.133333332895</v>
      </c>
      <c r="F22" s="33">
        <f t="shared" si="21"/>
        <v>54846.934146666281</v>
      </c>
      <c r="G22" s="34">
        <f t="shared" si="21"/>
        <v>7685.1991866666121</v>
      </c>
      <c r="H22" s="31">
        <f t="shared" si="1"/>
        <v>53339.599109889365</v>
      </c>
      <c r="I22" s="33">
        <f t="shared" si="1"/>
        <v>7473.99011584244</v>
      </c>
      <c r="J22" s="33">
        <f t="shared" si="1"/>
        <v>60813.589225731819</v>
      </c>
      <c r="K22" s="35">
        <f t="shared" si="2"/>
        <v>-2.7482576013203142E-2</v>
      </c>
      <c r="L22" s="36">
        <v>15633.033333333224</v>
      </c>
      <c r="M22" s="31">
        <f t="shared" si="22"/>
        <v>13711.73353666657</v>
      </c>
      <c r="N22" s="31">
        <f t="shared" si="23"/>
        <v>1921.299796666653</v>
      </c>
      <c r="O22" s="31">
        <f t="shared" si="24"/>
        <v>15165.155606868931</v>
      </c>
      <c r="P22" s="31">
        <f t="shared" si="25"/>
        <v>2124.954536636862</v>
      </c>
      <c r="Q22" s="33">
        <v>17290.110143505794</v>
      </c>
      <c r="R22" s="35">
        <f t="shared" si="3"/>
        <v>0.10599841853079783</v>
      </c>
      <c r="S22" s="36">
        <v>15633.033333333224</v>
      </c>
      <c r="T22" s="31">
        <f t="shared" si="26"/>
        <v>13711.73353666657</v>
      </c>
      <c r="U22" s="31">
        <f t="shared" si="27"/>
        <v>1921.299796666653</v>
      </c>
      <c r="V22" s="31">
        <f t="shared" si="28"/>
        <v>12230.174111564624</v>
      </c>
      <c r="W22" s="31">
        <f t="shared" si="29"/>
        <v>1713.7024265320854</v>
      </c>
      <c r="X22" s="33">
        <v>13943.876538096709</v>
      </c>
      <c r="Y22" s="35">
        <f t="shared" si="4"/>
        <v>-0.10805048254038097</v>
      </c>
      <c r="Z22" s="36">
        <v>15633.033333333224</v>
      </c>
      <c r="AA22" s="31">
        <f t="shared" si="30"/>
        <v>13711.73353666657</v>
      </c>
      <c r="AB22" s="31">
        <f t="shared" si="31"/>
        <v>1921.299796666653</v>
      </c>
      <c r="AC22" s="31">
        <f t="shared" si="32"/>
        <v>5104.6114967175763</v>
      </c>
      <c r="AD22" s="31">
        <f t="shared" si="33"/>
        <v>715.26251618582842</v>
      </c>
      <c r="AE22" s="27">
        <v>5819.8740129034049</v>
      </c>
      <c r="AF22" s="35">
        <f t="shared" si="5"/>
        <v>-0.62771946500657072</v>
      </c>
      <c r="AG22" s="36">
        <v>15633.033333333224</v>
      </c>
      <c r="AH22" s="31">
        <f t="shared" si="34"/>
        <v>13711.73353666657</v>
      </c>
      <c r="AI22" s="31">
        <f t="shared" si="35"/>
        <v>1921.299796666653</v>
      </c>
      <c r="AJ22" s="31">
        <f t="shared" si="36"/>
        <v>4732.7843224654607</v>
      </c>
      <c r="AK22" s="31">
        <f t="shared" si="37"/>
        <v>663.16177543154163</v>
      </c>
      <c r="AL22" s="27">
        <v>5395.9460978970028</v>
      </c>
      <c r="AM22" s="35">
        <f t="shared" si="6"/>
        <v>-0.65483690958480811</v>
      </c>
      <c r="AN22" s="36">
        <v>15633.033333333224</v>
      </c>
      <c r="AO22" s="31">
        <f t="shared" si="38"/>
        <v>13711.73353666657</v>
      </c>
      <c r="AP22" s="31">
        <f t="shared" si="39"/>
        <v>1921.299796666653</v>
      </c>
      <c r="AQ22" s="31">
        <f t="shared" si="40"/>
        <v>10803.124255742925</v>
      </c>
      <c r="AR22" s="31">
        <f t="shared" si="41"/>
        <v>1513.7429837313937</v>
      </c>
      <c r="AS22" s="27">
        <v>12316.867239474319</v>
      </c>
      <c r="AT22" s="35">
        <f t="shared" si="7"/>
        <v>-0.21212556918100312</v>
      </c>
      <c r="AU22" s="36">
        <v>15633.033333333224</v>
      </c>
      <c r="AV22" s="31">
        <f t="shared" si="42"/>
        <v>13711.73353666657</v>
      </c>
      <c r="AW22" s="31">
        <f t="shared" si="43"/>
        <v>1921.299796666653</v>
      </c>
      <c r="AX22" s="31">
        <f t="shared" si="44"/>
        <v>5303.7493165298602</v>
      </c>
      <c r="AY22" s="31">
        <f t="shared" si="45"/>
        <v>743.16587732472897</v>
      </c>
      <c r="AZ22" s="27">
        <v>6046.9151938545892</v>
      </c>
      <c r="BA22" s="35">
        <f t="shared" si="8"/>
        <v>-0.61319629627084749</v>
      </c>
      <c r="BB22" s="36">
        <v>15633.033333333224</v>
      </c>
      <c r="BC22" s="31">
        <f t="shared" si="46"/>
        <v>13711.73353666657</v>
      </c>
      <c r="BD22" s="31">
        <f t="shared" si="47"/>
        <v>1921.299796666653</v>
      </c>
      <c r="BE22" s="31">
        <f t="shared" si="48"/>
        <v>0</v>
      </c>
      <c r="BF22" s="31">
        <f t="shared" si="49"/>
        <v>0</v>
      </c>
      <c r="BG22" s="27"/>
      <c r="BH22" s="35">
        <f t="shared" si="10"/>
        <v>-1</v>
      </c>
      <c r="BI22" s="36">
        <v>15633.033333333224</v>
      </c>
      <c r="BJ22" s="31">
        <f t="shared" si="50"/>
        <v>13711.73353666657</v>
      </c>
      <c r="BK22" s="31">
        <f t="shared" si="51"/>
        <v>1921.299796666653</v>
      </c>
      <c r="BL22" s="31">
        <f t="shared" si="52"/>
        <v>0</v>
      </c>
      <c r="BM22" s="31">
        <f t="shared" si="53"/>
        <v>0</v>
      </c>
      <c r="BN22" s="27"/>
      <c r="BO22" s="37">
        <f t="shared" si="12"/>
        <v>-1</v>
      </c>
      <c r="BP22" s="36">
        <v>15633.033333333224</v>
      </c>
      <c r="BQ22" s="31">
        <f t="shared" si="54"/>
        <v>13711.73353666657</v>
      </c>
      <c r="BR22" s="31">
        <f t="shared" si="55"/>
        <v>1921.299796666653</v>
      </c>
      <c r="BS22" s="31">
        <f t="shared" si="56"/>
        <v>0</v>
      </c>
      <c r="BT22" s="31">
        <f t="shared" si="57"/>
        <v>0</v>
      </c>
      <c r="BU22" s="27"/>
      <c r="BV22" s="37">
        <f t="shared" si="14"/>
        <v>-1</v>
      </c>
      <c r="BW22" s="36">
        <v>15633.033333333224</v>
      </c>
      <c r="BX22" s="31">
        <f t="shared" si="58"/>
        <v>13711.73353666657</v>
      </c>
      <c r="BY22" s="31">
        <f t="shared" si="59"/>
        <v>1921.299796666653</v>
      </c>
      <c r="BZ22" s="31">
        <f t="shared" si="60"/>
        <v>0</v>
      </c>
      <c r="CA22" s="31">
        <f t="shared" si="61"/>
        <v>0</v>
      </c>
      <c r="CB22" s="27"/>
      <c r="CC22" s="37">
        <f t="shared" si="16"/>
        <v>-1</v>
      </c>
      <c r="CD22" s="36">
        <v>15633.033333333224</v>
      </c>
      <c r="CE22" s="31">
        <f t="shared" si="62"/>
        <v>13711.73353666657</v>
      </c>
      <c r="CF22" s="31">
        <f t="shared" si="63"/>
        <v>1921.299796666653</v>
      </c>
      <c r="CG22" s="31">
        <f t="shared" si="64"/>
        <v>0</v>
      </c>
      <c r="CH22" s="31">
        <f t="shared" si="65"/>
        <v>0</v>
      </c>
      <c r="CI22" s="27"/>
      <c r="CJ22" s="37">
        <f t="shared" si="18"/>
        <v>-1</v>
      </c>
      <c r="CK22" s="36">
        <v>15633.033333333224</v>
      </c>
      <c r="CL22" s="31">
        <f t="shared" si="66"/>
        <v>13711.73353666657</v>
      </c>
      <c r="CM22" s="31">
        <f t="shared" si="67"/>
        <v>1921.299796666653</v>
      </c>
      <c r="CN22" s="31">
        <f t="shared" si="68"/>
        <v>0</v>
      </c>
      <c r="CO22" s="31">
        <f t="shared" si="69"/>
        <v>0</v>
      </c>
      <c r="CP22" s="27"/>
      <c r="CQ22" s="37">
        <f t="shared" si="20"/>
        <v>-1</v>
      </c>
      <c r="CS22" s="27"/>
      <c r="CT22" s="27"/>
      <c r="CU22" s="27"/>
      <c r="CV22" s="27"/>
      <c r="CW22" s="27"/>
      <c r="CX22" s="27"/>
      <c r="CY22" s="27"/>
      <c r="CZ22" s="27"/>
      <c r="DA22" s="27"/>
      <c r="DB22" s="27"/>
      <c r="DC22" s="27"/>
      <c r="DD22" s="27"/>
      <c r="DF22" s="28"/>
    </row>
    <row r="23" spans="1:110" s="26" customFormat="1" ht="16" customHeight="1" x14ac:dyDescent="0.2">
      <c r="A23" s="29" t="s">
        <v>47</v>
      </c>
      <c r="B23" s="30">
        <f t="shared" si="0"/>
        <v>0</v>
      </c>
      <c r="C23" s="31">
        <f t="shared" si="0"/>
        <v>0</v>
      </c>
      <c r="D23" s="32">
        <f t="shared" si="0"/>
        <v>0</v>
      </c>
      <c r="E23" s="30">
        <f t="shared" si="21"/>
        <v>0</v>
      </c>
      <c r="F23" s="33">
        <f t="shared" si="21"/>
        <v>0</v>
      </c>
      <c r="G23" s="34">
        <f t="shared" si="21"/>
        <v>0</v>
      </c>
      <c r="H23" s="31">
        <f t="shared" si="1"/>
        <v>0</v>
      </c>
      <c r="I23" s="33">
        <f t="shared" si="1"/>
        <v>0</v>
      </c>
      <c r="J23" s="33">
        <f t="shared" si="1"/>
        <v>0</v>
      </c>
      <c r="K23" s="35" t="str">
        <f t="shared" si="2"/>
        <v/>
      </c>
      <c r="L23" s="36">
        <v>0</v>
      </c>
      <c r="M23" s="31">
        <f t="shared" si="22"/>
        <v>0</v>
      </c>
      <c r="N23" s="31">
        <f t="shared" si="23"/>
        <v>0</v>
      </c>
      <c r="O23" s="31">
        <f t="shared" si="24"/>
        <v>0</v>
      </c>
      <c r="P23" s="31">
        <f t="shared" si="25"/>
        <v>0</v>
      </c>
      <c r="Q23" s="33"/>
      <c r="R23" s="35" t="str">
        <f t="shared" si="3"/>
        <v/>
      </c>
      <c r="S23" s="36">
        <v>0</v>
      </c>
      <c r="T23" s="31">
        <f t="shared" si="26"/>
        <v>0</v>
      </c>
      <c r="U23" s="31">
        <f t="shared" si="27"/>
        <v>0</v>
      </c>
      <c r="V23" s="31">
        <f t="shared" si="28"/>
        <v>0</v>
      </c>
      <c r="W23" s="31">
        <f t="shared" si="29"/>
        <v>0</v>
      </c>
      <c r="X23" s="33"/>
      <c r="Y23" s="35" t="str">
        <f t="shared" si="4"/>
        <v/>
      </c>
      <c r="Z23" s="36">
        <v>0</v>
      </c>
      <c r="AA23" s="31">
        <f t="shared" si="30"/>
        <v>0</v>
      </c>
      <c r="AB23" s="31">
        <f t="shared" si="31"/>
        <v>0</v>
      </c>
      <c r="AC23" s="31">
        <f t="shared" si="32"/>
        <v>0</v>
      </c>
      <c r="AD23" s="31">
        <f t="shared" si="33"/>
        <v>0</v>
      </c>
      <c r="AE23" s="27"/>
      <c r="AF23" s="35" t="str">
        <f t="shared" si="5"/>
        <v/>
      </c>
      <c r="AG23" s="36">
        <v>0</v>
      </c>
      <c r="AH23" s="31">
        <f t="shared" si="34"/>
        <v>0</v>
      </c>
      <c r="AI23" s="31">
        <f t="shared" si="35"/>
        <v>0</v>
      </c>
      <c r="AJ23" s="31">
        <f t="shared" si="36"/>
        <v>0</v>
      </c>
      <c r="AK23" s="31">
        <f t="shared" si="37"/>
        <v>0</v>
      </c>
      <c r="AL23" s="27"/>
      <c r="AM23" s="35" t="str">
        <f t="shared" si="6"/>
        <v/>
      </c>
      <c r="AN23" s="36">
        <v>0</v>
      </c>
      <c r="AO23" s="31">
        <f t="shared" si="38"/>
        <v>0</v>
      </c>
      <c r="AP23" s="31">
        <f t="shared" si="39"/>
        <v>0</v>
      </c>
      <c r="AQ23" s="31">
        <f t="shared" si="40"/>
        <v>0</v>
      </c>
      <c r="AR23" s="31">
        <f t="shared" si="41"/>
        <v>0</v>
      </c>
      <c r="AS23" s="27"/>
      <c r="AT23" s="35" t="str">
        <f t="shared" si="7"/>
        <v/>
      </c>
      <c r="AU23" s="36">
        <v>0</v>
      </c>
      <c r="AV23" s="31">
        <f t="shared" si="42"/>
        <v>0</v>
      </c>
      <c r="AW23" s="31">
        <f t="shared" si="43"/>
        <v>0</v>
      </c>
      <c r="AX23" s="31">
        <f t="shared" si="44"/>
        <v>0</v>
      </c>
      <c r="AY23" s="31">
        <f t="shared" si="45"/>
        <v>0</v>
      </c>
      <c r="AZ23" s="27"/>
      <c r="BA23" s="35" t="str">
        <f t="shared" si="8"/>
        <v/>
      </c>
      <c r="BB23" s="36">
        <v>0</v>
      </c>
      <c r="BC23" s="31">
        <f t="shared" si="46"/>
        <v>0</v>
      </c>
      <c r="BD23" s="31">
        <f t="shared" si="47"/>
        <v>0</v>
      </c>
      <c r="BE23" s="31">
        <f t="shared" si="48"/>
        <v>0</v>
      </c>
      <c r="BF23" s="31">
        <f t="shared" si="49"/>
        <v>0</v>
      </c>
      <c r="BG23" s="27"/>
      <c r="BH23" s="35" t="str">
        <f t="shared" si="10"/>
        <v/>
      </c>
      <c r="BI23" s="36">
        <v>0</v>
      </c>
      <c r="BJ23" s="31">
        <f t="shared" si="50"/>
        <v>0</v>
      </c>
      <c r="BK23" s="31">
        <f t="shared" si="51"/>
        <v>0</v>
      </c>
      <c r="BL23" s="31">
        <f t="shared" si="52"/>
        <v>0</v>
      </c>
      <c r="BM23" s="31">
        <f t="shared" si="53"/>
        <v>0</v>
      </c>
      <c r="BN23" s="27"/>
      <c r="BO23" s="37" t="str">
        <f t="shared" si="12"/>
        <v/>
      </c>
      <c r="BP23" s="36">
        <v>0</v>
      </c>
      <c r="BQ23" s="31">
        <f t="shared" si="54"/>
        <v>0</v>
      </c>
      <c r="BR23" s="31">
        <f t="shared" si="55"/>
        <v>0</v>
      </c>
      <c r="BS23" s="31">
        <f t="shared" si="56"/>
        <v>0</v>
      </c>
      <c r="BT23" s="31">
        <f t="shared" si="57"/>
        <v>0</v>
      </c>
      <c r="BU23" s="27"/>
      <c r="BV23" s="37" t="str">
        <f t="shared" si="14"/>
        <v/>
      </c>
      <c r="BW23" s="36">
        <v>0</v>
      </c>
      <c r="BX23" s="31">
        <f t="shared" si="58"/>
        <v>0</v>
      </c>
      <c r="BY23" s="31">
        <f t="shared" si="59"/>
        <v>0</v>
      </c>
      <c r="BZ23" s="31">
        <f t="shared" si="60"/>
        <v>0</v>
      </c>
      <c r="CA23" s="31">
        <f t="shared" si="61"/>
        <v>0</v>
      </c>
      <c r="CB23" s="27"/>
      <c r="CC23" s="37" t="str">
        <f t="shared" si="16"/>
        <v/>
      </c>
      <c r="CD23" s="36">
        <v>0</v>
      </c>
      <c r="CE23" s="31">
        <f t="shared" si="62"/>
        <v>0</v>
      </c>
      <c r="CF23" s="31">
        <f t="shared" si="63"/>
        <v>0</v>
      </c>
      <c r="CG23" s="31">
        <f t="shared" si="64"/>
        <v>0</v>
      </c>
      <c r="CH23" s="31">
        <f t="shared" si="65"/>
        <v>0</v>
      </c>
      <c r="CI23" s="27"/>
      <c r="CJ23" s="37" t="str">
        <f t="shared" si="18"/>
        <v/>
      </c>
      <c r="CK23" s="36">
        <v>0</v>
      </c>
      <c r="CL23" s="31">
        <f t="shared" si="66"/>
        <v>0</v>
      </c>
      <c r="CM23" s="31">
        <f t="shared" si="67"/>
        <v>0</v>
      </c>
      <c r="CN23" s="31">
        <f t="shared" si="68"/>
        <v>0</v>
      </c>
      <c r="CO23" s="31">
        <f t="shared" si="69"/>
        <v>0</v>
      </c>
      <c r="CP23" s="27"/>
      <c r="CQ23" s="37" t="str">
        <f t="shared" si="20"/>
        <v/>
      </c>
      <c r="CS23" s="27"/>
      <c r="CT23" s="27"/>
      <c r="CU23" s="27"/>
      <c r="CV23" s="27"/>
      <c r="CW23" s="27"/>
      <c r="CX23" s="27"/>
      <c r="CY23" s="27"/>
      <c r="CZ23" s="27"/>
      <c r="DA23" s="27"/>
      <c r="DB23" s="27"/>
      <c r="DC23" s="27"/>
      <c r="DD23" s="27"/>
      <c r="DF23" s="28"/>
    </row>
    <row r="24" spans="1:110" s="26" customFormat="1" ht="16" customHeight="1" x14ac:dyDescent="0.2">
      <c r="A24" s="29" t="s">
        <v>48</v>
      </c>
      <c r="B24" s="30">
        <f t="shared" si="0"/>
        <v>152973.25589019142</v>
      </c>
      <c r="C24" s="31">
        <f t="shared" si="0"/>
        <v>134172.84274128688</v>
      </c>
      <c r="D24" s="32">
        <f t="shared" si="0"/>
        <v>18800.413148904525</v>
      </c>
      <c r="E24" s="30">
        <f t="shared" si="21"/>
        <v>51813.196637530469</v>
      </c>
      <c r="F24" s="33">
        <f t="shared" si="21"/>
        <v>45445.354770777973</v>
      </c>
      <c r="G24" s="34">
        <f t="shared" si="21"/>
        <v>6367.8418667524948</v>
      </c>
      <c r="H24" s="31">
        <f t="shared" si="1"/>
        <v>32940.062033409471</v>
      </c>
      <c r="I24" s="33">
        <f t="shared" si="1"/>
        <v>4615.5895837487451</v>
      </c>
      <c r="J24" s="33">
        <f t="shared" si="1"/>
        <v>37555.651617158212</v>
      </c>
      <c r="K24" s="35">
        <f t="shared" si="2"/>
        <v>-0.27517207865235094</v>
      </c>
      <c r="L24" s="36">
        <v>12953.299159382617</v>
      </c>
      <c r="M24" s="31">
        <f t="shared" si="22"/>
        <v>11361.338692694493</v>
      </c>
      <c r="N24" s="31">
        <f t="shared" si="23"/>
        <v>1591.9604666881237</v>
      </c>
      <c r="O24" s="31">
        <f t="shared" si="24"/>
        <v>18269.186067999995</v>
      </c>
      <c r="P24" s="31">
        <f t="shared" si="25"/>
        <v>2559.893931999999</v>
      </c>
      <c r="Q24" s="33">
        <v>20829.079999999994</v>
      </c>
      <c r="R24" s="35">
        <f t="shared" si="3"/>
        <v>0.60801350634387363</v>
      </c>
      <c r="S24" s="36">
        <v>12953.299159382617</v>
      </c>
      <c r="T24" s="31">
        <f t="shared" si="26"/>
        <v>11361.338692694493</v>
      </c>
      <c r="U24" s="31">
        <f t="shared" si="27"/>
        <v>1591.9604666881237</v>
      </c>
      <c r="V24" s="31">
        <f t="shared" si="28"/>
        <v>162.35121000000001</v>
      </c>
      <c r="W24" s="31">
        <f t="shared" si="29"/>
        <v>22.748790000000003</v>
      </c>
      <c r="X24" s="33">
        <v>185.10000000000002</v>
      </c>
      <c r="Y24" s="35">
        <f t="shared" si="4"/>
        <v>-0.98571020419412425</v>
      </c>
      <c r="Z24" s="36">
        <v>12953.299159382617</v>
      </c>
      <c r="AA24" s="31">
        <f t="shared" si="30"/>
        <v>11361.338692694493</v>
      </c>
      <c r="AB24" s="31">
        <f t="shared" si="31"/>
        <v>1591.9604666881237</v>
      </c>
      <c r="AC24" s="31">
        <f t="shared" si="32"/>
        <v>3558.3333030000003</v>
      </c>
      <c r="AD24" s="31">
        <f t="shared" si="33"/>
        <v>498.59669700000001</v>
      </c>
      <c r="AE24" s="27">
        <v>4056.9300000000003</v>
      </c>
      <c r="AF24" s="35">
        <f t="shared" si="5"/>
        <v>-0.68680334252441044</v>
      </c>
      <c r="AG24" s="36">
        <v>12953.299159382617</v>
      </c>
      <c r="AH24" s="31">
        <f t="shared" si="34"/>
        <v>11361.338692694493</v>
      </c>
      <c r="AI24" s="31">
        <f t="shared" si="35"/>
        <v>1591.9604666881237</v>
      </c>
      <c r="AJ24" s="31">
        <f t="shared" si="36"/>
        <v>9332.3264580000014</v>
      </c>
      <c r="AK24" s="31">
        <f t="shared" si="37"/>
        <v>1307.653542</v>
      </c>
      <c r="AL24" s="27">
        <v>10639.980000000001</v>
      </c>
      <c r="AM24" s="35">
        <f t="shared" si="6"/>
        <v>-0.1785891865013387</v>
      </c>
      <c r="AN24" s="36">
        <v>12953.299159382617</v>
      </c>
      <c r="AO24" s="31">
        <f t="shared" si="38"/>
        <v>11361.338692694493</v>
      </c>
      <c r="AP24" s="31">
        <f t="shared" si="39"/>
        <v>1591.9604666881237</v>
      </c>
      <c r="AQ24" s="31">
        <f t="shared" si="40"/>
        <v>737.81652000000008</v>
      </c>
      <c r="AR24" s="31">
        <f t="shared" si="41"/>
        <v>103.38348000000001</v>
      </c>
      <c r="AS24" s="27">
        <v>841.2</v>
      </c>
      <c r="AT24" s="35">
        <f t="shared" si="7"/>
        <v>-0.93505901549485304</v>
      </c>
      <c r="AU24" s="36">
        <v>12953.299159382617</v>
      </c>
      <c r="AV24" s="31">
        <f t="shared" si="42"/>
        <v>11361.338692694493</v>
      </c>
      <c r="AW24" s="31">
        <f t="shared" si="43"/>
        <v>1591.9604666881237</v>
      </c>
      <c r="AX24" s="31">
        <f t="shared" si="44"/>
        <v>880.04847440947515</v>
      </c>
      <c r="AY24" s="31">
        <f t="shared" si="45"/>
        <v>123.31314274874528</v>
      </c>
      <c r="AZ24" s="27">
        <v>1003.3616171582204</v>
      </c>
      <c r="BA24" s="35">
        <f t="shared" si="8"/>
        <v>-0.92254007223855061</v>
      </c>
      <c r="BB24" s="36">
        <v>10486.965136982617</v>
      </c>
      <c r="BC24" s="31">
        <f t="shared" si="46"/>
        <v>9198.117121647454</v>
      </c>
      <c r="BD24" s="31">
        <f t="shared" si="47"/>
        <v>1288.8480153351636</v>
      </c>
      <c r="BE24" s="31">
        <f t="shared" si="48"/>
        <v>0</v>
      </c>
      <c r="BF24" s="31">
        <f t="shared" si="49"/>
        <v>0</v>
      </c>
      <c r="BG24" s="27"/>
      <c r="BH24" s="35">
        <f t="shared" si="10"/>
        <v>-1</v>
      </c>
      <c r="BI24" s="36">
        <v>12953.299159382617</v>
      </c>
      <c r="BJ24" s="31">
        <f t="shared" si="50"/>
        <v>11361.338692694493</v>
      </c>
      <c r="BK24" s="31">
        <f t="shared" si="51"/>
        <v>1591.9604666881237</v>
      </c>
      <c r="BL24" s="31">
        <f t="shared" si="52"/>
        <v>0</v>
      </c>
      <c r="BM24" s="31">
        <f t="shared" si="53"/>
        <v>0</v>
      </c>
      <c r="BN24" s="27"/>
      <c r="BO24" s="37">
        <f t="shared" si="12"/>
        <v>-1</v>
      </c>
      <c r="BP24" s="36">
        <v>12953.299159382617</v>
      </c>
      <c r="BQ24" s="31">
        <f t="shared" si="54"/>
        <v>11361.338692694493</v>
      </c>
      <c r="BR24" s="31">
        <f t="shared" si="55"/>
        <v>1591.9604666881237</v>
      </c>
      <c r="BS24" s="31">
        <f t="shared" si="56"/>
        <v>0</v>
      </c>
      <c r="BT24" s="31">
        <f t="shared" si="57"/>
        <v>0</v>
      </c>
      <c r="BU24" s="27"/>
      <c r="BV24" s="37">
        <f t="shared" si="14"/>
        <v>-1</v>
      </c>
      <c r="BW24" s="36">
        <v>12953.299159382617</v>
      </c>
      <c r="BX24" s="31">
        <f t="shared" si="58"/>
        <v>11361.338692694493</v>
      </c>
      <c r="BY24" s="31">
        <f t="shared" si="59"/>
        <v>1591.9604666881237</v>
      </c>
      <c r="BZ24" s="31">
        <f t="shared" si="60"/>
        <v>0</v>
      </c>
      <c r="CA24" s="31">
        <f t="shared" si="61"/>
        <v>0</v>
      </c>
      <c r="CB24" s="27"/>
      <c r="CC24" s="37">
        <f t="shared" si="16"/>
        <v>-1</v>
      </c>
      <c r="CD24" s="36">
        <v>12953.299159382617</v>
      </c>
      <c r="CE24" s="31">
        <f t="shared" si="62"/>
        <v>11361.338692694493</v>
      </c>
      <c r="CF24" s="31">
        <f t="shared" si="63"/>
        <v>1591.9604666881237</v>
      </c>
      <c r="CG24" s="31">
        <f t="shared" si="64"/>
        <v>0</v>
      </c>
      <c r="CH24" s="31">
        <f t="shared" si="65"/>
        <v>0</v>
      </c>
      <c r="CI24" s="27"/>
      <c r="CJ24" s="37">
        <f t="shared" si="18"/>
        <v>-1</v>
      </c>
      <c r="CK24" s="36">
        <v>12953.299159382617</v>
      </c>
      <c r="CL24" s="31">
        <f t="shared" si="66"/>
        <v>11361.338692694493</v>
      </c>
      <c r="CM24" s="31">
        <f t="shared" si="67"/>
        <v>1591.9604666881237</v>
      </c>
      <c r="CN24" s="31">
        <f t="shared" si="68"/>
        <v>0</v>
      </c>
      <c r="CO24" s="31">
        <f t="shared" si="69"/>
        <v>0</v>
      </c>
      <c r="CP24" s="27"/>
      <c r="CQ24" s="37">
        <f t="shared" si="20"/>
        <v>-1</v>
      </c>
      <c r="CS24" s="27"/>
      <c r="CT24" s="27"/>
      <c r="CU24" s="27"/>
      <c r="CV24" s="27"/>
      <c r="CW24" s="27"/>
      <c r="CX24" s="27"/>
      <c r="CY24" s="27"/>
      <c r="CZ24" s="27"/>
      <c r="DA24" s="27"/>
      <c r="DB24" s="27"/>
      <c r="DC24" s="27"/>
      <c r="DD24" s="27"/>
      <c r="DF24" s="28"/>
    </row>
    <row r="25" spans="1:110" s="26" customFormat="1" ht="16" customHeight="1" x14ac:dyDescent="0.2">
      <c r="A25" s="29" t="s">
        <v>49</v>
      </c>
      <c r="B25" s="30">
        <f t="shared" si="0"/>
        <v>364654.15363199939</v>
      </c>
      <c r="C25" s="31">
        <f t="shared" si="0"/>
        <v>319838.15815062658</v>
      </c>
      <c r="D25" s="32">
        <f t="shared" si="0"/>
        <v>44815.995481372709</v>
      </c>
      <c r="E25" s="30">
        <f t="shared" si="21"/>
        <v>118593.4600799999</v>
      </c>
      <c r="F25" s="33">
        <f t="shared" si="21"/>
        <v>104018.32383616791</v>
      </c>
      <c r="G25" s="34">
        <f t="shared" si="21"/>
        <v>14575.136243831988</v>
      </c>
      <c r="H25" s="31">
        <f t="shared" si="1"/>
        <v>312523.33393306227</v>
      </c>
      <c r="I25" s="33">
        <f t="shared" si="1"/>
        <v>43791.036073849449</v>
      </c>
      <c r="J25" s="33">
        <f t="shared" si="1"/>
        <v>356314.37000691169</v>
      </c>
      <c r="K25" s="35">
        <f t="shared" si="2"/>
        <v>2.0045026915190074</v>
      </c>
      <c r="L25" s="36">
        <v>0</v>
      </c>
      <c r="M25" s="31">
        <f t="shared" si="22"/>
        <v>0</v>
      </c>
      <c r="N25" s="31">
        <f t="shared" si="23"/>
        <v>0</v>
      </c>
      <c r="O25" s="31">
        <f t="shared" si="24"/>
        <v>13023.584266</v>
      </c>
      <c r="P25" s="31">
        <f t="shared" si="25"/>
        <v>1824.8757339999997</v>
      </c>
      <c r="Q25" s="33">
        <v>14848.46</v>
      </c>
      <c r="R25" s="35" t="str">
        <f t="shared" si="3"/>
        <v/>
      </c>
      <c r="S25" s="36">
        <v>0</v>
      </c>
      <c r="T25" s="31">
        <f t="shared" si="26"/>
        <v>0</v>
      </c>
      <c r="U25" s="31">
        <f t="shared" si="27"/>
        <v>0</v>
      </c>
      <c r="V25" s="31">
        <f t="shared" si="28"/>
        <v>17333.732605000001</v>
      </c>
      <c r="W25" s="31">
        <f t="shared" si="29"/>
        <v>2428.8173950000005</v>
      </c>
      <c r="X25" s="33">
        <v>19762.550000000003</v>
      </c>
      <c r="Y25" s="35" t="str">
        <f t="shared" si="4"/>
        <v/>
      </c>
      <c r="Z25" s="36">
        <v>51409.540559999907</v>
      </c>
      <c r="AA25" s="31">
        <f t="shared" si="30"/>
        <v>45091.308025175917</v>
      </c>
      <c r="AB25" s="31">
        <f t="shared" si="31"/>
        <v>6318.2325348239883</v>
      </c>
      <c r="AC25" s="31">
        <f t="shared" si="32"/>
        <v>31199.867902000009</v>
      </c>
      <c r="AD25" s="31">
        <f t="shared" si="33"/>
        <v>4371.7520980000008</v>
      </c>
      <c r="AE25" s="27">
        <v>35571.62000000001</v>
      </c>
      <c r="AF25" s="35">
        <f t="shared" si="5"/>
        <v>-0.30807356742500958</v>
      </c>
      <c r="AG25" s="36">
        <v>67183.919519999996</v>
      </c>
      <c r="AH25" s="31">
        <f t="shared" si="34"/>
        <v>58927.015810991994</v>
      </c>
      <c r="AI25" s="31">
        <f t="shared" si="35"/>
        <v>8256.9037090080001</v>
      </c>
      <c r="AJ25" s="31">
        <f t="shared" si="36"/>
        <v>95179.760753000024</v>
      </c>
      <c r="AK25" s="31">
        <f t="shared" si="37"/>
        <v>13336.669247000002</v>
      </c>
      <c r="AL25" s="27">
        <v>108516.43000000002</v>
      </c>
      <c r="AM25" s="35">
        <f t="shared" si="6"/>
        <v>0.61521433663446423</v>
      </c>
      <c r="AN25" s="36">
        <v>67183.919519999996</v>
      </c>
      <c r="AO25" s="31">
        <f t="shared" si="38"/>
        <v>58927.015810991994</v>
      </c>
      <c r="AP25" s="31">
        <f t="shared" si="39"/>
        <v>8256.9037090080001</v>
      </c>
      <c r="AQ25" s="31">
        <f t="shared" si="40"/>
        <v>69903.957822062206</v>
      </c>
      <c r="AR25" s="31">
        <f t="shared" si="41"/>
        <v>9795.0021848494398</v>
      </c>
      <c r="AS25" s="27">
        <v>79698.960006911642</v>
      </c>
      <c r="AT25" s="35">
        <f t="shared" si="7"/>
        <v>0.18628029707594007</v>
      </c>
      <c r="AU25" s="36">
        <v>70111.612319999796</v>
      </c>
      <c r="AV25" s="31">
        <f t="shared" si="42"/>
        <v>61494.895165871822</v>
      </c>
      <c r="AW25" s="31">
        <f t="shared" si="43"/>
        <v>8616.7171541279749</v>
      </c>
      <c r="AX25" s="31">
        <f t="shared" si="44"/>
        <v>85882.430585000024</v>
      </c>
      <c r="AY25" s="31">
        <f t="shared" si="45"/>
        <v>12033.919415000004</v>
      </c>
      <c r="AZ25" s="27">
        <v>97916.350000000035</v>
      </c>
      <c r="BA25" s="35">
        <f t="shared" si="8"/>
        <v>0.39657820951392897</v>
      </c>
      <c r="BB25" s="36">
        <v>21808.25231999989</v>
      </c>
      <c r="BC25" s="31">
        <f t="shared" si="46"/>
        <v>19128.018109871904</v>
      </c>
      <c r="BD25" s="31">
        <f t="shared" si="47"/>
        <v>2680.2342101279864</v>
      </c>
      <c r="BE25" s="31">
        <f t="shared" si="48"/>
        <v>0</v>
      </c>
      <c r="BF25" s="31">
        <f t="shared" si="49"/>
        <v>0</v>
      </c>
      <c r="BG25" s="27"/>
      <c r="BH25" s="35">
        <f t="shared" si="10"/>
        <v>-1</v>
      </c>
      <c r="BI25" s="36">
        <v>21808.25231999989</v>
      </c>
      <c r="BJ25" s="31">
        <f t="shared" si="50"/>
        <v>19128.018109871904</v>
      </c>
      <c r="BK25" s="31">
        <f t="shared" si="51"/>
        <v>2680.2342101279864</v>
      </c>
      <c r="BL25" s="31">
        <f t="shared" si="52"/>
        <v>0</v>
      </c>
      <c r="BM25" s="31">
        <f t="shared" si="53"/>
        <v>0</v>
      </c>
      <c r="BN25" s="27"/>
      <c r="BO25" s="37">
        <f t="shared" si="12"/>
        <v>-1</v>
      </c>
      <c r="BP25" s="36">
        <v>21808.25231999989</v>
      </c>
      <c r="BQ25" s="31">
        <f t="shared" si="54"/>
        <v>19128.018109871904</v>
      </c>
      <c r="BR25" s="31">
        <f t="shared" si="55"/>
        <v>2680.2342101279864</v>
      </c>
      <c r="BS25" s="31">
        <f t="shared" si="56"/>
        <v>0</v>
      </c>
      <c r="BT25" s="31">
        <f t="shared" si="57"/>
        <v>0</v>
      </c>
      <c r="BU25" s="27"/>
      <c r="BV25" s="37">
        <f t="shared" si="14"/>
        <v>-1</v>
      </c>
      <c r="BW25" s="36">
        <v>18350.078711999991</v>
      </c>
      <c r="BX25" s="31">
        <f t="shared" si="58"/>
        <v>16094.854038295192</v>
      </c>
      <c r="BY25" s="31">
        <f t="shared" si="59"/>
        <v>2255.224673704799</v>
      </c>
      <c r="BZ25" s="31">
        <f t="shared" si="60"/>
        <v>0</v>
      </c>
      <c r="CA25" s="31">
        <f t="shared" si="61"/>
        <v>0</v>
      </c>
      <c r="CB25" s="27"/>
      <c r="CC25" s="37">
        <f t="shared" si="16"/>
        <v>-1</v>
      </c>
      <c r="CD25" s="36">
        <v>12495.163019999989</v>
      </c>
      <c r="CE25" s="31">
        <f t="shared" si="62"/>
        <v>10959.50748484199</v>
      </c>
      <c r="CF25" s="31">
        <f t="shared" si="63"/>
        <v>1535.6555351579987</v>
      </c>
      <c r="CG25" s="31">
        <f t="shared" si="64"/>
        <v>0</v>
      </c>
      <c r="CH25" s="31">
        <f t="shared" si="65"/>
        <v>0</v>
      </c>
      <c r="CI25" s="27"/>
      <c r="CJ25" s="37">
        <f t="shared" si="18"/>
        <v>-1</v>
      </c>
      <c r="CK25" s="36">
        <v>12495.163019999989</v>
      </c>
      <c r="CL25" s="31">
        <f t="shared" si="66"/>
        <v>10959.50748484199</v>
      </c>
      <c r="CM25" s="31">
        <f t="shared" si="67"/>
        <v>1535.6555351579987</v>
      </c>
      <c r="CN25" s="31">
        <f t="shared" si="68"/>
        <v>0</v>
      </c>
      <c r="CO25" s="31">
        <f t="shared" si="69"/>
        <v>0</v>
      </c>
      <c r="CP25" s="27"/>
      <c r="CQ25" s="37">
        <f t="shared" si="20"/>
        <v>-1</v>
      </c>
      <c r="CS25" s="27"/>
      <c r="CT25" s="27"/>
      <c r="CU25" s="27"/>
      <c r="CV25" s="27"/>
      <c r="CW25" s="27"/>
      <c r="CX25" s="27"/>
      <c r="CY25" s="27"/>
      <c r="CZ25" s="27"/>
      <c r="DA25" s="27"/>
      <c r="DB25" s="27"/>
      <c r="DC25" s="27"/>
      <c r="DD25" s="27"/>
      <c r="DF25" s="28"/>
    </row>
    <row r="26" spans="1:110" s="26" customFormat="1" ht="16" customHeight="1" x14ac:dyDescent="0.2">
      <c r="A26" s="29" t="s">
        <v>50</v>
      </c>
      <c r="B26" s="30">
        <f t="shared" si="0"/>
        <v>2121249.4381862385</v>
      </c>
      <c r="C26" s="31">
        <f t="shared" si="0"/>
        <v>1860547.8822331498</v>
      </c>
      <c r="D26" s="32">
        <f t="shared" si="0"/>
        <v>260701.55595308877</v>
      </c>
      <c r="E26" s="30">
        <f t="shared" si="21"/>
        <v>574122.44250965293</v>
      </c>
      <c r="F26" s="33">
        <f t="shared" si="21"/>
        <v>503562.79432521656</v>
      </c>
      <c r="G26" s="34">
        <f t="shared" si="21"/>
        <v>70559.648184436344</v>
      </c>
      <c r="H26" s="31">
        <f t="shared" si="1"/>
        <v>987615.61635200633</v>
      </c>
      <c r="I26" s="33">
        <f t="shared" si="1"/>
        <v>138385.54241210988</v>
      </c>
      <c r="J26" s="33">
        <f t="shared" si="1"/>
        <v>1126001.1587641162</v>
      </c>
      <c r="K26" s="35">
        <f t="shared" si="2"/>
        <v>0.96125612829563689</v>
      </c>
      <c r="L26" s="36">
        <v>60934.545040213241</v>
      </c>
      <c r="M26" s="31">
        <f t="shared" si="22"/>
        <v>53445.689454771033</v>
      </c>
      <c r="N26" s="31">
        <f t="shared" si="23"/>
        <v>7488.8555854422075</v>
      </c>
      <c r="O26" s="31">
        <f t="shared" si="24"/>
        <v>121341.14524699998</v>
      </c>
      <c r="P26" s="31">
        <f t="shared" si="25"/>
        <v>17002.424752999996</v>
      </c>
      <c r="Q26" s="33">
        <v>138343.56999999998</v>
      </c>
      <c r="R26" s="35">
        <f t="shared" si="3"/>
        <v>1.2703635500798653</v>
      </c>
      <c r="S26" s="36">
        <v>125358.68584021323</v>
      </c>
      <c r="T26" s="31">
        <f t="shared" si="26"/>
        <v>109952.10335045103</v>
      </c>
      <c r="U26" s="31">
        <f t="shared" si="27"/>
        <v>15406.582489762206</v>
      </c>
      <c r="V26" s="31">
        <f t="shared" si="28"/>
        <v>110015.18395731329</v>
      </c>
      <c r="W26" s="31">
        <f t="shared" si="29"/>
        <v>15415.421398191542</v>
      </c>
      <c r="X26" s="33">
        <v>125430.60535550483</v>
      </c>
      <c r="Y26" s="35">
        <f t="shared" si="4"/>
        <v>5.7370986948024338E-4</v>
      </c>
      <c r="Z26" s="36">
        <v>193914.60581461323</v>
      </c>
      <c r="AA26" s="31">
        <f t="shared" si="30"/>
        <v>170082.50075999726</v>
      </c>
      <c r="AB26" s="31">
        <f t="shared" si="31"/>
        <v>23832.105054615964</v>
      </c>
      <c r="AC26" s="31">
        <f t="shared" si="32"/>
        <v>164103.7802887533</v>
      </c>
      <c r="AD26" s="31">
        <f t="shared" si="33"/>
        <v>22994.361643470278</v>
      </c>
      <c r="AE26" s="27">
        <v>187098.14193222357</v>
      </c>
      <c r="AF26" s="35">
        <f t="shared" si="5"/>
        <v>-3.5151884788432786E-2</v>
      </c>
      <c r="AG26" s="36">
        <v>193914.60581461323</v>
      </c>
      <c r="AH26" s="31">
        <f t="shared" si="34"/>
        <v>170082.50075999726</v>
      </c>
      <c r="AI26" s="31">
        <f t="shared" si="35"/>
        <v>23832.105054615964</v>
      </c>
      <c r="AJ26" s="31">
        <f t="shared" si="36"/>
        <v>233325.59819799999</v>
      </c>
      <c r="AK26" s="31">
        <f t="shared" si="37"/>
        <v>32693.781801999998</v>
      </c>
      <c r="AL26" s="27">
        <v>266019.38</v>
      </c>
      <c r="AM26" s="35">
        <f t="shared" si="6"/>
        <v>0.37183776787974687</v>
      </c>
      <c r="AN26" s="36">
        <v>217511.77384021322</v>
      </c>
      <c r="AO26" s="31">
        <f t="shared" si="38"/>
        <v>190779.57683525101</v>
      </c>
      <c r="AP26" s="31">
        <f t="shared" si="39"/>
        <v>26732.197004962203</v>
      </c>
      <c r="AQ26" s="31">
        <f t="shared" si="40"/>
        <v>215671.16993412192</v>
      </c>
      <c r="AR26" s="31">
        <f t="shared" si="41"/>
        <v>30220.028257785412</v>
      </c>
      <c r="AS26" s="27">
        <v>245891.19819190734</v>
      </c>
      <c r="AT26" s="35">
        <f t="shared" si="7"/>
        <v>0.13047304911660551</v>
      </c>
      <c r="AU26" s="36">
        <v>167929.09541461326</v>
      </c>
      <c r="AV26" s="31">
        <f t="shared" si="42"/>
        <v>147290.6095881573</v>
      </c>
      <c r="AW26" s="31">
        <f t="shared" si="43"/>
        <v>20638.48582645597</v>
      </c>
      <c r="AX26" s="31">
        <f t="shared" si="44"/>
        <v>143158.73872681786</v>
      </c>
      <c r="AY26" s="31">
        <f t="shared" si="45"/>
        <v>20059.524557662655</v>
      </c>
      <c r="AZ26" s="27">
        <v>163218.26328448052</v>
      </c>
      <c r="BA26" s="35">
        <f t="shared" si="8"/>
        <v>-2.8052507032815255E-2</v>
      </c>
      <c r="BB26" s="36">
        <v>144331.92738901323</v>
      </c>
      <c r="BC26" s="31">
        <f t="shared" si="46"/>
        <v>126593.53351290351</v>
      </c>
      <c r="BD26" s="31">
        <f t="shared" si="47"/>
        <v>17738.393876109727</v>
      </c>
      <c r="BE26" s="31">
        <f t="shared" si="48"/>
        <v>0</v>
      </c>
      <c r="BF26" s="31">
        <f t="shared" si="49"/>
        <v>0</v>
      </c>
      <c r="BG26" s="27"/>
      <c r="BH26" s="35">
        <f t="shared" si="10"/>
        <v>-1</v>
      </c>
      <c r="BI26" s="36">
        <v>193914.60581461323</v>
      </c>
      <c r="BJ26" s="31">
        <f t="shared" si="50"/>
        <v>170082.50075999726</v>
      </c>
      <c r="BK26" s="31">
        <f t="shared" si="51"/>
        <v>23832.105054615964</v>
      </c>
      <c r="BL26" s="31">
        <f t="shared" si="52"/>
        <v>0</v>
      </c>
      <c r="BM26" s="31">
        <f t="shared" si="53"/>
        <v>0</v>
      </c>
      <c r="BN26" s="27"/>
      <c r="BO26" s="37">
        <f t="shared" si="12"/>
        <v>-1</v>
      </c>
      <c r="BP26" s="36">
        <v>243564.06617173326</v>
      </c>
      <c r="BQ26" s="31">
        <f t="shared" si="54"/>
        <v>213630.04243922723</v>
      </c>
      <c r="BR26" s="31">
        <f t="shared" si="55"/>
        <v>29934.023732506015</v>
      </c>
      <c r="BS26" s="31">
        <f t="shared" si="56"/>
        <v>0</v>
      </c>
      <c r="BT26" s="31">
        <f t="shared" si="57"/>
        <v>0</v>
      </c>
      <c r="BU26" s="27"/>
      <c r="BV26" s="37">
        <f t="shared" si="14"/>
        <v>-1</v>
      </c>
      <c r="BW26" s="36">
        <v>238406.72067733321</v>
      </c>
      <c r="BX26" s="31">
        <f t="shared" si="58"/>
        <v>209106.53470608898</v>
      </c>
      <c r="BY26" s="31">
        <f t="shared" si="59"/>
        <v>29300.185971244249</v>
      </c>
      <c r="BZ26" s="31">
        <f t="shared" si="60"/>
        <v>0</v>
      </c>
      <c r="CA26" s="31">
        <f t="shared" si="61"/>
        <v>0</v>
      </c>
      <c r="CB26" s="27"/>
      <c r="CC26" s="37">
        <f t="shared" si="16"/>
        <v>-1</v>
      </c>
      <c r="CD26" s="36">
        <v>172800.29277173322</v>
      </c>
      <c r="CE26" s="31">
        <f t="shared" si="62"/>
        <v>151563.13679008721</v>
      </c>
      <c r="CF26" s="31">
        <f t="shared" si="63"/>
        <v>21237.15598164601</v>
      </c>
      <c r="CG26" s="31">
        <f t="shared" si="64"/>
        <v>0</v>
      </c>
      <c r="CH26" s="31">
        <f t="shared" si="65"/>
        <v>0</v>
      </c>
      <c r="CI26" s="27"/>
      <c r="CJ26" s="37">
        <f t="shared" si="18"/>
        <v>-1</v>
      </c>
      <c r="CK26" s="36">
        <v>168668.51359733325</v>
      </c>
      <c r="CL26" s="31">
        <f t="shared" si="66"/>
        <v>147939.15327622098</v>
      </c>
      <c r="CM26" s="31">
        <f t="shared" si="67"/>
        <v>20729.360321112257</v>
      </c>
      <c r="CN26" s="31">
        <f t="shared" si="68"/>
        <v>0</v>
      </c>
      <c r="CO26" s="31">
        <f t="shared" si="69"/>
        <v>0</v>
      </c>
      <c r="CP26" s="27"/>
      <c r="CQ26" s="37">
        <f t="shared" si="20"/>
        <v>-1</v>
      </c>
      <c r="CS26" s="27"/>
      <c r="CT26" s="27"/>
      <c r="CU26" s="27"/>
      <c r="CV26" s="27"/>
      <c r="CW26" s="27"/>
      <c r="CX26" s="27"/>
      <c r="CY26" s="27"/>
      <c r="CZ26" s="27"/>
      <c r="DA26" s="27"/>
      <c r="DB26" s="27"/>
      <c r="DC26" s="27"/>
      <c r="DD26" s="27"/>
      <c r="DF26" s="28"/>
    </row>
    <row r="27" spans="1:110" s="26" customFormat="1" ht="16" customHeight="1" x14ac:dyDescent="0.2">
      <c r="A27" s="29" t="s">
        <v>51</v>
      </c>
      <c r="B27" s="30">
        <f t="shared" si="0"/>
        <v>119372.2712399999</v>
      </c>
      <c r="C27" s="31">
        <f t="shared" si="0"/>
        <v>104701.4191046039</v>
      </c>
      <c r="D27" s="32">
        <f t="shared" si="0"/>
        <v>14670.852135395988</v>
      </c>
      <c r="E27" s="30">
        <f t="shared" si="21"/>
        <v>33808.412159999971</v>
      </c>
      <c r="F27" s="33">
        <f t="shared" si="21"/>
        <v>29653.358305535978</v>
      </c>
      <c r="G27" s="34">
        <f t="shared" si="21"/>
        <v>4155.0538544639967</v>
      </c>
      <c r="H27" s="31">
        <f t="shared" si="1"/>
        <v>108305.027222</v>
      </c>
      <c r="I27" s="33">
        <f t="shared" si="1"/>
        <v>15175.792777999997</v>
      </c>
      <c r="J27" s="33">
        <f t="shared" si="1"/>
        <v>123480.81999999999</v>
      </c>
      <c r="K27" s="35">
        <f t="shared" si="2"/>
        <v>2.6523696947262989</v>
      </c>
      <c r="L27" s="36">
        <v>2805.7804799999999</v>
      </c>
      <c r="M27" s="31">
        <f t="shared" si="22"/>
        <v>2460.9500590079997</v>
      </c>
      <c r="N27" s="31">
        <f t="shared" si="23"/>
        <v>344.83042099199997</v>
      </c>
      <c r="O27" s="31">
        <f t="shared" si="24"/>
        <v>30615.964889999996</v>
      </c>
      <c r="P27" s="31">
        <f t="shared" si="25"/>
        <v>4289.9351099999994</v>
      </c>
      <c r="Q27" s="33">
        <v>34905.899999999994</v>
      </c>
      <c r="R27" s="35">
        <f t="shared" si="3"/>
        <v>11.440709545459521</v>
      </c>
      <c r="S27" s="36">
        <v>10129.059839999991</v>
      </c>
      <c r="T27" s="31">
        <f t="shared" si="26"/>
        <v>8884.1983856639927</v>
      </c>
      <c r="U27" s="31">
        <f t="shared" si="27"/>
        <v>1244.8614543359988</v>
      </c>
      <c r="V27" s="31">
        <f t="shared" si="28"/>
        <v>9713.2509879999998</v>
      </c>
      <c r="W27" s="31">
        <f t="shared" si="29"/>
        <v>1361.029012</v>
      </c>
      <c r="X27" s="33">
        <v>11074.28</v>
      </c>
      <c r="Y27" s="35">
        <f t="shared" si="4"/>
        <v>9.3317659776014361E-2</v>
      </c>
      <c r="Z27" s="36">
        <v>10129.059839999991</v>
      </c>
      <c r="AA27" s="31">
        <f t="shared" si="30"/>
        <v>8884.1983856639927</v>
      </c>
      <c r="AB27" s="31">
        <f t="shared" si="31"/>
        <v>1244.8614543359988</v>
      </c>
      <c r="AC27" s="31">
        <f t="shared" si="32"/>
        <v>12750.279905999998</v>
      </c>
      <c r="AD27" s="31">
        <f t="shared" si="33"/>
        <v>1786.5800939999995</v>
      </c>
      <c r="AE27" s="27">
        <v>14536.859999999997</v>
      </c>
      <c r="AF27" s="35">
        <f t="shared" si="5"/>
        <v>0.43516379897307522</v>
      </c>
      <c r="AG27" s="36">
        <v>10744.51199999999</v>
      </c>
      <c r="AH27" s="31">
        <f t="shared" si="34"/>
        <v>9424.0114751999918</v>
      </c>
      <c r="AI27" s="31">
        <f t="shared" si="35"/>
        <v>1320.5005247999986</v>
      </c>
      <c r="AJ27" s="31">
        <f t="shared" si="36"/>
        <v>12454.995420000001</v>
      </c>
      <c r="AK27" s="31">
        <f t="shared" si="37"/>
        <v>1745.2045800000001</v>
      </c>
      <c r="AL27" s="27">
        <v>14200.2</v>
      </c>
      <c r="AM27" s="35">
        <f t="shared" si="6"/>
        <v>0.32162354139490135</v>
      </c>
      <c r="AN27" s="36">
        <v>4208.8319999999903</v>
      </c>
      <c r="AO27" s="31">
        <f t="shared" si="38"/>
        <v>3691.5665471999914</v>
      </c>
      <c r="AP27" s="31">
        <f t="shared" si="39"/>
        <v>517.2654527999988</v>
      </c>
      <c r="AQ27" s="31">
        <f t="shared" si="40"/>
        <v>18436.352557000002</v>
      </c>
      <c r="AR27" s="31">
        <f t="shared" si="41"/>
        <v>2583.3174429999999</v>
      </c>
      <c r="AS27" s="27">
        <v>21019.670000000002</v>
      </c>
      <c r="AT27" s="35">
        <f t="shared" si="7"/>
        <v>3.994181283548512</v>
      </c>
      <c r="AU27" s="36">
        <v>13550.292479999989</v>
      </c>
      <c r="AV27" s="31">
        <f t="shared" si="42"/>
        <v>11884.961534207991</v>
      </c>
      <c r="AW27" s="31">
        <f t="shared" si="43"/>
        <v>1665.3309457919986</v>
      </c>
      <c r="AX27" s="31">
        <f t="shared" si="44"/>
        <v>24334.183461000001</v>
      </c>
      <c r="AY27" s="31">
        <f t="shared" si="45"/>
        <v>3409.7265389999998</v>
      </c>
      <c r="AZ27" s="27">
        <v>27743.91</v>
      </c>
      <c r="BA27" s="35">
        <f t="shared" si="8"/>
        <v>1.0474768379316948</v>
      </c>
      <c r="BB27" s="36">
        <v>7014.6124799999998</v>
      </c>
      <c r="BC27" s="31">
        <f t="shared" si="46"/>
        <v>6152.5166062079998</v>
      </c>
      <c r="BD27" s="31">
        <f t="shared" si="47"/>
        <v>862.09587379199991</v>
      </c>
      <c r="BE27" s="31">
        <f t="shared" si="48"/>
        <v>0</v>
      </c>
      <c r="BF27" s="31">
        <f t="shared" si="49"/>
        <v>0</v>
      </c>
      <c r="BG27" s="27"/>
      <c r="BH27" s="35">
        <f t="shared" si="10"/>
        <v>-1</v>
      </c>
      <c r="BI27" s="36">
        <v>13550.292479999989</v>
      </c>
      <c r="BJ27" s="31">
        <f t="shared" si="50"/>
        <v>11884.961534207991</v>
      </c>
      <c r="BK27" s="31">
        <f t="shared" si="51"/>
        <v>1665.3309457919986</v>
      </c>
      <c r="BL27" s="31">
        <f t="shared" si="52"/>
        <v>0</v>
      </c>
      <c r="BM27" s="31">
        <f t="shared" si="53"/>
        <v>0</v>
      </c>
      <c r="BN27" s="27"/>
      <c r="BO27" s="37">
        <f t="shared" si="12"/>
        <v>-1</v>
      </c>
      <c r="BP27" s="36">
        <v>13550.292479999989</v>
      </c>
      <c r="BQ27" s="31">
        <f t="shared" si="54"/>
        <v>11884.961534207991</v>
      </c>
      <c r="BR27" s="31">
        <f t="shared" si="55"/>
        <v>1665.3309457919986</v>
      </c>
      <c r="BS27" s="31">
        <f t="shared" si="56"/>
        <v>0</v>
      </c>
      <c r="BT27" s="31">
        <f t="shared" si="57"/>
        <v>0</v>
      </c>
      <c r="BU27" s="27"/>
      <c r="BV27" s="37">
        <f t="shared" si="14"/>
        <v>-1</v>
      </c>
      <c r="BW27" s="36">
        <v>13100.36603999999</v>
      </c>
      <c r="BX27" s="31">
        <f t="shared" si="58"/>
        <v>11490.331053683991</v>
      </c>
      <c r="BY27" s="31">
        <f t="shared" si="59"/>
        <v>1610.0349863159986</v>
      </c>
      <c r="BZ27" s="31">
        <f t="shared" si="60"/>
        <v>0</v>
      </c>
      <c r="CA27" s="31">
        <f t="shared" si="61"/>
        <v>0</v>
      </c>
      <c r="CB27" s="27"/>
      <c r="CC27" s="37">
        <f t="shared" si="16"/>
        <v>-1</v>
      </c>
      <c r="CD27" s="36">
        <v>10294.58555999999</v>
      </c>
      <c r="CE27" s="31">
        <f t="shared" si="62"/>
        <v>9029.380994675992</v>
      </c>
      <c r="CF27" s="31">
        <f t="shared" si="63"/>
        <v>1265.2045653239988</v>
      </c>
      <c r="CG27" s="31">
        <f t="shared" si="64"/>
        <v>0</v>
      </c>
      <c r="CH27" s="31">
        <f t="shared" si="65"/>
        <v>0</v>
      </c>
      <c r="CI27" s="27"/>
      <c r="CJ27" s="37">
        <f t="shared" si="18"/>
        <v>-1</v>
      </c>
      <c r="CK27" s="36">
        <v>10294.58555999999</v>
      </c>
      <c r="CL27" s="31">
        <f t="shared" si="66"/>
        <v>9029.380994675992</v>
      </c>
      <c r="CM27" s="31">
        <f t="shared" si="67"/>
        <v>1265.2045653239988</v>
      </c>
      <c r="CN27" s="31">
        <f t="shared" si="68"/>
        <v>0</v>
      </c>
      <c r="CO27" s="31">
        <f t="shared" si="69"/>
        <v>0</v>
      </c>
      <c r="CP27" s="27"/>
      <c r="CQ27" s="37">
        <f t="shared" si="20"/>
        <v>-1</v>
      </c>
      <c r="CS27" s="27"/>
      <c r="CT27" s="27"/>
      <c r="CU27" s="27"/>
      <c r="CV27" s="27"/>
      <c r="CW27" s="27"/>
      <c r="CX27" s="27"/>
      <c r="CY27" s="27"/>
      <c r="CZ27" s="27"/>
      <c r="DA27" s="27"/>
      <c r="DB27" s="27"/>
      <c r="DC27" s="27"/>
      <c r="DD27" s="27"/>
      <c r="DF27" s="28"/>
    </row>
    <row r="28" spans="1:110" s="26" customFormat="1" ht="16" customHeight="1" x14ac:dyDescent="0.2">
      <c r="A28" s="29" t="s">
        <v>52</v>
      </c>
      <c r="B28" s="30">
        <f t="shared" si="0"/>
        <v>122662.05635999992</v>
      </c>
      <c r="C28" s="31">
        <f t="shared" si="0"/>
        <v>107586.8896333559</v>
      </c>
      <c r="D28" s="32">
        <f t="shared" si="0"/>
        <v>15075.166726643991</v>
      </c>
      <c r="E28" s="30">
        <f t="shared" si="21"/>
        <v>41648.44799999996</v>
      </c>
      <c r="F28" s="33">
        <f t="shared" si="21"/>
        <v>36529.853740799968</v>
      </c>
      <c r="G28" s="34">
        <f t="shared" si="21"/>
        <v>5118.5942591999947</v>
      </c>
      <c r="H28" s="31">
        <f t="shared" si="1"/>
        <v>56331.74259070179</v>
      </c>
      <c r="I28" s="33">
        <f t="shared" si="1"/>
        <v>7893.2518121049479</v>
      </c>
      <c r="J28" s="33">
        <f t="shared" si="1"/>
        <v>64224.99440280674</v>
      </c>
      <c r="K28" s="35">
        <f t="shared" si="2"/>
        <v>0.54207413449852448</v>
      </c>
      <c r="L28" s="36">
        <v>8866.9439999999904</v>
      </c>
      <c r="M28" s="31">
        <f t="shared" si="22"/>
        <v>7777.1965823999917</v>
      </c>
      <c r="N28" s="31">
        <f t="shared" si="23"/>
        <v>1089.7474175999987</v>
      </c>
      <c r="O28" s="31">
        <f t="shared" si="24"/>
        <v>13241.973395000005</v>
      </c>
      <c r="P28" s="31">
        <f t="shared" si="25"/>
        <v>1855.4766050000005</v>
      </c>
      <c r="Q28" s="33">
        <v>15097.450000000004</v>
      </c>
      <c r="R28" s="35">
        <f t="shared" si="3"/>
        <v>0.7026666684711238</v>
      </c>
      <c r="S28" s="36">
        <v>8866.9439999999904</v>
      </c>
      <c r="T28" s="31">
        <f t="shared" si="26"/>
        <v>7777.1965823999917</v>
      </c>
      <c r="U28" s="31">
        <f t="shared" si="27"/>
        <v>1089.7474175999987</v>
      </c>
      <c r="V28" s="31">
        <f t="shared" si="28"/>
        <v>8094.3348919999989</v>
      </c>
      <c r="W28" s="31">
        <f t="shared" si="29"/>
        <v>1134.1851079999999</v>
      </c>
      <c r="X28" s="33">
        <v>9228.5199999999986</v>
      </c>
      <c r="Y28" s="35">
        <f t="shared" si="4"/>
        <v>4.0777972658901263E-2</v>
      </c>
      <c r="Z28" s="36">
        <v>11822.591999999991</v>
      </c>
      <c r="AA28" s="31">
        <f t="shared" si="30"/>
        <v>10369.595443199993</v>
      </c>
      <c r="AB28" s="31">
        <f t="shared" si="31"/>
        <v>1452.9965567999989</v>
      </c>
      <c r="AC28" s="31">
        <f t="shared" si="32"/>
        <v>4138.6665179999991</v>
      </c>
      <c r="AD28" s="31">
        <f t="shared" si="33"/>
        <v>579.91348199999982</v>
      </c>
      <c r="AE28" s="27">
        <v>4718.579999999999</v>
      </c>
      <c r="AF28" s="35">
        <f t="shared" si="5"/>
        <v>-0.60088447609458218</v>
      </c>
      <c r="AG28" s="36">
        <v>12091.96799999999</v>
      </c>
      <c r="AH28" s="31">
        <f t="shared" si="34"/>
        <v>10605.865132799991</v>
      </c>
      <c r="AI28" s="31">
        <f t="shared" si="35"/>
        <v>1486.1028671999986</v>
      </c>
      <c r="AJ28" s="31">
        <f t="shared" si="36"/>
        <v>7365.4033949999994</v>
      </c>
      <c r="AK28" s="31">
        <f t="shared" si="37"/>
        <v>1032.0466049999998</v>
      </c>
      <c r="AL28" s="27">
        <v>8397.4499999999989</v>
      </c>
      <c r="AM28" s="35">
        <f t="shared" si="6"/>
        <v>-0.30553488067451007</v>
      </c>
      <c r="AN28" s="36">
        <v>10344.767999999991</v>
      </c>
      <c r="AO28" s="31">
        <f t="shared" si="38"/>
        <v>9073.3960127999926</v>
      </c>
      <c r="AP28" s="31">
        <f t="shared" si="39"/>
        <v>1271.3719871999988</v>
      </c>
      <c r="AQ28" s="31">
        <f t="shared" si="40"/>
        <v>12629.933015000001</v>
      </c>
      <c r="AR28" s="31">
        <f t="shared" si="41"/>
        <v>1769.7169849999998</v>
      </c>
      <c r="AS28" s="27">
        <v>14399.65</v>
      </c>
      <c r="AT28" s="35">
        <f t="shared" si="7"/>
        <v>0.39197418443797027</v>
      </c>
      <c r="AU28" s="36">
        <v>9136.32</v>
      </c>
      <c r="AV28" s="31">
        <f t="shared" si="42"/>
        <v>8013.4662719999997</v>
      </c>
      <c r="AW28" s="31">
        <f t="shared" si="43"/>
        <v>1122.8537279999998</v>
      </c>
      <c r="AX28" s="31">
        <f t="shared" si="44"/>
        <v>10861.43137570179</v>
      </c>
      <c r="AY28" s="31">
        <f t="shared" si="45"/>
        <v>1521.9130271049482</v>
      </c>
      <c r="AZ28" s="27">
        <v>12383.344402806739</v>
      </c>
      <c r="BA28" s="35">
        <f t="shared" si="8"/>
        <v>0.35539740320027535</v>
      </c>
      <c r="BB28" s="36">
        <v>7389.1199999999899</v>
      </c>
      <c r="BC28" s="31">
        <f t="shared" si="46"/>
        <v>6480.9971519999908</v>
      </c>
      <c r="BD28" s="31">
        <f t="shared" si="47"/>
        <v>908.12284799999873</v>
      </c>
      <c r="BE28" s="31">
        <f t="shared" si="48"/>
        <v>0</v>
      </c>
      <c r="BF28" s="31">
        <f t="shared" si="49"/>
        <v>0</v>
      </c>
      <c r="BG28" s="27"/>
      <c r="BH28" s="35">
        <f t="shared" si="10"/>
        <v>-1</v>
      </c>
      <c r="BI28" s="36">
        <v>12091.96799999999</v>
      </c>
      <c r="BJ28" s="31">
        <f t="shared" si="50"/>
        <v>10605.865132799991</v>
      </c>
      <c r="BK28" s="31">
        <f t="shared" si="51"/>
        <v>1486.1028671999986</v>
      </c>
      <c r="BL28" s="31">
        <f t="shared" si="52"/>
        <v>0</v>
      </c>
      <c r="BM28" s="31">
        <f t="shared" si="53"/>
        <v>0</v>
      </c>
      <c r="BN28" s="27"/>
      <c r="BO28" s="37">
        <f t="shared" si="12"/>
        <v>-1</v>
      </c>
      <c r="BP28" s="36">
        <v>12091.96799999999</v>
      </c>
      <c r="BQ28" s="31">
        <f t="shared" si="54"/>
        <v>10605.865132799991</v>
      </c>
      <c r="BR28" s="31">
        <f t="shared" si="55"/>
        <v>1486.1028671999986</v>
      </c>
      <c r="BS28" s="31">
        <f t="shared" si="56"/>
        <v>0</v>
      </c>
      <c r="BT28" s="31">
        <f t="shared" si="57"/>
        <v>0</v>
      </c>
      <c r="BU28" s="27"/>
      <c r="BV28" s="37">
        <f t="shared" si="14"/>
        <v>-1</v>
      </c>
      <c r="BW28" s="36">
        <v>11956.92011999999</v>
      </c>
      <c r="BX28" s="31">
        <f t="shared" si="58"/>
        <v>10487.414637251992</v>
      </c>
      <c r="BY28" s="31">
        <f t="shared" si="59"/>
        <v>1469.5054827479987</v>
      </c>
      <c r="BZ28" s="31">
        <f t="shared" si="60"/>
        <v>0</v>
      </c>
      <c r="CA28" s="31">
        <f t="shared" si="61"/>
        <v>0</v>
      </c>
      <c r="CB28" s="27"/>
      <c r="CC28" s="37">
        <f t="shared" si="16"/>
        <v>-1</v>
      </c>
      <c r="CD28" s="36">
        <v>9001.2721199999996</v>
      </c>
      <c r="CE28" s="31">
        <f t="shared" si="62"/>
        <v>7895.015776452</v>
      </c>
      <c r="CF28" s="31">
        <f t="shared" si="63"/>
        <v>1106.2563435479999</v>
      </c>
      <c r="CG28" s="31">
        <f t="shared" si="64"/>
        <v>0</v>
      </c>
      <c r="CH28" s="31">
        <f t="shared" si="65"/>
        <v>0</v>
      </c>
      <c r="CI28" s="27"/>
      <c r="CJ28" s="37">
        <f t="shared" si="18"/>
        <v>-1</v>
      </c>
      <c r="CK28" s="36">
        <v>9001.2721199999996</v>
      </c>
      <c r="CL28" s="31">
        <f t="shared" si="66"/>
        <v>7895.015776452</v>
      </c>
      <c r="CM28" s="31">
        <f t="shared" si="67"/>
        <v>1106.2563435479999</v>
      </c>
      <c r="CN28" s="31">
        <f t="shared" si="68"/>
        <v>0</v>
      </c>
      <c r="CO28" s="31">
        <f t="shared" si="69"/>
        <v>0</v>
      </c>
      <c r="CP28" s="27"/>
      <c r="CQ28" s="37">
        <f t="shared" si="20"/>
        <v>-1</v>
      </c>
      <c r="CS28" s="27"/>
      <c r="CT28" s="27"/>
      <c r="CU28" s="27"/>
      <c r="CV28" s="27"/>
      <c r="CW28" s="27"/>
      <c r="CX28" s="27"/>
      <c r="CY28" s="27"/>
      <c r="CZ28" s="27"/>
      <c r="DA28" s="27"/>
      <c r="DB28" s="27"/>
      <c r="DC28" s="27"/>
      <c r="DD28" s="27"/>
      <c r="DF28" s="28"/>
    </row>
    <row r="29" spans="1:110" s="26" customFormat="1" ht="16" customHeight="1" x14ac:dyDescent="0.2">
      <c r="A29" s="29" t="s">
        <v>53</v>
      </c>
      <c r="B29" s="30">
        <f t="shared" si="0"/>
        <v>211290.05999999994</v>
      </c>
      <c r="C29" s="31">
        <f t="shared" si="0"/>
        <v>185322.5116259999</v>
      </c>
      <c r="D29" s="32">
        <f t="shared" si="0"/>
        <v>25967.548373999987</v>
      </c>
      <c r="E29" s="30">
        <f t="shared" si="21"/>
        <v>70430.01999999996</v>
      </c>
      <c r="F29" s="33">
        <f t="shared" si="21"/>
        <v>61774.170541999963</v>
      </c>
      <c r="G29" s="34">
        <f t="shared" si="21"/>
        <v>8655.8494579999951</v>
      </c>
      <c r="H29" s="31">
        <f t="shared" si="1"/>
        <v>4851.4330620000001</v>
      </c>
      <c r="I29" s="33">
        <f t="shared" si="1"/>
        <v>679.78693799999996</v>
      </c>
      <c r="J29" s="33">
        <f t="shared" si="1"/>
        <v>5531.22</v>
      </c>
      <c r="K29" s="35">
        <f t="shared" si="2"/>
        <v>-0.92146502301149424</v>
      </c>
      <c r="L29" s="36">
        <v>17607.50499999999</v>
      </c>
      <c r="M29" s="31">
        <f t="shared" si="22"/>
        <v>15443.542635499991</v>
      </c>
      <c r="N29" s="31">
        <f t="shared" si="23"/>
        <v>2163.9623644999988</v>
      </c>
      <c r="O29" s="31">
        <f t="shared" si="24"/>
        <v>0</v>
      </c>
      <c r="P29" s="31">
        <f t="shared" si="25"/>
        <v>0</v>
      </c>
      <c r="Q29" s="33">
        <v>0</v>
      </c>
      <c r="R29" s="35">
        <f t="shared" si="3"/>
        <v>-1</v>
      </c>
      <c r="S29" s="36">
        <v>17607.50499999999</v>
      </c>
      <c r="T29" s="31">
        <f t="shared" si="26"/>
        <v>15443.542635499991</v>
      </c>
      <c r="U29" s="31">
        <f t="shared" si="27"/>
        <v>2163.9623644999988</v>
      </c>
      <c r="V29" s="31">
        <f t="shared" si="28"/>
        <v>0</v>
      </c>
      <c r="W29" s="31">
        <f t="shared" si="29"/>
        <v>0</v>
      </c>
      <c r="X29" s="33">
        <v>0</v>
      </c>
      <c r="Y29" s="35">
        <f t="shared" si="4"/>
        <v>-1</v>
      </c>
      <c r="Z29" s="36">
        <v>17607.50499999999</v>
      </c>
      <c r="AA29" s="31">
        <f t="shared" si="30"/>
        <v>15443.542635499991</v>
      </c>
      <c r="AB29" s="31">
        <f t="shared" si="31"/>
        <v>2163.9623644999988</v>
      </c>
      <c r="AC29" s="31">
        <f t="shared" si="32"/>
        <v>0</v>
      </c>
      <c r="AD29" s="31">
        <f t="shared" si="33"/>
        <v>0</v>
      </c>
      <c r="AE29" s="27">
        <v>0</v>
      </c>
      <c r="AF29" s="35">
        <f t="shared" si="5"/>
        <v>-1</v>
      </c>
      <c r="AG29" s="36">
        <v>17607.50499999999</v>
      </c>
      <c r="AH29" s="31">
        <f t="shared" si="34"/>
        <v>15443.542635499991</v>
      </c>
      <c r="AI29" s="31">
        <f t="shared" si="35"/>
        <v>2163.9623644999988</v>
      </c>
      <c r="AJ29" s="31">
        <f t="shared" si="36"/>
        <v>0</v>
      </c>
      <c r="AK29" s="31">
        <f t="shared" si="37"/>
        <v>0</v>
      </c>
      <c r="AL29" s="27">
        <v>0</v>
      </c>
      <c r="AM29" s="35">
        <f t="shared" si="6"/>
        <v>-1</v>
      </c>
      <c r="AN29" s="36">
        <v>17607.50499999999</v>
      </c>
      <c r="AO29" s="31">
        <f t="shared" si="38"/>
        <v>15443.542635499991</v>
      </c>
      <c r="AP29" s="31">
        <f t="shared" si="39"/>
        <v>2163.9623644999988</v>
      </c>
      <c r="AQ29" s="31">
        <f t="shared" si="40"/>
        <v>0</v>
      </c>
      <c r="AR29" s="31">
        <f t="shared" si="41"/>
        <v>0</v>
      </c>
      <c r="AS29" s="27">
        <v>0</v>
      </c>
      <c r="AT29" s="35">
        <f t="shared" si="7"/>
        <v>-1</v>
      </c>
      <c r="AU29" s="36">
        <v>17607.50499999999</v>
      </c>
      <c r="AV29" s="31">
        <f t="shared" si="42"/>
        <v>15443.542635499991</v>
      </c>
      <c r="AW29" s="31">
        <f t="shared" si="43"/>
        <v>2163.9623644999988</v>
      </c>
      <c r="AX29" s="31">
        <f t="shared" si="44"/>
        <v>4851.4330620000001</v>
      </c>
      <c r="AY29" s="31">
        <f t="shared" si="45"/>
        <v>679.78693799999996</v>
      </c>
      <c r="AZ29" s="27">
        <v>5531.22</v>
      </c>
      <c r="BA29" s="35">
        <f t="shared" si="8"/>
        <v>-0.68586009204597675</v>
      </c>
      <c r="BB29" s="36">
        <v>17607.50499999999</v>
      </c>
      <c r="BC29" s="31">
        <f t="shared" si="46"/>
        <v>15443.542635499991</v>
      </c>
      <c r="BD29" s="31">
        <f t="shared" si="47"/>
        <v>2163.9623644999988</v>
      </c>
      <c r="BE29" s="31">
        <f t="shared" si="48"/>
        <v>0</v>
      </c>
      <c r="BF29" s="31">
        <f t="shared" si="49"/>
        <v>0</v>
      </c>
      <c r="BG29" s="27"/>
      <c r="BH29" s="35">
        <f t="shared" si="10"/>
        <v>-1</v>
      </c>
      <c r="BI29" s="36">
        <v>17607.50499999999</v>
      </c>
      <c r="BJ29" s="31">
        <f t="shared" si="50"/>
        <v>15443.542635499991</v>
      </c>
      <c r="BK29" s="31">
        <f t="shared" si="51"/>
        <v>2163.9623644999988</v>
      </c>
      <c r="BL29" s="31">
        <f t="shared" si="52"/>
        <v>0</v>
      </c>
      <c r="BM29" s="31">
        <f t="shared" si="53"/>
        <v>0</v>
      </c>
      <c r="BN29" s="27"/>
      <c r="BO29" s="37">
        <f t="shared" si="12"/>
        <v>-1</v>
      </c>
      <c r="BP29" s="36">
        <v>17607.50499999999</v>
      </c>
      <c r="BQ29" s="31">
        <f t="shared" si="54"/>
        <v>15443.542635499991</v>
      </c>
      <c r="BR29" s="31">
        <f t="shared" si="55"/>
        <v>2163.9623644999988</v>
      </c>
      <c r="BS29" s="31">
        <f t="shared" si="56"/>
        <v>0</v>
      </c>
      <c r="BT29" s="31">
        <f t="shared" si="57"/>
        <v>0</v>
      </c>
      <c r="BU29" s="27"/>
      <c r="BV29" s="37">
        <f t="shared" si="14"/>
        <v>-1</v>
      </c>
      <c r="BW29" s="36">
        <v>17607.50499999999</v>
      </c>
      <c r="BX29" s="31">
        <f t="shared" si="58"/>
        <v>15443.542635499991</v>
      </c>
      <c r="BY29" s="31">
        <f t="shared" si="59"/>
        <v>2163.9623644999988</v>
      </c>
      <c r="BZ29" s="31">
        <f t="shared" si="60"/>
        <v>0</v>
      </c>
      <c r="CA29" s="31">
        <f t="shared" si="61"/>
        <v>0</v>
      </c>
      <c r="CB29" s="27"/>
      <c r="CC29" s="37">
        <f t="shared" si="16"/>
        <v>-1</v>
      </c>
      <c r="CD29" s="36">
        <v>17607.50499999999</v>
      </c>
      <c r="CE29" s="31">
        <f t="shared" si="62"/>
        <v>15443.542635499991</v>
      </c>
      <c r="CF29" s="31">
        <f t="shared" si="63"/>
        <v>2163.9623644999988</v>
      </c>
      <c r="CG29" s="31">
        <f t="shared" si="64"/>
        <v>0</v>
      </c>
      <c r="CH29" s="31">
        <f t="shared" si="65"/>
        <v>0</v>
      </c>
      <c r="CI29" s="27"/>
      <c r="CJ29" s="37">
        <f t="shared" si="18"/>
        <v>-1</v>
      </c>
      <c r="CK29" s="36">
        <v>17607.50499999999</v>
      </c>
      <c r="CL29" s="31">
        <f t="shared" si="66"/>
        <v>15443.542635499991</v>
      </c>
      <c r="CM29" s="31">
        <f t="shared" si="67"/>
        <v>2163.9623644999988</v>
      </c>
      <c r="CN29" s="31">
        <f t="shared" si="68"/>
        <v>0</v>
      </c>
      <c r="CO29" s="31">
        <f t="shared" si="69"/>
        <v>0</v>
      </c>
      <c r="CP29" s="27"/>
      <c r="CQ29" s="37">
        <f t="shared" si="20"/>
        <v>-1</v>
      </c>
      <c r="CS29" s="27"/>
      <c r="CT29" s="27"/>
      <c r="CU29" s="27"/>
      <c r="CV29" s="27"/>
      <c r="CW29" s="27"/>
      <c r="CX29" s="27"/>
      <c r="CY29" s="27"/>
      <c r="CZ29" s="27"/>
      <c r="DA29" s="27"/>
      <c r="DB29" s="27"/>
      <c r="DC29" s="27"/>
      <c r="DD29" s="27"/>
      <c r="DF29" s="28"/>
    </row>
    <row r="30" spans="1:110" s="26" customFormat="1" ht="16" customHeight="1" x14ac:dyDescent="0.2">
      <c r="A30" s="29" t="s">
        <v>54</v>
      </c>
      <c r="B30" s="30">
        <f t="shared" si="0"/>
        <v>35096.000000000007</v>
      </c>
      <c r="C30" s="31">
        <f t="shared" si="0"/>
        <v>30782.7016</v>
      </c>
      <c r="D30" s="32">
        <f t="shared" si="0"/>
        <v>4313.2983999999988</v>
      </c>
      <c r="E30" s="30">
        <f t="shared" si="21"/>
        <v>11698.666666666666</v>
      </c>
      <c r="F30" s="33">
        <f t="shared" si="21"/>
        <v>10260.900533333333</v>
      </c>
      <c r="G30" s="34">
        <f t="shared" si="21"/>
        <v>1437.7661333333333</v>
      </c>
      <c r="H30" s="31">
        <f t="shared" si="1"/>
        <v>0</v>
      </c>
      <c r="I30" s="33">
        <f t="shared" si="1"/>
        <v>0</v>
      </c>
      <c r="J30" s="33">
        <f t="shared" si="1"/>
        <v>0</v>
      </c>
      <c r="K30" s="35">
        <f t="shared" si="2"/>
        <v>-1</v>
      </c>
      <c r="L30" s="36">
        <v>2924.6666666666665</v>
      </c>
      <c r="M30" s="31">
        <f t="shared" si="22"/>
        <v>2565.2251333333334</v>
      </c>
      <c r="N30" s="31">
        <f t="shared" si="23"/>
        <v>359.44153333333333</v>
      </c>
      <c r="O30" s="31">
        <f t="shared" si="24"/>
        <v>0</v>
      </c>
      <c r="P30" s="31">
        <f t="shared" si="25"/>
        <v>0</v>
      </c>
      <c r="Q30" s="33">
        <v>0</v>
      </c>
      <c r="R30" s="35">
        <f t="shared" si="3"/>
        <v>-1</v>
      </c>
      <c r="S30" s="36">
        <v>2924.6666666666665</v>
      </c>
      <c r="T30" s="31">
        <f t="shared" si="26"/>
        <v>2565.2251333333334</v>
      </c>
      <c r="U30" s="31">
        <f t="shared" si="27"/>
        <v>359.44153333333333</v>
      </c>
      <c r="V30" s="31">
        <f t="shared" si="28"/>
        <v>0</v>
      </c>
      <c r="W30" s="31">
        <f t="shared" si="29"/>
        <v>0</v>
      </c>
      <c r="X30" s="33">
        <v>0</v>
      </c>
      <c r="Y30" s="35">
        <f t="shared" si="4"/>
        <v>-1</v>
      </c>
      <c r="Z30" s="36">
        <v>2924.6666666666665</v>
      </c>
      <c r="AA30" s="31">
        <f t="shared" si="30"/>
        <v>2565.2251333333334</v>
      </c>
      <c r="AB30" s="31">
        <f t="shared" si="31"/>
        <v>359.44153333333333</v>
      </c>
      <c r="AC30" s="31">
        <f t="shared" si="32"/>
        <v>0</v>
      </c>
      <c r="AD30" s="31">
        <f t="shared" si="33"/>
        <v>0</v>
      </c>
      <c r="AE30" s="27">
        <v>0</v>
      </c>
      <c r="AF30" s="35">
        <f t="shared" si="5"/>
        <v>-1</v>
      </c>
      <c r="AG30" s="36">
        <v>2924.6666666666665</v>
      </c>
      <c r="AH30" s="31">
        <f t="shared" si="34"/>
        <v>2565.2251333333334</v>
      </c>
      <c r="AI30" s="31">
        <f t="shared" si="35"/>
        <v>359.44153333333333</v>
      </c>
      <c r="AJ30" s="31">
        <f t="shared" si="36"/>
        <v>0</v>
      </c>
      <c r="AK30" s="31">
        <f t="shared" si="37"/>
        <v>0</v>
      </c>
      <c r="AL30" s="27">
        <v>0</v>
      </c>
      <c r="AM30" s="35">
        <f t="shared" si="6"/>
        <v>-1</v>
      </c>
      <c r="AN30" s="36">
        <v>2924.6666666666665</v>
      </c>
      <c r="AO30" s="31">
        <f t="shared" si="38"/>
        <v>2565.2251333333334</v>
      </c>
      <c r="AP30" s="31">
        <f t="shared" si="39"/>
        <v>359.44153333333333</v>
      </c>
      <c r="AQ30" s="31">
        <f t="shared" si="40"/>
        <v>0</v>
      </c>
      <c r="AR30" s="31">
        <f t="shared" si="41"/>
        <v>0</v>
      </c>
      <c r="AS30" s="27">
        <v>0</v>
      </c>
      <c r="AT30" s="35">
        <f t="shared" si="7"/>
        <v>-1</v>
      </c>
      <c r="AU30" s="36">
        <v>2924.6666666666665</v>
      </c>
      <c r="AV30" s="31">
        <f t="shared" si="42"/>
        <v>2565.2251333333334</v>
      </c>
      <c r="AW30" s="31">
        <f t="shared" si="43"/>
        <v>359.44153333333333</v>
      </c>
      <c r="AX30" s="31">
        <f t="shared" si="44"/>
        <v>0</v>
      </c>
      <c r="AY30" s="31">
        <f t="shared" si="45"/>
        <v>0</v>
      </c>
      <c r="AZ30" s="27">
        <v>0</v>
      </c>
      <c r="BA30" s="35">
        <f t="shared" si="8"/>
        <v>-1</v>
      </c>
      <c r="BB30" s="36">
        <v>2924.6666666666665</v>
      </c>
      <c r="BC30" s="31">
        <f t="shared" si="46"/>
        <v>2565.2251333333334</v>
      </c>
      <c r="BD30" s="31">
        <f t="shared" si="47"/>
        <v>359.44153333333333</v>
      </c>
      <c r="BE30" s="31">
        <f t="shared" si="48"/>
        <v>0</v>
      </c>
      <c r="BF30" s="31">
        <f t="shared" si="49"/>
        <v>0</v>
      </c>
      <c r="BG30" s="27">
        <f t="shared" ref="BG30:BG31" si="70">CY30*0.51</f>
        <v>0</v>
      </c>
      <c r="BH30" s="35">
        <f t="shared" si="10"/>
        <v>-1</v>
      </c>
      <c r="BI30" s="36">
        <v>2924.6666666666665</v>
      </c>
      <c r="BJ30" s="31">
        <f t="shared" si="50"/>
        <v>2565.2251333333334</v>
      </c>
      <c r="BK30" s="31">
        <f t="shared" si="51"/>
        <v>359.44153333333333</v>
      </c>
      <c r="BL30" s="31">
        <f t="shared" si="52"/>
        <v>0</v>
      </c>
      <c r="BM30" s="31">
        <f t="shared" si="53"/>
        <v>0</v>
      </c>
      <c r="BN30" s="27">
        <f t="shared" ref="BN30:BN31" si="71">CZ30*0.51</f>
        <v>0</v>
      </c>
      <c r="BO30" s="37">
        <f t="shared" si="12"/>
        <v>-1</v>
      </c>
      <c r="BP30" s="36">
        <v>2924.6666666666665</v>
      </c>
      <c r="BQ30" s="31">
        <f t="shared" si="54"/>
        <v>2565.2251333333334</v>
      </c>
      <c r="BR30" s="31">
        <f t="shared" si="55"/>
        <v>359.44153333333333</v>
      </c>
      <c r="BS30" s="31">
        <f t="shared" si="56"/>
        <v>0</v>
      </c>
      <c r="BT30" s="31">
        <f t="shared" si="57"/>
        <v>0</v>
      </c>
      <c r="BU30" s="27">
        <f t="shared" ref="BU30:BU31" si="72">DA30*0.51</f>
        <v>0</v>
      </c>
      <c r="BV30" s="37">
        <f t="shared" si="14"/>
        <v>-1</v>
      </c>
      <c r="BW30" s="36">
        <v>2924.6666666666665</v>
      </c>
      <c r="BX30" s="31">
        <f t="shared" si="58"/>
        <v>2565.2251333333334</v>
      </c>
      <c r="BY30" s="31">
        <f t="shared" si="59"/>
        <v>359.44153333333333</v>
      </c>
      <c r="BZ30" s="31">
        <f t="shared" si="60"/>
        <v>0</v>
      </c>
      <c r="CA30" s="31">
        <f t="shared" si="61"/>
        <v>0</v>
      </c>
      <c r="CB30" s="27">
        <f t="shared" ref="CB30:CB31" si="73">DB30*0.51</f>
        <v>0</v>
      </c>
      <c r="CC30" s="37">
        <f t="shared" si="16"/>
        <v>-1</v>
      </c>
      <c r="CD30" s="36">
        <v>2924.6666666666665</v>
      </c>
      <c r="CE30" s="31">
        <f t="shared" si="62"/>
        <v>2565.2251333333334</v>
      </c>
      <c r="CF30" s="31">
        <f t="shared" si="63"/>
        <v>359.44153333333333</v>
      </c>
      <c r="CG30" s="31">
        <f t="shared" si="64"/>
        <v>0</v>
      </c>
      <c r="CH30" s="31">
        <f t="shared" si="65"/>
        <v>0</v>
      </c>
      <c r="CI30" s="27">
        <f t="shared" ref="CI30:CI31" si="74">DC30*0.51</f>
        <v>0</v>
      </c>
      <c r="CJ30" s="37">
        <f t="shared" si="18"/>
        <v>-1</v>
      </c>
      <c r="CK30" s="36">
        <v>2924.6666666666665</v>
      </c>
      <c r="CL30" s="31">
        <f t="shared" si="66"/>
        <v>2565.2251333333334</v>
      </c>
      <c r="CM30" s="31">
        <f t="shared" si="67"/>
        <v>359.44153333333333</v>
      </c>
      <c r="CN30" s="31">
        <f t="shared" si="68"/>
        <v>0</v>
      </c>
      <c r="CO30" s="31">
        <f t="shared" si="69"/>
        <v>0</v>
      </c>
      <c r="CP30" s="27">
        <f t="shared" ref="CP30:CP31" si="75">DD30*0.51</f>
        <v>0</v>
      </c>
      <c r="CQ30" s="37">
        <f t="shared" si="20"/>
        <v>-1</v>
      </c>
      <c r="CS30" s="27"/>
      <c r="CT30" s="27"/>
      <c r="CU30" s="27"/>
      <c r="CV30" s="27"/>
      <c r="CW30" s="27"/>
      <c r="CX30" s="27"/>
      <c r="CY30" s="27"/>
      <c r="CZ30" s="27"/>
      <c r="DA30" s="27"/>
      <c r="DB30" s="27"/>
      <c r="DC30" s="27"/>
      <c r="DD30" s="27"/>
      <c r="DF30" s="28"/>
    </row>
    <row r="31" spans="1:110" s="26" customFormat="1" ht="16" customHeight="1" x14ac:dyDescent="0.2">
      <c r="A31" s="38" t="s">
        <v>55</v>
      </c>
      <c r="B31" s="30">
        <f t="shared" si="0"/>
        <v>18864.099999999999</v>
      </c>
      <c r="C31" s="31">
        <f t="shared" si="0"/>
        <v>16545.702110000002</v>
      </c>
      <c r="D31" s="32">
        <f t="shared" si="0"/>
        <v>2318.3978899999993</v>
      </c>
      <c r="E31" s="30">
        <f t="shared" si="21"/>
        <v>6288.0333333333328</v>
      </c>
      <c r="F31" s="33">
        <f t="shared" si="21"/>
        <v>5515.2340366666667</v>
      </c>
      <c r="G31" s="34">
        <f t="shared" si="21"/>
        <v>772.79929666666658</v>
      </c>
      <c r="H31" s="31">
        <f t="shared" si="1"/>
        <v>7524.2753494741801</v>
      </c>
      <c r="I31" s="33">
        <f t="shared" si="1"/>
        <v>1054.307878748577</v>
      </c>
      <c r="J31" s="33">
        <f t="shared" si="1"/>
        <v>8578.5832282227566</v>
      </c>
      <c r="K31" s="35">
        <f t="shared" si="2"/>
        <v>0.36427127107406521</v>
      </c>
      <c r="L31" s="36">
        <v>1572.0083333333332</v>
      </c>
      <c r="M31" s="31">
        <f t="shared" si="22"/>
        <v>1378.8085091666667</v>
      </c>
      <c r="N31" s="31">
        <f t="shared" si="23"/>
        <v>193.19982416666664</v>
      </c>
      <c r="O31" s="31">
        <f t="shared" si="24"/>
        <v>212.41209977291774</v>
      </c>
      <c r="P31" s="31">
        <f t="shared" si="25"/>
        <v>29.76336456742856</v>
      </c>
      <c r="Q31" s="33">
        <v>242.17546434034631</v>
      </c>
      <c r="R31" s="35">
        <f t="shared" si="3"/>
        <v>-0.84594517776707312</v>
      </c>
      <c r="S31" s="36">
        <v>1572.0083333333332</v>
      </c>
      <c r="T31" s="31">
        <f t="shared" si="26"/>
        <v>1378.8085091666667</v>
      </c>
      <c r="U31" s="31">
        <f t="shared" si="27"/>
        <v>193.19982416666664</v>
      </c>
      <c r="V31" s="31">
        <f t="shared" si="28"/>
        <v>2166.0646913437572</v>
      </c>
      <c r="W31" s="31">
        <f t="shared" si="29"/>
        <v>303.51083179357857</v>
      </c>
      <c r="X31" s="33">
        <v>2469.5755231373359</v>
      </c>
      <c r="Y31" s="35">
        <f t="shared" si="4"/>
        <v>0.57096846802381429</v>
      </c>
      <c r="Z31" s="36">
        <v>1572.0083333333332</v>
      </c>
      <c r="AA31" s="31">
        <f t="shared" si="30"/>
        <v>1378.8085091666667</v>
      </c>
      <c r="AB31" s="31">
        <f t="shared" si="31"/>
        <v>193.19982416666664</v>
      </c>
      <c r="AC31" s="31">
        <f t="shared" si="32"/>
        <v>493.31940563203</v>
      </c>
      <c r="AD31" s="31">
        <f t="shared" si="33"/>
        <v>69.12433582507866</v>
      </c>
      <c r="AE31" s="33">
        <v>562.44374145710867</v>
      </c>
      <c r="AF31" s="35">
        <f t="shared" si="5"/>
        <v>-0.64221325706048504</v>
      </c>
      <c r="AG31" s="36">
        <v>1572.0083333333332</v>
      </c>
      <c r="AH31" s="31">
        <f t="shared" si="34"/>
        <v>1378.8085091666667</v>
      </c>
      <c r="AI31" s="31">
        <f t="shared" si="35"/>
        <v>193.19982416666664</v>
      </c>
      <c r="AJ31" s="31">
        <f t="shared" si="36"/>
        <v>214.52852468007546</v>
      </c>
      <c r="AK31" s="31">
        <f t="shared" si="37"/>
        <v>30.059919830328663</v>
      </c>
      <c r="AL31" s="33">
        <v>244.58844451040412</v>
      </c>
      <c r="AM31" s="35">
        <f t="shared" si="6"/>
        <v>-0.84441021124120152</v>
      </c>
      <c r="AN31" s="36">
        <v>1572.0083333333332</v>
      </c>
      <c r="AO31" s="31">
        <f t="shared" si="38"/>
        <v>1378.8085091666667</v>
      </c>
      <c r="AP31" s="31">
        <f t="shared" si="39"/>
        <v>193.19982416666664</v>
      </c>
      <c r="AQ31" s="31">
        <f t="shared" si="40"/>
        <v>326.2372793251443</v>
      </c>
      <c r="AR31" s="31">
        <f t="shared" si="41"/>
        <v>45.712645797583207</v>
      </c>
      <c r="AS31" s="27">
        <v>371.94992512272751</v>
      </c>
      <c r="AT31" s="35">
        <f t="shared" si="7"/>
        <v>-0.76339188715747208</v>
      </c>
      <c r="AU31" s="36">
        <v>1572.0083333333332</v>
      </c>
      <c r="AV31" s="31">
        <f t="shared" si="42"/>
        <v>1378.8085091666667</v>
      </c>
      <c r="AW31" s="31">
        <f t="shared" si="43"/>
        <v>193.19982416666664</v>
      </c>
      <c r="AX31" s="31">
        <f t="shared" si="44"/>
        <v>4111.7133487202555</v>
      </c>
      <c r="AY31" s="31">
        <f t="shared" si="45"/>
        <v>576.13678093457918</v>
      </c>
      <c r="AZ31" s="27">
        <v>4687.8501296548347</v>
      </c>
      <c r="BA31" s="35">
        <f t="shared" si="8"/>
        <v>1.9820771494986786</v>
      </c>
      <c r="BB31" s="36">
        <v>1572.0083333333332</v>
      </c>
      <c r="BC31" s="31">
        <f t="shared" si="46"/>
        <v>1378.8085091666667</v>
      </c>
      <c r="BD31" s="31">
        <f t="shared" si="47"/>
        <v>193.19982416666664</v>
      </c>
      <c r="BE31" s="31">
        <f t="shared" si="48"/>
        <v>0</v>
      </c>
      <c r="BF31" s="31">
        <f t="shared" si="49"/>
        <v>0</v>
      </c>
      <c r="BG31" s="27">
        <f t="shared" si="70"/>
        <v>0</v>
      </c>
      <c r="BH31" s="35">
        <f t="shared" si="10"/>
        <v>-1</v>
      </c>
      <c r="BI31" s="36">
        <v>1572.0083333333332</v>
      </c>
      <c r="BJ31" s="31">
        <f t="shared" si="50"/>
        <v>1378.8085091666667</v>
      </c>
      <c r="BK31" s="31">
        <f t="shared" si="51"/>
        <v>193.19982416666664</v>
      </c>
      <c r="BL31" s="31">
        <f t="shared" si="52"/>
        <v>0</v>
      </c>
      <c r="BM31" s="31">
        <f t="shared" si="53"/>
        <v>0</v>
      </c>
      <c r="BN31" s="27">
        <f t="shared" si="71"/>
        <v>0</v>
      </c>
      <c r="BO31" s="37">
        <f t="shared" si="12"/>
        <v>-1</v>
      </c>
      <c r="BP31" s="36">
        <v>1572.0083333333332</v>
      </c>
      <c r="BQ31" s="31">
        <f t="shared" si="54"/>
        <v>1378.8085091666667</v>
      </c>
      <c r="BR31" s="31">
        <f t="shared" si="55"/>
        <v>193.19982416666664</v>
      </c>
      <c r="BS31" s="31">
        <f t="shared" si="56"/>
        <v>0</v>
      </c>
      <c r="BT31" s="31">
        <f t="shared" si="57"/>
        <v>0</v>
      </c>
      <c r="BU31" s="27">
        <f t="shared" si="72"/>
        <v>0</v>
      </c>
      <c r="BV31" s="37">
        <f t="shared" si="14"/>
        <v>-1</v>
      </c>
      <c r="BW31" s="36">
        <v>1572.0083333333332</v>
      </c>
      <c r="BX31" s="31">
        <f t="shared" si="58"/>
        <v>1378.8085091666667</v>
      </c>
      <c r="BY31" s="31">
        <f t="shared" si="59"/>
        <v>193.19982416666664</v>
      </c>
      <c r="BZ31" s="31">
        <f t="shared" si="60"/>
        <v>0</v>
      </c>
      <c r="CA31" s="31">
        <f t="shared" si="61"/>
        <v>0</v>
      </c>
      <c r="CB31" s="27">
        <f t="shared" si="73"/>
        <v>0</v>
      </c>
      <c r="CC31" s="37">
        <f t="shared" si="16"/>
        <v>-1</v>
      </c>
      <c r="CD31" s="36">
        <v>1572.0083333333332</v>
      </c>
      <c r="CE31" s="31">
        <f t="shared" si="62"/>
        <v>1378.8085091666667</v>
      </c>
      <c r="CF31" s="31">
        <f t="shared" si="63"/>
        <v>193.19982416666664</v>
      </c>
      <c r="CG31" s="31">
        <f t="shared" si="64"/>
        <v>0</v>
      </c>
      <c r="CH31" s="31">
        <f t="shared" si="65"/>
        <v>0</v>
      </c>
      <c r="CI31" s="27">
        <f t="shared" si="74"/>
        <v>0</v>
      </c>
      <c r="CJ31" s="37">
        <f t="shared" si="18"/>
        <v>-1</v>
      </c>
      <c r="CK31" s="36">
        <v>1572.0083333333332</v>
      </c>
      <c r="CL31" s="31">
        <f t="shared" si="66"/>
        <v>1378.8085091666667</v>
      </c>
      <c r="CM31" s="31">
        <f t="shared" si="67"/>
        <v>193.19982416666664</v>
      </c>
      <c r="CN31" s="31">
        <f t="shared" si="68"/>
        <v>0</v>
      </c>
      <c r="CO31" s="31">
        <f t="shared" si="69"/>
        <v>0</v>
      </c>
      <c r="CP31" s="27">
        <f t="shared" si="75"/>
        <v>0</v>
      </c>
      <c r="CQ31" s="37">
        <f t="shared" si="20"/>
        <v>-1</v>
      </c>
      <c r="CS31" s="27">
        <f>552</f>
        <v>552</v>
      </c>
      <c r="CT31" s="27">
        <f>724+798+707+3400</f>
        <v>5629</v>
      </c>
      <c r="CU31" s="27">
        <f>1282</f>
        <v>1282</v>
      </c>
      <c r="CV31" s="27">
        <v>557.5</v>
      </c>
      <c r="CW31" s="27"/>
      <c r="CX31" s="27"/>
      <c r="CY31" s="27"/>
      <c r="CZ31" s="27"/>
      <c r="DA31" s="27"/>
      <c r="DB31" s="27"/>
      <c r="DC31" s="27"/>
      <c r="DD31" s="27"/>
      <c r="DF31" s="28"/>
    </row>
    <row r="32" spans="1:110" s="26" customFormat="1" ht="16" customHeight="1" x14ac:dyDescent="0.2">
      <c r="A32" s="29" t="s">
        <v>56</v>
      </c>
      <c r="B32" s="30">
        <f t="shared" si="0"/>
        <v>1832704.1158095999</v>
      </c>
      <c r="C32" s="31">
        <f t="shared" si="0"/>
        <v>1607464.7799766003</v>
      </c>
      <c r="D32" s="32">
        <f t="shared" si="0"/>
        <v>225239.33583299979</v>
      </c>
      <c r="E32" s="30">
        <f t="shared" si="21"/>
        <v>906828.79057760001</v>
      </c>
      <c r="F32" s="33">
        <f t="shared" si="21"/>
        <v>795379.53221561294</v>
      </c>
      <c r="G32" s="34">
        <f t="shared" si="21"/>
        <v>111449.25836198704</v>
      </c>
      <c r="H32" s="31">
        <f t="shared" si="1"/>
        <v>849126.67970909947</v>
      </c>
      <c r="I32" s="33">
        <f t="shared" si="1"/>
        <v>118980.35450490059</v>
      </c>
      <c r="J32" s="33">
        <f t="shared" si="1"/>
        <v>968107.0342140001</v>
      </c>
      <c r="K32" s="35">
        <f t="shared" si="2"/>
        <v>6.7574214971019231E-2</v>
      </c>
      <c r="L32" s="36">
        <v>222103.26110720003</v>
      </c>
      <c r="M32" s="31">
        <f t="shared" si="22"/>
        <v>194806.77031712513</v>
      </c>
      <c r="N32" s="31">
        <f t="shared" si="23"/>
        <v>27296.490790074884</v>
      </c>
      <c r="O32" s="31">
        <f t="shared" si="24"/>
        <v>43603.763476000022</v>
      </c>
      <c r="P32" s="31">
        <f t="shared" si="25"/>
        <v>6109.796524000003</v>
      </c>
      <c r="Q32" s="33">
        <f>(130782.96)+65465.77+5063.16-(151598.33)</f>
        <v>49713.560000000027</v>
      </c>
      <c r="R32" s="35">
        <f t="shared" si="3"/>
        <v>-0.77616915775043327</v>
      </c>
      <c r="S32" s="36">
        <v>222444.00974400001</v>
      </c>
      <c r="T32" s="31">
        <f t="shared" si="26"/>
        <v>195105.6409464624</v>
      </c>
      <c r="U32" s="31">
        <f t="shared" si="27"/>
        <v>27338.368797537601</v>
      </c>
      <c r="V32" s="31">
        <f t="shared" si="28"/>
        <v>106519.175112567</v>
      </c>
      <c r="W32" s="31">
        <f t="shared" si="29"/>
        <v>14925.557657432999</v>
      </c>
      <c r="X32" s="33">
        <f>115644.22+((11798.13+1227.28+317.4+10876.45)*0.2395)</f>
        <v>121444.73277</v>
      </c>
      <c r="Y32" s="35">
        <f t="shared" si="4"/>
        <v>-0.45404359097030822</v>
      </c>
      <c r="Z32" s="36">
        <v>222444.00974400001</v>
      </c>
      <c r="AA32" s="31">
        <f t="shared" si="30"/>
        <v>195105.6409464624</v>
      </c>
      <c r="AB32" s="31">
        <f t="shared" si="31"/>
        <v>27338.368797537601</v>
      </c>
      <c r="AC32" s="31">
        <f t="shared" si="32"/>
        <v>181289.930353</v>
      </c>
      <c r="AD32" s="31">
        <f t="shared" si="33"/>
        <v>25402.499646999997</v>
      </c>
      <c r="AE32" s="27">
        <f>198075.83+8616.6</f>
        <v>206692.43</v>
      </c>
      <c r="AF32" s="35">
        <f t="shared" si="5"/>
        <v>-7.0811435930002053E-2</v>
      </c>
      <c r="AG32" s="36">
        <v>239837.50998239999</v>
      </c>
      <c r="AH32" s="31">
        <f t="shared" si="34"/>
        <v>210361.48000556303</v>
      </c>
      <c r="AI32" s="31">
        <f t="shared" si="35"/>
        <v>29476.029976836959</v>
      </c>
      <c r="AJ32" s="31">
        <f t="shared" si="36"/>
        <v>130399.29024500001</v>
      </c>
      <c r="AK32" s="31">
        <f t="shared" si="37"/>
        <v>18271.659755000001</v>
      </c>
      <c r="AL32" s="27">
        <f>140573.2+8097.75</f>
        <v>148670.95000000001</v>
      </c>
      <c r="AM32" s="35">
        <f t="shared" si="6"/>
        <v>-0.38011802236059766</v>
      </c>
      <c r="AN32" s="36">
        <v>257231.01022079997</v>
      </c>
      <c r="AO32" s="31">
        <f t="shared" si="38"/>
        <v>225617.31906466366</v>
      </c>
      <c r="AP32" s="31">
        <f t="shared" si="39"/>
        <v>31613.691156136316</v>
      </c>
      <c r="AQ32" s="31">
        <f t="shared" si="40"/>
        <v>50698.547703532407</v>
      </c>
      <c r="AR32" s="31">
        <f t="shared" si="41"/>
        <v>7103.9237404676005</v>
      </c>
      <c r="AS32" s="27">
        <v>57802.47144400001</v>
      </c>
      <c r="AT32" s="35">
        <f t="shared" si="7"/>
        <v>-0.77528964569868941</v>
      </c>
      <c r="AU32" s="36">
        <v>243870.24974400003</v>
      </c>
      <c r="AV32" s="31">
        <f t="shared" si="42"/>
        <v>213898.59605046242</v>
      </c>
      <c r="AW32" s="31">
        <f t="shared" si="43"/>
        <v>29971.653693537603</v>
      </c>
      <c r="AX32" s="31">
        <f t="shared" si="44"/>
        <v>336615.97281900002</v>
      </c>
      <c r="AY32" s="31">
        <f t="shared" si="45"/>
        <v>47166.917180999997</v>
      </c>
      <c r="AZ32" s="27">
        <v>383782.89</v>
      </c>
      <c r="BA32" s="35">
        <f t="shared" si="8"/>
        <v>0.57371754202438252</v>
      </c>
      <c r="BB32" s="36">
        <v>243008.12926720001</v>
      </c>
      <c r="BC32" s="31">
        <f t="shared" si="46"/>
        <v>213142.43018026114</v>
      </c>
      <c r="BD32" s="31">
        <f t="shared" si="47"/>
        <v>29865.699086938879</v>
      </c>
      <c r="BE32" s="31">
        <f t="shared" si="48"/>
        <v>0</v>
      </c>
      <c r="BF32" s="31">
        <f t="shared" si="49"/>
        <v>0</v>
      </c>
      <c r="BG32" s="27"/>
      <c r="BH32" s="35">
        <f t="shared" si="10"/>
        <v>-1</v>
      </c>
      <c r="BI32" s="36">
        <v>176052.272</v>
      </c>
      <c r="BJ32" s="31">
        <f t="shared" si="50"/>
        <v>154415.44777120001</v>
      </c>
      <c r="BK32" s="31">
        <f t="shared" si="51"/>
        <v>21636.8242288</v>
      </c>
      <c r="BL32" s="31">
        <f t="shared" si="52"/>
        <v>0</v>
      </c>
      <c r="BM32" s="31">
        <f t="shared" si="53"/>
        <v>0</v>
      </c>
      <c r="BN32" s="27"/>
      <c r="BO32" s="37">
        <f t="shared" si="12"/>
        <v>-1</v>
      </c>
      <c r="BP32" s="36">
        <v>2856.8319999999999</v>
      </c>
      <c r="BQ32" s="31">
        <f t="shared" si="54"/>
        <v>2505.7273471999997</v>
      </c>
      <c r="BR32" s="31">
        <f t="shared" si="55"/>
        <v>351.1046528</v>
      </c>
      <c r="BS32" s="31">
        <f t="shared" si="56"/>
        <v>0</v>
      </c>
      <c r="BT32" s="31">
        <f t="shared" si="57"/>
        <v>0</v>
      </c>
      <c r="BU32" s="27"/>
      <c r="BV32" s="37">
        <f t="shared" si="14"/>
        <v>-1</v>
      </c>
      <c r="BW32" s="36">
        <v>2856.8319999999999</v>
      </c>
      <c r="BX32" s="31">
        <f t="shared" si="58"/>
        <v>2505.7273471999997</v>
      </c>
      <c r="BY32" s="31">
        <f t="shared" si="59"/>
        <v>351.1046528</v>
      </c>
      <c r="BZ32" s="31">
        <f t="shared" si="60"/>
        <v>0</v>
      </c>
      <c r="CA32" s="31">
        <f t="shared" si="61"/>
        <v>0</v>
      </c>
      <c r="CB32" s="27"/>
      <c r="CC32" s="37">
        <f t="shared" si="16"/>
        <v>-1</v>
      </c>
      <c r="CD32" s="36">
        <v>0</v>
      </c>
      <c r="CE32" s="31">
        <f t="shared" si="62"/>
        <v>0</v>
      </c>
      <c r="CF32" s="31">
        <f t="shared" si="63"/>
        <v>0</v>
      </c>
      <c r="CG32" s="31">
        <f t="shared" si="64"/>
        <v>0</v>
      </c>
      <c r="CH32" s="31">
        <f t="shared" si="65"/>
        <v>0</v>
      </c>
      <c r="CI32" s="27"/>
      <c r="CJ32" s="37" t="str">
        <f t="shared" si="18"/>
        <v/>
      </c>
      <c r="CK32" s="36">
        <v>0</v>
      </c>
      <c r="CL32" s="31">
        <f t="shared" si="66"/>
        <v>0</v>
      </c>
      <c r="CM32" s="31">
        <f t="shared" si="67"/>
        <v>0</v>
      </c>
      <c r="CN32" s="31">
        <f t="shared" si="68"/>
        <v>0</v>
      </c>
      <c r="CO32" s="31">
        <f t="shared" si="69"/>
        <v>0</v>
      </c>
      <c r="CP32" s="27"/>
      <c r="CQ32" s="37" t="str">
        <f t="shared" si="20"/>
        <v/>
      </c>
      <c r="CS32" s="27"/>
      <c r="CT32" s="27"/>
      <c r="CU32" s="27"/>
      <c r="CV32" s="27"/>
      <c r="CW32" s="27"/>
      <c r="CX32" s="27"/>
      <c r="CY32" s="27"/>
      <c r="CZ32" s="27"/>
      <c r="DA32" s="27"/>
      <c r="DB32" s="27"/>
      <c r="DC32" s="27"/>
      <c r="DD32" s="27"/>
      <c r="DF32" s="28">
        <v>507076.12</v>
      </c>
    </row>
    <row r="33" spans="1:110" s="26" customFormat="1" ht="16" customHeight="1" x14ac:dyDescent="0.2">
      <c r="A33" s="29" t="s">
        <v>57</v>
      </c>
      <c r="B33" s="30">
        <f t="shared" si="0"/>
        <v>1142865.306122449</v>
      </c>
      <c r="C33" s="31">
        <f t="shared" si="0"/>
        <v>1002407.1599999999</v>
      </c>
      <c r="D33" s="32">
        <f t="shared" si="0"/>
        <v>140458.14612244899</v>
      </c>
      <c r="E33" s="30">
        <f t="shared" si="21"/>
        <v>645967.34693877562</v>
      </c>
      <c r="F33" s="33">
        <f t="shared" si="21"/>
        <v>566577.96</v>
      </c>
      <c r="G33" s="34">
        <f t="shared" si="21"/>
        <v>79389.386938775511</v>
      </c>
      <c r="H33" s="31">
        <f t="shared" si="1"/>
        <v>671805.55299200001</v>
      </c>
      <c r="I33" s="33">
        <f t="shared" si="1"/>
        <v>94133.967008000007</v>
      </c>
      <c r="J33" s="33">
        <f t="shared" si="1"/>
        <v>765939.52</v>
      </c>
      <c r="K33" s="35">
        <f t="shared" si="2"/>
        <v>0.18572482592157291</v>
      </c>
      <c r="L33" s="36">
        <v>132506.12244897962</v>
      </c>
      <c r="M33" s="31">
        <f t="shared" si="22"/>
        <v>116221.12000000002</v>
      </c>
      <c r="N33" s="31">
        <f t="shared" si="23"/>
        <v>16285.002448979594</v>
      </c>
      <c r="O33" s="31">
        <f t="shared" si="24"/>
        <v>71296.643509000001</v>
      </c>
      <c r="P33" s="31">
        <f t="shared" si="25"/>
        <v>9990.1464910000013</v>
      </c>
      <c r="Q33" s="33">
        <f>(10811.69)+70475.1</f>
        <v>81286.790000000008</v>
      </c>
      <c r="R33" s="35">
        <f t="shared" si="3"/>
        <v>-0.38654313855347466</v>
      </c>
      <c r="S33" s="36">
        <v>165632.6530612245</v>
      </c>
      <c r="T33" s="31">
        <f t="shared" si="26"/>
        <v>145276.40000000002</v>
      </c>
      <c r="U33" s="31">
        <f t="shared" si="27"/>
        <v>20356.253061224488</v>
      </c>
      <c r="V33" s="31">
        <f t="shared" si="28"/>
        <v>120232.51716</v>
      </c>
      <c r="W33" s="31">
        <f t="shared" si="29"/>
        <v>16847.082839999999</v>
      </c>
      <c r="X33" s="33">
        <v>137079.6</v>
      </c>
      <c r="Y33" s="35">
        <f t="shared" si="4"/>
        <v>-0.17238782651552487</v>
      </c>
      <c r="Z33" s="36">
        <v>165632.6530612245</v>
      </c>
      <c r="AA33" s="31">
        <f t="shared" si="30"/>
        <v>145276.40000000002</v>
      </c>
      <c r="AB33" s="31">
        <f t="shared" si="31"/>
        <v>20356.253061224488</v>
      </c>
      <c r="AC33" s="31">
        <f t="shared" si="32"/>
        <v>162732.73972899999</v>
      </c>
      <c r="AD33" s="31">
        <f t="shared" si="33"/>
        <v>22802.250270999997</v>
      </c>
      <c r="AE33" s="27">
        <v>185534.99</v>
      </c>
      <c r="AF33" s="35">
        <f t="shared" si="5"/>
        <v>0.12015950098570705</v>
      </c>
      <c r="AG33" s="36">
        <v>182195.91836734692</v>
      </c>
      <c r="AH33" s="31">
        <f t="shared" si="34"/>
        <v>159804.03999999998</v>
      </c>
      <c r="AI33" s="31">
        <f t="shared" si="35"/>
        <v>22391.878367346937</v>
      </c>
      <c r="AJ33" s="31">
        <f t="shared" si="36"/>
        <v>95817.842231999995</v>
      </c>
      <c r="AK33" s="31">
        <f t="shared" si="37"/>
        <v>13426.077767999999</v>
      </c>
      <c r="AL33" s="27">
        <v>109243.92</v>
      </c>
      <c r="AM33" s="35">
        <f t="shared" si="6"/>
        <v>-0.40040413100945382</v>
      </c>
      <c r="AN33" s="36">
        <v>198759.18367346938</v>
      </c>
      <c r="AO33" s="31">
        <f t="shared" si="38"/>
        <v>174331.68</v>
      </c>
      <c r="AP33" s="31">
        <f t="shared" si="39"/>
        <v>24427.503673469386</v>
      </c>
      <c r="AQ33" s="31">
        <f t="shared" si="40"/>
        <v>36077.517483000003</v>
      </c>
      <c r="AR33" s="31">
        <f t="shared" si="41"/>
        <v>5055.2125169999999</v>
      </c>
      <c r="AS33" s="27">
        <v>41132.730000000003</v>
      </c>
      <c r="AT33" s="35">
        <f t="shared" si="7"/>
        <v>-0.79305243038442574</v>
      </c>
      <c r="AU33" s="36">
        <v>165632.6530612245</v>
      </c>
      <c r="AV33" s="31">
        <f t="shared" si="42"/>
        <v>145276.40000000002</v>
      </c>
      <c r="AW33" s="31">
        <f t="shared" si="43"/>
        <v>20356.253061224488</v>
      </c>
      <c r="AX33" s="31">
        <f t="shared" si="44"/>
        <v>185648.29287899999</v>
      </c>
      <c r="AY33" s="31">
        <f t="shared" si="45"/>
        <v>26013.197120999997</v>
      </c>
      <c r="AZ33" s="27">
        <v>211661.49</v>
      </c>
      <c r="BA33" s="35">
        <f t="shared" si="8"/>
        <v>0.27789711803844241</v>
      </c>
      <c r="BB33" s="36">
        <v>132506.12244897962</v>
      </c>
      <c r="BC33" s="31">
        <f t="shared" si="46"/>
        <v>116221.12000000002</v>
      </c>
      <c r="BD33" s="31">
        <f t="shared" si="47"/>
        <v>16285.002448979594</v>
      </c>
      <c r="BE33" s="31">
        <f t="shared" si="48"/>
        <v>0</v>
      </c>
      <c r="BF33" s="31">
        <f t="shared" si="49"/>
        <v>0</v>
      </c>
      <c r="BG33" s="27"/>
      <c r="BH33" s="35">
        <f t="shared" si="10"/>
        <v>-1</v>
      </c>
      <c r="BI33" s="36">
        <v>0</v>
      </c>
      <c r="BJ33" s="31">
        <f t="shared" si="50"/>
        <v>0</v>
      </c>
      <c r="BK33" s="31">
        <f t="shared" si="51"/>
        <v>0</v>
      </c>
      <c r="BL33" s="31">
        <f t="shared" si="52"/>
        <v>0</v>
      </c>
      <c r="BM33" s="31">
        <f t="shared" si="53"/>
        <v>0</v>
      </c>
      <c r="BN33" s="27"/>
      <c r="BO33" s="37" t="str">
        <f t="shared" si="12"/>
        <v/>
      </c>
      <c r="BP33" s="36">
        <v>0</v>
      </c>
      <c r="BQ33" s="31">
        <f t="shared" si="54"/>
        <v>0</v>
      </c>
      <c r="BR33" s="31">
        <f t="shared" si="55"/>
        <v>0</v>
      </c>
      <c r="BS33" s="31">
        <f t="shared" si="56"/>
        <v>0</v>
      </c>
      <c r="BT33" s="31">
        <f t="shared" si="57"/>
        <v>0</v>
      </c>
      <c r="BU33" s="27"/>
      <c r="BV33" s="37" t="str">
        <f t="shared" si="14"/>
        <v/>
      </c>
      <c r="BW33" s="36">
        <v>0</v>
      </c>
      <c r="BX33" s="31">
        <f t="shared" si="58"/>
        <v>0</v>
      </c>
      <c r="BY33" s="31">
        <f t="shared" si="59"/>
        <v>0</v>
      </c>
      <c r="BZ33" s="31">
        <f t="shared" si="60"/>
        <v>0</v>
      </c>
      <c r="CA33" s="31">
        <f t="shared" si="61"/>
        <v>0</v>
      </c>
      <c r="CB33" s="27"/>
      <c r="CC33" s="37" t="str">
        <f t="shared" si="16"/>
        <v/>
      </c>
      <c r="CD33" s="36">
        <v>0</v>
      </c>
      <c r="CE33" s="31">
        <f t="shared" si="62"/>
        <v>0</v>
      </c>
      <c r="CF33" s="31">
        <f t="shared" si="63"/>
        <v>0</v>
      </c>
      <c r="CG33" s="31">
        <f t="shared" si="64"/>
        <v>0</v>
      </c>
      <c r="CH33" s="31">
        <f t="shared" si="65"/>
        <v>0</v>
      </c>
      <c r="CI33" s="27"/>
      <c r="CJ33" s="37" t="str">
        <f t="shared" si="18"/>
        <v/>
      </c>
      <c r="CK33" s="36">
        <v>0</v>
      </c>
      <c r="CL33" s="31">
        <f t="shared" si="66"/>
        <v>0</v>
      </c>
      <c r="CM33" s="31">
        <f t="shared" si="67"/>
        <v>0</v>
      </c>
      <c r="CN33" s="31">
        <f t="shared" si="68"/>
        <v>0</v>
      </c>
      <c r="CO33" s="31">
        <f t="shared" si="69"/>
        <v>0</v>
      </c>
      <c r="CP33" s="27"/>
      <c r="CQ33" s="37" t="str">
        <f t="shared" si="20"/>
        <v/>
      </c>
      <c r="CS33" s="27"/>
      <c r="CT33" s="27"/>
      <c r="CU33" s="27"/>
      <c r="CV33" s="27"/>
      <c r="CW33" s="27"/>
      <c r="CX33" s="27"/>
      <c r="CY33" s="27"/>
      <c r="CZ33" s="27"/>
      <c r="DA33" s="27"/>
      <c r="DB33" s="27"/>
      <c r="DC33" s="27"/>
      <c r="DD33" s="27"/>
      <c r="DF33" s="28"/>
    </row>
    <row r="34" spans="1:110" s="26" customFormat="1" ht="16" customHeight="1" x14ac:dyDescent="0.2">
      <c r="A34" s="29" t="s">
        <v>58</v>
      </c>
      <c r="B34" s="30">
        <f t="shared" si="0"/>
        <v>0</v>
      </c>
      <c r="C34" s="31">
        <f t="shared" si="0"/>
        <v>0</v>
      </c>
      <c r="D34" s="32">
        <f t="shared" si="0"/>
        <v>0</v>
      </c>
      <c r="E34" s="30">
        <f t="shared" si="21"/>
        <v>0</v>
      </c>
      <c r="F34" s="33">
        <f t="shared" si="21"/>
        <v>0</v>
      </c>
      <c r="G34" s="34">
        <f t="shared" si="21"/>
        <v>0</v>
      </c>
      <c r="H34" s="31">
        <f t="shared" si="1"/>
        <v>0</v>
      </c>
      <c r="I34" s="33">
        <f t="shared" si="1"/>
        <v>0</v>
      </c>
      <c r="J34" s="33">
        <f t="shared" si="1"/>
        <v>0</v>
      </c>
      <c r="K34" s="35" t="str">
        <f t="shared" si="2"/>
        <v/>
      </c>
      <c r="L34" s="36">
        <v>0</v>
      </c>
      <c r="M34" s="31">
        <f t="shared" si="22"/>
        <v>0</v>
      </c>
      <c r="N34" s="31">
        <f t="shared" si="23"/>
        <v>0</v>
      </c>
      <c r="O34" s="31">
        <f t="shared" si="24"/>
        <v>0</v>
      </c>
      <c r="P34" s="31">
        <f t="shared" si="25"/>
        <v>0</v>
      </c>
      <c r="Q34" s="33"/>
      <c r="R34" s="35" t="str">
        <f t="shared" si="3"/>
        <v/>
      </c>
      <c r="S34" s="36">
        <v>0</v>
      </c>
      <c r="T34" s="31">
        <f t="shared" si="26"/>
        <v>0</v>
      </c>
      <c r="U34" s="31">
        <f t="shared" si="27"/>
        <v>0</v>
      </c>
      <c r="V34" s="31">
        <f t="shared" si="28"/>
        <v>0</v>
      </c>
      <c r="W34" s="31">
        <f t="shared" si="29"/>
        <v>0</v>
      </c>
      <c r="X34" s="33"/>
      <c r="Y34" s="35" t="str">
        <f t="shared" si="4"/>
        <v/>
      </c>
      <c r="Z34" s="36">
        <v>0</v>
      </c>
      <c r="AA34" s="31">
        <f t="shared" si="30"/>
        <v>0</v>
      </c>
      <c r="AB34" s="31">
        <f t="shared" si="31"/>
        <v>0</v>
      </c>
      <c r="AC34" s="31">
        <f t="shared" si="32"/>
        <v>0</v>
      </c>
      <c r="AD34" s="31">
        <f t="shared" si="33"/>
        <v>0</v>
      </c>
      <c r="AE34" s="27"/>
      <c r="AF34" s="35" t="str">
        <f t="shared" si="5"/>
        <v/>
      </c>
      <c r="AG34" s="36">
        <v>0</v>
      </c>
      <c r="AH34" s="31">
        <f t="shared" si="34"/>
        <v>0</v>
      </c>
      <c r="AI34" s="31">
        <f t="shared" si="35"/>
        <v>0</v>
      </c>
      <c r="AJ34" s="31">
        <f t="shared" si="36"/>
        <v>0</v>
      </c>
      <c r="AK34" s="31">
        <f t="shared" si="37"/>
        <v>0</v>
      </c>
      <c r="AL34" s="27"/>
      <c r="AM34" s="35" t="str">
        <f t="shared" si="6"/>
        <v/>
      </c>
      <c r="AN34" s="36">
        <v>0</v>
      </c>
      <c r="AO34" s="31">
        <f t="shared" si="38"/>
        <v>0</v>
      </c>
      <c r="AP34" s="31">
        <f t="shared" si="39"/>
        <v>0</v>
      </c>
      <c r="AQ34" s="31">
        <f t="shared" si="40"/>
        <v>0</v>
      </c>
      <c r="AR34" s="31">
        <f t="shared" si="41"/>
        <v>0</v>
      </c>
      <c r="AS34" s="27"/>
      <c r="AT34" s="35" t="str">
        <f t="shared" si="7"/>
        <v/>
      </c>
      <c r="AU34" s="36">
        <v>0</v>
      </c>
      <c r="AV34" s="31">
        <f t="shared" si="42"/>
        <v>0</v>
      </c>
      <c r="AW34" s="31">
        <f t="shared" si="43"/>
        <v>0</v>
      </c>
      <c r="AX34" s="31">
        <f t="shared" si="44"/>
        <v>0</v>
      </c>
      <c r="AY34" s="31">
        <f t="shared" si="45"/>
        <v>0</v>
      </c>
      <c r="AZ34" s="27"/>
      <c r="BA34" s="35" t="str">
        <f t="shared" si="8"/>
        <v/>
      </c>
      <c r="BB34" s="36">
        <v>0</v>
      </c>
      <c r="BC34" s="31">
        <f t="shared" si="46"/>
        <v>0</v>
      </c>
      <c r="BD34" s="31">
        <f t="shared" si="47"/>
        <v>0</v>
      </c>
      <c r="BE34" s="31">
        <f t="shared" si="48"/>
        <v>0</v>
      </c>
      <c r="BF34" s="31">
        <f t="shared" si="49"/>
        <v>0</v>
      </c>
      <c r="BG34" s="27"/>
      <c r="BH34" s="35" t="str">
        <f t="shared" si="10"/>
        <v/>
      </c>
      <c r="BI34" s="36">
        <v>0</v>
      </c>
      <c r="BJ34" s="31">
        <f t="shared" si="50"/>
        <v>0</v>
      </c>
      <c r="BK34" s="31">
        <f t="shared" si="51"/>
        <v>0</v>
      </c>
      <c r="BL34" s="31">
        <f t="shared" si="52"/>
        <v>0</v>
      </c>
      <c r="BM34" s="31">
        <f t="shared" si="53"/>
        <v>0</v>
      </c>
      <c r="BN34" s="27"/>
      <c r="BO34" s="37" t="str">
        <f t="shared" si="12"/>
        <v/>
      </c>
      <c r="BP34" s="36">
        <v>0</v>
      </c>
      <c r="BQ34" s="31">
        <f t="shared" si="54"/>
        <v>0</v>
      </c>
      <c r="BR34" s="31">
        <f t="shared" si="55"/>
        <v>0</v>
      </c>
      <c r="BS34" s="31">
        <f t="shared" si="56"/>
        <v>0</v>
      </c>
      <c r="BT34" s="31">
        <f t="shared" si="57"/>
        <v>0</v>
      </c>
      <c r="BU34" s="27"/>
      <c r="BV34" s="37" t="str">
        <f t="shared" si="14"/>
        <v/>
      </c>
      <c r="BW34" s="36">
        <v>0</v>
      </c>
      <c r="BX34" s="31">
        <f t="shared" si="58"/>
        <v>0</v>
      </c>
      <c r="BY34" s="31">
        <f t="shared" si="59"/>
        <v>0</v>
      </c>
      <c r="BZ34" s="31">
        <f t="shared" si="60"/>
        <v>0</v>
      </c>
      <c r="CA34" s="31">
        <f t="shared" si="61"/>
        <v>0</v>
      </c>
      <c r="CB34" s="27"/>
      <c r="CC34" s="37" t="str">
        <f t="shared" si="16"/>
        <v/>
      </c>
      <c r="CD34" s="36">
        <v>0</v>
      </c>
      <c r="CE34" s="31">
        <f t="shared" si="62"/>
        <v>0</v>
      </c>
      <c r="CF34" s="31">
        <f t="shared" si="63"/>
        <v>0</v>
      </c>
      <c r="CG34" s="31">
        <f t="shared" si="64"/>
        <v>0</v>
      </c>
      <c r="CH34" s="31">
        <f t="shared" si="65"/>
        <v>0</v>
      </c>
      <c r="CI34" s="27"/>
      <c r="CJ34" s="37" t="str">
        <f t="shared" si="18"/>
        <v/>
      </c>
      <c r="CK34" s="36">
        <v>0</v>
      </c>
      <c r="CL34" s="31">
        <f t="shared" si="66"/>
        <v>0</v>
      </c>
      <c r="CM34" s="31">
        <f t="shared" si="67"/>
        <v>0</v>
      </c>
      <c r="CN34" s="31">
        <f t="shared" si="68"/>
        <v>0</v>
      </c>
      <c r="CO34" s="31">
        <f t="shared" si="69"/>
        <v>0</v>
      </c>
      <c r="CP34" s="27"/>
      <c r="CQ34" s="37" t="str">
        <f t="shared" si="20"/>
        <v/>
      </c>
      <c r="CS34" s="27"/>
      <c r="CT34" s="27"/>
      <c r="CU34" s="27"/>
      <c r="CV34" s="27"/>
      <c r="CW34" s="27"/>
      <c r="CX34" s="27"/>
      <c r="CY34" s="27"/>
      <c r="CZ34" s="27"/>
      <c r="DA34" s="27"/>
      <c r="DB34" s="27"/>
      <c r="DC34" s="27"/>
      <c r="DD34" s="27"/>
      <c r="DF34" s="28"/>
    </row>
    <row r="35" spans="1:110" s="26" customFormat="1" ht="16" customHeight="1" x14ac:dyDescent="0.2">
      <c r="A35" s="29" t="s">
        <v>59</v>
      </c>
      <c r="B35" s="30">
        <f t="shared" si="0"/>
        <v>0</v>
      </c>
      <c r="C35" s="31">
        <f t="shared" si="0"/>
        <v>0</v>
      </c>
      <c r="D35" s="32">
        <f t="shared" si="0"/>
        <v>0</v>
      </c>
      <c r="E35" s="30">
        <f t="shared" si="21"/>
        <v>0</v>
      </c>
      <c r="F35" s="33">
        <f t="shared" si="21"/>
        <v>0</v>
      </c>
      <c r="G35" s="34">
        <f t="shared" si="21"/>
        <v>0</v>
      </c>
      <c r="H35" s="31">
        <f t="shared" si="1"/>
        <v>0</v>
      </c>
      <c r="I35" s="33">
        <f t="shared" si="1"/>
        <v>0</v>
      </c>
      <c r="J35" s="33">
        <f t="shared" si="1"/>
        <v>0</v>
      </c>
      <c r="K35" s="35" t="str">
        <f t="shared" si="2"/>
        <v/>
      </c>
      <c r="L35" s="36">
        <v>0</v>
      </c>
      <c r="M35" s="31">
        <f t="shared" si="22"/>
        <v>0</v>
      </c>
      <c r="N35" s="31">
        <f t="shared" si="23"/>
        <v>0</v>
      </c>
      <c r="O35" s="31">
        <f t="shared" si="24"/>
        <v>0</v>
      </c>
      <c r="P35" s="31">
        <f t="shared" si="25"/>
        <v>0</v>
      </c>
      <c r="Q35" s="33"/>
      <c r="R35" s="35" t="str">
        <f t="shared" si="3"/>
        <v/>
      </c>
      <c r="S35" s="36">
        <v>0</v>
      </c>
      <c r="T35" s="31">
        <f t="shared" si="26"/>
        <v>0</v>
      </c>
      <c r="U35" s="31">
        <f t="shared" si="27"/>
        <v>0</v>
      </c>
      <c r="V35" s="31">
        <f t="shared" si="28"/>
        <v>0</v>
      </c>
      <c r="W35" s="31">
        <f t="shared" si="29"/>
        <v>0</v>
      </c>
      <c r="X35" s="33"/>
      <c r="Y35" s="35" t="str">
        <f t="shared" si="4"/>
        <v/>
      </c>
      <c r="Z35" s="36">
        <v>0</v>
      </c>
      <c r="AA35" s="31">
        <f t="shared" si="30"/>
        <v>0</v>
      </c>
      <c r="AB35" s="31">
        <f t="shared" si="31"/>
        <v>0</v>
      </c>
      <c r="AC35" s="31">
        <f t="shared" si="32"/>
        <v>0</v>
      </c>
      <c r="AD35" s="31">
        <f t="shared" si="33"/>
        <v>0</v>
      </c>
      <c r="AE35" s="27"/>
      <c r="AF35" s="35" t="str">
        <f t="shared" si="5"/>
        <v/>
      </c>
      <c r="AG35" s="36">
        <v>0</v>
      </c>
      <c r="AH35" s="31">
        <f t="shared" si="34"/>
        <v>0</v>
      </c>
      <c r="AI35" s="31">
        <f t="shared" si="35"/>
        <v>0</v>
      </c>
      <c r="AJ35" s="31">
        <f t="shared" si="36"/>
        <v>0</v>
      </c>
      <c r="AK35" s="31">
        <f t="shared" si="37"/>
        <v>0</v>
      </c>
      <c r="AL35" s="27"/>
      <c r="AM35" s="35" t="str">
        <f t="shared" si="6"/>
        <v/>
      </c>
      <c r="AN35" s="36">
        <v>0</v>
      </c>
      <c r="AO35" s="31">
        <f t="shared" si="38"/>
        <v>0</v>
      </c>
      <c r="AP35" s="31">
        <f t="shared" si="39"/>
        <v>0</v>
      </c>
      <c r="AQ35" s="31">
        <f t="shared" si="40"/>
        <v>0</v>
      </c>
      <c r="AR35" s="31">
        <f t="shared" si="41"/>
        <v>0</v>
      </c>
      <c r="AS35" s="27"/>
      <c r="AT35" s="35" t="str">
        <f t="shared" si="7"/>
        <v/>
      </c>
      <c r="AU35" s="36">
        <v>0</v>
      </c>
      <c r="AV35" s="31">
        <f t="shared" si="42"/>
        <v>0</v>
      </c>
      <c r="AW35" s="31">
        <f t="shared" si="43"/>
        <v>0</v>
      </c>
      <c r="AX35" s="31">
        <f t="shared" si="44"/>
        <v>0</v>
      </c>
      <c r="AY35" s="31">
        <f t="shared" si="45"/>
        <v>0</v>
      </c>
      <c r="AZ35" s="27"/>
      <c r="BA35" s="35" t="str">
        <f t="shared" si="8"/>
        <v/>
      </c>
      <c r="BB35" s="36">
        <v>0</v>
      </c>
      <c r="BC35" s="31">
        <f t="shared" si="46"/>
        <v>0</v>
      </c>
      <c r="BD35" s="31">
        <f t="shared" si="47"/>
        <v>0</v>
      </c>
      <c r="BE35" s="31">
        <f t="shared" si="48"/>
        <v>0</v>
      </c>
      <c r="BF35" s="31">
        <f t="shared" si="49"/>
        <v>0</v>
      </c>
      <c r="BG35" s="27"/>
      <c r="BH35" s="35" t="str">
        <f t="shared" si="10"/>
        <v/>
      </c>
      <c r="BI35" s="36">
        <v>0</v>
      </c>
      <c r="BJ35" s="31">
        <f t="shared" si="50"/>
        <v>0</v>
      </c>
      <c r="BK35" s="31">
        <f t="shared" si="51"/>
        <v>0</v>
      </c>
      <c r="BL35" s="31">
        <f t="shared" si="52"/>
        <v>0</v>
      </c>
      <c r="BM35" s="31">
        <f t="shared" si="53"/>
        <v>0</v>
      </c>
      <c r="BN35" s="27"/>
      <c r="BO35" s="37" t="str">
        <f t="shared" si="12"/>
        <v/>
      </c>
      <c r="BP35" s="36">
        <v>0</v>
      </c>
      <c r="BQ35" s="31">
        <f t="shared" si="54"/>
        <v>0</v>
      </c>
      <c r="BR35" s="31">
        <f t="shared" si="55"/>
        <v>0</v>
      </c>
      <c r="BS35" s="31">
        <f t="shared" si="56"/>
        <v>0</v>
      </c>
      <c r="BT35" s="31">
        <f t="shared" si="57"/>
        <v>0</v>
      </c>
      <c r="BU35" s="27"/>
      <c r="BV35" s="37" t="str">
        <f t="shared" si="14"/>
        <v/>
      </c>
      <c r="BW35" s="36">
        <v>0</v>
      </c>
      <c r="BX35" s="31">
        <f t="shared" si="58"/>
        <v>0</v>
      </c>
      <c r="BY35" s="31">
        <f t="shared" si="59"/>
        <v>0</v>
      </c>
      <c r="BZ35" s="31">
        <f t="shared" si="60"/>
        <v>0</v>
      </c>
      <c r="CA35" s="31">
        <f t="shared" si="61"/>
        <v>0</v>
      </c>
      <c r="CB35" s="27"/>
      <c r="CC35" s="37" t="str">
        <f t="shared" si="16"/>
        <v/>
      </c>
      <c r="CD35" s="36">
        <v>0</v>
      </c>
      <c r="CE35" s="31">
        <f t="shared" si="62"/>
        <v>0</v>
      </c>
      <c r="CF35" s="31">
        <f t="shared" si="63"/>
        <v>0</v>
      </c>
      <c r="CG35" s="31">
        <f t="shared" si="64"/>
        <v>0</v>
      </c>
      <c r="CH35" s="31">
        <f t="shared" si="65"/>
        <v>0</v>
      </c>
      <c r="CI35" s="27"/>
      <c r="CJ35" s="37" t="str">
        <f t="shared" si="18"/>
        <v/>
      </c>
      <c r="CK35" s="36">
        <v>0</v>
      </c>
      <c r="CL35" s="31">
        <f t="shared" si="66"/>
        <v>0</v>
      </c>
      <c r="CM35" s="31">
        <f t="shared" si="67"/>
        <v>0</v>
      </c>
      <c r="CN35" s="31">
        <f t="shared" si="68"/>
        <v>0</v>
      </c>
      <c r="CO35" s="31">
        <f t="shared" si="69"/>
        <v>0</v>
      </c>
      <c r="CP35" s="27"/>
      <c r="CQ35" s="37" t="str">
        <f t="shared" si="20"/>
        <v/>
      </c>
      <c r="CS35" s="27"/>
      <c r="CT35" s="27"/>
      <c r="CU35" s="27"/>
      <c r="CV35" s="27"/>
      <c r="CW35" s="27"/>
      <c r="CX35" s="27"/>
      <c r="CY35" s="27"/>
      <c r="CZ35" s="27"/>
      <c r="DA35" s="27"/>
      <c r="DB35" s="27"/>
      <c r="DC35" s="27"/>
      <c r="DD35" s="27"/>
      <c r="DF35" s="28"/>
    </row>
    <row r="36" spans="1:110" s="26" customFormat="1" ht="16" customHeight="1" x14ac:dyDescent="0.2">
      <c r="A36" s="38" t="s">
        <v>60</v>
      </c>
      <c r="B36" s="30">
        <f t="shared" ref="B36:D54" si="76">+L36+S36+Z36+AG36+AN36+AU36+BB36+BI36+BP36+BW36+CD36+CK36</f>
        <v>87740.000000000015</v>
      </c>
      <c r="C36" s="31">
        <f t="shared" si="76"/>
        <v>76956.753999999986</v>
      </c>
      <c r="D36" s="32">
        <f t="shared" si="76"/>
        <v>10783.245999999999</v>
      </c>
      <c r="E36" s="30">
        <f t="shared" si="21"/>
        <v>29246.666666666668</v>
      </c>
      <c r="F36" s="33">
        <f t="shared" si="21"/>
        <v>25652.251333333334</v>
      </c>
      <c r="G36" s="34">
        <f t="shared" si="21"/>
        <v>3594.4153333333334</v>
      </c>
      <c r="H36" s="31">
        <f t="shared" ref="H36:J54" si="77">+O36+V36+AC36+AJ36+AQ36+AX36+BE36+BL36+BS36+BZ36+CG36+CN36</f>
        <v>53213.340705481067</v>
      </c>
      <c r="I36" s="33">
        <f t="shared" si="77"/>
        <v>7456.298680542267</v>
      </c>
      <c r="J36" s="33">
        <f t="shared" si="77"/>
        <v>60669.639386023329</v>
      </c>
      <c r="K36" s="35">
        <f t="shared" si="2"/>
        <v>1.0744121057450418</v>
      </c>
      <c r="L36" s="36">
        <v>7311.666666666667</v>
      </c>
      <c r="M36" s="31">
        <f t="shared" si="22"/>
        <v>6413.0628333333334</v>
      </c>
      <c r="N36" s="31">
        <f t="shared" si="23"/>
        <v>898.60383333333334</v>
      </c>
      <c r="O36" s="31">
        <f t="shared" si="24"/>
        <v>8059.8347482077916</v>
      </c>
      <c r="P36" s="31">
        <f t="shared" si="25"/>
        <v>1129.3509184297543</v>
      </c>
      <c r="Q36" s="33">
        <v>9189.1856666375461</v>
      </c>
      <c r="R36" s="35">
        <f t="shared" si="3"/>
        <v>0.25678399817244757</v>
      </c>
      <c r="S36" s="36">
        <v>7311.666666666667</v>
      </c>
      <c r="T36" s="31">
        <f t="shared" si="26"/>
        <v>6413.0628333333334</v>
      </c>
      <c r="U36" s="31">
        <f t="shared" si="27"/>
        <v>898.60383333333334</v>
      </c>
      <c r="V36" s="31">
        <f t="shared" si="28"/>
        <v>10589.262659793523</v>
      </c>
      <c r="W36" s="31">
        <f t="shared" si="29"/>
        <v>1483.776514523571</v>
      </c>
      <c r="X36" s="33">
        <v>12073.039174317095</v>
      </c>
      <c r="Y36" s="35">
        <f t="shared" si="4"/>
        <v>0.6512020753567942</v>
      </c>
      <c r="Z36" s="36">
        <v>7311.666666666667</v>
      </c>
      <c r="AA36" s="31">
        <f t="shared" si="30"/>
        <v>6413.0628333333334</v>
      </c>
      <c r="AB36" s="31">
        <f t="shared" si="31"/>
        <v>898.60383333333334</v>
      </c>
      <c r="AC36" s="31">
        <f t="shared" si="32"/>
        <v>8312.7090441602777</v>
      </c>
      <c r="AD36" s="31">
        <f t="shared" si="33"/>
        <v>1164.7838804324456</v>
      </c>
      <c r="AE36" s="33">
        <v>9477.4929245927233</v>
      </c>
      <c r="AF36" s="35">
        <f t="shared" si="5"/>
        <v>0.29621512531471028</v>
      </c>
      <c r="AG36" s="36">
        <v>7311.666666666667</v>
      </c>
      <c r="AH36" s="31">
        <f t="shared" si="34"/>
        <v>6413.0628333333334</v>
      </c>
      <c r="AI36" s="31">
        <f t="shared" si="35"/>
        <v>898.60383333333334</v>
      </c>
      <c r="AJ36" s="31">
        <f t="shared" si="36"/>
        <v>7664.5558403658779</v>
      </c>
      <c r="AK36" s="31">
        <f t="shared" si="37"/>
        <v>1073.9641007649827</v>
      </c>
      <c r="AL36" s="33">
        <v>8738.5199411308604</v>
      </c>
      <c r="AM36" s="35">
        <f t="shared" si="6"/>
        <v>0.19514747314303982</v>
      </c>
      <c r="AN36" s="36">
        <v>7311.666666666667</v>
      </c>
      <c r="AO36" s="31">
        <f t="shared" si="38"/>
        <v>6413.0628333333334</v>
      </c>
      <c r="AP36" s="31">
        <f t="shared" si="39"/>
        <v>898.60383333333334</v>
      </c>
      <c r="AQ36" s="31">
        <f t="shared" si="40"/>
        <v>8099.9891007645019</v>
      </c>
      <c r="AR36" s="31">
        <f t="shared" si="41"/>
        <v>1134.9773805540499</v>
      </c>
      <c r="AS36" s="27">
        <v>9234.9664813185518</v>
      </c>
      <c r="AT36" s="35">
        <f t="shared" si="7"/>
        <v>0.26304533594509483</v>
      </c>
      <c r="AU36" s="36">
        <v>7311.666666666667</v>
      </c>
      <c r="AV36" s="31">
        <f t="shared" si="42"/>
        <v>6413.0628333333334</v>
      </c>
      <c r="AW36" s="31">
        <f t="shared" si="43"/>
        <v>898.60383333333334</v>
      </c>
      <c r="AX36" s="31">
        <f t="shared" si="44"/>
        <v>10486.989312189093</v>
      </c>
      <c r="AY36" s="31">
        <f t="shared" si="45"/>
        <v>1469.4458858374637</v>
      </c>
      <c r="AZ36" s="27">
        <v>11956.435198026556</v>
      </c>
      <c r="BA36" s="35">
        <f t="shared" si="8"/>
        <v>0.63525441504808144</v>
      </c>
      <c r="BB36" s="36">
        <v>7311.666666666667</v>
      </c>
      <c r="BC36" s="31">
        <f t="shared" si="46"/>
        <v>6413.0628333333334</v>
      </c>
      <c r="BD36" s="31">
        <f t="shared" si="47"/>
        <v>898.60383333333334</v>
      </c>
      <c r="BE36" s="31">
        <f t="shared" si="48"/>
        <v>0</v>
      </c>
      <c r="BF36" s="31">
        <f t="shared" si="49"/>
        <v>0</v>
      </c>
      <c r="BG36" s="27">
        <f t="shared" ref="BG36:BG40" si="78">CY36*0.51</f>
        <v>0</v>
      </c>
      <c r="BH36" s="35">
        <f t="shared" si="10"/>
        <v>-1</v>
      </c>
      <c r="BI36" s="36">
        <v>7311.666666666667</v>
      </c>
      <c r="BJ36" s="31">
        <f t="shared" si="50"/>
        <v>6413.0628333333334</v>
      </c>
      <c r="BK36" s="31">
        <f t="shared" si="51"/>
        <v>898.60383333333334</v>
      </c>
      <c r="BL36" s="31">
        <f t="shared" si="52"/>
        <v>0</v>
      </c>
      <c r="BM36" s="31">
        <f t="shared" si="53"/>
        <v>0</v>
      </c>
      <c r="BN36" s="27">
        <f t="shared" ref="BN36:BN40" si="79">CZ36*0.51</f>
        <v>0</v>
      </c>
      <c r="BO36" s="37">
        <f t="shared" si="12"/>
        <v>-1</v>
      </c>
      <c r="BP36" s="36">
        <v>7311.666666666667</v>
      </c>
      <c r="BQ36" s="31">
        <f t="shared" si="54"/>
        <v>6413.0628333333334</v>
      </c>
      <c r="BR36" s="31">
        <f t="shared" si="55"/>
        <v>898.60383333333334</v>
      </c>
      <c r="BS36" s="31">
        <f t="shared" si="56"/>
        <v>0</v>
      </c>
      <c r="BT36" s="31">
        <f t="shared" si="57"/>
        <v>0</v>
      </c>
      <c r="BU36" s="27">
        <f t="shared" ref="BU36:BU40" si="80">DA36*0.51</f>
        <v>0</v>
      </c>
      <c r="BV36" s="37">
        <f t="shared" si="14"/>
        <v>-1</v>
      </c>
      <c r="BW36" s="36">
        <v>7311.666666666667</v>
      </c>
      <c r="BX36" s="31">
        <f t="shared" si="58"/>
        <v>6413.0628333333334</v>
      </c>
      <c r="BY36" s="31">
        <f t="shared" si="59"/>
        <v>898.60383333333334</v>
      </c>
      <c r="BZ36" s="31">
        <f t="shared" si="60"/>
        <v>0</v>
      </c>
      <c r="CA36" s="31">
        <f t="shared" si="61"/>
        <v>0</v>
      </c>
      <c r="CB36" s="27">
        <f t="shared" ref="CB36:CB40" si="81">DB36*0.51</f>
        <v>0</v>
      </c>
      <c r="CC36" s="37">
        <f t="shared" si="16"/>
        <v>-1</v>
      </c>
      <c r="CD36" s="36">
        <v>7311.666666666667</v>
      </c>
      <c r="CE36" s="31">
        <f t="shared" si="62"/>
        <v>6413.0628333333334</v>
      </c>
      <c r="CF36" s="31">
        <f t="shared" si="63"/>
        <v>898.60383333333334</v>
      </c>
      <c r="CG36" s="31">
        <f t="shared" si="64"/>
        <v>0</v>
      </c>
      <c r="CH36" s="31">
        <f t="shared" si="65"/>
        <v>0</v>
      </c>
      <c r="CI36" s="27">
        <f t="shared" ref="CI36:CI40" si="82">DC36*0.51</f>
        <v>0</v>
      </c>
      <c r="CJ36" s="37">
        <f t="shared" si="18"/>
        <v>-1</v>
      </c>
      <c r="CK36" s="36">
        <v>7311.666666666667</v>
      </c>
      <c r="CL36" s="31">
        <f t="shared" si="66"/>
        <v>6413.0628333333334</v>
      </c>
      <c r="CM36" s="31">
        <f t="shared" si="67"/>
        <v>898.60383333333334</v>
      </c>
      <c r="CN36" s="31">
        <f t="shared" si="68"/>
        <v>0</v>
      </c>
      <c r="CO36" s="31">
        <f t="shared" si="69"/>
        <v>0</v>
      </c>
      <c r="CP36" s="27">
        <f t="shared" ref="CP36:CP40" si="83">DD36*0.51</f>
        <v>0</v>
      </c>
      <c r="CQ36" s="37">
        <f t="shared" si="20"/>
        <v>-1</v>
      </c>
      <c r="CS36" s="27">
        <f>134.56+1300+534.13+15.85+182.9+1209.1+119.21+57.98+114.64+48.17+900+213.4+1200+340+510+12.76+130.64+5531.32+527.93+163.66+924.22+182.91+284.36+744.78+220.29+556.94+1839.97+900+113.04+103.5+129.01+900+800</f>
        <v>20945.27</v>
      </c>
      <c r="CT36" s="27">
        <f>41.17+539.54+1898.9+2327.49+145.32+100+480+960+81.65+6660+123.63+62.1+751.4+2250+2800+130+450+385+810+1000+270+855+1098+186+2860+253.35</f>
        <v>27518.549999999996</v>
      </c>
      <c r="CU36" s="27">
        <f>104.93+936.81+678.32+3205.76+775.61+882.79+775.61+882.79+600+104.06+750+138.13+107.69+11.45+11.76+80.02+120.84+62.87+58.79+15.78+4005+593.8+375+65.32+210+900+712.19+359.23+51.69+99.61+980+101.12+2736+109.45</f>
        <v>21602.42</v>
      </c>
      <c r="CV36" s="27">
        <f>303.33+487+723+650+168.15+50.72+5.71+50.59+92.68+39.62+750+775+30+4005+1860+940.46+680+800+19.6+95.1+85.59+152.16+226.65+740+95.1+990+74.71+430+1439.6+34.58+600+114.12+1520+889.58</f>
        <v>19918.05</v>
      </c>
      <c r="CW36" s="27"/>
      <c r="CX36" s="27"/>
      <c r="CY36" s="27"/>
      <c r="CZ36" s="27"/>
      <c r="DA36" s="27"/>
      <c r="DB36" s="27"/>
      <c r="DC36" s="27"/>
      <c r="DD36" s="27"/>
      <c r="DF36" s="28"/>
    </row>
    <row r="37" spans="1:110" s="26" customFormat="1" ht="16" customHeight="1" x14ac:dyDescent="0.2">
      <c r="A37" s="38" t="s">
        <v>61</v>
      </c>
      <c r="B37" s="30">
        <f t="shared" si="76"/>
        <v>131610</v>
      </c>
      <c r="C37" s="31">
        <f t="shared" si="76"/>
        <v>115435.13099999998</v>
      </c>
      <c r="D37" s="32">
        <f t="shared" si="76"/>
        <v>16174.868999999999</v>
      </c>
      <c r="E37" s="30">
        <f t="shared" ref="E37:G54" si="84">+L37+S37+Z37+AG37</f>
        <v>43870</v>
      </c>
      <c r="F37" s="33">
        <f t="shared" si="84"/>
        <v>38478.377</v>
      </c>
      <c r="G37" s="34">
        <f t="shared" si="84"/>
        <v>5391.6229999999996</v>
      </c>
      <c r="H37" s="31">
        <f t="shared" si="77"/>
        <v>99785.524758475018</v>
      </c>
      <c r="I37" s="33">
        <f t="shared" si="77"/>
        <v>13982.032827290592</v>
      </c>
      <c r="J37" s="33">
        <f t="shared" si="77"/>
        <v>113767.55758576559</v>
      </c>
      <c r="K37" s="35">
        <f t="shared" si="2"/>
        <v>1.5932882969173829</v>
      </c>
      <c r="L37" s="36">
        <v>10967.5</v>
      </c>
      <c r="M37" s="31">
        <f t="shared" si="22"/>
        <v>9619.5942500000001</v>
      </c>
      <c r="N37" s="31">
        <f t="shared" si="23"/>
        <v>1347.9057499999999</v>
      </c>
      <c r="O37" s="31">
        <f t="shared" si="24"/>
        <v>16813.114193223162</v>
      </c>
      <c r="P37" s="31">
        <f t="shared" si="25"/>
        <v>2355.8678991530342</v>
      </c>
      <c r="Q37" s="33">
        <v>19168.982092376194</v>
      </c>
      <c r="R37" s="35">
        <f t="shared" si="3"/>
        <v>0.7477986863347339</v>
      </c>
      <c r="S37" s="36">
        <v>10967.5</v>
      </c>
      <c r="T37" s="31">
        <f t="shared" si="26"/>
        <v>9619.5942500000001</v>
      </c>
      <c r="U37" s="31">
        <f t="shared" si="27"/>
        <v>1347.9057499999999</v>
      </c>
      <c r="V37" s="31">
        <f t="shared" si="28"/>
        <v>12630.073477086406</v>
      </c>
      <c r="W37" s="31">
        <f t="shared" si="29"/>
        <v>1769.7366666673347</v>
      </c>
      <c r="X37" s="33">
        <v>14399.810143753741</v>
      </c>
      <c r="Y37" s="35">
        <f t="shared" si="4"/>
        <v>0.31295282824287574</v>
      </c>
      <c r="Z37" s="36">
        <v>10967.5</v>
      </c>
      <c r="AA37" s="31">
        <f t="shared" si="30"/>
        <v>9619.5942500000001</v>
      </c>
      <c r="AB37" s="31">
        <f t="shared" si="31"/>
        <v>1347.9057499999999</v>
      </c>
      <c r="AC37" s="31">
        <f t="shared" si="32"/>
        <v>17759.348528986935</v>
      </c>
      <c r="AD37" s="31">
        <f t="shared" si="33"/>
        <v>2488.4550612387347</v>
      </c>
      <c r="AE37" s="33">
        <v>20247.803590225671</v>
      </c>
      <c r="AF37" s="35">
        <f t="shared" si="5"/>
        <v>0.84616399272629783</v>
      </c>
      <c r="AG37" s="36">
        <v>10967.5</v>
      </c>
      <c r="AH37" s="31">
        <f t="shared" si="34"/>
        <v>9619.5942500000001</v>
      </c>
      <c r="AI37" s="31">
        <f t="shared" si="35"/>
        <v>1347.9057499999999</v>
      </c>
      <c r="AJ37" s="31">
        <f t="shared" si="36"/>
        <v>27605.599820647254</v>
      </c>
      <c r="AK37" s="31">
        <f t="shared" si="37"/>
        <v>3868.1201892116601</v>
      </c>
      <c r="AL37" s="33">
        <v>31473.720009858913</v>
      </c>
      <c r="AM37" s="35">
        <f t="shared" si="6"/>
        <v>1.8697260095608765</v>
      </c>
      <c r="AN37" s="36">
        <v>10967.5</v>
      </c>
      <c r="AO37" s="31">
        <f t="shared" si="38"/>
        <v>9619.5942500000001</v>
      </c>
      <c r="AP37" s="31">
        <f t="shared" si="39"/>
        <v>1347.9057499999999</v>
      </c>
      <c r="AQ37" s="31">
        <f t="shared" si="40"/>
        <v>12089.146055179182</v>
      </c>
      <c r="AR37" s="31">
        <f t="shared" si="41"/>
        <v>1693.9414550011645</v>
      </c>
      <c r="AS37" s="27">
        <v>13783.087510180347</v>
      </c>
      <c r="AT37" s="35">
        <f t="shared" si="7"/>
        <v>0.25672099477368104</v>
      </c>
      <c r="AU37" s="36">
        <v>10967.5</v>
      </c>
      <c r="AV37" s="31">
        <f t="shared" si="42"/>
        <v>9619.5942500000001</v>
      </c>
      <c r="AW37" s="31">
        <f t="shared" si="43"/>
        <v>1347.9057499999999</v>
      </c>
      <c r="AX37" s="31">
        <f t="shared" si="44"/>
        <v>12888.242683352073</v>
      </c>
      <c r="AY37" s="31">
        <f t="shared" si="45"/>
        <v>1805.9115560186635</v>
      </c>
      <c r="AZ37" s="27">
        <v>14694.154239370737</v>
      </c>
      <c r="BA37" s="35">
        <f t="shared" si="8"/>
        <v>0.33979067603106783</v>
      </c>
      <c r="BB37" s="36">
        <v>10967.5</v>
      </c>
      <c r="BC37" s="31">
        <f t="shared" si="46"/>
        <v>9619.5942500000001</v>
      </c>
      <c r="BD37" s="31">
        <f t="shared" si="47"/>
        <v>1347.9057499999999</v>
      </c>
      <c r="BE37" s="31">
        <f t="shared" si="48"/>
        <v>0</v>
      </c>
      <c r="BF37" s="31">
        <f t="shared" si="49"/>
        <v>0</v>
      </c>
      <c r="BG37" s="27">
        <f t="shared" si="78"/>
        <v>0</v>
      </c>
      <c r="BH37" s="35">
        <f t="shared" si="10"/>
        <v>-1</v>
      </c>
      <c r="BI37" s="36">
        <v>10967.5</v>
      </c>
      <c r="BJ37" s="31">
        <f t="shared" si="50"/>
        <v>9619.5942500000001</v>
      </c>
      <c r="BK37" s="31">
        <f t="shared" si="51"/>
        <v>1347.9057499999999</v>
      </c>
      <c r="BL37" s="31">
        <f t="shared" si="52"/>
        <v>0</v>
      </c>
      <c r="BM37" s="31">
        <f t="shared" si="53"/>
        <v>0</v>
      </c>
      <c r="BN37" s="27">
        <f t="shared" si="79"/>
        <v>0</v>
      </c>
      <c r="BO37" s="37">
        <f t="shared" si="12"/>
        <v>-1</v>
      </c>
      <c r="BP37" s="36">
        <v>10967.5</v>
      </c>
      <c r="BQ37" s="31">
        <f t="shared" si="54"/>
        <v>9619.5942500000001</v>
      </c>
      <c r="BR37" s="31">
        <f t="shared" si="55"/>
        <v>1347.9057499999999</v>
      </c>
      <c r="BS37" s="31">
        <f t="shared" si="56"/>
        <v>0</v>
      </c>
      <c r="BT37" s="31">
        <f t="shared" si="57"/>
        <v>0</v>
      </c>
      <c r="BU37" s="27">
        <f t="shared" si="80"/>
        <v>0</v>
      </c>
      <c r="BV37" s="37">
        <f t="shared" si="14"/>
        <v>-1</v>
      </c>
      <c r="BW37" s="36">
        <v>10967.5</v>
      </c>
      <c r="BX37" s="31">
        <f t="shared" si="58"/>
        <v>9619.5942500000001</v>
      </c>
      <c r="BY37" s="31">
        <f t="shared" si="59"/>
        <v>1347.9057499999999</v>
      </c>
      <c r="BZ37" s="31">
        <f t="shared" si="60"/>
        <v>0</v>
      </c>
      <c r="CA37" s="31">
        <f t="shared" si="61"/>
        <v>0</v>
      </c>
      <c r="CB37" s="27">
        <f t="shared" si="81"/>
        <v>0</v>
      </c>
      <c r="CC37" s="37">
        <f t="shared" si="16"/>
        <v>-1</v>
      </c>
      <c r="CD37" s="36">
        <v>10967.5</v>
      </c>
      <c r="CE37" s="31">
        <f t="shared" si="62"/>
        <v>9619.5942500000001</v>
      </c>
      <c r="CF37" s="31">
        <f t="shared" si="63"/>
        <v>1347.9057499999999</v>
      </c>
      <c r="CG37" s="31">
        <f t="shared" si="64"/>
        <v>0</v>
      </c>
      <c r="CH37" s="31">
        <f t="shared" si="65"/>
        <v>0</v>
      </c>
      <c r="CI37" s="27">
        <f t="shared" si="82"/>
        <v>0</v>
      </c>
      <c r="CJ37" s="37">
        <f t="shared" si="18"/>
        <v>-1</v>
      </c>
      <c r="CK37" s="36">
        <v>10967.5</v>
      </c>
      <c r="CL37" s="31">
        <f t="shared" si="66"/>
        <v>9619.5942500000001</v>
      </c>
      <c r="CM37" s="31">
        <f t="shared" si="67"/>
        <v>1347.9057499999999</v>
      </c>
      <c r="CN37" s="31">
        <f t="shared" si="68"/>
        <v>0</v>
      </c>
      <c r="CO37" s="31">
        <f t="shared" si="69"/>
        <v>0</v>
      </c>
      <c r="CP37" s="27">
        <f t="shared" si="83"/>
        <v>0</v>
      </c>
      <c r="CQ37" s="37">
        <f t="shared" si="20"/>
        <v>-1</v>
      </c>
      <c r="CS37" s="27">
        <f>64637.88-CS36</f>
        <v>43692.61</v>
      </c>
      <c r="CT37" s="27">
        <f>(60087.25+253.35)-CT36</f>
        <v>32822.050000000003</v>
      </c>
      <c r="CU37" s="27">
        <f>67754.03-CU36</f>
        <v>46151.61</v>
      </c>
      <c r="CV37" s="27">
        <f>(91161.38+495.95)-CV36</f>
        <v>71739.28</v>
      </c>
      <c r="CW37" s="27"/>
      <c r="CX37" s="27"/>
      <c r="CY37" s="27"/>
      <c r="CZ37" s="27"/>
      <c r="DA37" s="27"/>
      <c r="DB37" s="27"/>
      <c r="DC37" s="27"/>
      <c r="DD37" s="27"/>
      <c r="DF37" s="28"/>
    </row>
    <row r="38" spans="1:110" s="26" customFormat="1" ht="16" customHeight="1" x14ac:dyDescent="0.2">
      <c r="A38" s="38" t="s">
        <v>62</v>
      </c>
      <c r="B38" s="30">
        <f t="shared" si="76"/>
        <v>8774.0000000000018</v>
      </c>
      <c r="C38" s="31">
        <f t="shared" si="76"/>
        <v>7695.6754000000001</v>
      </c>
      <c r="D38" s="32">
        <f t="shared" si="76"/>
        <v>1078.3245999999997</v>
      </c>
      <c r="E38" s="30">
        <f t="shared" si="84"/>
        <v>2924.6666666666665</v>
      </c>
      <c r="F38" s="33">
        <f t="shared" si="84"/>
        <v>2565.2251333333334</v>
      </c>
      <c r="G38" s="34">
        <f t="shared" si="84"/>
        <v>359.44153333333333</v>
      </c>
      <c r="H38" s="31">
        <f t="shared" si="77"/>
        <v>6383.506932335039</v>
      </c>
      <c r="I38" s="33">
        <f t="shared" si="77"/>
        <v>894.46243527987269</v>
      </c>
      <c r="J38" s="33">
        <f t="shared" si="77"/>
        <v>7277.9693676149127</v>
      </c>
      <c r="K38" s="35">
        <f t="shared" si="2"/>
        <v>1.4884782428589856</v>
      </c>
      <c r="L38" s="36">
        <v>731.16666666666663</v>
      </c>
      <c r="M38" s="31">
        <f t="shared" si="22"/>
        <v>641.30628333333334</v>
      </c>
      <c r="N38" s="31">
        <f t="shared" si="23"/>
        <v>89.860383333333331</v>
      </c>
      <c r="O38" s="31">
        <f t="shared" si="24"/>
        <v>1502.9156550708224</v>
      </c>
      <c r="P38" s="31">
        <f t="shared" si="25"/>
        <v>210.58982329062141</v>
      </c>
      <c r="Q38" s="33">
        <v>1713.5054783614437</v>
      </c>
      <c r="R38" s="35">
        <f t="shared" si="3"/>
        <v>1.3435224231066019</v>
      </c>
      <c r="S38" s="36">
        <v>731.16666666666663</v>
      </c>
      <c r="T38" s="31">
        <f t="shared" si="26"/>
        <v>641.30628333333334</v>
      </c>
      <c r="U38" s="31">
        <f t="shared" si="27"/>
        <v>89.860383333333331</v>
      </c>
      <c r="V38" s="31">
        <f t="shared" si="28"/>
        <v>417.07808438563831</v>
      </c>
      <c r="W38" s="31">
        <f t="shared" si="29"/>
        <v>58.441336872642736</v>
      </c>
      <c r="X38" s="33">
        <v>475.51942125828106</v>
      </c>
      <c r="Y38" s="35">
        <f t="shared" si="4"/>
        <v>-0.34964291599049768</v>
      </c>
      <c r="Z38" s="36">
        <v>731.16666666666663</v>
      </c>
      <c r="AA38" s="31">
        <f t="shared" si="30"/>
        <v>641.30628333333334</v>
      </c>
      <c r="AB38" s="31">
        <f t="shared" si="31"/>
        <v>89.860383333333331</v>
      </c>
      <c r="AC38" s="31">
        <f t="shared" si="32"/>
        <v>1630.7130870555757</v>
      </c>
      <c r="AD38" s="31">
        <f t="shared" si="33"/>
        <v>228.49690844730389</v>
      </c>
      <c r="AE38" s="33">
        <v>1859.2099955028796</v>
      </c>
      <c r="AF38" s="35">
        <f t="shared" si="5"/>
        <v>1.5427991732430542</v>
      </c>
      <c r="AG38" s="36">
        <v>731.16666666666663</v>
      </c>
      <c r="AH38" s="31">
        <f t="shared" si="34"/>
        <v>641.30628333333334</v>
      </c>
      <c r="AI38" s="31">
        <f t="shared" si="35"/>
        <v>89.860383333333331</v>
      </c>
      <c r="AJ38" s="31">
        <f t="shared" si="36"/>
        <v>796.54537414844162</v>
      </c>
      <c r="AK38" s="31">
        <f t="shared" si="37"/>
        <v>111.61261712785711</v>
      </c>
      <c r="AL38" s="33">
        <v>908.15799127629873</v>
      </c>
      <c r="AM38" s="35">
        <f t="shared" si="6"/>
        <v>0.24206700425297312</v>
      </c>
      <c r="AN38" s="36">
        <v>731.16666666666663</v>
      </c>
      <c r="AO38" s="31">
        <f t="shared" si="38"/>
        <v>641.30628333333334</v>
      </c>
      <c r="AP38" s="31">
        <f t="shared" si="39"/>
        <v>89.860383333333331</v>
      </c>
      <c r="AQ38" s="31">
        <f t="shared" si="40"/>
        <v>1676.0776929291792</v>
      </c>
      <c r="AR38" s="31">
        <f t="shared" si="41"/>
        <v>234.8534357097208</v>
      </c>
      <c r="AS38" s="27">
        <v>1910.9311286389</v>
      </c>
      <c r="AT38" s="35">
        <f t="shared" si="7"/>
        <v>1.6135369892485527</v>
      </c>
      <c r="AU38" s="36">
        <v>731.16666666666663</v>
      </c>
      <c r="AV38" s="31">
        <f t="shared" si="42"/>
        <v>641.30628333333334</v>
      </c>
      <c r="AW38" s="31">
        <f t="shared" si="43"/>
        <v>89.860383333333331</v>
      </c>
      <c r="AX38" s="31">
        <f t="shared" si="44"/>
        <v>360.17703874538228</v>
      </c>
      <c r="AY38" s="31">
        <f t="shared" si="45"/>
        <v>50.46831383172669</v>
      </c>
      <c r="AZ38" s="27">
        <v>410.64535257710895</v>
      </c>
      <c r="BA38" s="35">
        <f t="shared" si="8"/>
        <v>-0.43836970242474271</v>
      </c>
      <c r="BB38" s="36">
        <v>731.16666666666663</v>
      </c>
      <c r="BC38" s="31">
        <f t="shared" si="46"/>
        <v>641.30628333333334</v>
      </c>
      <c r="BD38" s="31">
        <f t="shared" si="47"/>
        <v>89.860383333333331</v>
      </c>
      <c r="BE38" s="31">
        <f t="shared" si="48"/>
        <v>0</v>
      </c>
      <c r="BF38" s="31">
        <f t="shared" si="49"/>
        <v>0</v>
      </c>
      <c r="BG38" s="27">
        <f t="shared" si="78"/>
        <v>0</v>
      </c>
      <c r="BH38" s="35">
        <f t="shared" si="10"/>
        <v>-1</v>
      </c>
      <c r="BI38" s="36">
        <v>731.16666666666663</v>
      </c>
      <c r="BJ38" s="31">
        <f t="shared" si="50"/>
        <v>641.30628333333334</v>
      </c>
      <c r="BK38" s="31">
        <f t="shared" si="51"/>
        <v>89.860383333333331</v>
      </c>
      <c r="BL38" s="31">
        <f t="shared" si="52"/>
        <v>0</v>
      </c>
      <c r="BM38" s="31">
        <f t="shared" si="53"/>
        <v>0</v>
      </c>
      <c r="BN38" s="27">
        <f t="shared" si="79"/>
        <v>0</v>
      </c>
      <c r="BO38" s="37">
        <f t="shared" si="12"/>
        <v>-1</v>
      </c>
      <c r="BP38" s="36">
        <v>731.16666666666663</v>
      </c>
      <c r="BQ38" s="31">
        <f t="shared" si="54"/>
        <v>641.30628333333334</v>
      </c>
      <c r="BR38" s="31">
        <f t="shared" si="55"/>
        <v>89.860383333333331</v>
      </c>
      <c r="BS38" s="31">
        <f t="shared" si="56"/>
        <v>0</v>
      </c>
      <c r="BT38" s="31">
        <f t="shared" si="57"/>
        <v>0</v>
      </c>
      <c r="BU38" s="27">
        <f t="shared" si="80"/>
        <v>0</v>
      </c>
      <c r="BV38" s="37">
        <f t="shared" si="14"/>
        <v>-1</v>
      </c>
      <c r="BW38" s="36">
        <v>731.16666666666663</v>
      </c>
      <c r="BX38" s="31">
        <f t="shared" si="58"/>
        <v>641.30628333333334</v>
      </c>
      <c r="BY38" s="31">
        <f t="shared" si="59"/>
        <v>89.860383333333331</v>
      </c>
      <c r="BZ38" s="31">
        <f t="shared" si="60"/>
        <v>0</v>
      </c>
      <c r="CA38" s="31">
        <f t="shared" si="61"/>
        <v>0</v>
      </c>
      <c r="CB38" s="27">
        <f t="shared" si="81"/>
        <v>0</v>
      </c>
      <c r="CC38" s="37">
        <f t="shared" si="16"/>
        <v>-1</v>
      </c>
      <c r="CD38" s="36">
        <v>731.16666666666663</v>
      </c>
      <c r="CE38" s="31">
        <f t="shared" si="62"/>
        <v>641.30628333333334</v>
      </c>
      <c r="CF38" s="31">
        <f t="shared" si="63"/>
        <v>89.860383333333331</v>
      </c>
      <c r="CG38" s="31">
        <f t="shared" si="64"/>
        <v>0</v>
      </c>
      <c r="CH38" s="31">
        <f t="shared" si="65"/>
        <v>0</v>
      </c>
      <c r="CI38" s="27">
        <f t="shared" si="82"/>
        <v>0</v>
      </c>
      <c r="CJ38" s="37">
        <f t="shared" si="18"/>
        <v>-1</v>
      </c>
      <c r="CK38" s="36">
        <v>731.16666666666663</v>
      </c>
      <c r="CL38" s="31">
        <f t="shared" si="66"/>
        <v>641.30628333333334</v>
      </c>
      <c r="CM38" s="31">
        <f t="shared" si="67"/>
        <v>89.860383333333331</v>
      </c>
      <c r="CN38" s="31">
        <f t="shared" si="68"/>
        <v>0</v>
      </c>
      <c r="CO38" s="31">
        <f t="shared" si="69"/>
        <v>0</v>
      </c>
      <c r="CP38" s="27">
        <f t="shared" si="83"/>
        <v>0</v>
      </c>
      <c r="CQ38" s="37">
        <f t="shared" si="20"/>
        <v>-1</v>
      </c>
      <c r="CS38" s="27">
        <f>3905.66</f>
        <v>3905.66</v>
      </c>
      <c r="CT38" s="27">
        <f>1083.87</f>
        <v>1083.8699999999999</v>
      </c>
      <c r="CU38" s="27">
        <f>1342.87+2894.9</f>
        <v>4237.7700000000004</v>
      </c>
      <c r="CV38" s="27">
        <v>2070</v>
      </c>
      <c r="CW38" s="27"/>
      <c r="CX38" s="27"/>
      <c r="CY38" s="27"/>
      <c r="CZ38" s="27"/>
      <c r="DA38" s="27"/>
      <c r="DB38" s="27"/>
      <c r="DC38" s="27"/>
      <c r="DD38" s="27"/>
      <c r="DF38" s="28"/>
    </row>
    <row r="39" spans="1:110" s="26" customFormat="1" ht="16" customHeight="1" x14ac:dyDescent="0.2">
      <c r="A39" s="38" t="s">
        <v>63</v>
      </c>
      <c r="B39" s="30">
        <f t="shared" si="76"/>
        <v>26322</v>
      </c>
      <c r="C39" s="31">
        <f t="shared" si="76"/>
        <v>23087.026200000008</v>
      </c>
      <c r="D39" s="32">
        <f t="shared" si="76"/>
        <v>3234.9737999999998</v>
      </c>
      <c r="E39" s="30">
        <f t="shared" si="84"/>
        <v>8774</v>
      </c>
      <c r="F39" s="33">
        <f t="shared" si="84"/>
        <v>7695.6754000000001</v>
      </c>
      <c r="G39" s="34">
        <f t="shared" si="84"/>
        <v>1078.3245999999999</v>
      </c>
      <c r="H39" s="31">
        <f t="shared" si="77"/>
        <v>85659.115783756395</v>
      </c>
      <c r="I39" s="33">
        <f t="shared" si="77"/>
        <v>12002.628354604562</v>
      </c>
      <c r="J39" s="33">
        <f t="shared" si="77"/>
        <v>97661.74413836094</v>
      </c>
      <c r="K39" s="35">
        <f t="shared" si="2"/>
        <v>10.130811960150552</v>
      </c>
      <c r="L39" s="36">
        <v>2193.5</v>
      </c>
      <c r="M39" s="31">
        <f t="shared" si="22"/>
        <v>1923.91885</v>
      </c>
      <c r="N39" s="31">
        <f t="shared" si="23"/>
        <v>269.58114999999998</v>
      </c>
      <c r="O39" s="31">
        <f t="shared" si="24"/>
        <v>7978.2407959689335</v>
      </c>
      <c r="P39" s="31">
        <f t="shared" si="25"/>
        <v>1117.9179042578746</v>
      </c>
      <c r="Q39" s="33">
        <v>9096.1587002268079</v>
      </c>
      <c r="R39" s="35">
        <f t="shared" si="3"/>
        <v>3.1468697060527964</v>
      </c>
      <c r="S39" s="36">
        <v>2193.5</v>
      </c>
      <c r="T39" s="31">
        <f t="shared" si="26"/>
        <v>1923.91885</v>
      </c>
      <c r="U39" s="31">
        <f t="shared" si="27"/>
        <v>269.58114999999998</v>
      </c>
      <c r="V39" s="31">
        <f t="shared" si="28"/>
        <v>4117.0813718938643</v>
      </c>
      <c r="W39" s="31">
        <f t="shared" si="29"/>
        <v>576.88895291957124</v>
      </c>
      <c r="X39" s="33">
        <v>4693.9703248134356</v>
      </c>
      <c r="Y39" s="35">
        <f t="shared" si="4"/>
        <v>1.1399454409908527</v>
      </c>
      <c r="Z39" s="36">
        <v>2193.5</v>
      </c>
      <c r="AA39" s="31">
        <f t="shared" si="30"/>
        <v>1923.91885</v>
      </c>
      <c r="AB39" s="31">
        <f t="shared" si="31"/>
        <v>269.58114999999998</v>
      </c>
      <c r="AC39" s="31">
        <f t="shared" si="32"/>
        <v>45875.072169029052</v>
      </c>
      <c r="AD39" s="31">
        <f t="shared" si="33"/>
        <v>6428.0542350629003</v>
      </c>
      <c r="AE39" s="33">
        <v>52303.126404091949</v>
      </c>
      <c r="AF39" s="35">
        <f t="shared" si="5"/>
        <v>22.844598315063575</v>
      </c>
      <c r="AG39" s="36">
        <v>2193.5</v>
      </c>
      <c r="AH39" s="31">
        <f t="shared" si="34"/>
        <v>1923.91885</v>
      </c>
      <c r="AI39" s="31">
        <f t="shared" si="35"/>
        <v>269.58114999999998</v>
      </c>
      <c r="AJ39" s="31">
        <f t="shared" si="36"/>
        <v>2875.8327962534477</v>
      </c>
      <c r="AK39" s="31">
        <f t="shared" si="37"/>
        <v>402.96414395114431</v>
      </c>
      <c r="AL39" s="33">
        <v>3278.7969402045919</v>
      </c>
      <c r="AM39" s="35">
        <f t="shared" si="6"/>
        <v>0.49477863697496782</v>
      </c>
      <c r="AN39" s="36">
        <v>2193.5</v>
      </c>
      <c r="AO39" s="31">
        <f t="shared" si="38"/>
        <v>1923.91885</v>
      </c>
      <c r="AP39" s="31">
        <f t="shared" si="39"/>
        <v>269.58114999999998</v>
      </c>
      <c r="AQ39" s="31">
        <f t="shared" si="40"/>
        <v>2520.9891482741032</v>
      </c>
      <c r="AR39" s="31">
        <f t="shared" si="41"/>
        <v>353.24314938192595</v>
      </c>
      <c r="AS39" s="27">
        <v>2874.232297656029</v>
      </c>
      <c r="AT39" s="35">
        <f t="shared" si="7"/>
        <v>0.3103406873289396</v>
      </c>
      <c r="AU39" s="36">
        <v>2193.5</v>
      </c>
      <c r="AV39" s="31">
        <f t="shared" si="42"/>
        <v>1923.91885</v>
      </c>
      <c r="AW39" s="31">
        <f t="shared" si="43"/>
        <v>269.58114999999998</v>
      </c>
      <c r="AX39" s="31">
        <f t="shared" si="44"/>
        <v>22291.899502337001</v>
      </c>
      <c r="AY39" s="31">
        <f t="shared" si="45"/>
        <v>3123.5599690311446</v>
      </c>
      <c r="AZ39" s="27">
        <v>25415.459471368144</v>
      </c>
      <c r="BA39" s="35">
        <f t="shared" si="8"/>
        <v>10.586715054191083</v>
      </c>
      <c r="BB39" s="36">
        <v>2193.5</v>
      </c>
      <c r="BC39" s="31">
        <f t="shared" si="46"/>
        <v>1923.91885</v>
      </c>
      <c r="BD39" s="31">
        <f t="shared" si="47"/>
        <v>269.58114999999998</v>
      </c>
      <c r="BE39" s="31">
        <f t="shared" si="48"/>
        <v>0</v>
      </c>
      <c r="BF39" s="31">
        <f t="shared" si="49"/>
        <v>0</v>
      </c>
      <c r="BG39" s="27">
        <f t="shared" si="78"/>
        <v>0</v>
      </c>
      <c r="BH39" s="35">
        <f t="shared" si="10"/>
        <v>-1</v>
      </c>
      <c r="BI39" s="36">
        <v>2193.5</v>
      </c>
      <c r="BJ39" s="31">
        <f t="shared" si="50"/>
        <v>1923.91885</v>
      </c>
      <c r="BK39" s="31">
        <f t="shared" si="51"/>
        <v>269.58114999999998</v>
      </c>
      <c r="BL39" s="31">
        <f t="shared" si="52"/>
        <v>0</v>
      </c>
      <c r="BM39" s="31">
        <f t="shared" si="53"/>
        <v>0</v>
      </c>
      <c r="BN39" s="27">
        <f t="shared" si="79"/>
        <v>0</v>
      </c>
      <c r="BO39" s="37">
        <f t="shared" si="12"/>
        <v>-1</v>
      </c>
      <c r="BP39" s="36">
        <v>2193.5</v>
      </c>
      <c r="BQ39" s="31">
        <f t="shared" si="54"/>
        <v>1923.91885</v>
      </c>
      <c r="BR39" s="31">
        <f t="shared" si="55"/>
        <v>269.58114999999998</v>
      </c>
      <c r="BS39" s="31">
        <f t="shared" si="56"/>
        <v>0</v>
      </c>
      <c r="BT39" s="31">
        <f t="shared" si="57"/>
        <v>0</v>
      </c>
      <c r="BU39" s="27">
        <f t="shared" si="80"/>
        <v>0</v>
      </c>
      <c r="BV39" s="37">
        <f t="shared" si="14"/>
        <v>-1</v>
      </c>
      <c r="BW39" s="36">
        <v>2193.5</v>
      </c>
      <c r="BX39" s="31">
        <f t="shared" si="58"/>
        <v>1923.91885</v>
      </c>
      <c r="BY39" s="31">
        <f t="shared" si="59"/>
        <v>269.58114999999998</v>
      </c>
      <c r="BZ39" s="31">
        <f t="shared" si="60"/>
        <v>0</v>
      </c>
      <c r="CA39" s="31">
        <f t="shared" si="61"/>
        <v>0</v>
      </c>
      <c r="CB39" s="27">
        <f t="shared" si="81"/>
        <v>0</v>
      </c>
      <c r="CC39" s="37">
        <f t="shared" si="16"/>
        <v>-1</v>
      </c>
      <c r="CD39" s="36">
        <v>2193.5</v>
      </c>
      <c r="CE39" s="31">
        <f t="shared" si="62"/>
        <v>1923.91885</v>
      </c>
      <c r="CF39" s="31">
        <f t="shared" si="63"/>
        <v>269.58114999999998</v>
      </c>
      <c r="CG39" s="31">
        <f t="shared" si="64"/>
        <v>0</v>
      </c>
      <c r="CH39" s="31">
        <f t="shared" si="65"/>
        <v>0</v>
      </c>
      <c r="CI39" s="27">
        <f t="shared" si="82"/>
        <v>0</v>
      </c>
      <c r="CJ39" s="37">
        <f t="shared" si="18"/>
        <v>-1</v>
      </c>
      <c r="CK39" s="36">
        <v>2193.5</v>
      </c>
      <c r="CL39" s="31">
        <f t="shared" si="66"/>
        <v>1923.91885</v>
      </c>
      <c r="CM39" s="31">
        <f t="shared" si="67"/>
        <v>269.58114999999998</v>
      </c>
      <c r="CN39" s="31">
        <f t="shared" si="68"/>
        <v>0</v>
      </c>
      <c r="CO39" s="31">
        <f t="shared" si="69"/>
        <v>0</v>
      </c>
      <c r="CP39" s="27">
        <f t="shared" si="83"/>
        <v>0</v>
      </c>
      <c r="CQ39" s="37">
        <f t="shared" si="20"/>
        <v>-1</v>
      </c>
      <c r="CS39" s="27">
        <f>20733.23</f>
        <v>20733.23</v>
      </c>
      <c r="CT39" s="27">
        <f>10699.15</f>
        <v>10699.15</v>
      </c>
      <c r="CU39" s="27">
        <f>119216.56</f>
        <v>119216.56</v>
      </c>
      <c r="CV39" s="27">
        <f>7473.49</f>
        <v>7473.49</v>
      </c>
      <c r="CW39" s="27"/>
      <c r="CX39" s="27"/>
      <c r="CY39" s="27"/>
      <c r="CZ39" s="27"/>
      <c r="DA39" s="27"/>
      <c r="DB39" s="27"/>
      <c r="DC39" s="27"/>
      <c r="DD39" s="27"/>
      <c r="DF39" s="28"/>
    </row>
    <row r="40" spans="1:110" s="26" customFormat="1" ht="16" customHeight="1" x14ac:dyDescent="0.2">
      <c r="A40" s="38" t="s">
        <v>64</v>
      </c>
      <c r="B40" s="30">
        <f t="shared" si="76"/>
        <v>57031.000000000007</v>
      </c>
      <c r="C40" s="31">
        <f t="shared" si="76"/>
        <v>50021.890099999997</v>
      </c>
      <c r="D40" s="32">
        <f t="shared" si="76"/>
        <v>7009.1098999999986</v>
      </c>
      <c r="E40" s="30">
        <f t="shared" si="84"/>
        <v>19010.333333333332</v>
      </c>
      <c r="F40" s="33">
        <f t="shared" si="84"/>
        <v>16673.963366666667</v>
      </c>
      <c r="G40" s="34">
        <f t="shared" si="84"/>
        <v>2336.3699666666666</v>
      </c>
      <c r="H40" s="31">
        <f t="shared" si="77"/>
        <v>18770.730271438311</v>
      </c>
      <c r="I40" s="33">
        <f t="shared" si="77"/>
        <v>2630.1707335078877</v>
      </c>
      <c r="J40" s="33">
        <f t="shared" si="77"/>
        <v>21400.901004946201</v>
      </c>
      <c r="K40" s="35">
        <f t="shared" si="2"/>
        <v>0.12575096026439314</v>
      </c>
      <c r="L40" s="36">
        <v>4752.583333333333</v>
      </c>
      <c r="M40" s="31">
        <f t="shared" si="22"/>
        <v>4168.4908416666667</v>
      </c>
      <c r="N40" s="31">
        <f t="shared" si="23"/>
        <v>584.09249166666666</v>
      </c>
      <c r="O40" s="31">
        <f t="shared" si="24"/>
        <v>4092.3961613858337</v>
      </c>
      <c r="P40" s="31">
        <f t="shared" si="25"/>
        <v>573.43004017138173</v>
      </c>
      <c r="Q40" s="33">
        <v>4665.8262015572154</v>
      </c>
      <c r="R40" s="35">
        <f t="shared" si="3"/>
        <v>-1.8254731309523042E-2</v>
      </c>
      <c r="S40" s="36">
        <v>4752.583333333333</v>
      </c>
      <c r="T40" s="31">
        <f t="shared" si="26"/>
        <v>4168.4908416666667</v>
      </c>
      <c r="U40" s="31">
        <f t="shared" si="27"/>
        <v>584.09249166666666</v>
      </c>
      <c r="V40" s="31">
        <f t="shared" si="28"/>
        <v>1416.98880384022</v>
      </c>
      <c r="W40" s="31">
        <f t="shared" si="29"/>
        <v>198.54967961687726</v>
      </c>
      <c r="X40" s="33">
        <v>1615.5384834570973</v>
      </c>
      <c r="Y40" s="35">
        <f t="shared" si="4"/>
        <v>-0.66007150845180396</v>
      </c>
      <c r="Z40" s="36">
        <v>4752.583333333333</v>
      </c>
      <c r="AA40" s="31">
        <f t="shared" si="30"/>
        <v>4168.4908416666667</v>
      </c>
      <c r="AB40" s="31">
        <f t="shared" si="31"/>
        <v>584.09249166666666</v>
      </c>
      <c r="AC40" s="31">
        <f t="shared" si="32"/>
        <v>2251.0526195246389</v>
      </c>
      <c r="AD40" s="31">
        <f t="shared" si="33"/>
        <v>315.41941276887252</v>
      </c>
      <c r="AE40" s="33">
        <v>2566.4720322935113</v>
      </c>
      <c r="AF40" s="35">
        <f t="shared" si="5"/>
        <v>-0.45998379149020463</v>
      </c>
      <c r="AG40" s="36">
        <v>4752.583333333333</v>
      </c>
      <c r="AH40" s="31">
        <f t="shared" si="34"/>
        <v>4168.4908416666667</v>
      </c>
      <c r="AI40" s="31">
        <f t="shared" si="35"/>
        <v>584.09249166666666</v>
      </c>
      <c r="AJ40" s="31">
        <f t="shared" si="36"/>
        <v>3155.343261673836</v>
      </c>
      <c r="AK40" s="31">
        <f t="shared" si="37"/>
        <v>442.12938873528037</v>
      </c>
      <c r="AL40" s="33">
        <v>3597.4726504091163</v>
      </c>
      <c r="AM40" s="35">
        <f t="shared" si="6"/>
        <v>-0.24304901185479122</v>
      </c>
      <c r="AN40" s="36">
        <v>4752.583333333333</v>
      </c>
      <c r="AO40" s="31">
        <f t="shared" si="38"/>
        <v>4168.4908416666667</v>
      </c>
      <c r="AP40" s="31">
        <f t="shared" si="39"/>
        <v>584.09249166666666</v>
      </c>
      <c r="AQ40" s="31">
        <f t="shared" si="40"/>
        <v>4834.6648567788952</v>
      </c>
      <c r="AR40" s="31">
        <f t="shared" si="41"/>
        <v>677.43736278431902</v>
      </c>
      <c r="AS40" s="27">
        <v>5512.102219563214</v>
      </c>
      <c r="AT40" s="35">
        <f t="shared" si="7"/>
        <v>0.15981179770227727</v>
      </c>
      <c r="AU40" s="36">
        <v>4752.583333333333</v>
      </c>
      <c r="AV40" s="31">
        <f t="shared" si="42"/>
        <v>4168.4908416666667</v>
      </c>
      <c r="AW40" s="31">
        <f t="shared" si="43"/>
        <v>584.09249166666666</v>
      </c>
      <c r="AX40" s="31">
        <f t="shared" si="44"/>
        <v>3020.2845682348889</v>
      </c>
      <c r="AY40" s="31">
        <f t="shared" si="45"/>
        <v>423.20484943115702</v>
      </c>
      <c r="AZ40" s="27">
        <v>3443.4894176660459</v>
      </c>
      <c r="BA40" s="35">
        <f t="shared" si="8"/>
        <v>-0.27544891353838163</v>
      </c>
      <c r="BB40" s="36">
        <v>4752.583333333333</v>
      </c>
      <c r="BC40" s="31">
        <f t="shared" si="46"/>
        <v>4168.4908416666667</v>
      </c>
      <c r="BD40" s="31">
        <f t="shared" si="47"/>
        <v>584.09249166666666</v>
      </c>
      <c r="BE40" s="31">
        <f t="shared" si="48"/>
        <v>0</v>
      </c>
      <c r="BF40" s="31">
        <f t="shared" si="49"/>
        <v>0</v>
      </c>
      <c r="BG40" s="27">
        <f t="shared" si="78"/>
        <v>0</v>
      </c>
      <c r="BH40" s="35">
        <f t="shared" si="10"/>
        <v>-1</v>
      </c>
      <c r="BI40" s="36">
        <v>4752.583333333333</v>
      </c>
      <c r="BJ40" s="31">
        <f t="shared" si="50"/>
        <v>4168.4908416666667</v>
      </c>
      <c r="BK40" s="31">
        <f t="shared" si="51"/>
        <v>584.09249166666666</v>
      </c>
      <c r="BL40" s="31">
        <f t="shared" si="52"/>
        <v>0</v>
      </c>
      <c r="BM40" s="31">
        <f t="shared" si="53"/>
        <v>0</v>
      </c>
      <c r="BN40" s="27">
        <f t="shared" si="79"/>
        <v>0</v>
      </c>
      <c r="BO40" s="37">
        <f t="shared" si="12"/>
        <v>-1</v>
      </c>
      <c r="BP40" s="36">
        <v>4752.583333333333</v>
      </c>
      <c r="BQ40" s="31">
        <f t="shared" si="54"/>
        <v>4168.4908416666667</v>
      </c>
      <c r="BR40" s="31">
        <f t="shared" si="55"/>
        <v>584.09249166666666</v>
      </c>
      <c r="BS40" s="31">
        <f t="shared" si="56"/>
        <v>0</v>
      </c>
      <c r="BT40" s="31">
        <f t="shared" si="57"/>
        <v>0</v>
      </c>
      <c r="BU40" s="27">
        <f t="shared" si="80"/>
        <v>0</v>
      </c>
      <c r="BV40" s="37">
        <f t="shared" si="14"/>
        <v>-1</v>
      </c>
      <c r="BW40" s="36">
        <v>4752.583333333333</v>
      </c>
      <c r="BX40" s="31">
        <f t="shared" si="58"/>
        <v>4168.4908416666667</v>
      </c>
      <c r="BY40" s="31">
        <f t="shared" si="59"/>
        <v>584.09249166666666</v>
      </c>
      <c r="BZ40" s="31">
        <f t="shared" si="60"/>
        <v>0</v>
      </c>
      <c r="CA40" s="31">
        <f t="shared" si="61"/>
        <v>0</v>
      </c>
      <c r="CB40" s="27">
        <f t="shared" si="81"/>
        <v>0</v>
      </c>
      <c r="CC40" s="37">
        <f t="shared" si="16"/>
        <v>-1</v>
      </c>
      <c r="CD40" s="36">
        <v>4752.583333333333</v>
      </c>
      <c r="CE40" s="31">
        <f t="shared" si="62"/>
        <v>4168.4908416666667</v>
      </c>
      <c r="CF40" s="31">
        <f t="shared" si="63"/>
        <v>584.09249166666666</v>
      </c>
      <c r="CG40" s="31">
        <f t="shared" si="64"/>
        <v>0</v>
      </c>
      <c r="CH40" s="31">
        <f t="shared" si="65"/>
        <v>0</v>
      </c>
      <c r="CI40" s="27">
        <f t="shared" si="82"/>
        <v>0</v>
      </c>
      <c r="CJ40" s="37">
        <f t="shared" si="18"/>
        <v>-1</v>
      </c>
      <c r="CK40" s="36">
        <v>4752.583333333333</v>
      </c>
      <c r="CL40" s="31">
        <f t="shared" si="66"/>
        <v>4168.4908416666667</v>
      </c>
      <c r="CM40" s="31">
        <f t="shared" si="67"/>
        <v>584.09249166666666</v>
      </c>
      <c r="CN40" s="31">
        <f t="shared" si="68"/>
        <v>0</v>
      </c>
      <c r="CO40" s="31">
        <f t="shared" si="69"/>
        <v>0</v>
      </c>
      <c r="CP40" s="27">
        <f t="shared" si="83"/>
        <v>0</v>
      </c>
      <c r="CQ40" s="37">
        <f t="shared" si="20"/>
        <v>-1</v>
      </c>
      <c r="CS40" s="27">
        <f>10635</f>
        <v>10635</v>
      </c>
      <c r="CT40" s="27">
        <f>3682.36</f>
        <v>3682.36</v>
      </c>
      <c r="CU40" s="27">
        <f>5849.86</f>
        <v>5849.86</v>
      </c>
      <c r="CV40" s="27">
        <f>8199.86</f>
        <v>8199.86</v>
      </c>
      <c r="CW40" s="27"/>
      <c r="CX40" s="27"/>
      <c r="CY40" s="27"/>
      <c r="CZ40" s="27"/>
      <c r="DA40" s="27"/>
      <c r="DB40" s="27"/>
      <c r="DC40" s="27"/>
      <c r="DD40" s="27"/>
      <c r="DF40" s="28"/>
    </row>
    <row r="41" spans="1:110" s="26" customFormat="1" ht="16" customHeight="1" x14ac:dyDescent="0.2">
      <c r="A41" s="29" t="s">
        <v>65</v>
      </c>
      <c r="B41" s="30">
        <f t="shared" si="76"/>
        <v>375965.90000000014</v>
      </c>
      <c r="C41" s="31">
        <f t="shared" si="76"/>
        <v>329759.69088999997</v>
      </c>
      <c r="D41" s="32">
        <f t="shared" si="76"/>
        <v>46206.209110000018</v>
      </c>
      <c r="E41" s="30">
        <f t="shared" si="84"/>
        <v>125321.96666666667</v>
      </c>
      <c r="F41" s="33">
        <f t="shared" si="84"/>
        <v>109919.89696333333</v>
      </c>
      <c r="G41" s="34">
        <f t="shared" si="84"/>
        <v>15402.069703333334</v>
      </c>
      <c r="H41" s="31">
        <f t="shared" si="77"/>
        <v>164879.84544500001</v>
      </c>
      <c r="I41" s="33">
        <f t="shared" si="77"/>
        <v>23103.104555000005</v>
      </c>
      <c r="J41" s="33">
        <f t="shared" si="77"/>
        <v>187982.95</v>
      </c>
      <c r="K41" s="35">
        <f t="shared" si="2"/>
        <v>0.5</v>
      </c>
      <c r="L41" s="43">
        <v>31330.491666666669</v>
      </c>
      <c r="M41" s="44">
        <f t="shared" si="22"/>
        <v>27479.974240833333</v>
      </c>
      <c r="N41" s="44">
        <f t="shared" si="23"/>
        <v>3850.5174258333336</v>
      </c>
      <c r="O41" s="44">
        <f t="shared" si="24"/>
        <v>27479.974240833333</v>
      </c>
      <c r="P41" s="44">
        <f t="shared" si="25"/>
        <v>3850.5174258333336</v>
      </c>
      <c r="Q41" s="45">
        <v>31330.491666666669</v>
      </c>
      <c r="R41" s="35">
        <f t="shared" si="3"/>
        <v>0</v>
      </c>
      <c r="S41" s="46">
        <v>31330.491666666669</v>
      </c>
      <c r="T41" s="47">
        <f t="shared" si="26"/>
        <v>27479.974240833333</v>
      </c>
      <c r="U41" s="47">
        <f t="shared" si="27"/>
        <v>3850.5174258333336</v>
      </c>
      <c r="V41" s="47">
        <f t="shared" si="28"/>
        <v>27479.974240833333</v>
      </c>
      <c r="W41" s="44">
        <f t="shared" si="29"/>
        <v>3850.5174258333336</v>
      </c>
      <c r="X41" s="45">
        <v>31330.491666666669</v>
      </c>
      <c r="Y41" s="35">
        <f t="shared" si="4"/>
        <v>0</v>
      </c>
      <c r="Z41" s="46">
        <v>31330.491666666669</v>
      </c>
      <c r="AA41" s="47">
        <f t="shared" si="30"/>
        <v>27479.974240833333</v>
      </c>
      <c r="AB41" s="47">
        <f t="shared" si="31"/>
        <v>3850.5174258333336</v>
      </c>
      <c r="AC41" s="47">
        <f t="shared" si="32"/>
        <v>27479.974240833333</v>
      </c>
      <c r="AD41" s="44">
        <f t="shared" si="33"/>
        <v>3850.5174258333336</v>
      </c>
      <c r="AE41" s="46">
        <v>31330.491666666669</v>
      </c>
      <c r="AF41" s="35">
        <f t="shared" si="5"/>
        <v>0</v>
      </c>
      <c r="AG41" s="46">
        <v>31330.491666666669</v>
      </c>
      <c r="AH41" s="47">
        <f t="shared" si="34"/>
        <v>27479.974240833333</v>
      </c>
      <c r="AI41" s="47">
        <f t="shared" si="35"/>
        <v>3850.5174258333336</v>
      </c>
      <c r="AJ41" s="47">
        <f t="shared" si="36"/>
        <v>27479.974240833333</v>
      </c>
      <c r="AK41" s="44">
        <f t="shared" si="37"/>
        <v>3850.5174258333336</v>
      </c>
      <c r="AL41" s="45">
        <v>31330.491666666669</v>
      </c>
      <c r="AM41" s="35">
        <f t="shared" si="6"/>
        <v>0</v>
      </c>
      <c r="AN41" s="46">
        <v>31330.491666666669</v>
      </c>
      <c r="AO41" s="47">
        <f t="shared" si="38"/>
        <v>27479.974240833333</v>
      </c>
      <c r="AP41" s="47">
        <f t="shared" si="39"/>
        <v>3850.5174258333336</v>
      </c>
      <c r="AQ41" s="47">
        <f t="shared" si="40"/>
        <v>27479.974240833333</v>
      </c>
      <c r="AR41" s="44">
        <f t="shared" si="41"/>
        <v>3850.5174258333336</v>
      </c>
      <c r="AS41" s="48">
        <v>31330.491666666669</v>
      </c>
      <c r="AT41" s="35">
        <f t="shared" si="7"/>
        <v>0</v>
      </c>
      <c r="AU41" s="46">
        <v>31330.491666666669</v>
      </c>
      <c r="AV41" s="47">
        <f t="shared" si="42"/>
        <v>27479.974240833333</v>
      </c>
      <c r="AW41" s="47">
        <f t="shared" si="43"/>
        <v>3850.5174258333336</v>
      </c>
      <c r="AX41" s="47">
        <f t="shared" si="44"/>
        <v>27479.974240833333</v>
      </c>
      <c r="AY41" s="44">
        <f t="shared" si="45"/>
        <v>3850.5174258333336</v>
      </c>
      <c r="AZ41" s="48">
        <v>31330.491666666669</v>
      </c>
      <c r="BA41" s="35">
        <f t="shared" si="8"/>
        <v>0</v>
      </c>
      <c r="BB41" s="46">
        <v>31330.491666666669</v>
      </c>
      <c r="BC41" s="47">
        <f t="shared" si="46"/>
        <v>27479.974240833333</v>
      </c>
      <c r="BD41" s="47">
        <f t="shared" si="47"/>
        <v>3850.5174258333336</v>
      </c>
      <c r="BE41" s="47">
        <f t="shared" si="48"/>
        <v>0</v>
      </c>
      <c r="BF41" s="44">
        <f t="shared" si="49"/>
        <v>0</v>
      </c>
      <c r="BG41" s="48"/>
      <c r="BH41" s="35">
        <f t="shared" si="10"/>
        <v>-1</v>
      </c>
      <c r="BI41" s="46">
        <v>31330.491666666669</v>
      </c>
      <c r="BJ41" s="47">
        <f t="shared" si="50"/>
        <v>27479.974240833333</v>
      </c>
      <c r="BK41" s="47">
        <f t="shared" si="51"/>
        <v>3850.5174258333336</v>
      </c>
      <c r="BL41" s="47">
        <f t="shared" si="52"/>
        <v>0</v>
      </c>
      <c r="BM41" s="44">
        <f t="shared" si="53"/>
        <v>0</v>
      </c>
      <c r="BN41" s="48"/>
      <c r="BO41" s="37">
        <f t="shared" si="12"/>
        <v>-1</v>
      </c>
      <c r="BP41" s="46">
        <v>31330.491666666669</v>
      </c>
      <c r="BQ41" s="47">
        <f t="shared" si="54"/>
        <v>27479.974240833333</v>
      </c>
      <c r="BR41" s="47">
        <f t="shared" si="55"/>
        <v>3850.5174258333336</v>
      </c>
      <c r="BS41" s="47">
        <f t="shared" si="56"/>
        <v>0</v>
      </c>
      <c r="BT41" s="44">
        <f t="shared" si="57"/>
        <v>0</v>
      </c>
      <c r="BU41" s="48"/>
      <c r="BV41" s="37">
        <f t="shared" si="14"/>
        <v>-1</v>
      </c>
      <c r="BW41" s="46">
        <v>31330.491666666669</v>
      </c>
      <c r="BX41" s="47">
        <f t="shared" si="58"/>
        <v>27479.974240833333</v>
      </c>
      <c r="BY41" s="47">
        <f t="shared" si="59"/>
        <v>3850.5174258333336</v>
      </c>
      <c r="BZ41" s="47">
        <f t="shared" si="60"/>
        <v>0</v>
      </c>
      <c r="CA41" s="44">
        <f t="shared" si="61"/>
        <v>0</v>
      </c>
      <c r="CB41" s="48"/>
      <c r="CC41" s="37">
        <f t="shared" si="16"/>
        <v>-1</v>
      </c>
      <c r="CD41" s="46">
        <v>31330.491666666669</v>
      </c>
      <c r="CE41" s="47">
        <f t="shared" si="62"/>
        <v>27479.974240833333</v>
      </c>
      <c r="CF41" s="47">
        <f t="shared" si="63"/>
        <v>3850.5174258333336</v>
      </c>
      <c r="CG41" s="47">
        <f t="shared" si="64"/>
        <v>0</v>
      </c>
      <c r="CH41" s="44">
        <f t="shared" si="65"/>
        <v>0</v>
      </c>
      <c r="CI41" s="48"/>
      <c r="CJ41" s="37">
        <f t="shared" si="18"/>
        <v>-1</v>
      </c>
      <c r="CK41" s="46">
        <v>31330.491666666669</v>
      </c>
      <c r="CL41" s="47">
        <f t="shared" si="66"/>
        <v>27479.974240833333</v>
      </c>
      <c r="CM41" s="47">
        <f t="shared" si="67"/>
        <v>3850.5174258333336</v>
      </c>
      <c r="CN41" s="47">
        <f t="shared" si="68"/>
        <v>0</v>
      </c>
      <c r="CO41" s="44">
        <f t="shared" si="69"/>
        <v>0</v>
      </c>
      <c r="CP41" s="49"/>
      <c r="CQ41" s="37">
        <f t="shared" si="20"/>
        <v>-1</v>
      </c>
      <c r="CS41" s="27"/>
      <c r="CT41" s="27"/>
      <c r="CU41" s="27"/>
      <c r="CV41" s="27"/>
      <c r="CW41" s="27"/>
      <c r="CX41" s="27"/>
      <c r="CY41" s="27"/>
      <c r="CZ41" s="27"/>
      <c r="DA41" s="27"/>
      <c r="DB41" s="27"/>
      <c r="DC41" s="27"/>
      <c r="DD41" s="27"/>
      <c r="DF41" s="28"/>
    </row>
    <row r="42" spans="1:110" s="26" customFormat="1" ht="16" customHeight="1" x14ac:dyDescent="0.2">
      <c r="A42" s="29" t="s">
        <v>66</v>
      </c>
      <c r="B42" s="30">
        <f t="shared" si="76"/>
        <v>0</v>
      </c>
      <c r="C42" s="31">
        <f t="shared" si="76"/>
        <v>0</v>
      </c>
      <c r="D42" s="32">
        <f t="shared" si="76"/>
        <v>0</v>
      </c>
      <c r="E42" s="30">
        <f t="shared" si="84"/>
        <v>0</v>
      </c>
      <c r="F42" s="33">
        <f t="shared" si="84"/>
        <v>0</v>
      </c>
      <c r="G42" s="34">
        <f t="shared" si="84"/>
        <v>0</v>
      </c>
      <c r="H42" s="31">
        <f t="shared" si="77"/>
        <v>0</v>
      </c>
      <c r="I42" s="33">
        <f t="shared" si="77"/>
        <v>0</v>
      </c>
      <c r="J42" s="33">
        <f t="shared" si="77"/>
        <v>0</v>
      </c>
      <c r="K42" s="35" t="str">
        <f t="shared" si="2"/>
        <v/>
      </c>
      <c r="L42" s="36">
        <v>0</v>
      </c>
      <c r="M42" s="31">
        <f t="shared" si="22"/>
        <v>0</v>
      </c>
      <c r="N42" s="31">
        <f t="shared" si="23"/>
        <v>0</v>
      </c>
      <c r="O42" s="31">
        <f t="shared" si="24"/>
        <v>0</v>
      </c>
      <c r="P42" s="31">
        <f t="shared" si="25"/>
        <v>0</v>
      </c>
      <c r="Q42" s="33"/>
      <c r="R42" s="35" t="str">
        <f t="shared" si="3"/>
        <v/>
      </c>
      <c r="S42" s="36">
        <v>0</v>
      </c>
      <c r="T42" s="31">
        <f t="shared" si="26"/>
        <v>0</v>
      </c>
      <c r="U42" s="31">
        <f t="shared" si="27"/>
        <v>0</v>
      </c>
      <c r="V42" s="31">
        <f t="shared" si="28"/>
        <v>0</v>
      </c>
      <c r="W42" s="31">
        <f t="shared" si="29"/>
        <v>0</v>
      </c>
      <c r="X42" s="33"/>
      <c r="Y42" s="35" t="str">
        <f t="shared" si="4"/>
        <v/>
      </c>
      <c r="Z42" s="36">
        <v>0</v>
      </c>
      <c r="AA42" s="31">
        <f t="shared" si="30"/>
        <v>0</v>
      </c>
      <c r="AB42" s="31">
        <f t="shared" si="31"/>
        <v>0</v>
      </c>
      <c r="AC42" s="31">
        <f t="shared" si="32"/>
        <v>0</v>
      </c>
      <c r="AD42" s="31">
        <f t="shared" si="33"/>
        <v>0</v>
      </c>
      <c r="AE42" s="27"/>
      <c r="AF42" s="35" t="str">
        <f t="shared" si="5"/>
        <v/>
      </c>
      <c r="AG42" s="36">
        <v>0</v>
      </c>
      <c r="AH42" s="31">
        <f t="shared" si="34"/>
        <v>0</v>
      </c>
      <c r="AI42" s="31">
        <f t="shared" si="35"/>
        <v>0</v>
      </c>
      <c r="AJ42" s="31">
        <f t="shared" si="36"/>
        <v>0</v>
      </c>
      <c r="AK42" s="31">
        <f t="shared" si="37"/>
        <v>0</v>
      </c>
      <c r="AL42" s="27"/>
      <c r="AM42" s="35" t="str">
        <f t="shared" si="6"/>
        <v/>
      </c>
      <c r="AN42" s="36">
        <v>0</v>
      </c>
      <c r="AO42" s="31">
        <f t="shared" si="38"/>
        <v>0</v>
      </c>
      <c r="AP42" s="31">
        <f t="shared" si="39"/>
        <v>0</v>
      </c>
      <c r="AQ42" s="31">
        <f t="shared" si="40"/>
        <v>0</v>
      </c>
      <c r="AR42" s="31">
        <f t="shared" si="41"/>
        <v>0</v>
      </c>
      <c r="AS42" s="27"/>
      <c r="AT42" s="35" t="str">
        <f t="shared" si="7"/>
        <v/>
      </c>
      <c r="AU42" s="36">
        <v>0</v>
      </c>
      <c r="AV42" s="31">
        <f t="shared" si="42"/>
        <v>0</v>
      </c>
      <c r="AW42" s="31">
        <f t="shared" si="43"/>
        <v>0</v>
      </c>
      <c r="AX42" s="31">
        <f t="shared" si="44"/>
        <v>0</v>
      </c>
      <c r="AY42" s="31">
        <f t="shared" si="45"/>
        <v>0</v>
      </c>
      <c r="AZ42" s="27"/>
      <c r="BA42" s="35" t="str">
        <f t="shared" si="8"/>
        <v/>
      </c>
      <c r="BB42" s="36">
        <v>0</v>
      </c>
      <c r="BC42" s="31">
        <f t="shared" si="46"/>
        <v>0</v>
      </c>
      <c r="BD42" s="31">
        <f t="shared" si="47"/>
        <v>0</v>
      </c>
      <c r="BE42" s="31">
        <f t="shared" si="48"/>
        <v>0</v>
      </c>
      <c r="BF42" s="31">
        <f t="shared" si="49"/>
        <v>0</v>
      </c>
      <c r="BG42" s="27"/>
      <c r="BH42" s="35" t="str">
        <f t="shared" si="10"/>
        <v/>
      </c>
      <c r="BI42" s="36">
        <v>0</v>
      </c>
      <c r="BJ42" s="31">
        <f t="shared" si="50"/>
        <v>0</v>
      </c>
      <c r="BK42" s="31">
        <f t="shared" si="51"/>
        <v>0</v>
      </c>
      <c r="BL42" s="31">
        <f t="shared" si="52"/>
        <v>0</v>
      </c>
      <c r="BM42" s="31">
        <f t="shared" si="53"/>
        <v>0</v>
      </c>
      <c r="BN42" s="27"/>
      <c r="BO42" s="37" t="str">
        <f t="shared" si="12"/>
        <v/>
      </c>
      <c r="BP42" s="36">
        <v>0</v>
      </c>
      <c r="BQ42" s="31">
        <f t="shared" si="54"/>
        <v>0</v>
      </c>
      <c r="BR42" s="31">
        <f t="shared" si="55"/>
        <v>0</v>
      </c>
      <c r="BS42" s="31">
        <f t="shared" si="56"/>
        <v>0</v>
      </c>
      <c r="BT42" s="31">
        <f t="shared" si="57"/>
        <v>0</v>
      </c>
      <c r="BU42" s="27"/>
      <c r="BV42" s="37" t="str">
        <f t="shared" si="14"/>
        <v/>
      </c>
      <c r="BW42" s="36">
        <v>0</v>
      </c>
      <c r="BX42" s="31">
        <f t="shared" si="58"/>
        <v>0</v>
      </c>
      <c r="BY42" s="31">
        <f t="shared" si="59"/>
        <v>0</v>
      </c>
      <c r="BZ42" s="31">
        <f t="shared" si="60"/>
        <v>0</v>
      </c>
      <c r="CA42" s="31">
        <f t="shared" si="61"/>
        <v>0</v>
      </c>
      <c r="CB42" s="27"/>
      <c r="CC42" s="37" t="str">
        <f t="shared" si="16"/>
        <v/>
      </c>
      <c r="CD42" s="36">
        <v>0</v>
      </c>
      <c r="CE42" s="31">
        <f t="shared" si="62"/>
        <v>0</v>
      </c>
      <c r="CF42" s="31">
        <f t="shared" si="63"/>
        <v>0</v>
      </c>
      <c r="CG42" s="31">
        <f t="shared" si="64"/>
        <v>0</v>
      </c>
      <c r="CH42" s="31">
        <f t="shared" si="65"/>
        <v>0</v>
      </c>
      <c r="CI42" s="27"/>
      <c r="CJ42" s="37" t="str">
        <f t="shared" si="18"/>
        <v/>
      </c>
      <c r="CK42" s="36">
        <v>0</v>
      </c>
      <c r="CL42" s="31">
        <f t="shared" si="66"/>
        <v>0</v>
      </c>
      <c r="CM42" s="31">
        <f t="shared" si="67"/>
        <v>0</v>
      </c>
      <c r="CN42" s="31">
        <f t="shared" si="68"/>
        <v>0</v>
      </c>
      <c r="CO42" s="31">
        <f t="shared" si="69"/>
        <v>0</v>
      </c>
      <c r="CP42" s="27"/>
      <c r="CQ42" s="37" t="str">
        <f t="shared" si="20"/>
        <v/>
      </c>
      <c r="CS42" s="27"/>
      <c r="CT42" s="27"/>
      <c r="CU42" s="27"/>
      <c r="CV42" s="27"/>
      <c r="CW42" s="27"/>
      <c r="CX42" s="27"/>
      <c r="CY42" s="27"/>
      <c r="CZ42" s="27"/>
      <c r="DA42" s="27"/>
      <c r="DB42" s="27"/>
      <c r="DC42" s="27"/>
      <c r="DD42" s="27"/>
      <c r="DF42" s="28"/>
    </row>
    <row r="43" spans="1:110" s="26" customFormat="1" ht="16" customHeight="1" x14ac:dyDescent="0.2">
      <c r="A43" s="38" t="s">
        <v>67</v>
      </c>
      <c r="B43" s="30">
        <f t="shared" si="76"/>
        <v>60709.060800000007</v>
      </c>
      <c r="C43" s="31">
        <f t="shared" si="76"/>
        <v>53247.917227680016</v>
      </c>
      <c r="D43" s="32">
        <f t="shared" si="76"/>
        <v>7461.1435723200011</v>
      </c>
      <c r="E43" s="30">
        <f t="shared" si="84"/>
        <v>20236.353600000002</v>
      </c>
      <c r="F43" s="33">
        <f t="shared" si="84"/>
        <v>17749.305742560002</v>
      </c>
      <c r="G43" s="34">
        <f t="shared" si="84"/>
        <v>2487.0478574400004</v>
      </c>
      <c r="H43" s="31">
        <f t="shared" si="77"/>
        <v>42448.922720371178</v>
      </c>
      <c r="I43" s="33">
        <f t="shared" si="77"/>
        <v>5947.9792524610839</v>
      </c>
      <c r="J43" s="33">
        <f t="shared" si="77"/>
        <v>48396.90197283226</v>
      </c>
      <c r="K43" s="35">
        <f t="shared" si="2"/>
        <v>1.3915821461447608</v>
      </c>
      <c r="L43" s="36">
        <v>5059.0884000000005</v>
      </c>
      <c r="M43" s="31">
        <f t="shared" si="22"/>
        <v>4437.3264356400005</v>
      </c>
      <c r="N43" s="31">
        <f t="shared" si="23"/>
        <v>621.76196436000009</v>
      </c>
      <c r="O43" s="31">
        <f t="shared" si="24"/>
        <v>5343.0301194781732</v>
      </c>
      <c r="P43" s="31">
        <f t="shared" si="25"/>
        <v>748.66993693292375</v>
      </c>
      <c r="Q43" s="33">
        <v>6091.7000564110967</v>
      </c>
      <c r="R43" s="35">
        <f t="shared" si="3"/>
        <v>0.20411022199396567</v>
      </c>
      <c r="S43" s="36">
        <v>5059.0884000000005</v>
      </c>
      <c r="T43" s="31">
        <f t="shared" si="26"/>
        <v>4437.3264356400005</v>
      </c>
      <c r="U43" s="31">
        <f t="shared" si="27"/>
        <v>621.76196436000009</v>
      </c>
      <c r="V43" s="31">
        <f t="shared" si="28"/>
        <v>4561.8115097028385</v>
      </c>
      <c r="W43" s="31">
        <f t="shared" si="29"/>
        <v>639.20491909985049</v>
      </c>
      <c r="X43" s="33">
        <v>5201.016428802689</v>
      </c>
      <c r="Y43" s="35">
        <f t="shared" si="4"/>
        <v>2.805407171827401E-2</v>
      </c>
      <c r="Z43" s="36">
        <v>5059.0884000000005</v>
      </c>
      <c r="AA43" s="31">
        <f t="shared" si="30"/>
        <v>4437.3264356400005</v>
      </c>
      <c r="AB43" s="31">
        <f t="shared" si="31"/>
        <v>621.76196436000009</v>
      </c>
      <c r="AC43" s="31">
        <f t="shared" si="32"/>
        <v>4777.7522670027811</v>
      </c>
      <c r="AD43" s="31">
        <f t="shared" si="33"/>
        <v>669.4627221692416</v>
      </c>
      <c r="AE43" s="33">
        <v>5447.2149891720228</v>
      </c>
      <c r="AF43" s="35">
        <f t="shared" si="5"/>
        <v>7.671868101218049E-2</v>
      </c>
      <c r="AG43" s="36">
        <v>5059.0884000000005</v>
      </c>
      <c r="AH43" s="31">
        <f t="shared" si="34"/>
        <v>4437.3264356400005</v>
      </c>
      <c r="AI43" s="31">
        <f t="shared" si="35"/>
        <v>621.76196436000009</v>
      </c>
      <c r="AJ43" s="31">
        <f t="shared" si="36"/>
        <v>5184.5021978414907</v>
      </c>
      <c r="AK43" s="31">
        <f t="shared" si="37"/>
        <v>726.45686935893184</v>
      </c>
      <c r="AL43" s="33">
        <v>5910.9590672004224</v>
      </c>
      <c r="AM43" s="35">
        <f t="shared" si="6"/>
        <v>0.16838422258057828</v>
      </c>
      <c r="AN43" s="36">
        <v>5059.0884000000005</v>
      </c>
      <c r="AO43" s="31">
        <f t="shared" si="38"/>
        <v>4437.3264356400005</v>
      </c>
      <c r="AP43" s="31">
        <f t="shared" si="39"/>
        <v>621.76196436000009</v>
      </c>
      <c r="AQ43" s="31">
        <f t="shared" si="40"/>
        <v>4435.4493986096677</v>
      </c>
      <c r="AR43" s="31">
        <f t="shared" si="41"/>
        <v>621.49895233055315</v>
      </c>
      <c r="AS43" s="27">
        <v>5056.9483509402207</v>
      </c>
      <c r="AT43" s="35">
        <f t="shared" si="7"/>
        <v>-4.2301080561857329E-4</v>
      </c>
      <c r="AU43" s="36">
        <v>5059.0884000000005</v>
      </c>
      <c r="AV43" s="31">
        <f t="shared" si="42"/>
        <v>4437.3264356400005</v>
      </c>
      <c r="AW43" s="31">
        <f t="shared" si="43"/>
        <v>621.76196436000009</v>
      </c>
      <c r="AX43" s="31">
        <f t="shared" si="44"/>
        <v>18146.377227736222</v>
      </c>
      <c r="AY43" s="31">
        <f t="shared" si="45"/>
        <v>2542.6858525695834</v>
      </c>
      <c r="AZ43" s="27">
        <v>20689.063080305805</v>
      </c>
      <c r="BA43" s="35">
        <f t="shared" si="8"/>
        <v>3.0894843980796622</v>
      </c>
      <c r="BB43" s="36">
        <v>5059.0884000000005</v>
      </c>
      <c r="BC43" s="31">
        <f t="shared" si="46"/>
        <v>4437.3264356400005</v>
      </c>
      <c r="BD43" s="31">
        <f t="shared" si="47"/>
        <v>621.76196436000009</v>
      </c>
      <c r="BE43" s="31">
        <f t="shared" si="48"/>
        <v>0</v>
      </c>
      <c r="BF43" s="31">
        <f t="shared" si="49"/>
        <v>0</v>
      </c>
      <c r="BG43" s="27">
        <f t="shared" ref="BG43:BG54" si="85">CY43*0.51</f>
        <v>0</v>
      </c>
      <c r="BH43" s="35">
        <f t="shared" si="10"/>
        <v>-1</v>
      </c>
      <c r="BI43" s="36">
        <v>5059.0884000000005</v>
      </c>
      <c r="BJ43" s="31">
        <f t="shared" si="50"/>
        <v>4437.3264356400005</v>
      </c>
      <c r="BK43" s="31">
        <f t="shared" si="51"/>
        <v>621.76196436000009</v>
      </c>
      <c r="BL43" s="31">
        <f t="shared" si="52"/>
        <v>0</v>
      </c>
      <c r="BM43" s="31">
        <f t="shared" si="53"/>
        <v>0</v>
      </c>
      <c r="BN43" s="27">
        <f t="shared" ref="BN43:BN54" si="86">CZ43*0.51</f>
        <v>0</v>
      </c>
      <c r="BO43" s="37">
        <f t="shared" si="12"/>
        <v>-1</v>
      </c>
      <c r="BP43" s="36">
        <v>5059.0884000000005</v>
      </c>
      <c r="BQ43" s="31">
        <f t="shared" si="54"/>
        <v>4437.3264356400005</v>
      </c>
      <c r="BR43" s="31">
        <f t="shared" si="55"/>
        <v>621.76196436000009</v>
      </c>
      <c r="BS43" s="31">
        <f t="shared" si="56"/>
        <v>0</v>
      </c>
      <c r="BT43" s="31">
        <f t="shared" si="57"/>
        <v>0</v>
      </c>
      <c r="BU43" s="27">
        <f t="shared" ref="BU43:BU54" si="87">DA43*0.51</f>
        <v>0</v>
      </c>
      <c r="BV43" s="37">
        <f t="shared" si="14"/>
        <v>-1</v>
      </c>
      <c r="BW43" s="36">
        <v>5059.0884000000005</v>
      </c>
      <c r="BX43" s="31">
        <f t="shared" si="58"/>
        <v>4437.3264356400005</v>
      </c>
      <c r="BY43" s="31">
        <f t="shared" si="59"/>
        <v>621.76196436000009</v>
      </c>
      <c r="BZ43" s="31">
        <f t="shared" si="60"/>
        <v>0</v>
      </c>
      <c r="CA43" s="31">
        <f t="shared" si="61"/>
        <v>0</v>
      </c>
      <c r="CB43" s="27">
        <f t="shared" ref="CB43:CB54" si="88">DB43*0.51</f>
        <v>0</v>
      </c>
      <c r="CC43" s="37">
        <f t="shared" si="16"/>
        <v>-1</v>
      </c>
      <c r="CD43" s="36">
        <v>5059.0884000000005</v>
      </c>
      <c r="CE43" s="31">
        <f t="shared" si="62"/>
        <v>4437.3264356400005</v>
      </c>
      <c r="CF43" s="31">
        <f t="shared" si="63"/>
        <v>621.76196436000009</v>
      </c>
      <c r="CG43" s="31">
        <f t="shared" si="64"/>
        <v>0</v>
      </c>
      <c r="CH43" s="31">
        <f t="shared" si="65"/>
        <v>0</v>
      </c>
      <c r="CI43" s="27">
        <f t="shared" ref="CI43:CI54" si="89">DC43*0.51</f>
        <v>0</v>
      </c>
      <c r="CJ43" s="37">
        <f t="shared" si="18"/>
        <v>-1</v>
      </c>
      <c r="CK43" s="36">
        <v>5059.0884000000005</v>
      </c>
      <c r="CL43" s="31">
        <f t="shared" si="66"/>
        <v>4437.3264356400005</v>
      </c>
      <c r="CM43" s="31">
        <f t="shared" si="67"/>
        <v>621.76196436000009</v>
      </c>
      <c r="CN43" s="31">
        <f t="shared" si="68"/>
        <v>0</v>
      </c>
      <c r="CO43" s="31">
        <f t="shared" si="69"/>
        <v>0</v>
      </c>
      <c r="CP43" s="27">
        <f t="shared" ref="CP43:CP54" si="90">DD43*0.51</f>
        <v>0</v>
      </c>
      <c r="CQ43" s="37">
        <f t="shared" si="20"/>
        <v>-1</v>
      </c>
      <c r="CS43" s="27">
        <f>13885.05</f>
        <v>13885.05</v>
      </c>
      <c r="CT43" s="27">
        <f>11854.88</f>
        <v>11854.88</v>
      </c>
      <c r="CU43" s="27">
        <f>12416.05</f>
        <v>12416.05</v>
      </c>
      <c r="CV43" s="27">
        <f>13473.08</f>
        <v>13473.08</v>
      </c>
      <c r="CW43" s="27"/>
      <c r="CX43" s="27"/>
      <c r="CY43" s="27"/>
      <c r="CZ43" s="27"/>
      <c r="DA43" s="27"/>
      <c r="DB43" s="27"/>
      <c r="DC43" s="27"/>
      <c r="DD43" s="27"/>
      <c r="DF43" s="28"/>
    </row>
    <row r="44" spans="1:110" s="26" customFormat="1" ht="16" customHeight="1" x14ac:dyDescent="0.2">
      <c r="A44" s="29" t="s">
        <v>68</v>
      </c>
      <c r="B44" s="30">
        <f t="shared" si="76"/>
        <v>0</v>
      </c>
      <c r="C44" s="31">
        <f t="shared" si="76"/>
        <v>0</v>
      </c>
      <c r="D44" s="32">
        <f t="shared" si="76"/>
        <v>0</v>
      </c>
      <c r="E44" s="30">
        <f t="shared" si="84"/>
        <v>0</v>
      </c>
      <c r="F44" s="33">
        <f t="shared" si="84"/>
        <v>0</v>
      </c>
      <c r="G44" s="34">
        <f t="shared" si="84"/>
        <v>0</v>
      </c>
      <c r="H44" s="31">
        <f t="shared" si="77"/>
        <v>0</v>
      </c>
      <c r="I44" s="33">
        <f t="shared" si="77"/>
        <v>0</v>
      </c>
      <c r="J44" s="33">
        <f t="shared" si="77"/>
        <v>0</v>
      </c>
      <c r="K44" s="35" t="str">
        <f t="shared" si="2"/>
        <v/>
      </c>
      <c r="L44" s="36">
        <v>0</v>
      </c>
      <c r="M44" s="31">
        <f t="shared" si="22"/>
        <v>0</v>
      </c>
      <c r="N44" s="31">
        <f t="shared" si="23"/>
        <v>0</v>
      </c>
      <c r="O44" s="31">
        <f t="shared" si="24"/>
        <v>0</v>
      </c>
      <c r="P44" s="31">
        <f t="shared" si="25"/>
        <v>0</v>
      </c>
      <c r="Q44" s="33">
        <v>0</v>
      </c>
      <c r="R44" s="35" t="str">
        <f t="shared" si="3"/>
        <v/>
      </c>
      <c r="S44" s="36">
        <v>0</v>
      </c>
      <c r="T44" s="31">
        <f t="shared" si="26"/>
        <v>0</v>
      </c>
      <c r="U44" s="31">
        <f t="shared" si="27"/>
        <v>0</v>
      </c>
      <c r="V44" s="31">
        <f t="shared" si="28"/>
        <v>0</v>
      </c>
      <c r="W44" s="31">
        <f t="shared" si="29"/>
        <v>0</v>
      </c>
      <c r="X44" s="33">
        <v>0</v>
      </c>
      <c r="Y44" s="35" t="str">
        <f t="shared" si="4"/>
        <v/>
      </c>
      <c r="Z44" s="36">
        <v>0</v>
      </c>
      <c r="AA44" s="31">
        <f t="shared" si="30"/>
        <v>0</v>
      </c>
      <c r="AB44" s="31">
        <f t="shared" si="31"/>
        <v>0</v>
      </c>
      <c r="AC44" s="31">
        <f t="shared" si="32"/>
        <v>0</v>
      </c>
      <c r="AD44" s="31">
        <f t="shared" si="33"/>
        <v>0</v>
      </c>
      <c r="AE44" s="27">
        <v>0</v>
      </c>
      <c r="AF44" s="35" t="str">
        <f t="shared" si="5"/>
        <v/>
      </c>
      <c r="AG44" s="36">
        <v>0</v>
      </c>
      <c r="AH44" s="31">
        <f t="shared" si="34"/>
        <v>0</v>
      </c>
      <c r="AI44" s="31">
        <f t="shared" si="35"/>
        <v>0</v>
      </c>
      <c r="AJ44" s="31">
        <f t="shared" si="36"/>
        <v>0</v>
      </c>
      <c r="AK44" s="31">
        <f t="shared" si="37"/>
        <v>0</v>
      </c>
      <c r="AL44" s="27">
        <v>0</v>
      </c>
      <c r="AM44" s="35" t="str">
        <f t="shared" si="6"/>
        <v/>
      </c>
      <c r="AN44" s="36">
        <v>0</v>
      </c>
      <c r="AO44" s="31">
        <f t="shared" si="38"/>
        <v>0</v>
      </c>
      <c r="AP44" s="31">
        <f t="shared" si="39"/>
        <v>0</v>
      </c>
      <c r="AQ44" s="31">
        <f t="shared" si="40"/>
        <v>0</v>
      </c>
      <c r="AR44" s="31">
        <f t="shared" si="41"/>
        <v>0</v>
      </c>
      <c r="AS44" s="27">
        <v>0</v>
      </c>
      <c r="AT44" s="35" t="str">
        <f t="shared" si="7"/>
        <v/>
      </c>
      <c r="AU44" s="36">
        <v>0</v>
      </c>
      <c r="AV44" s="31">
        <f t="shared" si="42"/>
        <v>0</v>
      </c>
      <c r="AW44" s="31">
        <f t="shared" si="43"/>
        <v>0</v>
      </c>
      <c r="AX44" s="31">
        <f t="shared" si="44"/>
        <v>0</v>
      </c>
      <c r="AY44" s="31">
        <f t="shared" si="45"/>
        <v>0</v>
      </c>
      <c r="AZ44" s="27">
        <v>0</v>
      </c>
      <c r="BA44" s="35" t="str">
        <f t="shared" si="8"/>
        <v/>
      </c>
      <c r="BB44" s="36">
        <v>0</v>
      </c>
      <c r="BC44" s="31">
        <f t="shared" si="46"/>
        <v>0</v>
      </c>
      <c r="BD44" s="31">
        <f t="shared" si="47"/>
        <v>0</v>
      </c>
      <c r="BE44" s="31">
        <f t="shared" si="48"/>
        <v>0</v>
      </c>
      <c r="BF44" s="31">
        <f t="shared" si="49"/>
        <v>0</v>
      </c>
      <c r="BG44" s="27">
        <f t="shared" si="85"/>
        <v>0</v>
      </c>
      <c r="BH44" s="35" t="str">
        <f t="shared" si="10"/>
        <v/>
      </c>
      <c r="BI44" s="36">
        <v>0</v>
      </c>
      <c r="BJ44" s="31">
        <f t="shared" si="50"/>
        <v>0</v>
      </c>
      <c r="BK44" s="31">
        <f t="shared" si="51"/>
        <v>0</v>
      </c>
      <c r="BL44" s="31">
        <f t="shared" si="52"/>
        <v>0</v>
      </c>
      <c r="BM44" s="31">
        <f t="shared" si="53"/>
        <v>0</v>
      </c>
      <c r="BN44" s="27">
        <f t="shared" si="86"/>
        <v>0</v>
      </c>
      <c r="BO44" s="37" t="str">
        <f t="shared" si="12"/>
        <v/>
      </c>
      <c r="BP44" s="36">
        <v>0</v>
      </c>
      <c r="BQ44" s="31">
        <f t="shared" si="54"/>
        <v>0</v>
      </c>
      <c r="BR44" s="31">
        <f t="shared" si="55"/>
        <v>0</v>
      </c>
      <c r="BS44" s="31">
        <f t="shared" si="56"/>
        <v>0</v>
      </c>
      <c r="BT44" s="31">
        <f t="shared" si="57"/>
        <v>0</v>
      </c>
      <c r="BU44" s="27">
        <f t="shared" si="87"/>
        <v>0</v>
      </c>
      <c r="BV44" s="37" t="str">
        <f t="shared" si="14"/>
        <v/>
      </c>
      <c r="BW44" s="36">
        <v>0</v>
      </c>
      <c r="BX44" s="31">
        <f t="shared" si="58"/>
        <v>0</v>
      </c>
      <c r="BY44" s="31">
        <f t="shared" si="59"/>
        <v>0</v>
      </c>
      <c r="BZ44" s="31">
        <f t="shared" si="60"/>
        <v>0</v>
      </c>
      <c r="CA44" s="31">
        <f t="shared" si="61"/>
        <v>0</v>
      </c>
      <c r="CB44" s="27">
        <f t="shared" si="88"/>
        <v>0</v>
      </c>
      <c r="CC44" s="37" t="str">
        <f t="shared" si="16"/>
        <v/>
      </c>
      <c r="CD44" s="36">
        <v>0</v>
      </c>
      <c r="CE44" s="31">
        <f t="shared" si="62"/>
        <v>0</v>
      </c>
      <c r="CF44" s="31">
        <f t="shared" si="63"/>
        <v>0</v>
      </c>
      <c r="CG44" s="31">
        <f t="shared" si="64"/>
        <v>0</v>
      </c>
      <c r="CH44" s="31">
        <f t="shared" si="65"/>
        <v>0</v>
      </c>
      <c r="CI44" s="27">
        <f t="shared" si="89"/>
        <v>0</v>
      </c>
      <c r="CJ44" s="37" t="str">
        <f t="shared" si="18"/>
        <v/>
      </c>
      <c r="CK44" s="36">
        <v>0</v>
      </c>
      <c r="CL44" s="31">
        <f t="shared" si="66"/>
        <v>0</v>
      </c>
      <c r="CM44" s="31">
        <f t="shared" si="67"/>
        <v>0</v>
      </c>
      <c r="CN44" s="31">
        <f t="shared" si="68"/>
        <v>0</v>
      </c>
      <c r="CO44" s="31">
        <f t="shared" si="69"/>
        <v>0</v>
      </c>
      <c r="CP44" s="27">
        <f t="shared" si="90"/>
        <v>0</v>
      </c>
      <c r="CQ44" s="37" t="str">
        <f t="shared" si="20"/>
        <v/>
      </c>
      <c r="CS44" s="27"/>
      <c r="CT44" s="27"/>
      <c r="CU44" s="27"/>
      <c r="CV44" s="27"/>
      <c r="CW44" s="27"/>
      <c r="CX44" s="27"/>
      <c r="CY44" s="27"/>
      <c r="CZ44" s="27"/>
      <c r="DA44" s="27"/>
      <c r="DB44" s="27"/>
      <c r="DC44" s="27"/>
      <c r="DD44" s="27"/>
      <c r="DF44" s="28"/>
    </row>
    <row r="45" spans="1:110" s="26" customFormat="1" ht="16" customHeight="1" x14ac:dyDescent="0.2">
      <c r="A45" s="39" t="s">
        <v>69</v>
      </c>
      <c r="B45" s="30">
        <f t="shared" si="76"/>
        <v>0</v>
      </c>
      <c r="C45" s="31">
        <f t="shared" si="76"/>
        <v>0</v>
      </c>
      <c r="D45" s="32">
        <f t="shared" si="76"/>
        <v>0</v>
      </c>
      <c r="E45" s="30">
        <f t="shared" si="84"/>
        <v>0</v>
      </c>
      <c r="F45" s="33">
        <f t="shared" si="84"/>
        <v>0</v>
      </c>
      <c r="G45" s="34">
        <f t="shared" si="84"/>
        <v>0</v>
      </c>
      <c r="H45" s="31">
        <f t="shared" si="77"/>
        <v>0</v>
      </c>
      <c r="I45" s="33">
        <f t="shared" si="77"/>
        <v>0</v>
      </c>
      <c r="J45" s="33">
        <f t="shared" si="77"/>
        <v>0</v>
      </c>
      <c r="K45" s="35" t="str">
        <f t="shared" si="2"/>
        <v/>
      </c>
      <c r="L45" s="36">
        <v>0</v>
      </c>
      <c r="M45" s="31">
        <f t="shared" si="22"/>
        <v>0</v>
      </c>
      <c r="N45" s="31">
        <f t="shared" si="23"/>
        <v>0</v>
      </c>
      <c r="O45" s="31">
        <f t="shared" si="24"/>
        <v>0</v>
      </c>
      <c r="P45" s="31">
        <f t="shared" si="25"/>
        <v>0</v>
      </c>
      <c r="Q45" s="33">
        <v>0</v>
      </c>
      <c r="R45" s="35" t="str">
        <f t="shared" si="3"/>
        <v/>
      </c>
      <c r="S45" s="36">
        <v>0</v>
      </c>
      <c r="T45" s="31">
        <f t="shared" si="26"/>
        <v>0</v>
      </c>
      <c r="U45" s="31">
        <f t="shared" si="27"/>
        <v>0</v>
      </c>
      <c r="V45" s="31">
        <f t="shared" si="28"/>
        <v>0</v>
      </c>
      <c r="W45" s="31">
        <f t="shared" si="29"/>
        <v>0</v>
      </c>
      <c r="X45" s="33">
        <v>0</v>
      </c>
      <c r="Y45" s="35" t="str">
        <f t="shared" si="4"/>
        <v/>
      </c>
      <c r="Z45" s="36">
        <v>0</v>
      </c>
      <c r="AA45" s="31">
        <f t="shared" si="30"/>
        <v>0</v>
      </c>
      <c r="AB45" s="31">
        <f t="shared" si="31"/>
        <v>0</v>
      </c>
      <c r="AC45" s="31">
        <f t="shared" si="32"/>
        <v>0</v>
      </c>
      <c r="AD45" s="31">
        <f t="shared" si="33"/>
        <v>0</v>
      </c>
      <c r="AE45" s="27">
        <v>0</v>
      </c>
      <c r="AF45" s="35" t="str">
        <f t="shared" si="5"/>
        <v/>
      </c>
      <c r="AG45" s="36">
        <v>0</v>
      </c>
      <c r="AH45" s="31">
        <f t="shared" si="34"/>
        <v>0</v>
      </c>
      <c r="AI45" s="31">
        <f t="shared" si="35"/>
        <v>0</v>
      </c>
      <c r="AJ45" s="31">
        <f t="shared" si="36"/>
        <v>0</v>
      </c>
      <c r="AK45" s="31">
        <f t="shared" si="37"/>
        <v>0</v>
      </c>
      <c r="AL45" s="27">
        <v>0</v>
      </c>
      <c r="AM45" s="35" t="str">
        <f t="shared" si="6"/>
        <v/>
      </c>
      <c r="AN45" s="36">
        <v>0</v>
      </c>
      <c r="AO45" s="31">
        <f t="shared" si="38"/>
        <v>0</v>
      </c>
      <c r="AP45" s="31">
        <f t="shared" si="39"/>
        <v>0</v>
      </c>
      <c r="AQ45" s="31">
        <f t="shared" si="40"/>
        <v>0</v>
      </c>
      <c r="AR45" s="31">
        <f t="shared" si="41"/>
        <v>0</v>
      </c>
      <c r="AS45" s="27">
        <v>0</v>
      </c>
      <c r="AT45" s="35" t="str">
        <f t="shared" si="7"/>
        <v/>
      </c>
      <c r="AU45" s="36">
        <v>0</v>
      </c>
      <c r="AV45" s="31">
        <f t="shared" si="42"/>
        <v>0</v>
      </c>
      <c r="AW45" s="31">
        <f t="shared" si="43"/>
        <v>0</v>
      </c>
      <c r="AX45" s="31">
        <f t="shared" si="44"/>
        <v>0</v>
      </c>
      <c r="AY45" s="31">
        <f t="shared" si="45"/>
        <v>0</v>
      </c>
      <c r="AZ45" s="27">
        <v>0</v>
      </c>
      <c r="BA45" s="35" t="str">
        <f t="shared" si="8"/>
        <v/>
      </c>
      <c r="BB45" s="36">
        <v>0</v>
      </c>
      <c r="BC45" s="31">
        <f t="shared" si="46"/>
        <v>0</v>
      </c>
      <c r="BD45" s="31">
        <f t="shared" si="47"/>
        <v>0</v>
      </c>
      <c r="BE45" s="31">
        <f t="shared" si="48"/>
        <v>0</v>
      </c>
      <c r="BF45" s="31">
        <f t="shared" si="49"/>
        <v>0</v>
      </c>
      <c r="BG45" s="27">
        <f t="shared" si="85"/>
        <v>0</v>
      </c>
      <c r="BH45" s="35" t="str">
        <f t="shared" si="10"/>
        <v/>
      </c>
      <c r="BI45" s="36">
        <v>0</v>
      </c>
      <c r="BJ45" s="31">
        <f t="shared" si="50"/>
        <v>0</v>
      </c>
      <c r="BK45" s="31">
        <f t="shared" si="51"/>
        <v>0</v>
      </c>
      <c r="BL45" s="31">
        <f t="shared" si="52"/>
        <v>0</v>
      </c>
      <c r="BM45" s="31">
        <f t="shared" si="53"/>
        <v>0</v>
      </c>
      <c r="BN45" s="27">
        <f t="shared" si="86"/>
        <v>0</v>
      </c>
      <c r="BO45" s="37" t="str">
        <f t="shared" si="12"/>
        <v/>
      </c>
      <c r="BP45" s="36">
        <v>0</v>
      </c>
      <c r="BQ45" s="31">
        <f t="shared" si="54"/>
        <v>0</v>
      </c>
      <c r="BR45" s="31">
        <f t="shared" si="55"/>
        <v>0</v>
      </c>
      <c r="BS45" s="31">
        <f t="shared" si="56"/>
        <v>0</v>
      </c>
      <c r="BT45" s="31">
        <f t="shared" si="57"/>
        <v>0</v>
      </c>
      <c r="BU45" s="27">
        <f t="shared" si="87"/>
        <v>0</v>
      </c>
      <c r="BV45" s="37" t="str">
        <f t="shared" si="14"/>
        <v/>
      </c>
      <c r="BW45" s="36">
        <v>0</v>
      </c>
      <c r="BX45" s="31">
        <f t="shared" si="58"/>
        <v>0</v>
      </c>
      <c r="BY45" s="31">
        <f t="shared" si="59"/>
        <v>0</v>
      </c>
      <c r="BZ45" s="31">
        <f t="shared" si="60"/>
        <v>0</v>
      </c>
      <c r="CA45" s="31">
        <f t="shared" si="61"/>
        <v>0</v>
      </c>
      <c r="CB45" s="27">
        <f t="shared" si="88"/>
        <v>0</v>
      </c>
      <c r="CC45" s="37" t="str">
        <f t="shared" si="16"/>
        <v/>
      </c>
      <c r="CD45" s="36">
        <v>0</v>
      </c>
      <c r="CE45" s="31">
        <f t="shared" si="62"/>
        <v>0</v>
      </c>
      <c r="CF45" s="31">
        <f t="shared" si="63"/>
        <v>0</v>
      </c>
      <c r="CG45" s="31">
        <f t="shared" si="64"/>
        <v>0</v>
      </c>
      <c r="CH45" s="31">
        <f t="shared" si="65"/>
        <v>0</v>
      </c>
      <c r="CI45" s="27">
        <f t="shared" si="89"/>
        <v>0</v>
      </c>
      <c r="CJ45" s="37" t="str">
        <f t="shared" si="18"/>
        <v/>
      </c>
      <c r="CK45" s="36">
        <v>0</v>
      </c>
      <c r="CL45" s="31">
        <f t="shared" si="66"/>
        <v>0</v>
      </c>
      <c r="CM45" s="31">
        <f t="shared" si="67"/>
        <v>0</v>
      </c>
      <c r="CN45" s="31">
        <f t="shared" si="68"/>
        <v>0</v>
      </c>
      <c r="CO45" s="31">
        <f t="shared" si="69"/>
        <v>0</v>
      </c>
      <c r="CP45" s="27">
        <f t="shared" si="90"/>
        <v>0</v>
      </c>
      <c r="CQ45" s="37" t="str">
        <f t="shared" si="20"/>
        <v/>
      </c>
      <c r="CS45" s="27"/>
      <c r="CT45" s="27"/>
      <c r="CU45" s="27"/>
      <c r="CV45" s="27"/>
      <c r="CW45" s="27"/>
      <c r="CX45" s="27"/>
      <c r="CY45" s="27"/>
      <c r="CZ45" s="27"/>
      <c r="DA45" s="27"/>
      <c r="DB45" s="27"/>
      <c r="DC45" s="27"/>
      <c r="DD45" s="27"/>
      <c r="DF45" s="28"/>
    </row>
    <row r="46" spans="1:110" s="26" customFormat="1" ht="16" customHeight="1" x14ac:dyDescent="0.2">
      <c r="A46" s="38" t="s">
        <v>70</v>
      </c>
      <c r="B46" s="30">
        <f t="shared" si="76"/>
        <v>0</v>
      </c>
      <c r="C46" s="31">
        <f t="shared" si="76"/>
        <v>0</v>
      </c>
      <c r="D46" s="32">
        <f t="shared" si="76"/>
        <v>0</v>
      </c>
      <c r="E46" s="30">
        <f t="shared" si="84"/>
        <v>0</v>
      </c>
      <c r="F46" s="33">
        <f t="shared" si="84"/>
        <v>0</v>
      </c>
      <c r="G46" s="34">
        <f t="shared" si="84"/>
        <v>0</v>
      </c>
      <c r="H46" s="31">
        <f t="shared" si="77"/>
        <v>0</v>
      </c>
      <c r="I46" s="33">
        <f t="shared" si="77"/>
        <v>0</v>
      </c>
      <c r="J46" s="33">
        <f t="shared" si="77"/>
        <v>0</v>
      </c>
      <c r="K46" s="35" t="str">
        <f t="shared" si="2"/>
        <v/>
      </c>
      <c r="L46" s="36">
        <v>0</v>
      </c>
      <c r="M46" s="31">
        <f t="shared" si="22"/>
        <v>0</v>
      </c>
      <c r="N46" s="31">
        <f t="shared" si="23"/>
        <v>0</v>
      </c>
      <c r="O46" s="31">
        <f t="shared" si="24"/>
        <v>0</v>
      </c>
      <c r="P46" s="31">
        <f t="shared" si="25"/>
        <v>0</v>
      </c>
      <c r="Q46" s="33">
        <v>0</v>
      </c>
      <c r="R46" s="35" t="str">
        <f t="shared" si="3"/>
        <v/>
      </c>
      <c r="S46" s="36">
        <v>0</v>
      </c>
      <c r="T46" s="31">
        <f t="shared" si="26"/>
        <v>0</v>
      </c>
      <c r="U46" s="31">
        <f t="shared" si="27"/>
        <v>0</v>
      </c>
      <c r="V46" s="31">
        <f t="shared" si="28"/>
        <v>0</v>
      </c>
      <c r="W46" s="31">
        <f t="shared" si="29"/>
        <v>0</v>
      </c>
      <c r="X46" s="33">
        <v>0</v>
      </c>
      <c r="Y46" s="35" t="str">
        <f t="shared" si="4"/>
        <v/>
      </c>
      <c r="Z46" s="36">
        <v>0</v>
      </c>
      <c r="AA46" s="31">
        <f t="shared" si="30"/>
        <v>0</v>
      </c>
      <c r="AB46" s="31">
        <f t="shared" si="31"/>
        <v>0</v>
      </c>
      <c r="AC46" s="31">
        <f t="shared" si="32"/>
        <v>0</v>
      </c>
      <c r="AD46" s="31">
        <f t="shared" si="33"/>
        <v>0</v>
      </c>
      <c r="AE46" s="27">
        <v>0</v>
      </c>
      <c r="AF46" s="35" t="str">
        <f t="shared" si="5"/>
        <v/>
      </c>
      <c r="AG46" s="36">
        <v>0</v>
      </c>
      <c r="AH46" s="31">
        <f t="shared" si="34"/>
        <v>0</v>
      </c>
      <c r="AI46" s="31">
        <f t="shared" si="35"/>
        <v>0</v>
      </c>
      <c r="AJ46" s="31">
        <f t="shared" si="36"/>
        <v>0</v>
      </c>
      <c r="AK46" s="31">
        <f t="shared" si="37"/>
        <v>0</v>
      </c>
      <c r="AL46" s="27">
        <v>0</v>
      </c>
      <c r="AM46" s="35" t="str">
        <f t="shared" si="6"/>
        <v/>
      </c>
      <c r="AN46" s="36">
        <v>0</v>
      </c>
      <c r="AO46" s="31">
        <f t="shared" si="38"/>
        <v>0</v>
      </c>
      <c r="AP46" s="31">
        <f t="shared" si="39"/>
        <v>0</v>
      </c>
      <c r="AQ46" s="31">
        <f t="shared" si="40"/>
        <v>0</v>
      </c>
      <c r="AR46" s="31">
        <f t="shared" si="41"/>
        <v>0</v>
      </c>
      <c r="AS46" s="27">
        <v>0</v>
      </c>
      <c r="AT46" s="35" t="str">
        <f t="shared" si="7"/>
        <v/>
      </c>
      <c r="AU46" s="36">
        <v>0</v>
      </c>
      <c r="AV46" s="31">
        <f t="shared" si="42"/>
        <v>0</v>
      </c>
      <c r="AW46" s="31">
        <f t="shared" si="43"/>
        <v>0</v>
      </c>
      <c r="AX46" s="31">
        <f t="shared" si="44"/>
        <v>0</v>
      </c>
      <c r="AY46" s="31">
        <f t="shared" si="45"/>
        <v>0</v>
      </c>
      <c r="AZ46" s="27">
        <v>0</v>
      </c>
      <c r="BA46" s="35" t="str">
        <f t="shared" si="8"/>
        <v/>
      </c>
      <c r="BB46" s="36">
        <v>0</v>
      </c>
      <c r="BC46" s="31">
        <f t="shared" si="46"/>
        <v>0</v>
      </c>
      <c r="BD46" s="31">
        <f t="shared" si="47"/>
        <v>0</v>
      </c>
      <c r="BE46" s="31">
        <f t="shared" si="48"/>
        <v>0</v>
      </c>
      <c r="BF46" s="31">
        <f t="shared" si="49"/>
        <v>0</v>
      </c>
      <c r="BG46" s="27">
        <f t="shared" si="85"/>
        <v>0</v>
      </c>
      <c r="BH46" s="35" t="str">
        <f t="shared" si="10"/>
        <v/>
      </c>
      <c r="BI46" s="36">
        <v>0</v>
      </c>
      <c r="BJ46" s="31">
        <f t="shared" si="50"/>
        <v>0</v>
      </c>
      <c r="BK46" s="31">
        <f t="shared" si="51"/>
        <v>0</v>
      </c>
      <c r="BL46" s="31">
        <f t="shared" si="52"/>
        <v>0</v>
      </c>
      <c r="BM46" s="31">
        <f t="shared" si="53"/>
        <v>0</v>
      </c>
      <c r="BN46" s="27">
        <f t="shared" si="86"/>
        <v>0</v>
      </c>
      <c r="BO46" s="37" t="str">
        <f t="shared" si="12"/>
        <v/>
      </c>
      <c r="BP46" s="36">
        <v>0</v>
      </c>
      <c r="BQ46" s="31">
        <f t="shared" si="54"/>
        <v>0</v>
      </c>
      <c r="BR46" s="31">
        <f t="shared" si="55"/>
        <v>0</v>
      </c>
      <c r="BS46" s="31">
        <f t="shared" si="56"/>
        <v>0</v>
      </c>
      <c r="BT46" s="31">
        <f t="shared" si="57"/>
        <v>0</v>
      </c>
      <c r="BU46" s="27">
        <f t="shared" si="87"/>
        <v>0</v>
      </c>
      <c r="BV46" s="37" t="str">
        <f t="shared" si="14"/>
        <v/>
      </c>
      <c r="BW46" s="36">
        <v>0</v>
      </c>
      <c r="BX46" s="31">
        <f t="shared" si="58"/>
        <v>0</v>
      </c>
      <c r="BY46" s="31">
        <f t="shared" si="59"/>
        <v>0</v>
      </c>
      <c r="BZ46" s="31">
        <f t="shared" si="60"/>
        <v>0</v>
      </c>
      <c r="CA46" s="31">
        <f t="shared" si="61"/>
        <v>0</v>
      </c>
      <c r="CB46" s="27">
        <f t="shared" si="88"/>
        <v>0</v>
      </c>
      <c r="CC46" s="37" t="str">
        <f t="shared" si="16"/>
        <v/>
      </c>
      <c r="CD46" s="36">
        <v>0</v>
      </c>
      <c r="CE46" s="31">
        <f t="shared" si="62"/>
        <v>0</v>
      </c>
      <c r="CF46" s="31">
        <f t="shared" si="63"/>
        <v>0</v>
      </c>
      <c r="CG46" s="31">
        <f t="shared" si="64"/>
        <v>0</v>
      </c>
      <c r="CH46" s="31">
        <f t="shared" si="65"/>
        <v>0</v>
      </c>
      <c r="CI46" s="27">
        <f t="shared" si="89"/>
        <v>0</v>
      </c>
      <c r="CJ46" s="37" t="str">
        <f t="shared" si="18"/>
        <v/>
      </c>
      <c r="CK46" s="36">
        <v>0</v>
      </c>
      <c r="CL46" s="31">
        <f t="shared" si="66"/>
        <v>0</v>
      </c>
      <c r="CM46" s="31">
        <f t="shared" si="67"/>
        <v>0</v>
      </c>
      <c r="CN46" s="31">
        <f t="shared" si="68"/>
        <v>0</v>
      </c>
      <c r="CO46" s="31">
        <f t="shared" si="69"/>
        <v>0</v>
      </c>
      <c r="CP46" s="27">
        <f t="shared" si="90"/>
        <v>0</v>
      </c>
      <c r="CQ46" s="37" t="str">
        <f t="shared" si="20"/>
        <v/>
      </c>
      <c r="CS46" s="27"/>
      <c r="CT46" s="27"/>
      <c r="CU46" s="27"/>
      <c r="CV46" s="27"/>
      <c r="CW46" s="27"/>
      <c r="CX46" s="27"/>
      <c r="CY46" s="27"/>
      <c r="CZ46" s="27"/>
      <c r="DA46" s="27"/>
      <c r="DB46" s="27"/>
      <c r="DC46" s="27"/>
      <c r="DD46" s="27"/>
      <c r="DF46" s="28"/>
    </row>
    <row r="47" spans="1:110" s="26" customFormat="1" ht="16" customHeight="1" x14ac:dyDescent="0.2">
      <c r="A47" s="29" t="s">
        <v>71</v>
      </c>
      <c r="B47" s="30">
        <f t="shared" si="76"/>
        <v>0</v>
      </c>
      <c r="C47" s="31">
        <f t="shared" si="76"/>
        <v>0</v>
      </c>
      <c r="D47" s="32">
        <f t="shared" si="76"/>
        <v>0</v>
      </c>
      <c r="E47" s="30">
        <f t="shared" si="84"/>
        <v>0</v>
      </c>
      <c r="F47" s="33">
        <f t="shared" si="84"/>
        <v>0</v>
      </c>
      <c r="G47" s="34">
        <f t="shared" si="84"/>
        <v>0</v>
      </c>
      <c r="H47" s="31">
        <f t="shared" si="77"/>
        <v>0</v>
      </c>
      <c r="I47" s="33">
        <f t="shared" si="77"/>
        <v>0</v>
      </c>
      <c r="J47" s="33">
        <f t="shared" si="77"/>
        <v>0</v>
      </c>
      <c r="K47" s="35" t="str">
        <f t="shared" si="2"/>
        <v/>
      </c>
      <c r="L47" s="36">
        <v>0</v>
      </c>
      <c r="M47" s="31">
        <f t="shared" si="22"/>
        <v>0</v>
      </c>
      <c r="N47" s="31">
        <f t="shared" si="23"/>
        <v>0</v>
      </c>
      <c r="O47" s="31">
        <f t="shared" si="24"/>
        <v>0</v>
      </c>
      <c r="P47" s="31">
        <f t="shared" si="25"/>
        <v>0</v>
      </c>
      <c r="Q47" s="33">
        <v>0</v>
      </c>
      <c r="R47" s="35" t="str">
        <f t="shared" si="3"/>
        <v/>
      </c>
      <c r="S47" s="36">
        <v>0</v>
      </c>
      <c r="T47" s="31">
        <f t="shared" si="26"/>
        <v>0</v>
      </c>
      <c r="U47" s="31">
        <f t="shared" si="27"/>
        <v>0</v>
      </c>
      <c r="V47" s="31">
        <f t="shared" si="28"/>
        <v>0</v>
      </c>
      <c r="W47" s="31">
        <f t="shared" si="29"/>
        <v>0</v>
      </c>
      <c r="X47" s="33">
        <v>0</v>
      </c>
      <c r="Y47" s="35" t="str">
        <f t="shared" si="4"/>
        <v/>
      </c>
      <c r="Z47" s="36">
        <v>0</v>
      </c>
      <c r="AA47" s="31">
        <f t="shared" si="30"/>
        <v>0</v>
      </c>
      <c r="AB47" s="31">
        <f t="shared" si="31"/>
        <v>0</v>
      </c>
      <c r="AC47" s="31">
        <f t="shared" si="32"/>
        <v>0</v>
      </c>
      <c r="AD47" s="31">
        <f t="shared" si="33"/>
        <v>0</v>
      </c>
      <c r="AE47" s="27">
        <v>0</v>
      </c>
      <c r="AF47" s="35" t="str">
        <f t="shared" si="5"/>
        <v/>
      </c>
      <c r="AG47" s="36">
        <v>0</v>
      </c>
      <c r="AH47" s="31">
        <f t="shared" si="34"/>
        <v>0</v>
      </c>
      <c r="AI47" s="31">
        <f t="shared" si="35"/>
        <v>0</v>
      </c>
      <c r="AJ47" s="31">
        <f t="shared" si="36"/>
        <v>0</v>
      </c>
      <c r="AK47" s="31">
        <f t="shared" si="37"/>
        <v>0</v>
      </c>
      <c r="AL47" s="27">
        <v>0</v>
      </c>
      <c r="AM47" s="35" t="str">
        <f t="shared" si="6"/>
        <v/>
      </c>
      <c r="AN47" s="36">
        <v>0</v>
      </c>
      <c r="AO47" s="31">
        <f t="shared" si="38"/>
        <v>0</v>
      </c>
      <c r="AP47" s="31">
        <f t="shared" si="39"/>
        <v>0</v>
      </c>
      <c r="AQ47" s="31">
        <f t="shared" si="40"/>
        <v>0</v>
      </c>
      <c r="AR47" s="31">
        <f t="shared" si="41"/>
        <v>0</v>
      </c>
      <c r="AS47" s="27">
        <v>0</v>
      </c>
      <c r="AT47" s="35" t="str">
        <f t="shared" si="7"/>
        <v/>
      </c>
      <c r="AU47" s="36">
        <v>0</v>
      </c>
      <c r="AV47" s="31">
        <f t="shared" si="42"/>
        <v>0</v>
      </c>
      <c r="AW47" s="31">
        <f t="shared" si="43"/>
        <v>0</v>
      </c>
      <c r="AX47" s="31">
        <f t="shared" si="44"/>
        <v>0</v>
      </c>
      <c r="AY47" s="31">
        <f t="shared" si="45"/>
        <v>0</v>
      </c>
      <c r="AZ47" s="27">
        <v>0</v>
      </c>
      <c r="BA47" s="35" t="str">
        <f t="shared" si="8"/>
        <v/>
      </c>
      <c r="BB47" s="36">
        <v>0</v>
      </c>
      <c r="BC47" s="31">
        <f t="shared" si="46"/>
        <v>0</v>
      </c>
      <c r="BD47" s="31">
        <f t="shared" si="47"/>
        <v>0</v>
      </c>
      <c r="BE47" s="31">
        <f t="shared" si="48"/>
        <v>0</v>
      </c>
      <c r="BF47" s="31">
        <f t="shared" si="49"/>
        <v>0</v>
      </c>
      <c r="BG47" s="27">
        <f t="shared" si="85"/>
        <v>0</v>
      </c>
      <c r="BH47" s="35" t="str">
        <f t="shared" si="10"/>
        <v/>
      </c>
      <c r="BI47" s="36">
        <v>0</v>
      </c>
      <c r="BJ47" s="31">
        <f t="shared" si="50"/>
        <v>0</v>
      </c>
      <c r="BK47" s="31">
        <f t="shared" si="51"/>
        <v>0</v>
      </c>
      <c r="BL47" s="31">
        <f t="shared" si="52"/>
        <v>0</v>
      </c>
      <c r="BM47" s="31">
        <f t="shared" si="53"/>
        <v>0</v>
      </c>
      <c r="BN47" s="27">
        <f t="shared" si="86"/>
        <v>0</v>
      </c>
      <c r="BO47" s="37" t="str">
        <f t="shared" si="12"/>
        <v/>
      </c>
      <c r="BP47" s="36">
        <v>0</v>
      </c>
      <c r="BQ47" s="31">
        <f t="shared" si="54"/>
        <v>0</v>
      </c>
      <c r="BR47" s="31">
        <f t="shared" si="55"/>
        <v>0</v>
      </c>
      <c r="BS47" s="31">
        <f t="shared" si="56"/>
        <v>0</v>
      </c>
      <c r="BT47" s="31">
        <f t="shared" si="57"/>
        <v>0</v>
      </c>
      <c r="BU47" s="27">
        <f t="shared" si="87"/>
        <v>0</v>
      </c>
      <c r="BV47" s="37" t="str">
        <f t="shared" si="14"/>
        <v/>
      </c>
      <c r="BW47" s="36">
        <v>0</v>
      </c>
      <c r="BX47" s="31">
        <f t="shared" si="58"/>
        <v>0</v>
      </c>
      <c r="BY47" s="31">
        <f t="shared" si="59"/>
        <v>0</v>
      </c>
      <c r="BZ47" s="31">
        <f t="shared" si="60"/>
        <v>0</v>
      </c>
      <c r="CA47" s="31">
        <f t="shared" si="61"/>
        <v>0</v>
      </c>
      <c r="CB47" s="27">
        <f t="shared" si="88"/>
        <v>0</v>
      </c>
      <c r="CC47" s="37" t="str">
        <f t="shared" si="16"/>
        <v/>
      </c>
      <c r="CD47" s="36">
        <v>0</v>
      </c>
      <c r="CE47" s="31">
        <f t="shared" si="62"/>
        <v>0</v>
      </c>
      <c r="CF47" s="31">
        <f t="shared" si="63"/>
        <v>0</v>
      </c>
      <c r="CG47" s="31">
        <f t="shared" si="64"/>
        <v>0</v>
      </c>
      <c r="CH47" s="31">
        <f t="shared" si="65"/>
        <v>0</v>
      </c>
      <c r="CI47" s="27">
        <f t="shared" si="89"/>
        <v>0</v>
      </c>
      <c r="CJ47" s="37" t="str">
        <f t="shared" si="18"/>
        <v/>
      </c>
      <c r="CK47" s="36">
        <v>0</v>
      </c>
      <c r="CL47" s="31">
        <f t="shared" si="66"/>
        <v>0</v>
      </c>
      <c r="CM47" s="31">
        <f t="shared" si="67"/>
        <v>0</v>
      </c>
      <c r="CN47" s="31">
        <f t="shared" si="68"/>
        <v>0</v>
      </c>
      <c r="CO47" s="31">
        <f t="shared" si="69"/>
        <v>0</v>
      </c>
      <c r="CP47" s="27">
        <f t="shared" si="90"/>
        <v>0</v>
      </c>
      <c r="CQ47" s="37" t="str">
        <f t="shared" si="20"/>
        <v/>
      </c>
      <c r="CS47" s="27"/>
      <c r="CT47" s="27"/>
      <c r="CU47" s="27"/>
      <c r="CV47" s="27"/>
      <c r="CW47" s="27"/>
      <c r="CX47" s="27"/>
      <c r="CY47" s="27"/>
      <c r="CZ47" s="27"/>
      <c r="DA47" s="27"/>
      <c r="DB47" s="27"/>
      <c r="DC47" s="27"/>
      <c r="DD47" s="27"/>
      <c r="DF47" s="28"/>
    </row>
    <row r="48" spans="1:110" s="26" customFormat="1" ht="16" customHeight="1" x14ac:dyDescent="0.2">
      <c r="A48" s="38" t="s">
        <v>72</v>
      </c>
      <c r="B48" s="30">
        <f t="shared" si="76"/>
        <v>43870.000000000007</v>
      </c>
      <c r="C48" s="31">
        <f t="shared" si="76"/>
        <v>38478.376999999993</v>
      </c>
      <c r="D48" s="32">
        <f t="shared" si="76"/>
        <v>5391.6229999999996</v>
      </c>
      <c r="E48" s="30">
        <f t="shared" si="84"/>
        <v>14623.333333333334</v>
      </c>
      <c r="F48" s="33">
        <f t="shared" si="84"/>
        <v>12826.125666666667</v>
      </c>
      <c r="G48" s="34">
        <f t="shared" si="84"/>
        <v>1797.2076666666667</v>
      </c>
      <c r="H48" s="31">
        <f t="shared" si="77"/>
        <v>15899.291942901182</v>
      </c>
      <c r="I48" s="33">
        <f t="shared" si="77"/>
        <v>2227.8223461208017</v>
      </c>
      <c r="J48" s="33">
        <f t="shared" si="77"/>
        <v>18127.114289021982</v>
      </c>
      <c r="K48" s="35">
        <f t="shared" si="2"/>
        <v>0.23960207128028133</v>
      </c>
      <c r="L48" s="36">
        <v>3655.8333333333335</v>
      </c>
      <c r="M48" s="31">
        <f t="shared" si="22"/>
        <v>3206.5314166666667</v>
      </c>
      <c r="N48" s="31">
        <f t="shared" si="23"/>
        <v>449.30191666666667</v>
      </c>
      <c r="O48" s="31">
        <f t="shared" si="24"/>
        <v>3245.76847784347</v>
      </c>
      <c r="P48" s="31">
        <f t="shared" si="25"/>
        <v>454.7998471405341</v>
      </c>
      <c r="Q48" s="33">
        <v>3700.568324984004</v>
      </c>
      <c r="R48" s="35">
        <f t="shared" si="3"/>
        <v>1.2236605876636553E-2</v>
      </c>
      <c r="S48" s="36">
        <v>3655.8333333333335</v>
      </c>
      <c r="T48" s="31">
        <f t="shared" si="26"/>
        <v>3206.5314166666667</v>
      </c>
      <c r="U48" s="31">
        <f t="shared" si="27"/>
        <v>449.30191666666667</v>
      </c>
      <c r="V48" s="31">
        <f t="shared" si="28"/>
        <v>745.67421547094204</v>
      </c>
      <c r="W48" s="31">
        <f t="shared" si="29"/>
        <v>104.4845069905128</v>
      </c>
      <c r="X48" s="33">
        <v>850.15872246145489</v>
      </c>
      <c r="Y48" s="35">
        <f t="shared" si="4"/>
        <v>-0.76745145499116807</v>
      </c>
      <c r="Z48" s="36">
        <v>3655.8333333333335</v>
      </c>
      <c r="AA48" s="31">
        <f t="shared" si="30"/>
        <v>3206.5314166666667</v>
      </c>
      <c r="AB48" s="31">
        <f t="shared" si="31"/>
        <v>449.30191666666667</v>
      </c>
      <c r="AC48" s="31">
        <f t="shared" si="32"/>
        <v>566.68238900468725</v>
      </c>
      <c r="AD48" s="31">
        <f t="shared" si="33"/>
        <v>79.404019619970427</v>
      </c>
      <c r="AE48" s="33">
        <v>646.08640862465768</v>
      </c>
      <c r="AF48" s="35">
        <f t="shared" si="5"/>
        <v>-0.82327246629824724</v>
      </c>
      <c r="AG48" s="36">
        <v>3655.8333333333335</v>
      </c>
      <c r="AH48" s="31">
        <f t="shared" si="34"/>
        <v>3206.5314166666667</v>
      </c>
      <c r="AI48" s="31">
        <f t="shared" si="35"/>
        <v>449.30191666666667</v>
      </c>
      <c r="AJ48" s="31">
        <f t="shared" si="36"/>
        <v>4133.239314048692</v>
      </c>
      <c r="AK48" s="31">
        <f t="shared" si="37"/>
        <v>579.15301755396672</v>
      </c>
      <c r="AL48" s="33">
        <v>4712.3923316026585</v>
      </c>
      <c r="AM48" s="35">
        <f t="shared" si="6"/>
        <v>0.28900633643108953</v>
      </c>
      <c r="AN48" s="36">
        <v>3655.8333333333335</v>
      </c>
      <c r="AO48" s="31">
        <f t="shared" si="38"/>
        <v>3206.5314166666667</v>
      </c>
      <c r="AP48" s="31">
        <f t="shared" si="39"/>
        <v>449.30191666666667</v>
      </c>
      <c r="AQ48" s="31">
        <f t="shared" si="40"/>
        <v>4499.5385928436881</v>
      </c>
      <c r="AR48" s="31">
        <f t="shared" si="41"/>
        <v>630.47918488255527</v>
      </c>
      <c r="AS48" s="27">
        <v>5130.0177777262434</v>
      </c>
      <c r="AT48" s="35">
        <f t="shared" si="7"/>
        <v>0.40324169894494921</v>
      </c>
      <c r="AU48" s="36">
        <v>3655.8333333333335</v>
      </c>
      <c r="AV48" s="31">
        <f t="shared" si="42"/>
        <v>3206.5314166666667</v>
      </c>
      <c r="AW48" s="31">
        <f t="shared" si="43"/>
        <v>449.30191666666667</v>
      </c>
      <c r="AX48" s="31">
        <f t="shared" si="44"/>
        <v>2708.3889536897022</v>
      </c>
      <c r="AY48" s="31">
        <f t="shared" si="45"/>
        <v>379.50176993326238</v>
      </c>
      <c r="AZ48" s="27">
        <v>3087.8907236229647</v>
      </c>
      <c r="BA48" s="35">
        <f t="shared" si="8"/>
        <v>-0.15535243484213412</v>
      </c>
      <c r="BB48" s="36">
        <v>3655.8333333333335</v>
      </c>
      <c r="BC48" s="31">
        <f t="shared" si="46"/>
        <v>3206.5314166666667</v>
      </c>
      <c r="BD48" s="31">
        <f t="shared" si="47"/>
        <v>449.30191666666667</v>
      </c>
      <c r="BE48" s="31">
        <f t="shared" si="48"/>
        <v>0</v>
      </c>
      <c r="BF48" s="31">
        <f t="shared" si="49"/>
        <v>0</v>
      </c>
      <c r="BG48" s="27">
        <f t="shared" si="85"/>
        <v>0</v>
      </c>
      <c r="BH48" s="35">
        <f t="shared" si="10"/>
        <v>-1</v>
      </c>
      <c r="BI48" s="36">
        <v>3655.8333333333335</v>
      </c>
      <c r="BJ48" s="31">
        <f t="shared" si="50"/>
        <v>3206.5314166666667</v>
      </c>
      <c r="BK48" s="31">
        <f t="shared" si="51"/>
        <v>449.30191666666667</v>
      </c>
      <c r="BL48" s="31">
        <f t="shared" si="52"/>
        <v>0</v>
      </c>
      <c r="BM48" s="31">
        <f t="shared" si="53"/>
        <v>0</v>
      </c>
      <c r="BN48" s="27">
        <f t="shared" si="86"/>
        <v>0</v>
      </c>
      <c r="BO48" s="37">
        <f t="shared" si="12"/>
        <v>-1</v>
      </c>
      <c r="BP48" s="36">
        <v>3655.8333333333335</v>
      </c>
      <c r="BQ48" s="31">
        <f t="shared" si="54"/>
        <v>3206.5314166666667</v>
      </c>
      <c r="BR48" s="31">
        <f t="shared" si="55"/>
        <v>449.30191666666667</v>
      </c>
      <c r="BS48" s="31">
        <f t="shared" si="56"/>
        <v>0</v>
      </c>
      <c r="BT48" s="31">
        <f t="shared" si="57"/>
        <v>0</v>
      </c>
      <c r="BU48" s="27">
        <f t="shared" si="87"/>
        <v>0</v>
      </c>
      <c r="BV48" s="37">
        <f t="shared" si="14"/>
        <v>-1</v>
      </c>
      <c r="BW48" s="36">
        <v>3655.8333333333335</v>
      </c>
      <c r="BX48" s="31">
        <f t="shared" si="58"/>
        <v>3206.5314166666667</v>
      </c>
      <c r="BY48" s="31">
        <f t="shared" si="59"/>
        <v>449.30191666666667</v>
      </c>
      <c r="BZ48" s="31">
        <f t="shared" si="60"/>
        <v>0</v>
      </c>
      <c r="CA48" s="31">
        <f t="shared" si="61"/>
        <v>0</v>
      </c>
      <c r="CB48" s="27">
        <f t="shared" si="88"/>
        <v>0</v>
      </c>
      <c r="CC48" s="37">
        <f t="shared" si="16"/>
        <v>-1</v>
      </c>
      <c r="CD48" s="36">
        <v>3655.8333333333335</v>
      </c>
      <c r="CE48" s="31">
        <f t="shared" si="62"/>
        <v>3206.5314166666667</v>
      </c>
      <c r="CF48" s="31">
        <f t="shared" si="63"/>
        <v>449.30191666666667</v>
      </c>
      <c r="CG48" s="31">
        <f t="shared" si="64"/>
        <v>0</v>
      </c>
      <c r="CH48" s="31">
        <f t="shared" si="65"/>
        <v>0</v>
      </c>
      <c r="CI48" s="27">
        <f t="shared" si="89"/>
        <v>0</v>
      </c>
      <c r="CJ48" s="37">
        <f t="shared" si="18"/>
        <v>-1</v>
      </c>
      <c r="CK48" s="36">
        <v>3655.8333333333335</v>
      </c>
      <c r="CL48" s="31">
        <f t="shared" si="66"/>
        <v>3206.5314166666667</v>
      </c>
      <c r="CM48" s="31">
        <f t="shared" si="67"/>
        <v>449.30191666666667</v>
      </c>
      <c r="CN48" s="31">
        <f t="shared" si="68"/>
        <v>0</v>
      </c>
      <c r="CO48" s="31">
        <f t="shared" si="69"/>
        <v>0</v>
      </c>
      <c r="CP48" s="27">
        <f t="shared" si="90"/>
        <v>0</v>
      </c>
      <c r="CQ48" s="37">
        <f t="shared" si="20"/>
        <v>-1</v>
      </c>
      <c r="CS48" s="27">
        <f>8434.85</f>
        <v>8434.85</v>
      </c>
      <c r="CT48" s="27">
        <f>1937.8</f>
        <v>1937.8</v>
      </c>
      <c r="CU48" s="27">
        <f>3453.65-1738-243</f>
        <v>1472.65</v>
      </c>
      <c r="CV48" s="27">
        <f>10741.14</f>
        <v>10741.14</v>
      </c>
      <c r="CW48" s="27"/>
      <c r="CX48" s="27"/>
      <c r="CY48" s="27"/>
      <c r="CZ48" s="27"/>
      <c r="DA48" s="27"/>
      <c r="DB48" s="27"/>
      <c r="DC48" s="27"/>
      <c r="DD48" s="27"/>
      <c r="DF48" s="28"/>
    </row>
    <row r="49" spans="1:110" s="26" customFormat="1" ht="16" customHeight="1" x14ac:dyDescent="0.2">
      <c r="A49" s="29" t="s">
        <v>73</v>
      </c>
      <c r="B49" s="30">
        <f t="shared" si="76"/>
        <v>71508.099999999991</v>
      </c>
      <c r="C49" s="31">
        <f t="shared" si="76"/>
        <v>62719.754510000006</v>
      </c>
      <c r="D49" s="32">
        <f t="shared" si="76"/>
        <v>8788.3454900000015</v>
      </c>
      <c r="E49" s="30">
        <f t="shared" si="84"/>
        <v>23836.033333333333</v>
      </c>
      <c r="F49" s="33">
        <f t="shared" si="84"/>
        <v>20906.584836666665</v>
      </c>
      <c r="G49" s="34">
        <f t="shared" si="84"/>
        <v>2929.4484966666664</v>
      </c>
      <c r="H49" s="31">
        <f t="shared" si="77"/>
        <v>45513.806133467806</v>
      </c>
      <c r="I49" s="33">
        <f t="shared" si="77"/>
        <v>6377.4333300686267</v>
      </c>
      <c r="J49" s="33">
        <f t="shared" si="77"/>
        <v>51891.239463536433</v>
      </c>
      <c r="K49" s="35">
        <f t="shared" si="2"/>
        <v>1.1770081765647431</v>
      </c>
      <c r="L49" s="36">
        <v>5959.0083333333332</v>
      </c>
      <c r="M49" s="31">
        <f t="shared" si="22"/>
        <v>5226.6462091666663</v>
      </c>
      <c r="N49" s="31">
        <f t="shared" si="23"/>
        <v>732.3621241666666</v>
      </c>
      <c r="O49" s="31">
        <f t="shared" si="24"/>
        <v>9353.0473273868593</v>
      </c>
      <c r="P49" s="31">
        <f t="shared" si="25"/>
        <v>1310.5569678894594</v>
      </c>
      <c r="Q49" s="33">
        <v>10663.604295276318</v>
      </c>
      <c r="R49" s="35">
        <f t="shared" si="3"/>
        <v>0.78949309998889383</v>
      </c>
      <c r="S49" s="36">
        <v>5959.0083333333332</v>
      </c>
      <c r="T49" s="31">
        <f t="shared" si="26"/>
        <v>5226.6462091666663</v>
      </c>
      <c r="U49" s="31">
        <f t="shared" si="27"/>
        <v>732.3621241666666</v>
      </c>
      <c r="V49" s="31">
        <f t="shared" si="28"/>
        <v>6605.8546850357407</v>
      </c>
      <c r="W49" s="31">
        <f t="shared" si="29"/>
        <v>925.61799200877044</v>
      </c>
      <c r="X49" s="33">
        <v>7531.4726770445113</v>
      </c>
      <c r="Y49" s="35">
        <f t="shared" si="4"/>
        <v>0.26388020552264901</v>
      </c>
      <c r="Z49" s="36">
        <v>5959.0083333333332</v>
      </c>
      <c r="AA49" s="31">
        <f t="shared" si="30"/>
        <v>5226.6462091666663</v>
      </c>
      <c r="AB49" s="31">
        <f t="shared" si="31"/>
        <v>732.3621241666666</v>
      </c>
      <c r="AC49" s="31">
        <f t="shared" si="32"/>
        <v>12400.695345648652</v>
      </c>
      <c r="AD49" s="31">
        <f t="shared" si="33"/>
        <v>1737.5960072742212</v>
      </c>
      <c r="AE49" s="27">
        <v>14138.291352922874</v>
      </c>
      <c r="AF49" s="35">
        <f t="shared" si="5"/>
        <v>1.3725913041330209</v>
      </c>
      <c r="AG49" s="36">
        <v>5959.0083333333332</v>
      </c>
      <c r="AH49" s="31">
        <f t="shared" si="34"/>
        <v>5226.6462091666663</v>
      </c>
      <c r="AI49" s="31">
        <f t="shared" si="35"/>
        <v>732.3621241666666</v>
      </c>
      <c r="AJ49" s="31">
        <f t="shared" si="36"/>
        <v>4275.493852171976</v>
      </c>
      <c r="AK49" s="31">
        <f t="shared" si="37"/>
        <v>599.0858447519505</v>
      </c>
      <c r="AL49" s="27">
        <v>4874.5796969239263</v>
      </c>
      <c r="AM49" s="35">
        <f t="shared" si="6"/>
        <v>-0.18198139283399895</v>
      </c>
      <c r="AN49" s="36">
        <v>5959.0083333333332</v>
      </c>
      <c r="AO49" s="31">
        <f t="shared" si="38"/>
        <v>5226.6462091666663</v>
      </c>
      <c r="AP49" s="31">
        <f t="shared" si="39"/>
        <v>732.3621241666666</v>
      </c>
      <c r="AQ49" s="31">
        <f t="shared" si="40"/>
        <v>5716.6060519085067</v>
      </c>
      <c r="AR49" s="31">
        <f t="shared" si="41"/>
        <v>801.01571517450168</v>
      </c>
      <c r="AS49" s="27">
        <v>6517.6217670830083</v>
      </c>
      <c r="AT49" s="35">
        <f t="shared" si="7"/>
        <v>9.3742683765840606E-2</v>
      </c>
      <c r="AU49" s="36">
        <v>5959.0083333333332</v>
      </c>
      <c r="AV49" s="31">
        <f t="shared" si="42"/>
        <v>5226.6462091666663</v>
      </c>
      <c r="AW49" s="31">
        <f t="shared" si="43"/>
        <v>732.3621241666666</v>
      </c>
      <c r="AX49" s="31">
        <f t="shared" si="44"/>
        <v>7162.1088713160698</v>
      </c>
      <c r="AY49" s="31">
        <f t="shared" si="45"/>
        <v>1003.560802969724</v>
      </c>
      <c r="AZ49" s="27">
        <v>8165.6696742857939</v>
      </c>
      <c r="BA49" s="35">
        <f t="shared" si="8"/>
        <v>0.37030680568256646</v>
      </c>
      <c r="BB49" s="36">
        <v>5959.0083333333332</v>
      </c>
      <c r="BC49" s="31">
        <f t="shared" si="46"/>
        <v>5226.6462091666663</v>
      </c>
      <c r="BD49" s="31">
        <f t="shared" si="47"/>
        <v>732.3621241666666</v>
      </c>
      <c r="BE49" s="31">
        <f t="shared" si="48"/>
        <v>0</v>
      </c>
      <c r="BF49" s="31">
        <f t="shared" si="49"/>
        <v>0</v>
      </c>
      <c r="BG49" s="27">
        <f t="shared" si="85"/>
        <v>0</v>
      </c>
      <c r="BH49" s="35">
        <f t="shared" si="10"/>
        <v>-1</v>
      </c>
      <c r="BI49" s="36">
        <v>5959.0083333333332</v>
      </c>
      <c r="BJ49" s="31">
        <f t="shared" si="50"/>
        <v>5226.6462091666663</v>
      </c>
      <c r="BK49" s="31">
        <f t="shared" si="51"/>
        <v>732.3621241666666</v>
      </c>
      <c r="BL49" s="31">
        <f t="shared" si="52"/>
        <v>0</v>
      </c>
      <c r="BM49" s="31">
        <f t="shared" si="53"/>
        <v>0</v>
      </c>
      <c r="BN49" s="27">
        <f t="shared" si="86"/>
        <v>0</v>
      </c>
      <c r="BO49" s="37">
        <f t="shared" si="12"/>
        <v>-1</v>
      </c>
      <c r="BP49" s="36">
        <v>5959.0083333333332</v>
      </c>
      <c r="BQ49" s="31">
        <f t="shared" si="54"/>
        <v>5226.6462091666663</v>
      </c>
      <c r="BR49" s="31">
        <f t="shared" si="55"/>
        <v>732.3621241666666</v>
      </c>
      <c r="BS49" s="31">
        <f t="shared" si="56"/>
        <v>0</v>
      </c>
      <c r="BT49" s="31">
        <f t="shared" si="57"/>
        <v>0</v>
      </c>
      <c r="BU49" s="27">
        <f t="shared" si="87"/>
        <v>0</v>
      </c>
      <c r="BV49" s="37">
        <f t="shared" si="14"/>
        <v>-1</v>
      </c>
      <c r="BW49" s="36">
        <v>5959.0083333333332</v>
      </c>
      <c r="BX49" s="31">
        <f t="shared" si="58"/>
        <v>5226.6462091666663</v>
      </c>
      <c r="BY49" s="31">
        <f t="shared" si="59"/>
        <v>732.3621241666666</v>
      </c>
      <c r="BZ49" s="31">
        <f t="shared" si="60"/>
        <v>0</v>
      </c>
      <c r="CA49" s="31">
        <f t="shared" si="61"/>
        <v>0</v>
      </c>
      <c r="CB49" s="27">
        <f t="shared" si="88"/>
        <v>0</v>
      </c>
      <c r="CC49" s="37">
        <f t="shared" si="16"/>
        <v>-1</v>
      </c>
      <c r="CD49" s="36">
        <v>5959.0083333333332</v>
      </c>
      <c r="CE49" s="31">
        <f t="shared" si="62"/>
        <v>5226.6462091666663</v>
      </c>
      <c r="CF49" s="31">
        <f t="shared" si="63"/>
        <v>732.3621241666666</v>
      </c>
      <c r="CG49" s="31">
        <f t="shared" si="64"/>
        <v>0</v>
      </c>
      <c r="CH49" s="31">
        <f t="shared" si="65"/>
        <v>0</v>
      </c>
      <c r="CI49" s="27">
        <f t="shared" si="89"/>
        <v>0</v>
      </c>
      <c r="CJ49" s="37">
        <f t="shared" si="18"/>
        <v>-1</v>
      </c>
      <c r="CK49" s="36">
        <v>5959.0083333333332</v>
      </c>
      <c r="CL49" s="31">
        <f t="shared" si="66"/>
        <v>5226.6462091666663</v>
      </c>
      <c r="CM49" s="31">
        <f t="shared" si="67"/>
        <v>732.3621241666666</v>
      </c>
      <c r="CN49" s="31">
        <f t="shared" si="68"/>
        <v>0</v>
      </c>
      <c r="CO49" s="31">
        <f t="shared" si="69"/>
        <v>0</v>
      </c>
      <c r="CP49" s="27">
        <f t="shared" si="90"/>
        <v>0</v>
      </c>
      <c r="CQ49" s="37">
        <f t="shared" si="20"/>
        <v>-1</v>
      </c>
      <c r="CS49" s="27">
        <f>R82</f>
        <v>24305.97</v>
      </c>
      <c r="CT49" s="27">
        <f>Y82</f>
        <v>17166.78</v>
      </c>
      <c r="CU49" s="27">
        <f>AF82</f>
        <v>32225.96</v>
      </c>
      <c r="CV49" s="27">
        <f>AM82</f>
        <v>11110.820000000003</v>
      </c>
      <c r="CW49" s="27"/>
      <c r="CX49" s="27"/>
      <c r="CY49" s="27"/>
      <c r="CZ49" s="27"/>
      <c r="DA49" s="27"/>
      <c r="DB49" s="27"/>
      <c r="DC49" s="27"/>
      <c r="DD49" s="27"/>
      <c r="DF49" s="28"/>
    </row>
    <row r="50" spans="1:110" s="26" customFormat="1" ht="16" customHeight="1" x14ac:dyDescent="0.2">
      <c r="A50" s="29" t="s">
        <v>74</v>
      </c>
      <c r="B50" s="30">
        <f t="shared" si="76"/>
        <v>7226.4418799999994</v>
      </c>
      <c r="C50" s="31">
        <f t="shared" si="76"/>
        <v>6338.3121729479999</v>
      </c>
      <c r="D50" s="32">
        <f t="shared" si="76"/>
        <v>888.12970705200007</v>
      </c>
      <c r="E50" s="30">
        <f t="shared" si="84"/>
        <v>2408.81396</v>
      </c>
      <c r="F50" s="33">
        <f t="shared" si="84"/>
        <v>2112.7707243159998</v>
      </c>
      <c r="G50" s="34">
        <f t="shared" si="84"/>
        <v>296.04323568399997</v>
      </c>
      <c r="H50" s="31">
        <f t="shared" si="77"/>
        <v>3297.3284366271168</v>
      </c>
      <c r="I50" s="33">
        <f t="shared" si="77"/>
        <v>462.02447253616765</v>
      </c>
      <c r="J50" s="33">
        <f t="shared" si="77"/>
        <v>3759.3529091632849</v>
      </c>
      <c r="K50" s="35">
        <f t="shared" si="2"/>
        <v>0.56066552734661368</v>
      </c>
      <c r="L50" s="36">
        <v>602.20348999999999</v>
      </c>
      <c r="M50" s="31">
        <f t="shared" si="22"/>
        <v>528.19268107899995</v>
      </c>
      <c r="N50" s="31">
        <f t="shared" si="23"/>
        <v>74.010808920999992</v>
      </c>
      <c r="O50" s="31">
        <f t="shared" si="24"/>
        <v>493.64648948131799</v>
      </c>
      <c r="P50" s="31">
        <f t="shared" si="25"/>
        <v>69.170167092981387</v>
      </c>
      <c r="Q50" s="33">
        <v>562.81665657429937</v>
      </c>
      <c r="R50" s="35">
        <f t="shared" si="3"/>
        <v>-6.540452534690655E-2</v>
      </c>
      <c r="S50" s="36">
        <v>602.20348999999999</v>
      </c>
      <c r="T50" s="31">
        <f t="shared" si="26"/>
        <v>528.19268107899995</v>
      </c>
      <c r="U50" s="31">
        <f t="shared" si="27"/>
        <v>74.010808920999992</v>
      </c>
      <c r="V50" s="31">
        <f t="shared" si="28"/>
        <v>550.47827030643077</v>
      </c>
      <c r="W50" s="31">
        <f t="shared" si="29"/>
        <v>77.133484688929812</v>
      </c>
      <c r="X50" s="33">
        <v>627.61175499536057</v>
      </c>
      <c r="Y50" s="35">
        <f t="shared" si="4"/>
        <v>4.2192158327346352E-2</v>
      </c>
      <c r="Z50" s="36">
        <v>602.20348999999999</v>
      </c>
      <c r="AA50" s="31">
        <f t="shared" si="30"/>
        <v>528.19268107899995</v>
      </c>
      <c r="AB50" s="31">
        <f t="shared" si="31"/>
        <v>74.010808920999992</v>
      </c>
      <c r="AC50" s="31">
        <f t="shared" si="32"/>
        <v>1008.368722992641</v>
      </c>
      <c r="AD50" s="31">
        <f t="shared" si="33"/>
        <v>141.29348541306072</v>
      </c>
      <c r="AE50" s="33">
        <v>1149.6622084057017</v>
      </c>
      <c r="AF50" s="35">
        <f t="shared" si="5"/>
        <v>0.90909257003094046</v>
      </c>
      <c r="AG50" s="36">
        <v>602.20348999999999</v>
      </c>
      <c r="AH50" s="31">
        <f t="shared" si="34"/>
        <v>528.19268107899995</v>
      </c>
      <c r="AI50" s="31">
        <f t="shared" si="35"/>
        <v>74.010808920999992</v>
      </c>
      <c r="AJ50" s="31">
        <f t="shared" si="36"/>
        <v>466.83330993027295</v>
      </c>
      <c r="AK50" s="31">
        <f t="shared" si="37"/>
        <v>65.413081507730638</v>
      </c>
      <c r="AL50" s="33">
        <v>532.24639143800357</v>
      </c>
      <c r="AM50" s="35">
        <f t="shared" si="6"/>
        <v>-0.11616853725307441</v>
      </c>
      <c r="AN50" s="36">
        <v>602.20348999999999</v>
      </c>
      <c r="AO50" s="31">
        <f t="shared" si="38"/>
        <v>528.19268107899995</v>
      </c>
      <c r="AP50" s="31">
        <f t="shared" si="39"/>
        <v>74.010808920999992</v>
      </c>
      <c r="AQ50" s="31">
        <f t="shared" si="40"/>
        <v>423.54664851096936</v>
      </c>
      <c r="AR50" s="31">
        <f t="shared" si="41"/>
        <v>59.347717594342868</v>
      </c>
      <c r="AS50" s="27">
        <v>482.8943661053122</v>
      </c>
      <c r="AT50" s="35">
        <f t="shared" si="7"/>
        <v>-0.19812094395980295</v>
      </c>
      <c r="AU50" s="36">
        <v>602.20348999999999</v>
      </c>
      <c r="AV50" s="31">
        <f t="shared" si="42"/>
        <v>528.19268107899995</v>
      </c>
      <c r="AW50" s="31">
        <f t="shared" si="43"/>
        <v>74.010808920999992</v>
      </c>
      <c r="AX50" s="31">
        <f t="shared" si="44"/>
        <v>354.45499540548508</v>
      </c>
      <c r="AY50" s="31">
        <f t="shared" si="45"/>
        <v>49.666536239122237</v>
      </c>
      <c r="AZ50" s="27">
        <v>404.12153164460733</v>
      </c>
      <c r="BA50" s="35">
        <f t="shared" si="8"/>
        <v>-0.32892861241204807</v>
      </c>
      <c r="BB50" s="36">
        <v>602.20348999999999</v>
      </c>
      <c r="BC50" s="31">
        <f t="shared" si="46"/>
        <v>528.19268107899995</v>
      </c>
      <c r="BD50" s="31">
        <f t="shared" si="47"/>
        <v>74.010808920999992</v>
      </c>
      <c r="BE50" s="31">
        <f t="shared" si="48"/>
        <v>0</v>
      </c>
      <c r="BF50" s="31">
        <f t="shared" si="49"/>
        <v>0</v>
      </c>
      <c r="BG50" s="27">
        <f t="shared" si="85"/>
        <v>0</v>
      </c>
      <c r="BH50" s="35">
        <f t="shared" si="10"/>
        <v>-1</v>
      </c>
      <c r="BI50" s="36">
        <v>602.20348999999999</v>
      </c>
      <c r="BJ50" s="31">
        <f t="shared" si="50"/>
        <v>528.19268107899995</v>
      </c>
      <c r="BK50" s="31">
        <f t="shared" si="51"/>
        <v>74.010808920999992</v>
      </c>
      <c r="BL50" s="31">
        <f t="shared" si="52"/>
        <v>0</v>
      </c>
      <c r="BM50" s="31">
        <f t="shared" si="53"/>
        <v>0</v>
      </c>
      <c r="BN50" s="27">
        <f t="shared" si="86"/>
        <v>0</v>
      </c>
      <c r="BO50" s="37">
        <f t="shared" si="12"/>
        <v>-1</v>
      </c>
      <c r="BP50" s="36">
        <v>602.20348999999999</v>
      </c>
      <c r="BQ50" s="31">
        <f t="shared" si="54"/>
        <v>528.19268107899995</v>
      </c>
      <c r="BR50" s="31">
        <f t="shared" si="55"/>
        <v>74.010808920999992</v>
      </c>
      <c r="BS50" s="31">
        <f t="shared" si="56"/>
        <v>0</v>
      </c>
      <c r="BT50" s="31">
        <f t="shared" si="57"/>
        <v>0</v>
      </c>
      <c r="BU50" s="27">
        <f t="shared" si="87"/>
        <v>0</v>
      </c>
      <c r="BV50" s="37">
        <f t="shared" si="14"/>
        <v>-1</v>
      </c>
      <c r="BW50" s="36">
        <v>602.20348999999999</v>
      </c>
      <c r="BX50" s="31">
        <f t="shared" si="58"/>
        <v>528.19268107899995</v>
      </c>
      <c r="BY50" s="31">
        <f t="shared" si="59"/>
        <v>74.010808920999992</v>
      </c>
      <c r="BZ50" s="31">
        <f t="shared" si="60"/>
        <v>0</v>
      </c>
      <c r="CA50" s="31">
        <f t="shared" si="61"/>
        <v>0</v>
      </c>
      <c r="CB50" s="27">
        <f t="shared" si="88"/>
        <v>0</v>
      </c>
      <c r="CC50" s="37">
        <f t="shared" si="16"/>
        <v>-1</v>
      </c>
      <c r="CD50" s="36">
        <v>602.20348999999999</v>
      </c>
      <c r="CE50" s="31">
        <f t="shared" si="62"/>
        <v>528.19268107899995</v>
      </c>
      <c r="CF50" s="31">
        <f t="shared" si="63"/>
        <v>74.010808920999992</v>
      </c>
      <c r="CG50" s="31">
        <f t="shared" si="64"/>
        <v>0</v>
      </c>
      <c r="CH50" s="31">
        <f t="shared" si="65"/>
        <v>0</v>
      </c>
      <c r="CI50" s="27">
        <f t="shared" si="89"/>
        <v>0</v>
      </c>
      <c r="CJ50" s="37">
        <f t="shared" si="18"/>
        <v>-1</v>
      </c>
      <c r="CK50" s="36">
        <v>602.20348999999999</v>
      </c>
      <c r="CL50" s="31">
        <f t="shared" si="66"/>
        <v>528.19268107899995</v>
      </c>
      <c r="CM50" s="31">
        <f t="shared" si="67"/>
        <v>74.010808920999992</v>
      </c>
      <c r="CN50" s="31">
        <f t="shared" si="68"/>
        <v>0</v>
      </c>
      <c r="CO50" s="31">
        <f t="shared" si="69"/>
        <v>0</v>
      </c>
      <c r="CP50" s="27">
        <f t="shared" si="90"/>
        <v>0</v>
      </c>
      <c r="CQ50" s="37">
        <f t="shared" si="20"/>
        <v>-1</v>
      </c>
      <c r="CS50" s="27">
        <f>1282.85</f>
        <v>1282.8499999999999</v>
      </c>
      <c r="CT50" s="27">
        <f>1430.54</f>
        <v>1430.54</v>
      </c>
      <c r="CU50" s="27">
        <f>2620.47</f>
        <v>2620.4699999999998</v>
      </c>
      <c r="CV50" s="27">
        <f>1213.17</f>
        <v>1213.17</v>
      </c>
      <c r="CW50" s="27"/>
      <c r="CX50" s="27"/>
      <c r="CY50" s="27"/>
      <c r="CZ50" s="27"/>
      <c r="DA50" s="27"/>
      <c r="DB50" s="27"/>
      <c r="DC50" s="27"/>
      <c r="DD50" s="27"/>
      <c r="DF50" s="28"/>
    </row>
    <row r="51" spans="1:110" s="26" customFormat="1" ht="16" customHeight="1" x14ac:dyDescent="0.2">
      <c r="A51" s="29" t="s">
        <v>75</v>
      </c>
      <c r="B51" s="30">
        <f t="shared" si="76"/>
        <v>5431.4891605799976</v>
      </c>
      <c r="C51" s="31">
        <f t="shared" si="76"/>
        <v>4763.9591427447176</v>
      </c>
      <c r="D51" s="32">
        <f t="shared" si="76"/>
        <v>667.5300178352818</v>
      </c>
      <c r="E51" s="30">
        <f t="shared" si="84"/>
        <v>1810.4963868599996</v>
      </c>
      <c r="F51" s="33">
        <f t="shared" si="84"/>
        <v>1587.9863809149056</v>
      </c>
      <c r="G51" s="34">
        <f t="shared" si="84"/>
        <v>222.51000594509395</v>
      </c>
      <c r="H51" s="31">
        <f t="shared" si="77"/>
        <v>2347.6154679250303</v>
      </c>
      <c r="I51" s="33">
        <f t="shared" si="77"/>
        <v>328.94988143653654</v>
      </c>
      <c r="J51" s="33">
        <f t="shared" si="77"/>
        <v>2676.5653493615669</v>
      </c>
      <c r="K51" s="35">
        <f t="shared" si="2"/>
        <v>0.47835995077770788</v>
      </c>
      <c r="L51" s="36">
        <v>452.62409671499989</v>
      </c>
      <c r="M51" s="31">
        <f t="shared" si="22"/>
        <v>396.99659522872639</v>
      </c>
      <c r="N51" s="31">
        <f t="shared" si="23"/>
        <v>55.627501486273488</v>
      </c>
      <c r="O51" s="31">
        <f t="shared" si="24"/>
        <v>392.97008067046932</v>
      </c>
      <c r="P51" s="31">
        <f t="shared" si="25"/>
        <v>55.063302832517017</v>
      </c>
      <c r="Q51" s="33">
        <v>448.03338350298634</v>
      </c>
      <c r="R51" s="35">
        <f t="shared" si="3"/>
        <v>-1.0142441035135952E-2</v>
      </c>
      <c r="S51" s="36">
        <v>452.62409671499989</v>
      </c>
      <c r="T51" s="31">
        <f t="shared" si="26"/>
        <v>396.99659522872639</v>
      </c>
      <c r="U51" s="31">
        <f t="shared" si="27"/>
        <v>55.627501486273488</v>
      </c>
      <c r="V51" s="31">
        <f t="shared" si="28"/>
        <v>382.73428021039757</v>
      </c>
      <c r="W51" s="31">
        <f t="shared" si="29"/>
        <v>53.629053742854701</v>
      </c>
      <c r="X51" s="33">
        <v>436.36333395325227</v>
      </c>
      <c r="Y51" s="35">
        <f t="shared" si="4"/>
        <v>-3.5925534852790708E-2</v>
      </c>
      <c r="Z51" s="36">
        <v>452.62409671499989</v>
      </c>
      <c r="AA51" s="31">
        <f t="shared" si="30"/>
        <v>396.99659522872639</v>
      </c>
      <c r="AB51" s="31">
        <f t="shared" si="31"/>
        <v>55.627501486273488</v>
      </c>
      <c r="AC51" s="31">
        <f t="shared" si="32"/>
        <v>355.97882133863857</v>
      </c>
      <c r="AD51" s="31">
        <f t="shared" si="33"/>
        <v>49.880056028410308</v>
      </c>
      <c r="AE51" s="33">
        <v>405.85887736704888</v>
      </c>
      <c r="AF51" s="35">
        <f t="shared" si="5"/>
        <v>-0.10332021579796113</v>
      </c>
      <c r="AG51" s="36">
        <v>452.62409671499989</v>
      </c>
      <c r="AH51" s="31">
        <f t="shared" si="34"/>
        <v>396.99659522872639</v>
      </c>
      <c r="AI51" s="31">
        <f t="shared" si="35"/>
        <v>55.627501486273488</v>
      </c>
      <c r="AJ51" s="31">
        <f t="shared" si="36"/>
        <v>474.74489103775693</v>
      </c>
      <c r="AK51" s="31">
        <f t="shared" si="37"/>
        <v>66.521658999589931</v>
      </c>
      <c r="AL51" s="33">
        <v>541.26655003734686</v>
      </c>
      <c r="AM51" s="35">
        <f t="shared" si="6"/>
        <v>0.1958412156261351</v>
      </c>
      <c r="AN51" s="36">
        <v>452.62409671499989</v>
      </c>
      <c r="AO51" s="31">
        <f t="shared" si="38"/>
        <v>396.99659522872639</v>
      </c>
      <c r="AP51" s="31">
        <f t="shared" si="39"/>
        <v>55.627501486273488</v>
      </c>
      <c r="AQ51" s="31">
        <f t="shared" si="40"/>
        <v>389.90318857773354</v>
      </c>
      <c r="AR51" s="31">
        <f t="shared" si="41"/>
        <v>54.633567297005413</v>
      </c>
      <c r="AS51" s="27">
        <v>444.53675587473896</v>
      </c>
      <c r="AT51" s="35">
        <f t="shared" si="7"/>
        <v>-1.7867676288019663E-2</v>
      </c>
      <c r="AU51" s="36">
        <v>452.62409671499989</v>
      </c>
      <c r="AV51" s="31">
        <f t="shared" si="42"/>
        <v>396.99659522872639</v>
      </c>
      <c r="AW51" s="31">
        <f t="shared" si="43"/>
        <v>55.627501486273488</v>
      </c>
      <c r="AX51" s="31">
        <f t="shared" si="44"/>
        <v>351.28420609003422</v>
      </c>
      <c r="AY51" s="31">
        <f t="shared" si="45"/>
        <v>49.222242536159165</v>
      </c>
      <c r="AZ51" s="27">
        <v>400.50644862619339</v>
      </c>
      <c r="BA51" s="35">
        <f t="shared" si="8"/>
        <v>-0.1151455445413968</v>
      </c>
      <c r="BB51" s="36">
        <v>452.62409671499989</v>
      </c>
      <c r="BC51" s="31">
        <f t="shared" si="46"/>
        <v>396.99659522872639</v>
      </c>
      <c r="BD51" s="31">
        <f t="shared" si="47"/>
        <v>55.627501486273488</v>
      </c>
      <c r="BE51" s="31">
        <f t="shared" si="48"/>
        <v>0</v>
      </c>
      <c r="BF51" s="31">
        <f t="shared" si="49"/>
        <v>0</v>
      </c>
      <c r="BG51" s="27">
        <f t="shared" si="85"/>
        <v>0</v>
      </c>
      <c r="BH51" s="35">
        <f t="shared" si="10"/>
        <v>-1</v>
      </c>
      <c r="BI51" s="36">
        <v>452.62409671499989</v>
      </c>
      <c r="BJ51" s="31">
        <f t="shared" si="50"/>
        <v>396.99659522872639</v>
      </c>
      <c r="BK51" s="31">
        <f t="shared" si="51"/>
        <v>55.627501486273488</v>
      </c>
      <c r="BL51" s="31">
        <f t="shared" si="52"/>
        <v>0</v>
      </c>
      <c r="BM51" s="31">
        <f t="shared" si="53"/>
        <v>0</v>
      </c>
      <c r="BN51" s="27">
        <f t="shared" si="86"/>
        <v>0</v>
      </c>
      <c r="BO51" s="37">
        <f t="shared" si="12"/>
        <v>-1</v>
      </c>
      <c r="BP51" s="36">
        <v>452.62409671499989</v>
      </c>
      <c r="BQ51" s="31">
        <f t="shared" si="54"/>
        <v>396.99659522872639</v>
      </c>
      <c r="BR51" s="31">
        <f t="shared" si="55"/>
        <v>55.627501486273488</v>
      </c>
      <c r="BS51" s="31">
        <f t="shared" si="56"/>
        <v>0</v>
      </c>
      <c r="BT51" s="31">
        <f t="shared" si="57"/>
        <v>0</v>
      </c>
      <c r="BU51" s="27">
        <f t="shared" si="87"/>
        <v>0</v>
      </c>
      <c r="BV51" s="37">
        <f t="shared" si="14"/>
        <v>-1</v>
      </c>
      <c r="BW51" s="36">
        <v>452.62409671499989</v>
      </c>
      <c r="BX51" s="31">
        <f t="shared" si="58"/>
        <v>396.99659522872639</v>
      </c>
      <c r="BY51" s="31">
        <f t="shared" si="59"/>
        <v>55.627501486273488</v>
      </c>
      <c r="BZ51" s="31">
        <f t="shared" si="60"/>
        <v>0</v>
      </c>
      <c r="CA51" s="31">
        <f t="shared" si="61"/>
        <v>0</v>
      </c>
      <c r="CB51" s="27">
        <f t="shared" si="88"/>
        <v>0</v>
      </c>
      <c r="CC51" s="37">
        <f t="shared" si="16"/>
        <v>-1</v>
      </c>
      <c r="CD51" s="36">
        <v>452.62409671499989</v>
      </c>
      <c r="CE51" s="31">
        <f t="shared" si="62"/>
        <v>396.99659522872639</v>
      </c>
      <c r="CF51" s="31">
        <f t="shared" si="63"/>
        <v>55.627501486273488</v>
      </c>
      <c r="CG51" s="31">
        <f t="shared" si="64"/>
        <v>0</v>
      </c>
      <c r="CH51" s="31">
        <f t="shared" si="65"/>
        <v>0</v>
      </c>
      <c r="CI51" s="27">
        <f t="shared" si="89"/>
        <v>0</v>
      </c>
      <c r="CJ51" s="37">
        <f t="shared" si="18"/>
        <v>-1</v>
      </c>
      <c r="CK51" s="36">
        <v>452.62409671499989</v>
      </c>
      <c r="CL51" s="31">
        <f t="shared" si="66"/>
        <v>396.99659522872639</v>
      </c>
      <c r="CM51" s="31">
        <f t="shared" si="67"/>
        <v>55.627501486273488</v>
      </c>
      <c r="CN51" s="31">
        <f t="shared" si="68"/>
        <v>0</v>
      </c>
      <c r="CO51" s="31">
        <f t="shared" si="69"/>
        <v>0</v>
      </c>
      <c r="CP51" s="27">
        <f t="shared" si="90"/>
        <v>0</v>
      </c>
      <c r="CQ51" s="37">
        <f t="shared" si="20"/>
        <v>-1</v>
      </c>
      <c r="CS51" s="27">
        <f>1021.22</f>
        <v>1021.22</v>
      </c>
      <c r="CT51" s="27">
        <f>994.62</f>
        <v>994.62</v>
      </c>
      <c r="CU51" s="27">
        <f>925.09</f>
        <v>925.09</v>
      </c>
      <c r="CV51" s="27">
        <f>1233.73</f>
        <v>1233.73</v>
      </c>
      <c r="CW51" s="27"/>
      <c r="CX51" s="27"/>
      <c r="CY51" s="27"/>
      <c r="CZ51" s="27"/>
      <c r="DA51" s="27"/>
      <c r="DB51" s="27"/>
      <c r="DC51" s="27"/>
      <c r="DD51" s="27"/>
      <c r="DF51" s="28"/>
    </row>
    <row r="52" spans="1:110" s="26" customFormat="1" ht="16" customHeight="1" x14ac:dyDescent="0.2">
      <c r="A52" s="29" t="s">
        <v>76</v>
      </c>
      <c r="B52" s="30">
        <f t="shared" si="76"/>
        <v>17548.000000000004</v>
      </c>
      <c r="C52" s="31">
        <f t="shared" si="76"/>
        <v>15391.3508</v>
      </c>
      <c r="D52" s="32">
        <f t="shared" si="76"/>
        <v>2156.6491999999994</v>
      </c>
      <c r="E52" s="30">
        <f t="shared" si="84"/>
        <v>5849.333333333333</v>
      </c>
      <c r="F52" s="33">
        <f t="shared" si="84"/>
        <v>5130.4502666666667</v>
      </c>
      <c r="G52" s="34">
        <f t="shared" si="84"/>
        <v>718.88306666666665</v>
      </c>
      <c r="H52" s="31">
        <f t="shared" si="77"/>
        <v>9290.8282831617071</v>
      </c>
      <c r="I52" s="33">
        <f t="shared" si="77"/>
        <v>1301.8387823515834</v>
      </c>
      <c r="J52" s="33">
        <f t="shared" si="77"/>
        <v>10592.667065513291</v>
      </c>
      <c r="K52" s="35">
        <f t="shared" si="2"/>
        <v>0.81091869139160444</v>
      </c>
      <c r="L52" s="36">
        <v>1462.3333333333333</v>
      </c>
      <c r="M52" s="31">
        <f t="shared" si="22"/>
        <v>1282.6125666666667</v>
      </c>
      <c r="N52" s="31">
        <f t="shared" si="23"/>
        <v>179.72076666666666</v>
      </c>
      <c r="O52" s="31">
        <f t="shared" si="24"/>
        <v>798.69643146317105</v>
      </c>
      <c r="P52" s="31">
        <f t="shared" si="25"/>
        <v>111.91402511324104</v>
      </c>
      <c r="Q52" s="33">
        <v>910.61045657641205</v>
      </c>
      <c r="R52" s="35">
        <f t="shared" si="3"/>
        <v>-0.37728940740158734</v>
      </c>
      <c r="S52" s="36">
        <v>1462.3333333333333</v>
      </c>
      <c r="T52" s="31">
        <f t="shared" si="26"/>
        <v>1282.6125666666667</v>
      </c>
      <c r="U52" s="31">
        <f t="shared" si="27"/>
        <v>179.72076666666666</v>
      </c>
      <c r="V52" s="31">
        <f t="shared" si="28"/>
        <v>534.22797506474535</v>
      </c>
      <c r="W52" s="31">
        <f t="shared" si="29"/>
        <v>74.856479461244106</v>
      </c>
      <c r="X52" s="33">
        <v>609.08445452598949</v>
      </c>
      <c r="Y52" s="35">
        <f t="shared" si="4"/>
        <v>-0.58348453075496498</v>
      </c>
      <c r="Z52" s="36">
        <v>1462.3333333333333</v>
      </c>
      <c r="AA52" s="31">
        <f t="shared" si="30"/>
        <v>1282.6125666666667</v>
      </c>
      <c r="AB52" s="31">
        <f t="shared" si="31"/>
        <v>179.72076666666666</v>
      </c>
      <c r="AC52" s="31">
        <f t="shared" si="32"/>
        <v>2453.1019333430554</v>
      </c>
      <c r="AD52" s="31">
        <f t="shared" si="33"/>
        <v>343.7307349308648</v>
      </c>
      <c r="AE52" s="33">
        <v>2796.8326682739203</v>
      </c>
      <c r="AF52" s="35">
        <f t="shared" si="5"/>
        <v>0.91258217570589495</v>
      </c>
      <c r="AG52" s="36">
        <v>1462.3333333333333</v>
      </c>
      <c r="AH52" s="31">
        <f t="shared" si="34"/>
        <v>1282.6125666666667</v>
      </c>
      <c r="AI52" s="31">
        <f t="shared" si="35"/>
        <v>179.72076666666666</v>
      </c>
      <c r="AJ52" s="31">
        <f t="shared" si="36"/>
        <v>1599.2976453427839</v>
      </c>
      <c r="AK52" s="31">
        <f t="shared" si="37"/>
        <v>224.09494996309215</v>
      </c>
      <c r="AL52" s="33">
        <v>1823.3925953058761</v>
      </c>
      <c r="AM52" s="35">
        <f t="shared" si="6"/>
        <v>0.246906265310606</v>
      </c>
      <c r="AN52" s="36">
        <v>1462.3333333333333</v>
      </c>
      <c r="AO52" s="31">
        <f t="shared" si="38"/>
        <v>1282.6125666666667</v>
      </c>
      <c r="AP52" s="31">
        <f t="shared" si="39"/>
        <v>179.72076666666666</v>
      </c>
      <c r="AQ52" s="31">
        <f t="shared" si="40"/>
        <v>2377.3647060290955</v>
      </c>
      <c r="AR52" s="31">
        <f t="shared" si="41"/>
        <v>333.11837005013774</v>
      </c>
      <c r="AS52" s="27">
        <v>2710.4830760792333</v>
      </c>
      <c r="AT52" s="35">
        <f t="shared" si="7"/>
        <v>0.85353299025249618</v>
      </c>
      <c r="AU52" s="36">
        <v>1462.3333333333333</v>
      </c>
      <c r="AV52" s="31">
        <f t="shared" si="42"/>
        <v>1282.6125666666667</v>
      </c>
      <c r="AW52" s="31">
        <f t="shared" si="43"/>
        <v>179.72076666666666</v>
      </c>
      <c r="AX52" s="31">
        <f t="shared" si="44"/>
        <v>1528.1395919188565</v>
      </c>
      <c r="AY52" s="31">
        <f t="shared" si="45"/>
        <v>214.12422283300359</v>
      </c>
      <c r="AZ52" s="27">
        <v>1742.2638147518601</v>
      </c>
      <c r="BA52" s="35">
        <f t="shared" si="8"/>
        <v>0.19142727245397317</v>
      </c>
      <c r="BB52" s="36">
        <v>1462.3333333333333</v>
      </c>
      <c r="BC52" s="31">
        <f t="shared" si="46"/>
        <v>1282.6125666666667</v>
      </c>
      <c r="BD52" s="31">
        <f t="shared" si="47"/>
        <v>179.72076666666666</v>
      </c>
      <c r="BE52" s="31">
        <f t="shared" si="48"/>
        <v>0</v>
      </c>
      <c r="BF52" s="31">
        <f t="shared" si="49"/>
        <v>0</v>
      </c>
      <c r="BG52" s="27">
        <f t="shared" si="85"/>
        <v>0</v>
      </c>
      <c r="BH52" s="35">
        <f t="shared" si="10"/>
        <v>-1</v>
      </c>
      <c r="BI52" s="36">
        <v>1462.3333333333333</v>
      </c>
      <c r="BJ52" s="31">
        <f t="shared" si="50"/>
        <v>1282.6125666666667</v>
      </c>
      <c r="BK52" s="31">
        <f t="shared" si="51"/>
        <v>179.72076666666666</v>
      </c>
      <c r="BL52" s="31">
        <f t="shared" si="52"/>
        <v>0</v>
      </c>
      <c r="BM52" s="31">
        <f t="shared" si="53"/>
        <v>0</v>
      </c>
      <c r="BN52" s="27">
        <f t="shared" si="86"/>
        <v>0</v>
      </c>
      <c r="BO52" s="37">
        <f t="shared" si="12"/>
        <v>-1</v>
      </c>
      <c r="BP52" s="36">
        <v>1462.3333333333333</v>
      </c>
      <c r="BQ52" s="31">
        <f t="shared" si="54"/>
        <v>1282.6125666666667</v>
      </c>
      <c r="BR52" s="31">
        <f t="shared" si="55"/>
        <v>179.72076666666666</v>
      </c>
      <c r="BS52" s="31">
        <f t="shared" si="56"/>
        <v>0</v>
      </c>
      <c r="BT52" s="31">
        <f t="shared" si="57"/>
        <v>0</v>
      </c>
      <c r="BU52" s="27">
        <f t="shared" si="87"/>
        <v>0</v>
      </c>
      <c r="BV52" s="37">
        <f t="shared" si="14"/>
        <v>-1</v>
      </c>
      <c r="BW52" s="36">
        <v>1462.3333333333333</v>
      </c>
      <c r="BX52" s="31">
        <f t="shared" si="58"/>
        <v>1282.6125666666667</v>
      </c>
      <c r="BY52" s="31">
        <f t="shared" si="59"/>
        <v>179.72076666666666</v>
      </c>
      <c r="BZ52" s="31">
        <f t="shared" si="60"/>
        <v>0</v>
      </c>
      <c r="CA52" s="31">
        <f t="shared" si="61"/>
        <v>0</v>
      </c>
      <c r="CB52" s="27">
        <f t="shared" si="88"/>
        <v>0</v>
      </c>
      <c r="CC52" s="37">
        <f t="shared" si="16"/>
        <v>-1</v>
      </c>
      <c r="CD52" s="36">
        <v>1462.3333333333333</v>
      </c>
      <c r="CE52" s="31">
        <f t="shared" si="62"/>
        <v>1282.6125666666667</v>
      </c>
      <c r="CF52" s="31">
        <f t="shared" si="63"/>
        <v>179.72076666666666</v>
      </c>
      <c r="CG52" s="31">
        <f t="shared" si="64"/>
        <v>0</v>
      </c>
      <c r="CH52" s="31">
        <f t="shared" si="65"/>
        <v>0</v>
      </c>
      <c r="CI52" s="27">
        <f t="shared" si="89"/>
        <v>0</v>
      </c>
      <c r="CJ52" s="37">
        <f t="shared" si="18"/>
        <v>-1</v>
      </c>
      <c r="CK52" s="36">
        <v>1462.3333333333333</v>
      </c>
      <c r="CL52" s="31">
        <f t="shared" si="66"/>
        <v>1282.6125666666667</v>
      </c>
      <c r="CM52" s="31">
        <f t="shared" si="67"/>
        <v>179.72076666666666</v>
      </c>
      <c r="CN52" s="31">
        <f t="shared" si="68"/>
        <v>0</v>
      </c>
      <c r="CO52" s="31">
        <f t="shared" si="69"/>
        <v>0</v>
      </c>
      <c r="CP52" s="27">
        <f t="shared" si="90"/>
        <v>0</v>
      </c>
      <c r="CQ52" s="37">
        <f t="shared" si="20"/>
        <v>-1</v>
      </c>
      <c r="CS52" s="27">
        <f>2075.59</f>
        <v>2075.59</v>
      </c>
      <c r="CT52" s="27">
        <f>1388.31</f>
        <v>1388.31</v>
      </c>
      <c r="CU52" s="27">
        <f>6374.93</f>
        <v>6374.93</v>
      </c>
      <c r="CV52" s="27">
        <f>4156.13</f>
        <v>4156.13</v>
      </c>
      <c r="CW52" s="27"/>
      <c r="CX52" s="27"/>
      <c r="CY52" s="27"/>
      <c r="CZ52" s="27"/>
      <c r="DA52" s="27"/>
      <c r="DB52" s="27"/>
      <c r="DC52" s="27"/>
      <c r="DD52" s="27"/>
      <c r="DF52" s="28"/>
    </row>
    <row r="53" spans="1:110" s="26" customFormat="1" ht="16" customHeight="1" x14ac:dyDescent="0.2">
      <c r="A53" s="38" t="s">
        <v>77</v>
      </c>
      <c r="B53" s="30">
        <f t="shared" si="76"/>
        <v>15354.499999999995</v>
      </c>
      <c r="C53" s="31">
        <f t="shared" si="76"/>
        <v>13467.43195</v>
      </c>
      <c r="D53" s="32">
        <f t="shared" si="76"/>
        <v>1887.0680500000001</v>
      </c>
      <c r="E53" s="30">
        <f t="shared" si="84"/>
        <v>5118.1666666666661</v>
      </c>
      <c r="F53" s="33">
        <f t="shared" si="84"/>
        <v>4489.1439833333325</v>
      </c>
      <c r="G53" s="34">
        <f t="shared" si="84"/>
        <v>629.02268333333325</v>
      </c>
      <c r="H53" s="31">
        <f t="shared" si="77"/>
        <v>11897.097811058407</v>
      </c>
      <c r="I53" s="33">
        <f t="shared" si="77"/>
        <v>1667.0314912542221</v>
      </c>
      <c r="J53" s="33">
        <f t="shared" si="77"/>
        <v>13564.129302312631</v>
      </c>
      <c r="K53" s="35">
        <f t="shared" si="2"/>
        <v>1.650192966683246</v>
      </c>
      <c r="L53" s="36">
        <v>1279.5416666666665</v>
      </c>
      <c r="M53" s="31">
        <f t="shared" si="22"/>
        <v>1122.2859958333331</v>
      </c>
      <c r="N53" s="31">
        <f t="shared" si="23"/>
        <v>157.25567083333331</v>
      </c>
      <c r="O53" s="31">
        <f t="shared" si="24"/>
        <v>0</v>
      </c>
      <c r="P53" s="31">
        <f t="shared" si="25"/>
        <v>0</v>
      </c>
      <c r="Q53" s="33">
        <v>0</v>
      </c>
      <c r="R53" s="35">
        <f t="shared" si="3"/>
        <v>-1</v>
      </c>
      <c r="S53" s="36">
        <v>1279.5416666666665</v>
      </c>
      <c r="T53" s="31">
        <f t="shared" si="26"/>
        <v>1122.2859958333331</v>
      </c>
      <c r="U53" s="31">
        <f t="shared" si="27"/>
        <v>157.25567083333331</v>
      </c>
      <c r="V53" s="31">
        <f t="shared" si="28"/>
        <v>41.493472316148043</v>
      </c>
      <c r="W53" s="31">
        <f t="shared" si="29"/>
        <v>5.8141007270033001</v>
      </c>
      <c r="X53" s="33">
        <v>47.307573043151343</v>
      </c>
      <c r="Y53" s="35">
        <f t="shared" si="4"/>
        <v>-0.96302771978782664</v>
      </c>
      <c r="Z53" s="36">
        <v>1279.5416666666665</v>
      </c>
      <c r="AA53" s="31">
        <f t="shared" si="30"/>
        <v>1122.2859958333331</v>
      </c>
      <c r="AB53" s="31">
        <f t="shared" si="31"/>
        <v>157.25567083333331</v>
      </c>
      <c r="AC53" s="31">
        <f t="shared" si="32"/>
        <v>169.3139925726156</v>
      </c>
      <c r="AD53" s="31">
        <f t="shared" si="33"/>
        <v>23.724421032008273</v>
      </c>
      <c r="AE53" s="33">
        <v>193.03841360462388</v>
      </c>
      <c r="AF53" s="35">
        <f t="shared" si="5"/>
        <v>-0.84913471860005296</v>
      </c>
      <c r="AG53" s="36">
        <v>1279.5416666666665</v>
      </c>
      <c r="AH53" s="31">
        <f t="shared" si="34"/>
        <v>1122.2859958333331</v>
      </c>
      <c r="AI53" s="31">
        <f t="shared" si="35"/>
        <v>157.25567083333331</v>
      </c>
      <c r="AJ53" s="31">
        <f t="shared" si="36"/>
        <v>0</v>
      </c>
      <c r="AK53" s="31">
        <f t="shared" si="37"/>
        <v>0</v>
      </c>
      <c r="AL53" s="27">
        <v>0</v>
      </c>
      <c r="AM53" s="35">
        <f t="shared" si="6"/>
        <v>-1</v>
      </c>
      <c r="AN53" s="36">
        <v>1279.5416666666665</v>
      </c>
      <c r="AO53" s="31">
        <f t="shared" si="38"/>
        <v>1122.2859958333331</v>
      </c>
      <c r="AP53" s="31">
        <f t="shared" si="39"/>
        <v>157.25567083333331</v>
      </c>
      <c r="AQ53" s="31">
        <f t="shared" si="40"/>
        <v>11686.290346169644</v>
      </c>
      <c r="AR53" s="31">
        <f t="shared" si="41"/>
        <v>1637.4929694952107</v>
      </c>
      <c r="AS53" s="27">
        <v>13323.783315664856</v>
      </c>
      <c r="AT53" s="35">
        <f t="shared" si="7"/>
        <v>9.4129343051208636</v>
      </c>
      <c r="AU53" s="36">
        <v>1279.5416666666665</v>
      </c>
      <c r="AV53" s="31">
        <f t="shared" si="42"/>
        <v>1122.2859958333331</v>
      </c>
      <c r="AW53" s="31">
        <f t="shared" si="43"/>
        <v>157.25567083333331</v>
      </c>
      <c r="AX53" s="31">
        <f t="shared" si="44"/>
        <v>0</v>
      </c>
      <c r="AY53" s="31">
        <f t="shared" si="45"/>
        <v>0</v>
      </c>
      <c r="AZ53" s="27">
        <v>0</v>
      </c>
      <c r="BA53" s="35">
        <f t="shared" si="8"/>
        <v>-1</v>
      </c>
      <c r="BB53" s="36">
        <v>1279.5416666666665</v>
      </c>
      <c r="BC53" s="31">
        <f t="shared" si="46"/>
        <v>1122.2859958333331</v>
      </c>
      <c r="BD53" s="31">
        <f t="shared" si="47"/>
        <v>157.25567083333331</v>
      </c>
      <c r="BE53" s="31">
        <f t="shared" si="48"/>
        <v>0</v>
      </c>
      <c r="BF53" s="31">
        <f t="shared" si="49"/>
        <v>0</v>
      </c>
      <c r="BG53" s="27">
        <f t="shared" si="85"/>
        <v>0</v>
      </c>
      <c r="BH53" s="35">
        <f t="shared" si="10"/>
        <v>-1</v>
      </c>
      <c r="BI53" s="36">
        <v>1279.5416666666665</v>
      </c>
      <c r="BJ53" s="31">
        <f t="shared" si="50"/>
        <v>1122.2859958333331</v>
      </c>
      <c r="BK53" s="31">
        <f t="shared" si="51"/>
        <v>157.25567083333331</v>
      </c>
      <c r="BL53" s="31">
        <f t="shared" si="52"/>
        <v>0</v>
      </c>
      <c r="BM53" s="31">
        <f t="shared" si="53"/>
        <v>0</v>
      </c>
      <c r="BN53" s="27">
        <f t="shared" si="86"/>
        <v>0</v>
      </c>
      <c r="BO53" s="37">
        <f t="shared" si="12"/>
        <v>-1</v>
      </c>
      <c r="BP53" s="36">
        <v>1279.5416666666665</v>
      </c>
      <c r="BQ53" s="31">
        <f t="shared" si="54"/>
        <v>1122.2859958333331</v>
      </c>
      <c r="BR53" s="31">
        <f t="shared" si="55"/>
        <v>157.25567083333331</v>
      </c>
      <c r="BS53" s="31">
        <f t="shared" si="56"/>
        <v>0</v>
      </c>
      <c r="BT53" s="31">
        <f t="shared" si="57"/>
        <v>0</v>
      </c>
      <c r="BU53" s="27">
        <f t="shared" si="87"/>
        <v>0</v>
      </c>
      <c r="BV53" s="37">
        <f t="shared" si="14"/>
        <v>-1</v>
      </c>
      <c r="BW53" s="36">
        <v>1279.5416666666665</v>
      </c>
      <c r="BX53" s="31">
        <f t="shared" si="58"/>
        <v>1122.2859958333331</v>
      </c>
      <c r="BY53" s="31">
        <f t="shared" si="59"/>
        <v>157.25567083333331</v>
      </c>
      <c r="BZ53" s="31">
        <f t="shared" si="60"/>
        <v>0</v>
      </c>
      <c r="CA53" s="31">
        <f t="shared" si="61"/>
        <v>0</v>
      </c>
      <c r="CB53" s="27">
        <f t="shared" si="88"/>
        <v>0</v>
      </c>
      <c r="CC53" s="37">
        <f t="shared" si="16"/>
        <v>-1</v>
      </c>
      <c r="CD53" s="36">
        <v>1279.5416666666665</v>
      </c>
      <c r="CE53" s="31">
        <f t="shared" si="62"/>
        <v>1122.2859958333331</v>
      </c>
      <c r="CF53" s="31">
        <f t="shared" si="63"/>
        <v>157.25567083333331</v>
      </c>
      <c r="CG53" s="31">
        <f t="shared" si="64"/>
        <v>0</v>
      </c>
      <c r="CH53" s="31">
        <f t="shared" si="65"/>
        <v>0</v>
      </c>
      <c r="CI53" s="27">
        <f t="shared" si="89"/>
        <v>0</v>
      </c>
      <c r="CJ53" s="37">
        <f t="shared" si="18"/>
        <v>-1</v>
      </c>
      <c r="CK53" s="36">
        <v>1279.5416666666665</v>
      </c>
      <c r="CL53" s="31">
        <f t="shared" si="66"/>
        <v>1122.2859958333331</v>
      </c>
      <c r="CM53" s="31">
        <f t="shared" si="67"/>
        <v>157.25567083333331</v>
      </c>
      <c r="CN53" s="31">
        <f t="shared" si="68"/>
        <v>0</v>
      </c>
      <c r="CO53" s="31">
        <f t="shared" si="69"/>
        <v>0</v>
      </c>
      <c r="CP53" s="27">
        <f t="shared" si="90"/>
        <v>0</v>
      </c>
      <c r="CQ53" s="37">
        <f t="shared" si="20"/>
        <v>-1</v>
      </c>
      <c r="CS53" s="27"/>
      <c r="CT53" s="27">
        <f>107.83</f>
        <v>107.83</v>
      </c>
      <c r="CU53" s="27">
        <f>440</f>
        <v>440</v>
      </c>
      <c r="CV53" s="27"/>
      <c r="CW53" s="27"/>
      <c r="CX53" s="27"/>
      <c r="CY53" s="27"/>
      <c r="CZ53" s="27"/>
      <c r="DA53" s="27"/>
      <c r="DB53" s="27"/>
      <c r="DC53" s="27"/>
      <c r="DD53" s="27"/>
      <c r="DF53" s="28"/>
    </row>
    <row r="54" spans="1:110" s="26" customFormat="1" ht="16" customHeight="1" thickBot="1" x14ac:dyDescent="0.25">
      <c r="A54" s="39" t="s">
        <v>78</v>
      </c>
      <c r="B54" s="50">
        <f t="shared" si="76"/>
        <v>153675.25188602487</v>
      </c>
      <c r="C54" s="40">
        <f t="shared" si="76"/>
        <v>134788.5634292324</v>
      </c>
      <c r="D54" s="51">
        <f t="shared" si="76"/>
        <v>18886.688456792454</v>
      </c>
      <c r="E54" s="52">
        <f t="shared" si="84"/>
        <v>87814.429649157057</v>
      </c>
      <c r="F54" s="53">
        <f t="shared" si="84"/>
        <v>77022.036245275653</v>
      </c>
      <c r="G54" s="54">
        <f t="shared" si="84"/>
        <v>10792.393403881402</v>
      </c>
      <c r="H54" s="40">
        <f t="shared" si="77"/>
        <v>34403.952746160518</v>
      </c>
      <c r="I54" s="53">
        <f t="shared" si="77"/>
        <v>4820.7111988406414</v>
      </c>
      <c r="J54" s="53">
        <f t="shared" si="77"/>
        <v>39224.663945001157</v>
      </c>
      <c r="K54" s="55">
        <f t="shared" si="2"/>
        <v>-0.55332325106802438</v>
      </c>
      <c r="L54" s="56">
        <v>21953.607412289264</v>
      </c>
      <c r="M54" s="57">
        <f t="shared" si="22"/>
        <v>19255.509061318913</v>
      </c>
      <c r="N54" s="57">
        <f t="shared" si="23"/>
        <v>2698.0983509703506</v>
      </c>
      <c r="O54" s="57">
        <f t="shared" si="24"/>
        <v>0</v>
      </c>
      <c r="P54" s="57">
        <f t="shared" si="25"/>
        <v>0</v>
      </c>
      <c r="Q54" s="58">
        <v>0</v>
      </c>
      <c r="R54" s="55">
        <f t="shared" si="3"/>
        <v>-1</v>
      </c>
      <c r="S54" s="56">
        <v>21953.607412289264</v>
      </c>
      <c r="T54" s="57">
        <f t="shared" si="26"/>
        <v>19255.509061318913</v>
      </c>
      <c r="U54" s="57">
        <f t="shared" si="27"/>
        <v>2698.0983509703506</v>
      </c>
      <c r="V54" s="57">
        <f t="shared" si="28"/>
        <v>20623.464027345301</v>
      </c>
      <c r="W54" s="57">
        <f t="shared" si="29"/>
        <v>2889.7773674161867</v>
      </c>
      <c r="X54" s="58">
        <v>23513.241394761488</v>
      </c>
      <c r="Y54" s="55">
        <f t="shared" si="4"/>
        <v>7.1042264407040756E-2</v>
      </c>
      <c r="Z54" s="56">
        <v>21953.607412289264</v>
      </c>
      <c r="AA54" s="57">
        <f t="shared" si="30"/>
        <v>19255.509061318913</v>
      </c>
      <c r="AB54" s="57">
        <f t="shared" si="31"/>
        <v>2698.0983509703506</v>
      </c>
      <c r="AC54" s="57">
        <f t="shared" si="32"/>
        <v>18445.127694643634</v>
      </c>
      <c r="AD54" s="57">
        <f t="shared" si="33"/>
        <v>2584.5470227701544</v>
      </c>
      <c r="AE54" s="59">
        <v>21029.674717413789</v>
      </c>
      <c r="AF54" s="55">
        <f t="shared" si="5"/>
        <v>-4.2085689040711971E-2</v>
      </c>
      <c r="AG54" s="56">
        <v>21953.607412289264</v>
      </c>
      <c r="AH54" s="57">
        <f t="shared" si="34"/>
        <v>19255.509061318913</v>
      </c>
      <c r="AI54" s="57">
        <f t="shared" si="35"/>
        <v>2698.0983509703506</v>
      </c>
      <c r="AJ54" s="57">
        <f t="shared" si="36"/>
        <v>0</v>
      </c>
      <c r="AK54" s="57">
        <f t="shared" si="37"/>
        <v>0</v>
      </c>
      <c r="AL54" s="59">
        <v>0</v>
      </c>
      <c r="AM54" s="55">
        <f t="shared" si="6"/>
        <v>-1</v>
      </c>
      <c r="AN54" s="56">
        <v>21953.607412289264</v>
      </c>
      <c r="AO54" s="57">
        <f t="shared" si="38"/>
        <v>19255.509061318913</v>
      </c>
      <c r="AP54" s="57">
        <f t="shared" si="39"/>
        <v>2698.0983509703506</v>
      </c>
      <c r="AQ54" s="57">
        <f t="shared" si="40"/>
        <v>0</v>
      </c>
      <c r="AR54" s="57">
        <f t="shared" si="41"/>
        <v>0</v>
      </c>
      <c r="AS54" s="59">
        <v>0</v>
      </c>
      <c r="AT54" s="55">
        <f t="shared" si="7"/>
        <v>-1</v>
      </c>
      <c r="AU54" s="56">
        <v>21953.607412289264</v>
      </c>
      <c r="AV54" s="57">
        <f t="shared" si="42"/>
        <v>19255.509061318913</v>
      </c>
      <c r="AW54" s="57">
        <f t="shared" si="43"/>
        <v>2698.0983509703506</v>
      </c>
      <c r="AX54" s="57">
        <f t="shared" si="44"/>
        <v>-4664.6389758284167</v>
      </c>
      <c r="AY54" s="57">
        <f t="shared" si="45"/>
        <v>-653.61319134569885</v>
      </c>
      <c r="AZ54" s="59">
        <v>-5318.252167174116</v>
      </c>
      <c r="BA54" s="55">
        <f t="shared" si="8"/>
        <v>-1.2422495796384263</v>
      </c>
      <c r="BB54" s="56">
        <v>21953.607412289264</v>
      </c>
      <c r="BC54" s="57">
        <f t="shared" si="46"/>
        <v>19255.509061318913</v>
      </c>
      <c r="BD54" s="57">
        <f t="shared" si="47"/>
        <v>2698.0983509703506</v>
      </c>
      <c r="BE54" s="57">
        <f t="shared" si="48"/>
        <v>0</v>
      </c>
      <c r="BF54" s="57">
        <f t="shared" si="49"/>
        <v>0</v>
      </c>
      <c r="BG54" s="59">
        <f t="shared" si="85"/>
        <v>0</v>
      </c>
      <c r="BH54" s="55">
        <f t="shared" si="10"/>
        <v>-1</v>
      </c>
      <c r="BI54" s="56">
        <v>0</v>
      </c>
      <c r="BJ54" s="57">
        <f t="shared" si="50"/>
        <v>0</v>
      </c>
      <c r="BK54" s="57">
        <f t="shared" si="51"/>
        <v>0</v>
      </c>
      <c r="BL54" s="57">
        <f t="shared" si="52"/>
        <v>0</v>
      </c>
      <c r="BM54" s="57">
        <f t="shared" si="53"/>
        <v>0</v>
      </c>
      <c r="BN54" s="59">
        <f t="shared" si="86"/>
        <v>0</v>
      </c>
      <c r="BO54" s="60" t="str">
        <f t="shared" si="12"/>
        <v/>
      </c>
      <c r="BP54" s="56">
        <v>0</v>
      </c>
      <c r="BQ54" s="57">
        <f t="shared" si="54"/>
        <v>0</v>
      </c>
      <c r="BR54" s="57">
        <f t="shared" si="55"/>
        <v>0</v>
      </c>
      <c r="BS54" s="57">
        <f t="shared" si="56"/>
        <v>0</v>
      </c>
      <c r="BT54" s="57">
        <f t="shared" si="57"/>
        <v>0</v>
      </c>
      <c r="BU54" s="59">
        <f t="shared" si="87"/>
        <v>0</v>
      </c>
      <c r="BV54" s="60" t="str">
        <f t="shared" si="14"/>
        <v/>
      </c>
      <c r="BW54" s="56">
        <v>0</v>
      </c>
      <c r="BX54" s="57">
        <f t="shared" si="58"/>
        <v>0</v>
      </c>
      <c r="BY54" s="57">
        <f t="shared" si="59"/>
        <v>0</v>
      </c>
      <c r="BZ54" s="57">
        <f t="shared" si="60"/>
        <v>0</v>
      </c>
      <c r="CA54" s="57">
        <f t="shared" si="61"/>
        <v>0</v>
      </c>
      <c r="CB54" s="61">
        <f t="shared" si="88"/>
        <v>0</v>
      </c>
      <c r="CC54" s="60" t="str">
        <f t="shared" si="16"/>
        <v/>
      </c>
      <c r="CD54" s="56">
        <v>0</v>
      </c>
      <c r="CE54" s="57">
        <f t="shared" si="62"/>
        <v>0</v>
      </c>
      <c r="CF54" s="57">
        <f t="shared" si="63"/>
        <v>0</v>
      </c>
      <c r="CG54" s="57">
        <f t="shared" si="64"/>
        <v>0</v>
      </c>
      <c r="CH54" s="57">
        <f t="shared" si="65"/>
        <v>0</v>
      </c>
      <c r="CI54" s="61">
        <f t="shared" si="89"/>
        <v>0</v>
      </c>
      <c r="CJ54" s="60" t="str">
        <f t="shared" si="18"/>
        <v/>
      </c>
      <c r="CK54" s="56">
        <v>0</v>
      </c>
      <c r="CL54" s="57">
        <f t="shared" si="66"/>
        <v>0</v>
      </c>
      <c r="CM54" s="57">
        <f t="shared" si="67"/>
        <v>0</v>
      </c>
      <c r="CN54" s="57">
        <f t="shared" si="68"/>
        <v>0</v>
      </c>
      <c r="CO54" s="57">
        <f t="shared" si="69"/>
        <v>0</v>
      </c>
      <c r="CP54" s="61">
        <f t="shared" si="90"/>
        <v>0</v>
      </c>
      <c r="CQ54" s="60" t="str">
        <f t="shared" si="20"/>
        <v/>
      </c>
      <c r="CS54" s="27"/>
      <c r="CT54" s="27">
        <f>1.86+39972.31+13620.48</f>
        <v>53594.649999999994</v>
      </c>
      <c r="CU54" s="27">
        <v>47933.759415439097</v>
      </c>
      <c r="CV54" s="27"/>
      <c r="CW54" s="27"/>
      <c r="CX54" s="27"/>
      <c r="CY54" s="27"/>
      <c r="CZ54" s="27"/>
      <c r="DA54" s="27"/>
      <c r="DB54" s="27"/>
      <c r="DC54" s="27"/>
      <c r="DD54" s="27"/>
      <c r="DF54" s="28"/>
    </row>
    <row r="55" spans="1:110" s="26" customFormat="1" ht="16" customHeight="1" thickBot="1" x14ac:dyDescent="0.25">
      <c r="A55" s="62" t="s">
        <v>79</v>
      </c>
      <c r="B55" s="63">
        <f t="shared" ref="B55:J55" si="91">SUM(B4:B54)</f>
        <v>9943700.9437515326</v>
      </c>
      <c r="C55" s="64">
        <f t="shared" ref="C55:D55" si="92">SUM(C4:C54)</f>
        <v>8721620.0977644697</v>
      </c>
      <c r="D55" s="65">
        <f t="shared" si="92"/>
        <v>1222080.8459870631</v>
      </c>
      <c r="E55" s="63">
        <f t="shared" si="91"/>
        <v>3889215.5024326043</v>
      </c>
      <c r="F55" s="66">
        <f t="shared" si="91"/>
        <v>3411230.9171836367</v>
      </c>
      <c r="G55" s="67">
        <f t="shared" si="91"/>
        <v>477984.58524896693</v>
      </c>
      <c r="H55" s="64">
        <f t="shared" si="91"/>
        <v>4877035.4627551399</v>
      </c>
      <c r="I55" s="66">
        <f t="shared" si="91"/>
        <v>683374.36822780385</v>
      </c>
      <c r="J55" s="66">
        <f t="shared" si="91"/>
        <v>5560409.8309829449</v>
      </c>
      <c r="K55" s="68">
        <f>+J55/E55-1</f>
        <v>0.42969959558812088</v>
      </c>
      <c r="L55" s="69">
        <f t="shared" ref="L55:Q55" si="93">SUM(L4:L54)</f>
        <v>787893.57246446551</v>
      </c>
      <c r="M55" s="64">
        <f t="shared" si="93"/>
        <v>691061.45240858267</v>
      </c>
      <c r="N55" s="64">
        <f t="shared" si="93"/>
        <v>96832.120055882784</v>
      </c>
      <c r="O55" s="64">
        <f t="shared" si="93"/>
        <v>524868.77033981821</v>
      </c>
      <c r="P55" s="64">
        <f t="shared" si="93"/>
        <v>73545.059713560186</v>
      </c>
      <c r="Q55" s="66">
        <f t="shared" si="93"/>
        <v>598413.83005337848</v>
      </c>
      <c r="R55" s="68">
        <f>+Q55/L55-1</f>
        <v>-0.2404890064255889</v>
      </c>
      <c r="S55" s="69">
        <f t="shared" ref="S55:X55" si="94">SUM(S4:S54)</f>
        <v>857674.5813735103</v>
      </c>
      <c r="T55" s="64">
        <f t="shared" si="94"/>
        <v>752266.37532270595</v>
      </c>
      <c r="U55" s="64">
        <f t="shared" si="94"/>
        <v>105408.20605080439</v>
      </c>
      <c r="V55" s="64">
        <f t="shared" si="94"/>
        <v>645892.81443889823</v>
      </c>
      <c r="W55" s="64">
        <f t="shared" si="94"/>
        <v>90503.051983286496</v>
      </c>
      <c r="X55" s="66">
        <f t="shared" si="94"/>
        <v>736395.86642218451</v>
      </c>
      <c r="Y55" s="68">
        <f>+X55/S55-1</f>
        <v>-0.14140411478337833</v>
      </c>
      <c r="Z55" s="69">
        <f t="shared" ref="Z55:AE55" si="95">SUM(Z4:Z54)</f>
        <v>1245921.6570221952</v>
      </c>
      <c r="AA55" s="64">
        <f t="shared" si="95"/>
        <v>1092797.8853741675</v>
      </c>
      <c r="AB55" s="64">
        <f t="shared" si="95"/>
        <v>153123.77164802779</v>
      </c>
      <c r="AC55" s="64">
        <f t="shared" si="95"/>
        <v>836761.49454730237</v>
      </c>
      <c r="AD55" s="64">
        <f t="shared" si="95"/>
        <v>117247.73421487104</v>
      </c>
      <c r="AE55" s="70">
        <f t="shared" si="95"/>
        <v>954009.22876217321</v>
      </c>
      <c r="AF55" s="68">
        <f>+AE55/Z55-1</f>
        <v>-0.23429436884314614</v>
      </c>
      <c r="AG55" s="69">
        <f t="shared" ref="AG55:AL55" si="96">SUM(AG4:AG54)</f>
        <v>997725.69157243264</v>
      </c>
      <c r="AH55" s="64">
        <f t="shared" si="96"/>
        <v>875105.20407818072</v>
      </c>
      <c r="AI55" s="64">
        <f t="shared" si="96"/>
        <v>122620.48749425195</v>
      </c>
      <c r="AJ55" s="64">
        <f t="shared" si="96"/>
        <v>985139.96753163799</v>
      </c>
      <c r="AK55" s="64">
        <f t="shared" si="96"/>
        <v>138038.65238814076</v>
      </c>
      <c r="AL55" s="70">
        <f t="shared" si="96"/>
        <v>1123178.6199197788</v>
      </c>
      <c r="AM55" s="68">
        <f>+AL55/AG55-1</f>
        <v>0.12573889738133359</v>
      </c>
      <c r="AN55" s="69">
        <f t="shared" ref="AN55:AS55" si="97">SUM(AN4:AN54)</f>
        <v>1054951.6891425552</v>
      </c>
      <c r="AO55" s="64">
        <f t="shared" si="97"/>
        <v>925298.12654693495</v>
      </c>
      <c r="AP55" s="64">
        <f t="shared" si="97"/>
        <v>129653.56259561999</v>
      </c>
      <c r="AQ55" s="64">
        <f t="shared" si="97"/>
        <v>782303.1319307969</v>
      </c>
      <c r="AR55" s="64">
        <f t="shared" si="97"/>
        <v>109616.9820023885</v>
      </c>
      <c r="AS55" s="70">
        <f t="shared" si="97"/>
        <v>891920.11393318581</v>
      </c>
      <c r="AT55" s="68">
        <f>+AS55/AN55-1</f>
        <v>-0.15453937548730634</v>
      </c>
      <c r="AU55" s="69">
        <f t="shared" ref="AU55:AZ55" si="98">SUM(AU4:AU54)</f>
        <v>969942.42490791017</v>
      </c>
      <c r="AV55" s="64">
        <f t="shared" si="98"/>
        <v>850736.50088672806</v>
      </c>
      <c r="AW55" s="64">
        <f t="shared" si="98"/>
        <v>119205.92402118213</v>
      </c>
      <c r="AX55" s="64">
        <f t="shared" si="98"/>
        <v>1102069.283966687</v>
      </c>
      <c r="AY55" s="64">
        <f t="shared" si="98"/>
        <v>154422.88792555677</v>
      </c>
      <c r="AZ55" s="70">
        <f t="shared" si="98"/>
        <v>1256492.1718922439</v>
      </c>
      <c r="BA55" s="68">
        <f>+AZ55/AU55-1</f>
        <v>0.29542964574576658</v>
      </c>
      <c r="BB55" s="69">
        <f t="shared" ref="BB55:BG55" si="99">SUM(BB4:BB54)</f>
        <v>1054148.0395452429</v>
      </c>
      <c r="BC55" s="64">
        <f t="shared" si="99"/>
        <v>924593.24548513244</v>
      </c>
      <c r="BD55" s="64">
        <f t="shared" si="99"/>
        <v>129554.79406011035</v>
      </c>
      <c r="BE55" s="64">
        <f t="shared" si="99"/>
        <v>0</v>
      </c>
      <c r="BF55" s="64">
        <f t="shared" si="99"/>
        <v>0</v>
      </c>
      <c r="BG55" s="70">
        <f t="shared" si="99"/>
        <v>0</v>
      </c>
      <c r="BH55" s="68">
        <f>+BG55/BB55-1</f>
        <v>-1</v>
      </c>
      <c r="BI55" s="69">
        <f t="shared" ref="BI55:BN55" si="100">SUM(BI4:BI54)</f>
        <v>713592.68526973703</v>
      </c>
      <c r="BJ55" s="64">
        <f t="shared" si="100"/>
        <v>625892.14425008639</v>
      </c>
      <c r="BK55" s="64">
        <f t="shared" si="100"/>
        <v>87700.541019650642</v>
      </c>
      <c r="BL55" s="64">
        <f t="shared" si="100"/>
        <v>0</v>
      </c>
      <c r="BM55" s="64">
        <f t="shared" si="100"/>
        <v>0</v>
      </c>
      <c r="BN55" s="70">
        <f t="shared" si="100"/>
        <v>0</v>
      </c>
      <c r="BO55" s="71">
        <f>+BN55/BI55-1</f>
        <v>-1</v>
      </c>
      <c r="BP55" s="69">
        <f t="shared" ref="BP55:BU55" si="101">SUM(BP4:BP54)</f>
        <v>721213.7675125713</v>
      </c>
      <c r="BQ55" s="64">
        <f t="shared" si="101"/>
        <v>632576.59548527631</v>
      </c>
      <c r="BR55" s="64">
        <f t="shared" si="101"/>
        <v>88637.17202729499</v>
      </c>
      <c r="BS55" s="64">
        <f t="shared" si="101"/>
        <v>0</v>
      </c>
      <c r="BT55" s="64">
        <f t="shared" si="101"/>
        <v>0</v>
      </c>
      <c r="BU55" s="70">
        <f t="shared" si="101"/>
        <v>0</v>
      </c>
      <c r="BV55" s="71">
        <f>+BU55/BP55-1</f>
        <v>-1</v>
      </c>
      <c r="BW55" s="69">
        <f t="shared" ref="BW55:CB55" si="102">SUM(BW4:BW54)</f>
        <v>568309.27409017133</v>
      </c>
      <c r="BX55" s="64">
        <f t="shared" si="102"/>
        <v>498464.06430448929</v>
      </c>
      <c r="BY55" s="64">
        <f t="shared" si="102"/>
        <v>69845.209785682047</v>
      </c>
      <c r="BZ55" s="64">
        <f t="shared" si="102"/>
        <v>0</v>
      </c>
      <c r="CA55" s="64">
        <f t="shared" si="102"/>
        <v>0</v>
      </c>
      <c r="CB55" s="70">
        <f t="shared" si="102"/>
        <v>0</v>
      </c>
      <c r="CC55" s="71">
        <f>+CB55/BW55-1</f>
        <v>-1</v>
      </c>
      <c r="CD55" s="69">
        <f t="shared" ref="CD55:CI55" si="103">SUM(CD4:CD54)</f>
        <v>488229.67001257138</v>
      </c>
      <c r="CE55" s="64">
        <f t="shared" si="103"/>
        <v>428226.24356802634</v>
      </c>
      <c r="CF55" s="64">
        <f t="shared" si="103"/>
        <v>60003.426444545003</v>
      </c>
      <c r="CG55" s="64">
        <f t="shared" si="103"/>
        <v>0</v>
      </c>
      <c r="CH55" s="64">
        <f t="shared" si="103"/>
        <v>0</v>
      </c>
      <c r="CI55" s="70">
        <f t="shared" si="103"/>
        <v>0</v>
      </c>
      <c r="CJ55" s="71">
        <f>+CI55/CD55-1</f>
        <v>-1</v>
      </c>
      <c r="CK55" s="69">
        <f t="shared" ref="CK55:CP55" si="104">SUM(CK4:CK54)</f>
        <v>484097.89083817136</v>
      </c>
      <c r="CL55" s="64">
        <f t="shared" si="104"/>
        <v>424602.26005416014</v>
      </c>
      <c r="CM55" s="64">
        <f t="shared" si="104"/>
        <v>59495.630784011249</v>
      </c>
      <c r="CN55" s="64">
        <f t="shared" si="104"/>
        <v>0</v>
      </c>
      <c r="CO55" s="64">
        <f t="shared" si="104"/>
        <v>0</v>
      </c>
      <c r="CP55" s="70">
        <f t="shared" si="104"/>
        <v>0</v>
      </c>
      <c r="CQ55" s="71">
        <f>+CP55/CK55-1</f>
        <v>-1</v>
      </c>
      <c r="CR55" s="72"/>
      <c r="CS55" s="73"/>
      <c r="CT55" s="73"/>
      <c r="CU55" s="73"/>
      <c r="CV55" s="73"/>
      <c r="CW55" s="73"/>
      <c r="CX55" s="73"/>
      <c r="CY55" s="73"/>
      <c r="CZ55" s="73"/>
      <c r="DA55" s="73"/>
      <c r="DB55" s="73"/>
      <c r="DC55" s="73"/>
      <c r="DD55" s="73"/>
      <c r="DE55" s="72"/>
      <c r="DF55" s="28"/>
    </row>
    <row r="56" spans="1:110" s="26" customFormat="1" ht="16" customHeight="1" x14ac:dyDescent="0.2">
      <c r="A56" s="74" t="s">
        <v>80</v>
      </c>
      <c r="B56" s="75">
        <f>+L56+S56+Z56+AG56+AN56+AU56+BB56+BI56+BP56+BW56+CD56+CK56</f>
        <v>-168749.74998269897</v>
      </c>
      <c r="C56" s="76">
        <f t="shared" ref="C56:D57" si="105">+M56+T56+AA56+AH56+AO56+AV56+BC56+BJ56+BQ56+BX56+CE56+CL56</f>
        <v>-148010.40570982525</v>
      </c>
      <c r="D56" s="77">
        <f t="shared" si="105"/>
        <v>-20739.344272873699</v>
      </c>
      <c r="E56" s="75">
        <f>+L56+S56+Z56+AG56</f>
        <v>-56249.916660899653</v>
      </c>
      <c r="F56" s="78">
        <f t="shared" ref="F56:G57" si="106">+M56+T56+AA56+AH56</f>
        <v>-49336.801903275089</v>
      </c>
      <c r="G56" s="79">
        <f t="shared" si="106"/>
        <v>-6913.1147576245667</v>
      </c>
      <c r="H56" s="76">
        <f t="shared" ref="H56:J57" si="107">+O56+V56+AC56+AJ56+AQ56+AX56+BE56+BL56+BS56+BZ56+CG56+CN56</f>
        <v>-206930.40534156791</v>
      </c>
      <c r="I56" s="78">
        <f t="shared" si="107"/>
        <v>-28995.26486886181</v>
      </c>
      <c r="J56" s="78">
        <f t="shared" si="107"/>
        <v>-235925.6702104297</v>
      </c>
      <c r="K56" s="80">
        <f t="shared" ref="K56:K57" si="108">IF(E56=0,"",(+J56/E56-1))</f>
        <v>3.1942403511937281</v>
      </c>
      <c r="L56" s="81">
        <v>-14062.479165224913</v>
      </c>
      <c r="M56" s="76">
        <f t="shared" ref="M56:M57" si="109">L56-N56</f>
        <v>-12334.200475818772</v>
      </c>
      <c r="N56" s="76">
        <f t="shared" ref="N56:N57" si="110">+L56*12.29%</f>
        <v>-1728.2786894061417</v>
      </c>
      <c r="O56" s="76">
        <f t="shared" ref="O56:O57" si="111">+Q56-P56</f>
        <v>0</v>
      </c>
      <c r="P56" s="76">
        <f t="shared" ref="P56:P57" si="112">+Q56*12.29%</f>
        <v>0</v>
      </c>
      <c r="Q56" s="78">
        <v>0</v>
      </c>
      <c r="R56" s="80">
        <f t="shared" ref="R56:R57" si="113">IF(L56=0,"",(+Q56/L56-1))</f>
        <v>-1</v>
      </c>
      <c r="S56" s="81">
        <v>-14062.479165224913</v>
      </c>
      <c r="T56" s="76">
        <f t="shared" ref="T56:T57" si="114">S56-U56</f>
        <v>-12334.200475818772</v>
      </c>
      <c r="U56" s="76">
        <f t="shared" ref="U56:U57" si="115">+S56*12.29%</f>
        <v>-1728.2786894061417</v>
      </c>
      <c r="V56" s="76">
        <f t="shared" ref="V56:V57" si="116">+X56-W56</f>
        <v>-44849.548860152572</v>
      </c>
      <c r="W56" s="76">
        <f t="shared" ref="W56:W57" si="117">+X56*12.29%</f>
        <v>-6284.3570344461878</v>
      </c>
      <c r="X56" s="78">
        <v>-51133.905894598764</v>
      </c>
      <c r="Y56" s="80">
        <f>IF(S56=0,"",(+X56/S56-1))</f>
        <v>2.6361942509431575</v>
      </c>
      <c r="Z56" s="81">
        <v>-14062.479165224913</v>
      </c>
      <c r="AA56" s="76">
        <f t="shared" ref="AA56:AA57" si="118">Z56-AB56</f>
        <v>-12334.200475818772</v>
      </c>
      <c r="AB56" s="76">
        <f t="shared" ref="AB56:AB57" si="119">+Z56*12.29%</f>
        <v>-1728.2786894061417</v>
      </c>
      <c r="AC56" s="76">
        <f t="shared" ref="AC56:AC57" si="120">+AE56-AD56</f>
        <v>6185.7520370555094</v>
      </c>
      <c r="AD56" s="76">
        <f t="shared" ref="AD56:AD57" si="121">+AE56*12.29%</f>
        <v>866.75285070587404</v>
      </c>
      <c r="AE56" s="78">
        <v>7052.5048877613835</v>
      </c>
      <c r="AF56" s="80">
        <f t="shared" ref="AF56:AF57" si="122">IF(Z56=0,"",(+AE56/Z56-1))</f>
        <v>-1.5015122017177109</v>
      </c>
      <c r="AG56" s="81">
        <v>-14062.479165224913</v>
      </c>
      <c r="AH56" s="76">
        <f t="shared" ref="AH56:AH57" si="123">AG56-AI56</f>
        <v>-12334.200475818772</v>
      </c>
      <c r="AI56" s="76">
        <f t="shared" ref="AI56:AI57" si="124">+AG56*12.29%</f>
        <v>-1728.2786894061417</v>
      </c>
      <c r="AJ56" s="76">
        <f t="shared" ref="AJ56:AJ57" si="125">+AL56-AK56</f>
        <v>-75445.306902492652</v>
      </c>
      <c r="AK56" s="76">
        <f t="shared" ref="AK56:AK57" si="126">+AL56*12.29%</f>
        <v>-10571.460743719468</v>
      </c>
      <c r="AL56" s="78">
        <v>-86016.767646212116</v>
      </c>
      <c r="AM56" s="80">
        <f t="shared" ref="AM56:AM57" si="127">IF(AG56=0,"",(+AL56/AG56-1))</f>
        <v>5.1167569839977345</v>
      </c>
      <c r="AN56" s="81">
        <v>-14062.479165224913</v>
      </c>
      <c r="AO56" s="76">
        <f t="shared" ref="AO56:AO57" si="128">AN56-AP56</f>
        <v>-12334.200475818772</v>
      </c>
      <c r="AP56" s="76">
        <f t="shared" ref="AP56:AP57" si="129">+AN56*12.29%</f>
        <v>-1728.2786894061417</v>
      </c>
      <c r="AQ56" s="76">
        <f t="shared" ref="AQ56:AQ57" si="130">+AS56-AR56</f>
        <v>-101332.61597342615</v>
      </c>
      <c r="AR56" s="76">
        <f t="shared" ref="AR56:AR57" si="131">+AS56*12.29%</f>
        <v>-14198.812567705019</v>
      </c>
      <c r="AS56" s="82">
        <v>-115531.42854113116</v>
      </c>
      <c r="AT56" s="80">
        <f t="shared" ref="AT56:AT57" si="132">IF(AN56=0,"",(+AS56/AN56-1))</f>
        <v>7.2155804238863279</v>
      </c>
      <c r="AU56" s="81">
        <v>-14062.479165224913</v>
      </c>
      <c r="AV56" s="76">
        <f t="shared" ref="AV56:AV57" si="133">AU56-AW56</f>
        <v>-12334.200475818772</v>
      </c>
      <c r="AW56" s="76">
        <f t="shared" ref="AW56:AW57" si="134">+AU56*12.29%</f>
        <v>-1728.2786894061417</v>
      </c>
      <c r="AX56" s="76">
        <f t="shared" ref="AX56:AX57" si="135">+AZ56-AY56</f>
        <v>8511.3143574479582</v>
      </c>
      <c r="AY56" s="76">
        <f t="shared" ref="AY56:AY57" si="136">+AZ56*12.29%</f>
        <v>1192.6126263029917</v>
      </c>
      <c r="AZ56" s="82">
        <v>9703.9269837509491</v>
      </c>
      <c r="BA56" s="80">
        <f t="shared" ref="BA56:BA57" si="137">IF(AU56=0,"",(+AZ56/AU56-1))</f>
        <v>-1.6900580523345967</v>
      </c>
      <c r="BB56" s="81">
        <v>-14062.479165224913</v>
      </c>
      <c r="BC56" s="76">
        <f t="shared" ref="BC56:BC57" si="138">BB56-BD56</f>
        <v>-12334.200475818772</v>
      </c>
      <c r="BD56" s="76">
        <f t="shared" ref="BD56:BD57" si="139">+BB56*12.29%</f>
        <v>-1728.2786894061417</v>
      </c>
      <c r="BE56" s="76">
        <f t="shared" ref="BE56:BE57" si="140">+BG56-BF56</f>
        <v>0</v>
      </c>
      <c r="BF56" s="76">
        <f t="shared" ref="BF56:BF57" si="141">+BG56*12.29%</f>
        <v>0</v>
      </c>
      <c r="BG56" s="82">
        <f t="shared" ref="BG56:BG57" si="142">CY56*0.51</f>
        <v>0</v>
      </c>
      <c r="BH56" s="80">
        <f t="shared" ref="BH56:BH57" si="143">IF(BB56=0,"",(+BG56/BB56-1))</f>
        <v>-1</v>
      </c>
      <c r="BI56" s="81">
        <v>-14062.479165224913</v>
      </c>
      <c r="BJ56" s="76">
        <f t="shared" ref="BJ56:BJ57" si="144">BI56-BK56</f>
        <v>-12334.200475818772</v>
      </c>
      <c r="BK56" s="76">
        <f t="shared" ref="BK56:BK57" si="145">+BI56*12.29%</f>
        <v>-1728.2786894061417</v>
      </c>
      <c r="BL56" s="76">
        <f t="shared" ref="BL56:BL57" si="146">+BN56-BM56</f>
        <v>0</v>
      </c>
      <c r="BM56" s="76">
        <f t="shared" ref="BM56:BM57" si="147">+BN56*12.29%</f>
        <v>0</v>
      </c>
      <c r="BN56" s="82">
        <f t="shared" ref="BN56:BN57" si="148">CZ56*0.51</f>
        <v>0</v>
      </c>
      <c r="BO56" s="83">
        <f t="shared" ref="BO56:BO57" si="149">IF(BI56=0,"",(+BN56/BI56-1))</f>
        <v>-1</v>
      </c>
      <c r="BP56" s="81">
        <v>-14062.479165224913</v>
      </c>
      <c r="BQ56" s="76">
        <f t="shared" ref="BQ56:BQ57" si="150">BP56-BR56</f>
        <v>-12334.200475818772</v>
      </c>
      <c r="BR56" s="76">
        <f t="shared" ref="BR56:BR57" si="151">+BP56*12.29%</f>
        <v>-1728.2786894061417</v>
      </c>
      <c r="BS56" s="76">
        <f t="shared" ref="BS56:BS57" si="152">+BU56-BT56</f>
        <v>0</v>
      </c>
      <c r="BT56" s="76">
        <f t="shared" ref="BT56:BT57" si="153">+BU56*12.29%</f>
        <v>0</v>
      </c>
      <c r="BU56" s="82">
        <f t="shared" ref="BU56:BU57" si="154">DA56*0.51</f>
        <v>0</v>
      </c>
      <c r="BV56" s="83">
        <f t="shared" ref="BV56:BV57" si="155">IF(BP56=0,"",(+BU56/BP56-1))</f>
        <v>-1</v>
      </c>
      <c r="BW56" s="81">
        <v>-14062.479165224913</v>
      </c>
      <c r="BX56" s="76">
        <f t="shared" ref="BX56:BX57" si="156">BW56-BY56</f>
        <v>-12334.200475818772</v>
      </c>
      <c r="BY56" s="76">
        <f t="shared" ref="BY56:BY57" si="157">+BW56*12.29%</f>
        <v>-1728.2786894061417</v>
      </c>
      <c r="BZ56" s="76">
        <f t="shared" ref="BZ56:BZ57" si="158">+CB56-CA56</f>
        <v>0</v>
      </c>
      <c r="CA56" s="76">
        <f t="shared" ref="CA56:CA57" si="159">+CB56*12.29%</f>
        <v>0</v>
      </c>
      <c r="CB56" s="82">
        <f t="shared" ref="CB56:CB57" si="160">DB56*0.51</f>
        <v>0</v>
      </c>
      <c r="CC56" s="83">
        <f t="shared" ref="CC56:CC57" si="161">IF(BW56=0,"",(+CB56/BW56-1))</f>
        <v>-1</v>
      </c>
      <c r="CD56" s="81">
        <v>-14062.479165224913</v>
      </c>
      <c r="CE56" s="76">
        <f t="shared" ref="CE56:CE57" si="162">CD56-CF56</f>
        <v>-12334.200475818772</v>
      </c>
      <c r="CF56" s="76">
        <f t="shared" ref="CF56:CF57" si="163">+CD56*12.29%</f>
        <v>-1728.2786894061417</v>
      </c>
      <c r="CG56" s="76">
        <f t="shared" ref="CG56:CG57" si="164">+CI56-CH56</f>
        <v>0</v>
      </c>
      <c r="CH56" s="76">
        <f t="shared" ref="CH56:CH57" si="165">+CI56*12.29%</f>
        <v>0</v>
      </c>
      <c r="CI56" s="82">
        <f t="shared" ref="CI56:CI57" si="166">DC56*0.51</f>
        <v>0</v>
      </c>
      <c r="CJ56" s="83">
        <f t="shared" ref="CJ56:CJ57" si="167">IF(CD56=0,"",(+CI56/CD56-1))</f>
        <v>-1</v>
      </c>
      <c r="CK56" s="81">
        <v>-14062.479165224913</v>
      </c>
      <c r="CL56" s="76">
        <f t="shared" ref="CL56:CL57" si="168">CK56-CM56</f>
        <v>-12334.200475818772</v>
      </c>
      <c r="CM56" s="76">
        <f t="shared" ref="CM56:CM57" si="169">+CK56*12.29%</f>
        <v>-1728.2786894061417</v>
      </c>
      <c r="CN56" s="76">
        <f t="shared" ref="CN56:CN57" si="170">+CP56-CO56</f>
        <v>0</v>
      </c>
      <c r="CO56" s="76">
        <f t="shared" ref="CO56:CO57" si="171">+CP56*12.29%</f>
        <v>0</v>
      </c>
      <c r="CP56" s="82">
        <f t="shared" ref="CP56:CP57" si="172">DD56*0.51</f>
        <v>0</v>
      </c>
      <c r="CQ56" s="83">
        <f t="shared" ref="CQ56:CQ57" si="173">IF(CK56=0,"",(+CP56/CK56-1))</f>
        <v>-1</v>
      </c>
      <c r="CS56" s="27"/>
      <c r="CT56" s="27">
        <v>-116551.51</v>
      </c>
      <c r="CU56" s="27">
        <v>16075.05</v>
      </c>
      <c r="CV56" s="27">
        <f>-214980.25+18918.87</f>
        <v>-196061.38</v>
      </c>
      <c r="CW56" s="27"/>
      <c r="CX56" s="27"/>
      <c r="CY56" s="27"/>
      <c r="CZ56" s="27"/>
      <c r="DA56" s="27"/>
      <c r="DB56" s="27"/>
      <c r="DC56" s="27"/>
      <c r="DD56" s="27"/>
      <c r="DF56" s="28"/>
    </row>
    <row r="57" spans="1:110" s="26" customFormat="1" ht="16" customHeight="1" thickBot="1" x14ac:dyDescent="0.25">
      <c r="A57" s="84" t="s">
        <v>81</v>
      </c>
      <c r="B57" s="52">
        <f>+L57+S57+Z57+AG57+AN57+AU57+BB57+BI57+BP57+BW57+CD57+CK57</f>
        <v>-56249.916660899646</v>
      </c>
      <c r="C57" s="40">
        <f t="shared" si="105"/>
        <v>-49336.801903275096</v>
      </c>
      <c r="D57" s="51">
        <f t="shared" si="105"/>
        <v>-6913.1147576245648</v>
      </c>
      <c r="E57" s="50">
        <f>+L57+S57+Z57+AG57</f>
        <v>-18749.972220299882</v>
      </c>
      <c r="F57" s="58">
        <f t="shared" si="106"/>
        <v>-16445.600634425027</v>
      </c>
      <c r="G57" s="85">
        <f t="shared" si="106"/>
        <v>-2304.3715858748556</v>
      </c>
      <c r="H57" s="57">
        <f t="shared" si="107"/>
        <v>-25526.212349364818</v>
      </c>
      <c r="I57" s="58">
        <f t="shared" si="107"/>
        <v>-3576.7546434123083</v>
      </c>
      <c r="J57" s="58">
        <f t="shared" si="107"/>
        <v>-29102.966992777128</v>
      </c>
      <c r="K57" s="86">
        <f t="shared" si="108"/>
        <v>0.55216053927101028</v>
      </c>
      <c r="L57" s="87">
        <v>-4687.4930550749705</v>
      </c>
      <c r="M57" s="40">
        <f t="shared" si="109"/>
        <v>-4111.4001586062568</v>
      </c>
      <c r="N57" s="40">
        <f t="shared" si="110"/>
        <v>-576.09289646871389</v>
      </c>
      <c r="O57" s="40">
        <f t="shared" si="111"/>
        <v>-16211.722435741085</v>
      </c>
      <c r="P57" s="40">
        <f t="shared" si="112"/>
        <v>-2271.6003732215022</v>
      </c>
      <c r="Q57" s="53">
        <v>-18483.322808962588</v>
      </c>
      <c r="R57" s="55">
        <f t="shared" si="113"/>
        <v>2.9431147079677054</v>
      </c>
      <c r="S57" s="87">
        <v>-4687.4930550749705</v>
      </c>
      <c r="T57" s="40">
        <f t="shared" si="114"/>
        <v>-4111.4001586062568</v>
      </c>
      <c r="U57" s="40">
        <f t="shared" si="115"/>
        <v>-576.09289646871389</v>
      </c>
      <c r="V57" s="40">
        <f t="shared" si="116"/>
        <v>-2395.300445105936</v>
      </c>
      <c r="W57" s="40">
        <f t="shared" si="117"/>
        <v>-335.63154110536942</v>
      </c>
      <c r="X57" s="53">
        <v>-2730.9319862113052</v>
      </c>
      <c r="Y57" s="55">
        <f>IF(S57=0,"",(+X57/S57-1))</f>
        <v>-0.4174003131045434</v>
      </c>
      <c r="Z57" s="87">
        <v>-4687.4930550749705</v>
      </c>
      <c r="AA57" s="40">
        <f t="shared" si="118"/>
        <v>-4111.4001586062568</v>
      </c>
      <c r="AB57" s="40">
        <f t="shared" si="119"/>
        <v>-576.09289646871389</v>
      </c>
      <c r="AC57" s="40">
        <f t="shared" si="120"/>
        <v>-10531.35727433369</v>
      </c>
      <c r="AD57" s="40">
        <f t="shared" si="121"/>
        <v>-1475.6627625306241</v>
      </c>
      <c r="AE57" s="61">
        <v>-12007.020036864315</v>
      </c>
      <c r="AF57" s="55">
        <f t="shared" si="122"/>
        <v>1.5615014029438976</v>
      </c>
      <c r="AG57" s="87">
        <v>-4687.4930550749705</v>
      </c>
      <c r="AH57" s="40">
        <f t="shared" si="123"/>
        <v>-4111.4001586062568</v>
      </c>
      <c r="AI57" s="40">
        <f t="shared" si="124"/>
        <v>-576.09289646871389</v>
      </c>
      <c r="AJ57" s="40">
        <f t="shared" si="125"/>
        <v>0</v>
      </c>
      <c r="AK57" s="40">
        <f t="shared" si="126"/>
        <v>0</v>
      </c>
      <c r="AL57" s="61">
        <v>0</v>
      </c>
      <c r="AM57" s="55">
        <f t="shared" si="127"/>
        <v>-1</v>
      </c>
      <c r="AN57" s="87">
        <v>-4687.4930550749705</v>
      </c>
      <c r="AO57" s="40">
        <f t="shared" si="128"/>
        <v>-4111.4001586062568</v>
      </c>
      <c r="AP57" s="40">
        <f t="shared" si="129"/>
        <v>-576.09289646871389</v>
      </c>
      <c r="AQ57" s="40">
        <f t="shared" si="130"/>
        <v>1525.4652004452662</v>
      </c>
      <c r="AR57" s="40">
        <f t="shared" si="131"/>
        <v>213.74948481897528</v>
      </c>
      <c r="AS57" s="61">
        <v>1739.2146852642416</v>
      </c>
      <c r="AT57" s="55">
        <f t="shared" si="132"/>
        <v>-1.3710330159062871</v>
      </c>
      <c r="AU57" s="87">
        <v>-4687.4930550749705</v>
      </c>
      <c r="AV57" s="40">
        <f t="shared" si="133"/>
        <v>-4111.4001586062568</v>
      </c>
      <c r="AW57" s="40">
        <f t="shared" si="134"/>
        <v>-576.09289646871389</v>
      </c>
      <c r="AX57" s="40">
        <f t="shared" si="135"/>
        <v>2086.7026053706295</v>
      </c>
      <c r="AY57" s="40">
        <f t="shared" si="136"/>
        <v>292.3905486262118</v>
      </c>
      <c r="AZ57" s="61">
        <v>2379.0931539968415</v>
      </c>
      <c r="BA57" s="55">
        <f t="shared" si="137"/>
        <v>-1.5075406248167318</v>
      </c>
      <c r="BB57" s="87">
        <v>-4687.4930550749705</v>
      </c>
      <c r="BC57" s="40">
        <f t="shared" si="138"/>
        <v>-4111.4001586062568</v>
      </c>
      <c r="BD57" s="40">
        <f t="shared" si="139"/>
        <v>-576.09289646871389</v>
      </c>
      <c r="BE57" s="40">
        <f t="shared" si="140"/>
        <v>0</v>
      </c>
      <c r="BF57" s="40">
        <f t="shared" si="141"/>
        <v>0</v>
      </c>
      <c r="BG57" s="61">
        <f t="shared" si="142"/>
        <v>0</v>
      </c>
      <c r="BH57" s="55">
        <f t="shared" si="143"/>
        <v>-1</v>
      </c>
      <c r="BI57" s="87">
        <v>-4687.4930550749705</v>
      </c>
      <c r="BJ57" s="40">
        <f t="shared" si="144"/>
        <v>-4111.4001586062568</v>
      </c>
      <c r="BK57" s="40">
        <f t="shared" si="145"/>
        <v>-576.09289646871389</v>
      </c>
      <c r="BL57" s="40">
        <f t="shared" si="146"/>
        <v>0</v>
      </c>
      <c r="BM57" s="40">
        <f t="shared" si="147"/>
        <v>0</v>
      </c>
      <c r="BN57" s="61">
        <f t="shared" si="148"/>
        <v>0</v>
      </c>
      <c r="BO57" s="60">
        <f t="shared" si="149"/>
        <v>-1</v>
      </c>
      <c r="BP57" s="87">
        <v>-4687.4930550749705</v>
      </c>
      <c r="BQ57" s="40">
        <f t="shared" si="150"/>
        <v>-4111.4001586062568</v>
      </c>
      <c r="BR57" s="40">
        <f t="shared" si="151"/>
        <v>-576.09289646871389</v>
      </c>
      <c r="BS57" s="40">
        <f t="shared" si="152"/>
        <v>0</v>
      </c>
      <c r="BT57" s="40">
        <f t="shared" si="153"/>
        <v>0</v>
      </c>
      <c r="BU57" s="61">
        <f t="shared" si="154"/>
        <v>0</v>
      </c>
      <c r="BV57" s="60">
        <f t="shared" si="155"/>
        <v>-1</v>
      </c>
      <c r="BW57" s="87">
        <v>-4687.4930550749705</v>
      </c>
      <c r="BX57" s="40">
        <f t="shared" si="156"/>
        <v>-4111.4001586062568</v>
      </c>
      <c r="BY57" s="40">
        <f t="shared" si="157"/>
        <v>-576.09289646871389</v>
      </c>
      <c r="BZ57" s="40">
        <f t="shared" si="158"/>
        <v>0</v>
      </c>
      <c r="CA57" s="40">
        <f t="shared" si="159"/>
        <v>0</v>
      </c>
      <c r="CB57" s="61">
        <f t="shared" si="160"/>
        <v>0</v>
      </c>
      <c r="CC57" s="60">
        <f t="shared" si="161"/>
        <v>-1</v>
      </c>
      <c r="CD57" s="87">
        <v>-4687.4930550749705</v>
      </c>
      <c r="CE57" s="40">
        <f t="shared" si="162"/>
        <v>-4111.4001586062568</v>
      </c>
      <c r="CF57" s="40">
        <f t="shared" si="163"/>
        <v>-576.09289646871389</v>
      </c>
      <c r="CG57" s="40">
        <f t="shared" si="164"/>
        <v>0</v>
      </c>
      <c r="CH57" s="40">
        <f t="shared" si="165"/>
        <v>0</v>
      </c>
      <c r="CI57" s="61">
        <f t="shared" si="166"/>
        <v>0</v>
      </c>
      <c r="CJ57" s="60">
        <f t="shared" si="167"/>
        <v>-1</v>
      </c>
      <c r="CK57" s="87">
        <v>-4687.4930550749705</v>
      </c>
      <c r="CL57" s="40">
        <f t="shared" si="168"/>
        <v>-4111.4001586062568</v>
      </c>
      <c r="CM57" s="40">
        <f t="shared" si="169"/>
        <v>-576.09289646871389</v>
      </c>
      <c r="CN57" s="40">
        <f t="shared" si="170"/>
        <v>0</v>
      </c>
      <c r="CO57" s="40">
        <f t="shared" si="171"/>
        <v>0</v>
      </c>
      <c r="CP57" s="61">
        <f t="shared" si="172"/>
        <v>0</v>
      </c>
      <c r="CQ57" s="60">
        <f t="shared" si="173"/>
        <v>-1</v>
      </c>
      <c r="CS57" s="27">
        <v>-42129.760000000002</v>
      </c>
      <c r="CT57" s="27">
        <v>-6224.72</v>
      </c>
      <c r="CU57" s="27">
        <v>-27368.07</v>
      </c>
      <c r="CV57" s="27"/>
      <c r="CW57" s="27"/>
      <c r="CX57" s="27"/>
      <c r="CY57" s="27"/>
      <c r="CZ57" s="27"/>
      <c r="DA57" s="27"/>
      <c r="DB57" s="27"/>
      <c r="DC57" s="27"/>
      <c r="DD57" s="27"/>
      <c r="DF57" s="28"/>
    </row>
    <row r="58" spans="1:110" s="26" customFormat="1" ht="16" customHeight="1" thickBot="1" x14ac:dyDescent="0.25">
      <c r="A58" s="88" t="s">
        <v>82</v>
      </c>
      <c r="B58" s="89">
        <f>+B55+B56+B57</f>
        <v>9718701.2771079335</v>
      </c>
      <c r="C58" s="90">
        <f t="shared" ref="C58:D58" si="174">+C55+C56+C57</f>
        <v>8524272.8901513685</v>
      </c>
      <c r="D58" s="91">
        <f t="shared" si="174"/>
        <v>1194428.3869565651</v>
      </c>
      <c r="E58" s="92">
        <f t="shared" ref="E58:J58" si="175">SUM(E55:E57)</f>
        <v>3814215.6135514048</v>
      </c>
      <c r="F58" s="93">
        <f t="shared" si="175"/>
        <v>3345448.5146459364</v>
      </c>
      <c r="G58" s="94">
        <f t="shared" si="175"/>
        <v>468767.09890546749</v>
      </c>
      <c r="H58" s="95">
        <f t="shared" si="175"/>
        <v>4644578.8450642079</v>
      </c>
      <c r="I58" s="96">
        <f t="shared" si="175"/>
        <v>650802.34871552978</v>
      </c>
      <c r="J58" s="96">
        <f t="shared" si="175"/>
        <v>5295381.1937797386</v>
      </c>
      <c r="K58" s="97">
        <f>+J58/E55-1</f>
        <v>0.36155509779995842</v>
      </c>
      <c r="L58" s="98">
        <f>+L55+L56+L57</f>
        <v>769143.60024416563</v>
      </c>
      <c r="M58" s="99">
        <f t="shared" ref="M58:P58" si="176">+M55+M56+M57</f>
        <v>674615.85177415761</v>
      </c>
      <c r="N58" s="99">
        <f t="shared" si="176"/>
        <v>94527.748470007922</v>
      </c>
      <c r="O58" s="99">
        <f t="shared" si="176"/>
        <v>508657.0479040771</v>
      </c>
      <c r="P58" s="99">
        <f t="shared" si="176"/>
        <v>71273.459340338683</v>
      </c>
      <c r="Q58" s="100">
        <f>SUM(Q55:Q57)</f>
        <v>579930.50724441593</v>
      </c>
      <c r="R58" s="101">
        <f>+Q58/L55-1</f>
        <v>-0.26394816823997991</v>
      </c>
      <c r="S58" s="98">
        <f>+S55+S56+S57</f>
        <v>838924.60915321042</v>
      </c>
      <c r="T58" s="99">
        <f t="shared" ref="T58:W58" si="177">+T55+T56+T57</f>
        <v>735820.77468828089</v>
      </c>
      <c r="U58" s="99">
        <f t="shared" si="177"/>
        <v>103103.83446492953</v>
      </c>
      <c r="V58" s="99">
        <f t="shared" si="177"/>
        <v>598647.96513363975</v>
      </c>
      <c r="W58" s="99">
        <f t="shared" si="177"/>
        <v>83883.063407734939</v>
      </c>
      <c r="X58" s="100">
        <f>SUM(X55:X57)</f>
        <v>682531.02854137437</v>
      </c>
      <c r="Y58" s="101">
        <f>+X58/S55-1</f>
        <v>-0.20420746590350725</v>
      </c>
      <c r="Z58" s="98">
        <f>+Z55+Z56+Z57</f>
        <v>1227171.6848018954</v>
      </c>
      <c r="AA58" s="99">
        <f t="shared" ref="AA58:AD58" si="178">+AA55+AA56+AA57</f>
        <v>1076352.2847397425</v>
      </c>
      <c r="AB58" s="99">
        <f t="shared" si="178"/>
        <v>150819.40006215294</v>
      </c>
      <c r="AC58" s="99">
        <f t="shared" si="178"/>
        <v>832415.88931002421</v>
      </c>
      <c r="AD58" s="99">
        <f t="shared" si="178"/>
        <v>116638.82430304629</v>
      </c>
      <c r="AE58" s="102">
        <f>SUM(AE55:AE57)</f>
        <v>949054.71361307031</v>
      </c>
      <c r="AF58" s="101">
        <f>+AE58/Z55-1</f>
        <v>-0.23827095526908915</v>
      </c>
      <c r="AG58" s="98">
        <f>+AG55+AG56+AG57</f>
        <v>978975.71935213276</v>
      </c>
      <c r="AH58" s="99">
        <f t="shared" ref="AH58:AK58" si="179">+AH55+AH56+AH57</f>
        <v>858659.60344375565</v>
      </c>
      <c r="AI58" s="99">
        <f t="shared" si="179"/>
        <v>120316.11590837709</v>
      </c>
      <c r="AJ58" s="99">
        <f t="shared" si="179"/>
        <v>909694.66062914534</v>
      </c>
      <c r="AK58" s="99">
        <f t="shared" si="179"/>
        <v>127467.1916444213</v>
      </c>
      <c r="AL58" s="102">
        <f>SUM(AL55:AL57)</f>
        <v>1037161.8522735666</v>
      </c>
      <c r="AM58" s="101">
        <f>+AL58/AG55-1</f>
        <v>3.9526055141450689E-2</v>
      </c>
      <c r="AN58" s="98">
        <f>+AN55+AN56+AN57</f>
        <v>1036201.7169222553</v>
      </c>
      <c r="AO58" s="99">
        <f t="shared" ref="AO58:AR58" si="180">+AO55+AO56+AO57</f>
        <v>908852.52591250988</v>
      </c>
      <c r="AP58" s="99">
        <f t="shared" si="180"/>
        <v>127349.19100974513</v>
      </c>
      <c r="AQ58" s="99">
        <f t="shared" si="180"/>
        <v>682495.98115781602</v>
      </c>
      <c r="AR58" s="99">
        <f t="shared" si="180"/>
        <v>95631.918919502466</v>
      </c>
      <c r="AS58" s="102">
        <f>SUM(AS55:AS57)</f>
        <v>778127.90007731889</v>
      </c>
      <c r="AT58" s="101">
        <f>+AS58/AN55-1</f>
        <v>-0.26240423321207573</v>
      </c>
      <c r="AU58" s="98">
        <f>+AU55+AU56+AU57</f>
        <v>951192.45268761029</v>
      </c>
      <c r="AV58" s="99">
        <f t="shared" ref="AV58:AY58" si="181">+AV55+AV56+AV57</f>
        <v>834290.90025230299</v>
      </c>
      <c r="AW58" s="99">
        <f t="shared" si="181"/>
        <v>116901.55243530727</v>
      </c>
      <c r="AX58" s="99">
        <f t="shared" si="181"/>
        <v>1112667.3009295056</v>
      </c>
      <c r="AY58" s="99">
        <f t="shared" si="181"/>
        <v>155907.89110048598</v>
      </c>
      <c r="AZ58" s="102">
        <f>SUM(AZ55:AZ57)</f>
        <v>1268575.1920299917</v>
      </c>
      <c r="BA58" s="101">
        <f>+AZ58/AU55-1</f>
        <v>0.30788710695940003</v>
      </c>
      <c r="BB58" s="98">
        <f>+BB55+BB56+BB57</f>
        <v>1035398.067324943</v>
      </c>
      <c r="BC58" s="99">
        <f t="shared" ref="BC58:BF58" si="182">+BC55+BC56+BC57</f>
        <v>908147.64485070738</v>
      </c>
      <c r="BD58" s="99">
        <f t="shared" si="182"/>
        <v>127250.42247423549</v>
      </c>
      <c r="BE58" s="99">
        <f t="shared" si="182"/>
        <v>0</v>
      </c>
      <c r="BF58" s="99">
        <f t="shared" si="182"/>
        <v>0</v>
      </c>
      <c r="BG58" s="102">
        <f>SUM(BG55:BG57)</f>
        <v>0</v>
      </c>
      <c r="BH58" s="101">
        <f>+BG58/BB55-1</f>
        <v>-1</v>
      </c>
      <c r="BI58" s="98">
        <f>+BI55+BI56+BI57</f>
        <v>694842.71304943715</v>
      </c>
      <c r="BJ58" s="99">
        <f t="shared" ref="BJ58:BM58" si="183">+BJ55+BJ56+BJ57</f>
        <v>609446.54361566133</v>
      </c>
      <c r="BK58" s="99">
        <f t="shared" si="183"/>
        <v>85396.16943377578</v>
      </c>
      <c r="BL58" s="99">
        <f t="shared" si="183"/>
        <v>0</v>
      </c>
      <c r="BM58" s="99">
        <f t="shared" si="183"/>
        <v>0</v>
      </c>
      <c r="BN58" s="102">
        <f>SUM(BN55:BN57)</f>
        <v>0</v>
      </c>
      <c r="BO58" s="103">
        <f>+BN58/BI55-1</f>
        <v>-1</v>
      </c>
      <c r="BP58" s="98">
        <f>+BP55+BP56+BP57</f>
        <v>702463.79529227142</v>
      </c>
      <c r="BQ58" s="99">
        <f t="shared" ref="BQ58:BT58" si="184">+BQ55+BQ56+BQ57</f>
        <v>616130.99485085125</v>
      </c>
      <c r="BR58" s="99">
        <f t="shared" si="184"/>
        <v>86332.800441420128</v>
      </c>
      <c r="BS58" s="99">
        <f t="shared" si="184"/>
        <v>0</v>
      </c>
      <c r="BT58" s="99">
        <f t="shared" si="184"/>
        <v>0</v>
      </c>
      <c r="BU58" s="102">
        <f>SUM(BU55:BU57)</f>
        <v>0</v>
      </c>
      <c r="BV58" s="103">
        <f>+BU58/BP55-1</f>
        <v>-1</v>
      </c>
      <c r="BW58" s="98">
        <f>+BW55+BW56+BW57</f>
        <v>549559.30186987144</v>
      </c>
      <c r="BX58" s="99">
        <f t="shared" ref="BX58:CA58" si="185">+BX55+BX56+BX57</f>
        <v>482018.46367006429</v>
      </c>
      <c r="BY58" s="99">
        <f t="shared" si="185"/>
        <v>67540.838199807185</v>
      </c>
      <c r="BZ58" s="99">
        <f t="shared" si="185"/>
        <v>0</v>
      </c>
      <c r="CA58" s="99">
        <f t="shared" si="185"/>
        <v>0</v>
      </c>
      <c r="CB58" s="102">
        <f>SUM(CB55:CB57)</f>
        <v>0</v>
      </c>
      <c r="CC58" s="103">
        <f>+CB58/BW55-1</f>
        <v>-1</v>
      </c>
      <c r="CD58" s="98">
        <f>+CD55+CD56+CD57</f>
        <v>469479.6977922715</v>
      </c>
      <c r="CE58" s="99">
        <f t="shared" ref="CE58:CH58" si="186">+CE55+CE56+CE57</f>
        <v>411780.64293360134</v>
      </c>
      <c r="CF58" s="99">
        <f t="shared" si="186"/>
        <v>57699.054858670148</v>
      </c>
      <c r="CG58" s="99">
        <f t="shared" si="186"/>
        <v>0</v>
      </c>
      <c r="CH58" s="99">
        <f t="shared" si="186"/>
        <v>0</v>
      </c>
      <c r="CI58" s="102">
        <f>SUM(CI55:CI57)</f>
        <v>0</v>
      </c>
      <c r="CJ58" s="103">
        <f>+CI58/CD55-1</f>
        <v>-1</v>
      </c>
      <c r="CK58" s="98">
        <f>+CK55+CK56+CK57</f>
        <v>465347.91861787147</v>
      </c>
      <c r="CL58" s="99">
        <f t="shared" ref="CL58:CO58" si="187">+CL55+CL56+CL57</f>
        <v>408156.65941973514</v>
      </c>
      <c r="CM58" s="99">
        <f t="shared" si="187"/>
        <v>57191.259198136395</v>
      </c>
      <c r="CN58" s="99">
        <f t="shared" si="187"/>
        <v>0</v>
      </c>
      <c r="CO58" s="99">
        <f t="shared" si="187"/>
        <v>0</v>
      </c>
      <c r="CP58" s="102">
        <f>SUM(CP55:CP57)</f>
        <v>0</v>
      </c>
      <c r="CQ58" s="103">
        <f>+CP58/CK55-1</f>
        <v>-1</v>
      </c>
      <c r="DF58" s="28"/>
    </row>
    <row r="59" spans="1:110" ht="14.25" customHeight="1" x14ac:dyDescent="0.2">
      <c r="B59" s="104"/>
      <c r="C59" s="104"/>
      <c r="D59" s="104"/>
      <c r="E59" s="105"/>
      <c r="F59" s="105"/>
      <c r="G59" s="105"/>
      <c r="H59" s="105"/>
      <c r="I59" s="105"/>
      <c r="J59" s="104"/>
      <c r="K59" s="104"/>
      <c r="L59" s="104"/>
      <c r="M59" s="104"/>
      <c r="N59" s="104"/>
      <c r="O59" s="104"/>
      <c r="P59" s="104"/>
      <c r="Q59" s="104">
        <v>0</v>
      </c>
      <c r="R59" s="104"/>
      <c r="S59" s="104"/>
      <c r="T59" s="104"/>
      <c r="U59" s="104"/>
      <c r="V59" s="104"/>
      <c r="W59" s="104"/>
      <c r="X59" s="104">
        <v>0</v>
      </c>
      <c r="Y59" s="104"/>
      <c r="Z59" s="104"/>
      <c r="AA59" s="104"/>
      <c r="AB59" s="104"/>
      <c r="AC59" s="104"/>
      <c r="AD59" s="104"/>
      <c r="AE59" s="104">
        <v>0</v>
      </c>
      <c r="AF59" s="104"/>
      <c r="AG59" s="104"/>
      <c r="AH59" s="104"/>
      <c r="AI59" s="104"/>
      <c r="AJ59" s="104"/>
      <c r="AK59" s="104"/>
      <c r="AL59" s="104">
        <v>0</v>
      </c>
      <c r="AM59" s="104"/>
      <c r="AN59" s="104"/>
      <c r="AO59" s="104"/>
      <c r="AP59" s="104"/>
      <c r="AQ59" s="104"/>
      <c r="AR59" s="104"/>
      <c r="AS59" s="104">
        <v>0</v>
      </c>
      <c r="AT59" s="104"/>
      <c r="AU59" s="104"/>
      <c r="AV59" s="104"/>
      <c r="AW59" s="104"/>
      <c r="AX59" s="104"/>
      <c r="AY59" s="104"/>
      <c r="AZ59" s="104">
        <v>0</v>
      </c>
      <c r="BA59" s="104"/>
      <c r="BB59" s="104"/>
      <c r="BC59" s="104"/>
      <c r="BD59" s="104"/>
      <c r="BE59" s="104"/>
      <c r="BF59" s="104"/>
      <c r="BG59" s="104">
        <v>0</v>
      </c>
      <c r="BH59" s="104"/>
      <c r="BI59" s="104"/>
      <c r="BJ59" s="104"/>
      <c r="BK59" s="104"/>
      <c r="BL59" s="104"/>
      <c r="BM59" s="104"/>
      <c r="BN59" s="104">
        <v>0</v>
      </c>
      <c r="BO59" s="104"/>
      <c r="BP59" s="104"/>
      <c r="BQ59" s="104"/>
      <c r="BR59" s="104"/>
      <c r="BS59" s="104"/>
      <c r="BT59" s="104"/>
      <c r="BU59" s="104">
        <v>0</v>
      </c>
      <c r="BV59" s="105"/>
      <c r="BW59" s="105"/>
      <c r="BX59" s="105"/>
      <c r="BY59" s="105"/>
      <c r="BZ59" s="105"/>
      <c r="CA59" s="105"/>
      <c r="CB59" s="104">
        <v>0</v>
      </c>
      <c r="CC59" s="105"/>
      <c r="CD59" s="105"/>
      <c r="CE59" s="105"/>
      <c r="CF59" s="105"/>
      <c r="CG59" s="105"/>
      <c r="CH59" s="105"/>
      <c r="CI59" s="104">
        <v>0</v>
      </c>
      <c r="CJ59" s="105"/>
      <c r="CK59" s="105"/>
      <c r="CL59" s="105"/>
      <c r="CM59" s="105"/>
      <c r="CN59" s="105"/>
      <c r="CO59" s="105"/>
      <c r="CP59" s="104">
        <v>0</v>
      </c>
      <c r="CQ59" s="105"/>
    </row>
    <row r="60" spans="1:110" ht="14.25" customHeight="1" x14ac:dyDescent="0.2">
      <c r="H60" s="143"/>
      <c r="L60" s="241" t="s">
        <v>83</v>
      </c>
      <c r="M60" s="242"/>
      <c r="N60" s="242"/>
      <c r="O60" s="242"/>
      <c r="P60" s="242"/>
      <c r="Q60" s="243"/>
      <c r="R60" s="244"/>
      <c r="S60" s="241" t="s">
        <v>83</v>
      </c>
      <c r="T60" s="242"/>
      <c r="U60" s="242"/>
      <c r="V60" s="242"/>
      <c r="W60" s="242"/>
      <c r="X60" s="243"/>
      <c r="Y60" s="244"/>
      <c r="Z60" s="241" t="s">
        <v>83</v>
      </c>
      <c r="AA60" s="242"/>
      <c r="AB60" s="242"/>
      <c r="AC60" s="242"/>
      <c r="AD60" s="242"/>
      <c r="AE60" s="243"/>
      <c r="AF60" s="244"/>
      <c r="AG60" s="241" t="s">
        <v>83</v>
      </c>
      <c r="AH60" s="242"/>
      <c r="AI60" s="242"/>
      <c r="AJ60" s="242"/>
      <c r="AK60" s="242"/>
      <c r="AL60" s="243"/>
      <c r="AM60" s="244"/>
      <c r="AN60" s="241" t="s">
        <v>83</v>
      </c>
      <c r="AO60" s="242"/>
      <c r="AP60" s="242"/>
      <c r="AQ60" s="242"/>
      <c r="AR60" s="242"/>
      <c r="AS60" s="243"/>
      <c r="AT60" s="244"/>
      <c r="AU60" s="241" t="s">
        <v>83</v>
      </c>
      <c r="AV60" s="242"/>
      <c r="AW60" s="242"/>
      <c r="AX60" s="242"/>
      <c r="AY60" s="242"/>
      <c r="AZ60" s="243"/>
      <c r="BA60" s="244"/>
      <c r="BB60" s="241" t="s">
        <v>83</v>
      </c>
      <c r="BC60" s="242"/>
      <c r="BD60" s="242"/>
      <c r="BE60" s="242"/>
      <c r="BF60" s="242"/>
      <c r="BG60" s="243"/>
      <c r="BH60" s="244"/>
      <c r="BI60" s="241" t="s">
        <v>83</v>
      </c>
      <c r="BJ60" s="242"/>
      <c r="BK60" s="242"/>
      <c r="BL60" s="242"/>
      <c r="BM60" s="242"/>
      <c r="BN60" s="243"/>
      <c r="BO60" s="244"/>
      <c r="BP60" s="241" t="s">
        <v>83</v>
      </c>
      <c r="BQ60" s="242"/>
      <c r="BR60" s="242"/>
      <c r="BS60" s="242"/>
      <c r="BT60" s="242"/>
      <c r="BU60" s="243"/>
      <c r="BV60" s="244"/>
      <c r="BW60" s="241" t="s">
        <v>83</v>
      </c>
      <c r="BX60" s="242"/>
      <c r="BY60" s="242"/>
      <c r="BZ60" s="242"/>
      <c r="CA60" s="242"/>
      <c r="CB60" s="243"/>
      <c r="CC60" s="244"/>
      <c r="CD60" s="241" t="s">
        <v>83</v>
      </c>
      <c r="CE60" s="242"/>
      <c r="CF60" s="242"/>
      <c r="CG60" s="242"/>
      <c r="CH60" s="242"/>
      <c r="CI60" s="243"/>
      <c r="CJ60" s="244"/>
      <c r="CK60" s="241" t="s">
        <v>83</v>
      </c>
      <c r="CL60" s="242"/>
      <c r="CM60" s="242"/>
      <c r="CN60" s="242"/>
      <c r="CO60" s="242"/>
      <c r="CP60" s="243"/>
      <c r="CQ60" s="244"/>
    </row>
    <row r="61" spans="1:110" ht="14.25" customHeight="1" x14ac:dyDescent="0.2">
      <c r="J61" s="106"/>
      <c r="L61" s="107" t="s">
        <v>84</v>
      </c>
      <c r="M61" s="108"/>
      <c r="N61" s="108"/>
      <c r="O61" s="108"/>
      <c r="P61" s="108"/>
      <c r="Q61" s="109"/>
      <c r="R61" s="110">
        <f>336.69+2064.02+119.61+10.35+192.98+7.83+1863.26+548.42+292.49+979.32+116.21+19.59+16.71+106.57+1214.16+147.62+2.78+2064.02+17.17+1863.92+9.87</f>
        <v>11993.59</v>
      </c>
      <c r="S61" s="107" t="s">
        <v>84</v>
      </c>
      <c r="T61" s="108"/>
      <c r="U61" s="108"/>
      <c r="V61" s="108"/>
      <c r="W61" s="108"/>
      <c r="X61" s="109"/>
      <c r="Y61" s="110">
        <f>47.01+36.09+57.46+192.98+43.74+39.17+2005.92+125.88+985.2+189.77+13.09+70.51+2064.02+235.04+10.35+68.62+7.83+20.89+979.32+19.59</f>
        <v>7212.4800000000005</v>
      </c>
      <c r="Z61" s="107" t="s">
        <v>84</v>
      </c>
      <c r="AA61" s="108"/>
      <c r="AB61" s="108"/>
      <c r="AC61" s="108"/>
      <c r="AD61" s="108"/>
      <c r="AE61" s="109"/>
      <c r="AF61" s="110">
        <f>48.31+10.35+52.13+7.83+313.38+979.32+19.59+102.15+2064.02+28.73+106.86+845.39+99.45+147.77</f>
        <v>4825.2800000000007</v>
      </c>
      <c r="AG61" s="107" t="s">
        <v>84</v>
      </c>
      <c r="AH61" s="108"/>
      <c r="AI61" s="108"/>
      <c r="AJ61" s="108"/>
      <c r="AK61" s="108"/>
      <c r="AL61" s="109"/>
      <c r="AM61" s="110">
        <f>19.59+96.82+131.01+31.6+10.35+548.42+75.62+13.6+7.83+1904.45+979.32+438.73+86.17+1108.51+2064.02+48.31</f>
        <v>7564.3500000000013</v>
      </c>
      <c r="AN61" s="107"/>
      <c r="AO61" s="108"/>
      <c r="AP61" s="108"/>
      <c r="AQ61" s="108"/>
      <c r="AR61" s="108"/>
      <c r="AS61" s="109"/>
      <c r="AT61" s="110"/>
      <c r="AU61" s="107"/>
      <c r="AV61" s="108"/>
      <c r="AW61" s="108"/>
      <c r="AX61" s="108"/>
      <c r="AY61" s="108"/>
      <c r="AZ61" s="109"/>
      <c r="BA61" s="110"/>
      <c r="BB61" s="107"/>
      <c r="BC61" s="108"/>
      <c r="BD61" s="108"/>
      <c r="BE61" s="108"/>
      <c r="BF61" s="108"/>
      <c r="BG61" s="109"/>
      <c r="BH61" s="110"/>
      <c r="BI61" s="107"/>
      <c r="BJ61" s="108"/>
      <c r="BK61" s="108"/>
      <c r="BL61" s="108"/>
      <c r="BM61" s="108"/>
      <c r="BN61" s="109"/>
      <c r="BO61" s="110"/>
      <c r="BP61" s="107"/>
      <c r="BQ61" s="108"/>
      <c r="BR61" s="108"/>
      <c r="BS61" s="108"/>
      <c r="BT61" s="108"/>
      <c r="BU61" s="109"/>
      <c r="BV61" s="110"/>
      <c r="BW61" s="107"/>
      <c r="BX61" s="108"/>
      <c r="BY61" s="108"/>
      <c r="BZ61" s="108"/>
      <c r="CA61" s="108"/>
      <c r="CB61" s="109"/>
      <c r="CC61" s="110"/>
      <c r="CD61" s="107"/>
      <c r="CE61" s="108"/>
      <c r="CF61" s="108"/>
      <c r="CG61" s="108"/>
      <c r="CH61" s="108"/>
      <c r="CI61" s="109"/>
      <c r="CJ61" s="110"/>
      <c r="CK61" s="107"/>
      <c r="CL61" s="108"/>
      <c r="CM61" s="108"/>
      <c r="CN61" s="108"/>
      <c r="CO61" s="108"/>
      <c r="CP61" s="109"/>
      <c r="CQ61" s="110"/>
      <c r="DA61" s="111"/>
    </row>
    <row r="62" spans="1:110" ht="14.25" customHeight="1" x14ac:dyDescent="0.2">
      <c r="J62" s="112"/>
      <c r="L62" s="107" t="s">
        <v>85</v>
      </c>
      <c r="M62" s="108"/>
      <c r="N62" s="108"/>
      <c r="O62" s="108"/>
      <c r="P62" s="108"/>
      <c r="Q62" s="109"/>
      <c r="R62" s="110">
        <f>21.5</f>
        <v>21.5</v>
      </c>
      <c r="S62" s="107" t="s">
        <v>85</v>
      </c>
      <c r="T62" s="108"/>
      <c r="U62" s="108"/>
      <c r="V62" s="108"/>
      <c r="W62" s="108"/>
      <c r="X62" s="109"/>
      <c r="Y62" s="110"/>
      <c r="Z62" s="107" t="s">
        <v>85</v>
      </c>
      <c r="AA62" s="108"/>
      <c r="AB62" s="108"/>
      <c r="AC62" s="108"/>
      <c r="AD62" s="108"/>
      <c r="AE62" s="109"/>
      <c r="AF62" s="110"/>
      <c r="AG62" s="107" t="s">
        <v>85</v>
      </c>
      <c r="AH62" s="108"/>
      <c r="AI62" s="108"/>
      <c r="AJ62" s="108"/>
      <c r="AK62" s="108"/>
      <c r="AL62" s="109"/>
      <c r="AM62" s="110"/>
      <c r="AN62" s="107"/>
      <c r="AO62" s="108"/>
      <c r="AP62" s="108"/>
      <c r="AQ62" s="108"/>
      <c r="AR62" s="108"/>
      <c r="AS62" s="109"/>
      <c r="AT62" s="110"/>
      <c r="AU62" s="107"/>
      <c r="AV62" s="108"/>
      <c r="AW62" s="108"/>
      <c r="AX62" s="108"/>
      <c r="AY62" s="108"/>
      <c r="AZ62" s="109"/>
      <c r="BA62" s="110"/>
      <c r="BB62" s="107"/>
      <c r="BC62" s="108"/>
      <c r="BD62" s="108"/>
      <c r="BE62" s="108"/>
      <c r="BF62" s="108"/>
      <c r="BG62" s="109"/>
      <c r="BH62" s="110"/>
      <c r="BI62" s="107"/>
      <c r="BJ62" s="108"/>
      <c r="BK62" s="108"/>
      <c r="BL62" s="108"/>
      <c r="BM62" s="108"/>
      <c r="BN62" s="109"/>
      <c r="BO62" s="110"/>
      <c r="BP62" s="107"/>
      <c r="BQ62" s="108"/>
      <c r="BR62" s="108"/>
      <c r="BS62" s="108"/>
      <c r="BT62" s="108"/>
      <c r="BU62" s="109"/>
      <c r="BV62" s="110"/>
      <c r="BW62" s="107"/>
      <c r="BX62" s="108"/>
      <c r="BY62" s="108"/>
      <c r="BZ62" s="108"/>
      <c r="CA62" s="108"/>
      <c r="CB62" s="109"/>
      <c r="CC62" s="110"/>
      <c r="CD62" s="107"/>
      <c r="CE62" s="108"/>
      <c r="CF62" s="108"/>
      <c r="CG62" s="108"/>
      <c r="CH62" s="108"/>
      <c r="CI62" s="109"/>
      <c r="CJ62" s="110"/>
      <c r="CK62" s="107"/>
      <c r="CL62" s="108"/>
      <c r="CM62" s="108"/>
      <c r="CN62" s="108"/>
      <c r="CO62" s="108"/>
      <c r="CP62" s="109"/>
      <c r="CQ62" s="110"/>
      <c r="DA62" s="111"/>
    </row>
    <row r="63" spans="1:110" ht="14.25" customHeight="1" x14ac:dyDescent="0.2">
      <c r="J63" s="106"/>
      <c r="L63" s="107" t="s">
        <v>86</v>
      </c>
      <c r="M63" s="108"/>
      <c r="N63" s="108"/>
      <c r="O63" s="108"/>
      <c r="P63" s="108"/>
      <c r="Q63" s="109"/>
      <c r="R63" s="110">
        <f>1691.32</f>
        <v>1691.32</v>
      </c>
      <c r="S63" s="107" t="s">
        <v>86</v>
      </c>
      <c r="T63" s="108"/>
      <c r="U63" s="108"/>
      <c r="V63" s="108"/>
      <c r="W63" s="108"/>
      <c r="X63" s="109"/>
      <c r="Y63" s="110">
        <f>924.24</f>
        <v>924.24</v>
      </c>
      <c r="Z63" s="107" t="s">
        <v>86</v>
      </c>
      <c r="AA63" s="108"/>
      <c r="AB63" s="108"/>
      <c r="AC63" s="108"/>
      <c r="AD63" s="108"/>
      <c r="AE63" s="109"/>
      <c r="AF63" s="110">
        <f>1197.43</f>
        <v>1197.43</v>
      </c>
      <c r="AG63" s="107" t="s">
        <v>86</v>
      </c>
      <c r="AH63" s="108"/>
      <c r="AI63" s="108"/>
      <c r="AJ63" s="108"/>
      <c r="AK63" s="108"/>
      <c r="AL63" s="109"/>
      <c r="AM63" s="110">
        <f>117.54</f>
        <v>117.54</v>
      </c>
      <c r="AN63" s="107"/>
      <c r="AO63" s="108"/>
      <c r="AP63" s="108"/>
      <c r="AQ63" s="108"/>
      <c r="AR63" s="108"/>
      <c r="AS63" s="109"/>
      <c r="AT63" s="110"/>
      <c r="AU63" s="107"/>
      <c r="AV63" s="108"/>
      <c r="AW63" s="108"/>
      <c r="AX63" s="108"/>
      <c r="AY63" s="108"/>
      <c r="AZ63" s="109"/>
      <c r="BA63" s="110"/>
      <c r="BB63" s="107"/>
      <c r="BC63" s="108"/>
      <c r="BD63" s="108"/>
      <c r="BE63" s="108"/>
      <c r="BF63" s="108"/>
      <c r="BG63" s="109"/>
      <c r="BH63" s="110"/>
      <c r="BI63" s="107"/>
      <c r="BJ63" s="108"/>
      <c r="BK63" s="108"/>
      <c r="BL63" s="108"/>
      <c r="BM63" s="108"/>
      <c r="BN63" s="109"/>
      <c r="BO63" s="110"/>
      <c r="BP63" s="107"/>
      <c r="BQ63" s="108"/>
      <c r="BR63" s="108"/>
      <c r="BS63" s="108"/>
      <c r="BT63" s="108"/>
      <c r="BU63" s="109"/>
      <c r="BV63" s="110"/>
      <c r="BW63" s="107"/>
      <c r="BX63" s="108"/>
      <c r="BY63" s="108"/>
      <c r="BZ63" s="108"/>
      <c r="CA63" s="108"/>
      <c r="CB63" s="109"/>
      <c r="CC63" s="110"/>
      <c r="CD63" s="107"/>
      <c r="CE63" s="108"/>
      <c r="CF63" s="108"/>
      <c r="CG63" s="108"/>
      <c r="CH63" s="108"/>
      <c r="CI63" s="109"/>
      <c r="CJ63" s="110"/>
      <c r="CK63" s="107"/>
      <c r="CL63" s="108"/>
      <c r="CM63" s="108"/>
      <c r="CN63" s="108"/>
      <c r="CO63" s="108"/>
      <c r="CP63" s="109"/>
      <c r="CQ63" s="110"/>
      <c r="DA63" s="104"/>
    </row>
    <row r="64" spans="1:110" ht="14.25" customHeight="1" x14ac:dyDescent="0.2">
      <c r="L64" s="107" t="s">
        <v>87</v>
      </c>
      <c r="M64" s="108"/>
      <c r="N64" s="108"/>
      <c r="O64" s="108"/>
      <c r="P64" s="108"/>
      <c r="Q64" s="109"/>
      <c r="R64" s="110">
        <f>701.3</f>
        <v>701.3</v>
      </c>
      <c r="S64" s="107" t="s">
        <v>87</v>
      </c>
      <c r="T64" s="108"/>
      <c r="U64" s="108"/>
      <c r="V64" s="108"/>
      <c r="W64" s="108"/>
      <c r="X64" s="109"/>
      <c r="Y64" s="110">
        <f>4419.67</f>
        <v>4419.67</v>
      </c>
      <c r="Z64" s="107" t="s">
        <v>87</v>
      </c>
      <c r="AA64" s="108"/>
      <c r="AB64" s="108"/>
      <c r="AC64" s="108"/>
      <c r="AD64" s="108"/>
      <c r="AE64" s="109"/>
      <c r="AF64" s="110">
        <f>1080.65</f>
        <v>1080.6500000000001</v>
      </c>
      <c r="AG64" s="107" t="s">
        <v>87</v>
      </c>
      <c r="AH64" s="108"/>
      <c r="AI64" s="108"/>
      <c r="AJ64" s="108"/>
      <c r="AK64" s="108"/>
      <c r="AL64" s="109"/>
      <c r="AM64" s="110">
        <f>529.96+120</f>
        <v>649.96</v>
      </c>
      <c r="AN64" s="107"/>
      <c r="AO64" s="108"/>
      <c r="AP64" s="108"/>
      <c r="AQ64" s="108"/>
      <c r="AR64" s="108"/>
      <c r="AS64" s="109"/>
      <c r="AT64" s="110"/>
      <c r="AU64" s="107"/>
      <c r="AV64" s="108"/>
      <c r="AW64" s="108"/>
      <c r="AX64" s="108"/>
      <c r="AY64" s="108"/>
      <c r="AZ64" s="109"/>
      <c r="BA64" s="110"/>
      <c r="BB64" s="107"/>
      <c r="BC64" s="108"/>
      <c r="BD64" s="108"/>
      <c r="BE64" s="108"/>
      <c r="BF64" s="108"/>
      <c r="BG64" s="109"/>
      <c r="BH64" s="110"/>
      <c r="BI64" s="107"/>
      <c r="BJ64" s="108"/>
      <c r="BK64" s="108"/>
      <c r="BL64" s="108"/>
      <c r="BM64" s="108"/>
      <c r="BN64" s="109"/>
      <c r="BO64" s="110"/>
      <c r="BP64" s="107"/>
      <c r="BQ64" s="108"/>
      <c r="BR64" s="108"/>
      <c r="BS64" s="108"/>
      <c r="BT64" s="108"/>
      <c r="BU64" s="109"/>
      <c r="BV64" s="110"/>
      <c r="BW64" s="107"/>
      <c r="BX64" s="108"/>
      <c r="BY64" s="108"/>
      <c r="BZ64" s="108"/>
      <c r="CA64" s="108"/>
      <c r="CB64" s="109"/>
      <c r="CC64" s="110"/>
      <c r="CD64" s="107"/>
      <c r="CE64" s="108"/>
      <c r="CF64" s="108"/>
      <c r="CG64" s="108"/>
      <c r="CH64" s="108"/>
      <c r="CI64" s="109"/>
      <c r="CJ64" s="110"/>
      <c r="CK64" s="107"/>
      <c r="CL64" s="108"/>
      <c r="CM64" s="108"/>
      <c r="CN64" s="108"/>
      <c r="CO64" s="108"/>
      <c r="CP64" s="109"/>
      <c r="CQ64" s="110"/>
      <c r="DA64" s="104"/>
    </row>
    <row r="65" spans="10:105" ht="14.25" customHeight="1" x14ac:dyDescent="0.2">
      <c r="J65" s="113"/>
      <c r="L65" s="107" t="s">
        <v>88</v>
      </c>
      <c r="M65" s="108"/>
      <c r="N65" s="108"/>
      <c r="O65" s="108"/>
      <c r="P65" s="108"/>
      <c r="Q65" s="109"/>
      <c r="R65" s="110">
        <f>120+220.5</f>
        <v>340.5</v>
      </c>
      <c r="S65" s="107" t="s">
        <v>88</v>
      </c>
      <c r="T65" s="108"/>
      <c r="U65" s="108"/>
      <c r="V65" s="108"/>
      <c r="W65" s="108"/>
      <c r="X65" s="109"/>
      <c r="Y65" s="110"/>
      <c r="Z65" s="107" t="s">
        <v>88</v>
      </c>
      <c r="AA65" s="108"/>
      <c r="AB65" s="108"/>
      <c r="AC65" s="108"/>
      <c r="AD65" s="108"/>
      <c r="AE65" s="109"/>
      <c r="AF65" s="110">
        <v>250</v>
      </c>
      <c r="AG65" s="107" t="s">
        <v>88</v>
      </c>
      <c r="AH65" s="108"/>
      <c r="AI65" s="108"/>
      <c r="AJ65" s="108"/>
      <c r="AK65" s="108"/>
      <c r="AL65" s="109"/>
      <c r="AM65" s="110"/>
      <c r="AN65" s="107"/>
      <c r="AO65" s="108"/>
      <c r="AP65" s="108"/>
      <c r="AQ65" s="108"/>
      <c r="AR65" s="108"/>
      <c r="AS65" s="109"/>
      <c r="AT65" s="110"/>
      <c r="AU65" s="107"/>
      <c r="AV65" s="108"/>
      <c r="AW65" s="108"/>
      <c r="AX65" s="108"/>
      <c r="AY65" s="108"/>
      <c r="AZ65" s="109"/>
      <c r="BA65" s="110"/>
      <c r="BB65" s="107"/>
      <c r="BC65" s="108"/>
      <c r="BD65" s="108"/>
      <c r="BE65" s="108"/>
      <c r="BF65" s="108"/>
      <c r="BG65" s="109"/>
      <c r="BH65" s="110"/>
      <c r="BI65" s="107"/>
      <c r="BJ65" s="108"/>
      <c r="BK65" s="108"/>
      <c r="BL65" s="108"/>
      <c r="BM65" s="108"/>
      <c r="BN65" s="109"/>
      <c r="BO65" s="110"/>
      <c r="BP65" s="107"/>
      <c r="BQ65" s="108"/>
      <c r="BR65" s="108"/>
      <c r="BS65" s="108"/>
      <c r="BT65" s="108"/>
      <c r="BU65" s="109"/>
      <c r="BV65" s="110"/>
      <c r="BW65" s="107"/>
      <c r="BX65" s="108"/>
      <c r="BY65" s="108"/>
      <c r="BZ65" s="108"/>
      <c r="CA65" s="108"/>
      <c r="CB65" s="109"/>
      <c r="CC65" s="110"/>
      <c r="CD65" s="107"/>
      <c r="CE65" s="108"/>
      <c r="CF65" s="108"/>
      <c r="CG65" s="108"/>
      <c r="CH65" s="108"/>
      <c r="CI65" s="109"/>
      <c r="CJ65" s="110"/>
      <c r="CK65" s="107"/>
      <c r="CL65" s="108"/>
      <c r="CM65" s="108"/>
      <c r="CN65" s="108"/>
      <c r="CO65" s="108"/>
      <c r="CP65" s="109"/>
      <c r="CQ65" s="110"/>
      <c r="DA65" s="104"/>
    </row>
    <row r="66" spans="10:105" ht="14.25" customHeight="1" x14ac:dyDescent="0.2">
      <c r="L66" s="107" t="s">
        <v>89</v>
      </c>
      <c r="M66" s="108"/>
      <c r="N66" s="108"/>
      <c r="O66" s="108"/>
      <c r="P66" s="108"/>
      <c r="Q66" s="109"/>
      <c r="R66" s="110">
        <f>290.55</f>
        <v>290.55</v>
      </c>
      <c r="S66" s="107" t="s">
        <v>89</v>
      </c>
      <c r="T66" s="108"/>
      <c r="U66" s="108"/>
      <c r="V66" s="108"/>
      <c r="W66" s="108"/>
      <c r="X66" s="109"/>
      <c r="Y66" s="110">
        <f>502.71+317.74+290.04</f>
        <v>1110.49</v>
      </c>
      <c r="Z66" s="107" t="s">
        <v>89</v>
      </c>
      <c r="AA66" s="108"/>
      <c r="AB66" s="108"/>
      <c r="AC66" s="108"/>
      <c r="AD66" s="108"/>
      <c r="AE66" s="109"/>
      <c r="AF66" s="110">
        <f>324.46</f>
        <v>324.45999999999998</v>
      </c>
      <c r="AG66" s="107" t="s">
        <v>89</v>
      </c>
      <c r="AH66" s="108"/>
      <c r="AI66" s="108"/>
      <c r="AJ66" s="108"/>
      <c r="AK66" s="108"/>
      <c r="AL66" s="109"/>
      <c r="AM66" s="110"/>
      <c r="AN66" s="107"/>
      <c r="AO66" s="108"/>
      <c r="AP66" s="108"/>
      <c r="AQ66" s="108"/>
      <c r="AR66" s="108"/>
      <c r="AS66" s="109"/>
      <c r="AT66" s="110"/>
      <c r="AU66" s="107"/>
      <c r="AV66" s="108"/>
      <c r="AW66" s="108"/>
      <c r="AX66" s="108"/>
      <c r="AY66" s="108"/>
      <c r="AZ66" s="109"/>
      <c r="BA66" s="110"/>
      <c r="BB66" s="107"/>
      <c r="BC66" s="108"/>
      <c r="BD66" s="108"/>
      <c r="BE66" s="108"/>
      <c r="BF66" s="108"/>
      <c r="BG66" s="109"/>
      <c r="BH66" s="110"/>
      <c r="BI66" s="107"/>
      <c r="BJ66" s="108"/>
      <c r="BK66" s="108"/>
      <c r="BL66" s="108"/>
      <c r="BM66" s="108"/>
      <c r="BN66" s="109"/>
      <c r="BO66" s="110"/>
      <c r="BP66" s="107"/>
      <c r="BQ66" s="108"/>
      <c r="BR66" s="108"/>
      <c r="BS66" s="108"/>
      <c r="BT66" s="108"/>
      <c r="BU66" s="109"/>
      <c r="BV66" s="110"/>
      <c r="BW66" s="107"/>
      <c r="BX66" s="108"/>
      <c r="BY66" s="108"/>
      <c r="BZ66" s="108"/>
      <c r="CA66" s="108"/>
      <c r="CB66" s="109"/>
      <c r="CC66" s="110"/>
      <c r="CD66" s="107"/>
      <c r="CE66" s="108"/>
      <c r="CF66" s="108"/>
      <c r="CG66" s="108"/>
      <c r="CH66" s="108"/>
      <c r="CI66" s="109"/>
      <c r="CJ66" s="110"/>
      <c r="CK66" s="107"/>
      <c r="CL66" s="108"/>
      <c r="CM66" s="108"/>
      <c r="CN66" s="108"/>
      <c r="CO66" s="108"/>
      <c r="CP66" s="109"/>
      <c r="CQ66" s="110"/>
      <c r="DA66" s="104"/>
    </row>
    <row r="67" spans="10:105" ht="14.25" customHeight="1" x14ac:dyDescent="0.2">
      <c r="L67" s="107" t="s">
        <v>90</v>
      </c>
      <c r="M67" s="108"/>
      <c r="N67" s="108"/>
      <c r="O67" s="108"/>
      <c r="P67" s="108"/>
      <c r="Q67" s="109"/>
      <c r="R67" s="110">
        <f>4112.5+580</f>
        <v>4692.5</v>
      </c>
      <c r="S67" s="107" t="s">
        <v>90</v>
      </c>
      <c r="T67" s="108"/>
      <c r="U67" s="108"/>
      <c r="V67" s="108"/>
      <c r="W67" s="108"/>
      <c r="X67" s="109"/>
      <c r="Y67" s="110">
        <f>75</f>
        <v>75</v>
      </c>
      <c r="Z67" s="107" t="s">
        <v>90</v>
      </c>
      <c r="AA67" s="108"/>
      <c r="AB67" s="108"/>
      <c r="AC67" s="108"/>
      <c r="AD67" s="108"/>
      <c r="AE67" s="109"/>
      <c r="AF67" s="110">
        <f>1738+243</f>
        <v>1981</v>
      </c>
      <c r="AG67" s="107" t="s">
        <v>90</v>
      </c>
      <c r="AH67" s="108"/>
      <c r="AI67" s="108"/>
      <c r="AJ67" s="108"/>
      <c r="AK67" s="108"/>
      <c r="AL67" s="109"/>
      <c r="AM67" s="110">
        <f>119+310</f>
        <v>429</v>
      </c>
      <c r="AN67" s="107"/>
      <c r="AO67" s="108"/>
      <c r="AP67" s="108"/>
      <c r="AQ67" s="108"/>
      <c r="AR67" s="108"/>
      <c r="AS67" s="109"/>
      <c r="AT67" s="110"/>
      <c r="AU67" s="107"/>
      <c r="AV67" s="108"/>
      <c r="AW67" s="108"/>
      <c r="AX67" s="108"/>
      <c r="AY67" s="108"/>
      <c r="AZ67" s="109"/>
      <c r="BA67" s="110"/>
      <c r="BB67" s="107"/>
      <c r="BC67" s="108"/>
      <c r="BD67" s="108"/>
      <c r="BE67" s="108"/>
      <c r="BF67" s="108"/>
      <c r="BG67" s="109"/>
      <c r="BH67" s="110"/>
      <c r="BI67" s="107"/>
      <c r="BJ67" s="108"/>
      <c r="BK67" s="108"/>
      <c r="BL67" s="108"/>
      <c r="BM67" s="108"/>
      <c r="BN67" s="109"/>
      <c r="BO67" s="110"/>
      <c r="BP67" s="107"/>
      <c r="BQ67" s="108"/>
      <c r="BR67" s="108"/>
      <c r="BS67" s="108"/>
      <c r="BT67" s="108"/>
      <c r="BU67" s="109"/>
      <c r="BV67" s="110"/>
      <c r="BW67" s="107"/>
      <c r="BX67" s="108"/>
      <c r="BY67" s="108"/>
      <c r="BZ67" s="108"/>
      <c r="CA67" s="108"/>
      <c r="CB67" s="109"/>
      <c r="CC67" s="110"/>
      <c r="CD67" s="107"/>
      <c r="CE67" s="108"/>
      <c r="CF67" s="108"/>
      <c r="CG67" s="108"/>
      <c r="CH67" s="108"/>
      <c r="CI67" s="109"/>
      <c r="CJ67" s="110"/>
      <c r="CK67" s="107"/>
      <c r="CL67" s="108"/>
      <c r="CM67" s="108"/>
      <c r="CN67" s="108"/>
      <c r="CO67" s="108"/>
      <c r="CP67" s="109"/>
      <c r="CQ67" s="110"/>
      <c r="DA67" s="104"/>
    </row>
    <row r="68" spans="10:105" ht="14.25" customHeight="1" x14ac:dyDescent="0.2">
      <c r="L68" s="107" t="s">
        <v>91</v>
      </c>
      <c r="M68" s="108"/>
      <c r="N68" s="108"/>
      <c r="O68" s="108"/>
      <c r="P68" s="108"/>
      <c r="Q68" s="109"/>
      <c r="R68" s="110">
        <f>1250+910</f>
        <v>2160</v>
      </c>
      <c r="S68" s="107" t="s">
        <v>91</v>
      </c>
      <c r="T68" s="108"/>
      <c r="U68" s="108"/>
      <c r="V68" s="108"/>
      <c r="W68" s="108"/>
      <c r="X68" s="109"/>
      <c r="Y68" s="110"/>
      <c r="Z68" s="107" t="s">
        <v>92</v>
      </c>
      <c r="AA68" s="108"/>
      <c r="AB68" s="108"/>
      <c r="AC68" s="108"/>
      <c r="AD68" s="108"/>
      <c r="AE68" s="109"/>
      <c r="AF68" s="110">
        <v>20400</v>
      </c>
      <c r="AG68" s="107" t="s">
        <v>92</v>
      </c>
      <c r="AH68" s="108"/>
      <c r="AI68" s="108"/>
      <c r="AJ68" s="108"/>
      <c r="AK68" s="108"/>
      <c r="AL68" s="109"/>
      <c r="AM68" s="110">
        <f>380</f>
        <v>380</v>
      </c>
      <c r="AN68" s="107"/>
      <c r="AO68" s="108"/>
      <c r="AP68" s="108"/>
      <c r="AQ68" s="108"/>
      <c r="AR68" s="108"/>
      <c r="AS68" s="109"/>
      <c r="AT68" s="110"/>
      <c r="AU68" s="107"/>
      <c r="AV68" s="108"/>
      <c r="AW68" s="108"/>
      <c r="AX68" s="108"/>
      <c r="AY68" s="108"/>
      <c r="AZ68" s="109"/>
      <c r="BA68" s="110"/>
      <c r="BB68" s="107"/>
      <c r="BC68" s="108"/>
      <c r="BD68" s="108"/>
      <c r="BE68" s="108"/>
      <c r="BF68" s="108"/>
      <c r="BG68" s="109"/>
      <c r="BH68" s="110"/>
      <c r="BI68" s="107"/>
      <c r="BJ68" s="108"/>
      <c r="BK68" s="108"/>
      <c r="BL68" s="108"/>
      <c r="BM68" s="108"/>
      <c r="BN68" s="109"/>
      <c r="BO68" s="110"/>
      <c r="BP68" s="107"/>
      <c r="BQ68" s="108"/>
      <c r="BR68" s="108"/>
      <c r="BS68" s="108"/>
      <c r="BT68" s="108"/>
      <c r="BU68" s="109"/>
      <c r="BV68" s="110"/>
      <c r="BW68" s="107"/>
      <c r="BX68" s="108"/>
      <c r="BY68" s="108"/>
      <c r="BZ68" s="108"/>
      <c r="CA68" s="108"/>
      <c r="CB68" s="109"/>
      <c r="CC68" s="110"/>
      <c r="CD68" s="107"/>
      <c r="CE68" s="108"/>
      <c r="CF68" s="108"/>
      <c r="CG68" s="108"/>
      <c r="CH68" s="108"/>
      <c r="CI68" s="109"/>
      <c r="CJ68" s="110"/>
      <c r="CK68" s="107"/>
      <c r="CL68" s="108"/>
      <c r="CM68" s="108"/>
      <c r="CN68" s="108"/>
      <c r="CO68" s="108"/>
      <c r="CP68" s="109"/>
      <c r="CQ68" s="110"/>
      <c r="DA68" s="104"/>
    </row>
    <row r="69" spans="10:105" ht="14.25" customHeight="1" x14ac:dyDescent="0.2">
      <c r="L69" s="107" t="s">
        <v>93</v>
      </c>
      <c r="M69" s="108"/>
      <c r="N69" s="108"/>
      <c r="O69" s="108"/>
      <c r="P69" s="108"/>
      <c r="Q69" s="109"/>
      <c r="R69" s="110">
        <f>30+30</f>
        <v>60</v>
      </c>
      <c r="S69" s="107" t="s">
        <v>93</v>
      </c>
      <c r="T69" s="108"/>
      <c r="U69" s="108"/>
      <c r="V69" s="108"/>
      <c r="W69" s="108"/>
      <c r="X69" s="109"/>
      <c r="Y69" s="110">
        <f>100</f>
        <v>100</v>
      </c>
      <c r="Z69" s="107" t="s">
        <v>93</v>
      </c>
      <c r="AA69" s="108"/>
      <c r="AB69" s="108"/>
      <c r="AC69" s="108"/>
      <c r="AD69" s="108"/>
      <c r="AE69" s="109"/>
      <c r="AF69" s="110">
        <f>310</f>
        <v>310</v>
      </c>
      <c r="AG69" s="107" t="s">
        <v>93</v>
      </c>
      <c r="AH69" s="108"/>
      <c r="AI69" s="108"/>
      <c r="AJ69" s="108"/>
      <c r="AK69" s="108"/>
      <c r="AL69" s="109"/>
      <c r="AM69" s="110">
        <f>60</f>
        <v>60</v>
      </c>
      <c r="AN69" s="107"/>
      <c r="AO69" s="108"/>
      <c r="AP69" s="108"/>
      <c r="AQ69" s="108"/>
      <c r="AR69" s="108"/>
      <c r="AS69" s="109"/>
      <c r="AT69" s="110"/>
      <c r="AU69" s="107"/>
      <c r="AV69" s="108"/>
      <c r="AW69" s="108"/>
      <c r="AX69" s="108"/>
      <c r="AY69" s="108"/>
      <c r="AZ69" s="109"/>
      <c r="BA69" s="110"/>
      <c r="BB69" s="107"/>
      <c r="BC69" s="108"/>
      <c r="BD69" s="108"/>
      <c r="BE69" s="108"/>
      <c r="BF69" s="108"/>
      <c r="BG69" s="109"/>
      <c r="BH69" s="110"/>
      <c r="BI69" s="107"/>
      <c r="BJ69" s="108"/>
      <c r="BK69" s="108"/>
      <c r="BL69" s="108"/>
      <c r="BM69" s="108"/>
      <c r="BN69" s="109"/>
      <c r="BO69" s="110"/>
      <c r="BP69" s="107"/>
      <c r="BQ69" s="108"/>
      <c r="BR69" s="108"/>
      <c r="BS69" s="108"/>
      <c r="BT69" s="108"/>
      <c r="BU69" s="109"/>
      <c r="BV69" s="110"/>
      <c r="BW69" s="107"/>
      <c r="BX69" s="108"/>
      <c r="BY69" s="108"/>
      <c r="BZ69" s="108"/>
      <c r="CA69" s="108"/>
      <c r="CB69" s="109"/>
      <c r="CC69" s="110"/>
      <c r="CD69" s="107"/>
      <c r="CE69" s="108"/>
      <c r="CF69" s="108"/>
      <c r="CG69" s="108"/>
      <c r="CH69" s="108"/>
      <c r="CI69" s="109"/>
      <c r="CJ69" s="110"/>
      <c r="CK69" s="107"/>
      <c r="CL69" s="108"/>
      <c r="CM69" s="108"/>
      <c r="CN69" s="108"/>
      <c r="CO69" s="108"/>
      <c r="CP69" s="109"/>
      <c r="CQ69" s="110"/>
      <c r="DA69" s="104"/>
    </row>
    <row r="70" spans="10:105" ht="14.25" customHeight="1" x14ac:dyDescent="0.2">
      <c r="L70" s="107" t="s">
        <v>94</v>
      </c>
      <c r="M70" s="108"/>
      <c r="N70" s="108"/>
      <c r="O70" s="108"/>
      <c r="P70" s="108"/>
      <c r="Q70" s="109"/>
      <c r="R70" s="110">
        <f>43.18+363.13</f>
        <v>406.31</v>
      </c>
      <c r="S70" s="107" t="s">
        <v>94</v>
      </c>
      <c r="T70" s="108"/>
      <c r="U70" s="108"/>
      <c r="V70" s="108"/>
      <c r="W70" s="108"/>
      <c r="X70" s="109"/>
      <c r="Y70" s="110"/>
      <c r="Z70" s="107" t="s">
        <v>94</v>
      </c>
      <c r="AA70" s="108"/>
      <c r="AB70" s="108"/>
      <c r="AC70" s="108"/>
      <c r="AD70" s="108"/>
      <c r="AE70" s="109"/>
      <c r="AF70" s="110"/>
      <c r="AG70" s="107" t="s">
        <v>94</v>
      </c>
      <c r="AH70" s="108"/>
      <c r="AI70" s="108"/>
      <c r="AJ70" s="108"/>
      <c r="AK70" s="108"/>
      <c r="AL70" s="109"/>
      <c r="AM70" s="110"/>
      <c r="AN70" s="107"/>
      <c r="AO70" s="108"/>
      <c r="AP70" s="108"/>
      <c r="AQ70" s="108"/>
      <c r="AR70" s="108"/>
      <c r="AS70" s="109"/>
      <c r="AT70" s="110"/>
      <c r="AU70" s="107"/>
      <c r="AV70" s="108"/>
      <c r="AW70" s="108"/>
      <c r="AX70" s="108"/>
      <c r="AY70" s="108"/>
      <c r="AZ70" s="109"/>
      <c r="BA70" s="110"/>
      <c r="BB70" s="107"/>
      <c r="BC70" s="108"/>
      <c r="BD70" s="108"/>
      <c r="BE70" s="108"/>
      <c r="BF70" s="108"/>
      <c r="BG70" s="109"/>
      <c r="BH70" s="110"/>
      <c r="BI70" s="107"/>
      <c r="BJ70" s="108"/>
      <c r="BK70" s="108"/>
      <c r="BL70" s="108"/>
      <c r="BM70" s="108"/>
      <c r="BN70" s="109"/>
      <c r="BO70" s="110"/>
      <c r="BP70" s="107"/>
      <c r="BQ70" s="108"/>
      <c r="BR70" s="108"/>
      <c r="BS70" s="108"/>
      <c r="BT70" s="108"/>
      <c r="BU70" s="109"/>
      <c r="BV70" s="110"/>
      <c r="BW70" s="107"/>
      <c r="BX70" s="108"/>
      <c r="BY70" s="108"/>
      <c r="BZ70" s="108"/>
      <c r="CA70" s="108"/>
      <c r="CB70" s="109"/>
      <c r="CC70" s="110"/>
      <c r="CD70" s="107"/>
      <c r="CE70" s="108"/>
      <c r="CF70" s="108"/>
      <c r="CG70" s="108"/>
      <c r="CH70" s="108"/>
      <c r="CI70" s="109"/>
      <c r="CJ70" s="110"/>
      <c r="CK70" s="107"/>
      <c r="CL70" s="108"/>
      <c r="CM70" s="108"/>
      <c r="CN70" s="108"/>
      <c r="CO70" s="108"/>
      <c r="CP70" s="109"/>
      <c r="CQ70" s="110"/>
      <c r="DA70" s="104"/>
    </row>
    <row r="71" spans="10:105" ht="14.25" customHeight="1" x14ac:dyDescent="0.2">
      <c r="L71" s="107" t="s">
        <v>95</v>
      </c>
      <c r="M71" s="108"/>
      <c r="N71" s="108"/>
      <c r="O71" s="108"/>
      <c r="P71" s="108"/>
      <c r="Q71" s="109"/>
      <c r="R71" s="110">
        <f>67.5+202.5</f>
        <v>270</v>
      </c>
      <c r="S71" s="107" t="s">
        <v>95</v>
      </c>
      <c r="T71" s="108"/>
      <c r="U71" s="108"/>
      <c r="V71" s="108"/>
      <c r="W71" s="108"/>
      <c r="X71" s="109"/>
      <c r="Y71" s="110"/>
      <c r="Z71" s="107" t="s">
        <v>95</v>
      </c>
      <c r="AA71" s="108"/>
      <c r="AB71" s="108"/>
      <c r="AC71" s="108"/>
      <c r="AD71" s="108"/>
      <c r="AE71" s="109"/>
      <c r="AF71" s="110">
        <f>90+180</f>
        <v>270</v>
      </c>
      <c r="AG71" s="107" t="s">
        <v>95</v>
      </c>
      <c r="AH71" s="108"/>
      <c r="AI71" s="108"/>
      <c r="AJ71" s="108"/>
      <c r="AK71" s="108"/>
      <c r="AL71" s="109"/>
      <c r="AM71" s="110">
        <f>90+180</f>
        <v>270</v>
      </c>
      <c r="AN71" s="107"/>
      <c r="AO71" s="108"/>
      <c r="AP71" s="108"/>
      <c r="AQ71" s="108"/>
      <c r="AR71" s="108"/>
      <c r="AS71" s="109"/>
      <c r="AT71" s="110"/>
      <c r="AU71" s="107"/>
      <c r="AV71" s="108"/>
      <c r="AW71" s="108"/>
      <c r="AX71" s="108"/>
      <c r="AY71" s="108"/>
      <c r="AZ71" s="109"/>
      <c r="BA71" s="110"/>
      <c r="BB71" s="107"/>
      <c r="BC71" s="108"/>
      <c r="BD71" s="108"/>
      <c r="BE71" s="108"/>
      <c r="BF71" s="108"/>
      <c r="BG71" s="109"/>
      <c r="BH71" s="110"/>
      <c r="BI71" s="107"/>
      <c r="BJ71" s="108"/>
      <c r="BK71" s="108"/>
      <c r="BL71" s="108"/>
      <c r="BM71" s="108"/>
      <c r="BN71" s="109"/>
      <c r="BO71" s="110"/>
      <c r="BP71" s="107"/>
      <c r="BQ71" s="108"/>
      <c r="BR71" s="108"/>
      <c r="BS71" s="108"/>
      <c r="BT71" s="108"/>
      <c r="BU71" s="109"/>
      <c r="BV71" s="110"/>
      <c r="BW71" s="107"/>
      <c r="BX71" s="108"/>
      <c r="BY71" s="108"/>
      <c r="BZ71" s="108"/>
      <c r="CA71" s="108"/>
      <c r="CB71" s="109"/>
      <c r="CC71" s="110"/>
      <c r="CD71" s="107"/>
      <c r="CE71" s="108"/>
      <c r="CF71" s="108"/>
      <c r="CG71" s="108"/>
      <c r="CH71" s="108"/>
      <c r="CI71" s="109"/>
      <c r="CJ71" s="110"/>
      <c r="CK71" s="107"/>
      <c r="CL71" s="108"/>
      <c r="CM71" s="108"/>
      <c r="CN71" s="108"/>
      <c r="CO71" s="108"/>
      <c r="CP71" s="109"/>
      <c r="CQ71" s="110"/>
      <c r="DA71" s="104"/>
    </row>
    <row r="72" spans="10:105" ht="14.25" customHeight="1" x14ac:dyDescent="0.2">
      <c r="L72" s="107" t="s">
        <v>96</v>
      </c>
      <c r="M72" s="108"/>
      <c r="N72" s="108"/>
      <c r="O72" s="108"/>
      <c r="P72" s="108"/>
      <c r="Q72" s="109"/>
      <c r="R72" s="110">
        <f>702</f>
        <v>702</v>
      </c>
      <c r="S72" s="107" t="s">
        <v>96</v>
      </c>
      <c r="T72" s="108"/>
      <c r="U72" s="108"/>
      <c r="V72" s="108"/>
      <c r="W72" s="108"/>
      <c r="X72" s="109"/>
      <c r="Y72" s="110"/>
      <c r="Z72" s="107" t="s">
        <v>96</v>
      </c>
      <c r="AA72" s="108"/>
      <c r="AB72" s="108"/>
      <c r="AC72" s="108"/>
      <c r="AD72" s="108"/>
      <c r="AE72" s="109"/>
      <c r="AF72" s="110"/>
      <c r="AG72" s="107" t="s">
        <v>96</v>
      </c>
      <c r="AH72" s="108"/>
      <c r="AI72" s="108"/>
      <c r="AJ72" s="108"/>
      <c r="AK72" s="108"/>
      <c r="AL72" s="109"/>
      <c r="AM72" s="110"/>
      <c r="AN72" s="107"/>
      <c r="AO72" s="108"/>
      <c r="AP72" s="108"/>
      <c r="AQ72" s="108"/>
      <c r="AR72" s="108"/>
      <c r="AS72" s="109"/>
      <c r="AT72" s="110"/>
      <c r="AU72" s="107"/>
      <c r="AV72" s="108"/>
      <c r="AW72" s="108"/>
      <c r="AX72" s="108"/>
      <c r="AY72" s="108"/>
      <c r="AZ72" s="109"/>
      <c r="BA72" s="110"/>
      <c r="BB72" s="107"/>
      <c r="BC72" s="108"/>
      <c r="BD72" s="108"/>
      <c r="BE72" s="108"/>
      <c r="BF72" s="108"/>
      <c r="BG72" s="109"/>
      <c r="BH72" s="110"/>
      <c r="BI72" s="107"/>
      <c r="BJ72" s="108"/>
      <c r="BK72" s="108"/>
      <c r="BL72" s="108"/>
      <c r="BM72" s="108"/>
      <c r="BN72" s="109"/>
      <c r="BO72" s="110"/>
      <c r="BP72" s="107"/>
      <c r="BQ72" s="108"/>
      <c r="BR72" s="108"/>
      <c r="BS72" s="108"/>
      <c r="BT72" s="108"/>
      <c r="BU72" s="109"/>
      <c r="BV72" s="110"/>
      <c r="BW72" s="107"/>
      <c r="BX72" s="108"/>
      <c r="BY72" s="108"/>
      <c r="BZ72" s="108"/>
      <c r="CA72" s="108"/>
      <c r="CB72" s="109"/>
      <c r="CC72" s="110"/>
      <c r="CD72" s="107"/>
      <c r="CE72" s="108"/>
      <c r="CF72" s="108"/>
      <c r="CG72" s="108"/>
      <c r="CH72" s="108"/>
      <c r="CI72" s="109"/>
      <c r="CJ72" s="110"/>
      <c r="CK72" s="107"/>
      <c r="CL72" s="108"/>
      <c r="CM72" s="108"/>
      <c r="CN72" s="108"/>
      <c r="CO72" s="108"/>
      <c r="CP72" s="109"/>
      <c r="CQ72" s="110"/>
      <c r="DA72" s="104"/>
    </row>
    <row r="73" spans="10:105" ht="14.25" customHeight="1" x14ac:dyDescent="0.2">
      <c r="L73" s="107" t="s">
        <v>97</v>
      </c>
      <c r="M73" s="108"/>
      <c r="N73" s="108"/>
      <c r="O73" s="108"/>
      <c r="P73" s="108"/>
      <c r="Q73" s="109"/>
      <c r="R73" s="110">
        <v>929.25</v>
      </c>
      <c r="S73" s="107" t="s">
        <v>97</v>
      </c>
      <c r="T73" s="108"/>
      <c r="U73" s="108"/>
      <c r="V73" s="108"/>
      <c r="W73" s="108"/>
      <c r="X73" s="109"/>
      <c r="Y73" s="110">
        <f>885</f>
        <v>885</v>
      </c>
      <c r="Z73" s="107" t="s">
        <v>97</v>
      </c>
      <c r="AA73" s="108"/>
      <c r="AB73" s="108"/>
      <c r="AC73" s="108"/>
      <c r="AD73" s="108"/>
      <c r="AE73" s="109"/>
      <c r="AF73" s="110">
        <f>973.5</f>
        <v>973.5</v>
      </c>
      <c r="AG73" s="107" t="s">
        <v>97</v>
      </c>
      <c r="AH73" s="108"/>
      <c r="AI73" s="108"/>
      <c r="AJ73" s="108"/>
      <c r="AK73" s="108"/>
      <c r="AL73" s="109"/>
      <c r="AM73" s="110">
        <f>973.5</f>
        <v>973.5</v>
      </c>
      <c r="AN73" s="107"/>
      <c r="AO73" s="108"/>
      <c r="AP73" s="108"/>
      <c r="AQ73" s="108"/>
      <c r="AR73" s="108"/>
      <c r="AS73" s="109"/>
      <c r="AT73" s="110"/>
      <c r="AU73" s="107"/>
      <c r="AV73" s="108"/>
      <c r="AW73" s="108"/>
      <c r="AX73" s="108"/>
      <c r="AY73" s="108"/>
      <c r="AZ73" s="109"/>
      <c r="BA73" s="110"/>
      <c r="BB73" s="107"/>
      <c r="BC73" s="108"/>
      <c r="BD73" s="108"/>
      <c r="BE73" s="108"/>
      <c r="BF73" s="108"/>
      <c r="BG73" s="109"/>
      <c r="BH73" s="110"/>
      <c r="BI73" s="107"/>
      <c r="BJ73" s="108"/>
      <c r="BK73" s="108"/>
      <c r="BL73" s="108"/>
      <c r="BM73" s="108"/>
      <c r="BN73" s="109"/>
      <c r="BO73" s="110"/>
      <c r="BP73" s="107"/>
      <c r="BQ73" s="108"/>
      <c r="BR73" s="108"/>
      <c r="BS73" s="108"/>
      <c r="BT73" s="108"/>
      <c r="BU73" s="109"/>
      <c r="BV73" s="110"/>
      <c r="BW73" s="107"/>
      <c r="BX73" s="108"/>
      <c r="BY73" s="108"/>
      <c r="BZ73" s="108"/>
      <c r="CA73" s="108"/>
      <c r="CB73" s="109"/>
      <c r="CC73" s="110"/>
      <c r="CD73" s="107"/>
      <c r="CE73" s="108"/>
      <c r="CF73" s="108"/>
      <c r="CG73" s="108"/>
      <c r="CH73" s="108"/>
      <c r="CI73" s="109"/>
      <c r="CJ73" s="110"/>
      <c r="CK73" s="107"/>
      <c r="CL73" s="108"/>
      <c r="CM73" s="108"/>
      <c r="CN73" s="108"/>
      <c r="CO73" s="108"/>
      <c r="CP73" s="109"/>
      <c r="CQ73" s="110"/>
      <c r="DA73" s="104"/>
    </row>
    <row r="74" spans="10:105" ht="14.25" customHeight="1" x14ac:dyDescent="0.2">
      <c r="L74" s="107" t="s">
        <v>98</v>
      </c>
      <c r="M74" s="108"/>
      <c r="N74" s="108"/>
      <c r="O74" s="108"/>
      <c r="P74" s="108"/>
      <c r="Q74" s="109"/>
      <c r="R74" s="110">
        <f>47.15</f>
        <v>47.15</v>
      </c>
      <c r="S74" s="107" t="s">
        <v>98</v>
      </c>
      <c r="T74" s="108"/>
      <c r="U74" s="108"/>
      <c r="V74" s="108"/>
      <c r="W74" s="108"/>
      <c r="X74" s="109"/>
      <c r="Y74" s="110">
        <f>46.8</f>
        <v>46.8</v>
      </c>
      <c r="Z74" s="107" t="s">
        <v>98</v>
      </c>
      <c r="AA74" s="108"/>
      <c r="AB74" s="108"/>
      <c r="AC74" s="108"/>
      <c r="AD74" s="108"/>
      <c r="AE74" s="109"/>
      <c r="AF74" s="110">
        <f>93.28</f>
        <v>93.28</v>
      </c>
      <c r="AG74" s="107" t="s">
        <v>98</v>
      </c>
      <c r="AH74" s="108"/>
      <c r="AI74" s="108"/>
      <c r="AJ74" s="108"/>
      <c r="AK74" s="108"/>
      <c r="AL74" s="109"/>
      <c r="AM74" s="114">
        <f>46.11</f>
        <v>46.11</v>
      </c>
      <c r="AN74" s="107"/>
      <c r="AO74" s="108"/>
      <c r="AP74" s="108"/>
      <c r="AQ74" s="108"/>
      <c r="AR74" s="108"/>
      <c r="AS74" s="109"/>
      <c r="AT74" s="110"/>
      <c r="AU74" s="107"/>
      <c r="AV74" s="108"/>
      <c r="AW74" s="108"/>
      <c r="AX74" s="108"/>
      <c r="AY74" s="108"/>
      <c r="AZ74" s="109"/>
      <c r="BA74" s="110"/>
      <c r="BB74" s="107"/>
      <c r="BC74" s="108"/>
      <c r="BD74" s="108"/>
      <c r="BE74" s="108"/>
      <c r="BF74" s="108"/>
      <c r="BG74" s="109"/>
      <c r="BH74" s="110"/>
      <c r="BI74" s="107"/>
      <c r="BJ74" s="108"/>
      <c r="BK74" s="108"/>
      <c r="BL74" s="108"/>
      <c r="BM74" s="108"/>
      <c r="BN74" s="109"/>
      <c r="BO74" s="110"/>
      <c r="BP74" s="107"/>
      <c r="BQ74" s="108"/>
      <c r="BR74" s="108"/>
      <c r="BS74" s="108"/>
      <c r="BT74" s="108"/>
      <c r="BU74" s="109"/>
      <c r="BV74" s="110"/>
      <c r="BW74" s="107"/>
      <c r="BX74" s="108"/>
      <c r="BY74" s="108"/>
      <c r="BZ74" s="108"/>
      <c r="CA74" s="108"/>
      <c r="CB74" s="109"/>
      <c r="CC74" s="110"/>
      <c r="CD74" s="107"/>
      <c r="CE74" s="108"/>
      <c r="CF74" s="108"/>
      <c r="CG74" s="108"/>
      <c r="CH74" s="108"/>
      <c r="CI74" s="109"/>
      <c r="CJ74" s="110"/>
      <c r="CK74" s="107"/>
      <c r="CL74" s="108"/>
      <c r="CM74" s="108"/>
      <c r="CN74" s="108"/>
      <c r="CO74" s="108"/>
      <c r="CP74" s="109"/>
      <c r="CQ74" s="110"/>
      <c r="DA74" s="104"/>
    </row>
    <row r="75" spans="10:105" ht="14.25" customHeight="1" x14ac:dyDescent="0.2">
      <c r="L75" s="107"/>
      <c r="M75" s="108"/>
      <c r="N75" s="108"/>
      <c r="O75" s="108"/>
      <c r="P75" s="108"/>
      <c r="Q75" s="108"/>
      <c r="R75" s="110"/>
      <c r="S75" s="107" t="s">
        <v>99</v>
      </c>
      <c r="T75" s="108"/>
      <c r="U75" s="108"/>
      <c r="V75" s="108"/>
      <c r="W75" s="108"/>
      <c r="X75" s="108"/>
      <c r="Y75" s="110">
        <f>390+62.5</f>
        <v>452.5</v>
      </c>
      <c r="Z75" s="107" t="s">
        <v>99</v>
      </c>
      <c r="AA75" s="108"/>
      <c r="AB75" s="108"/>
      <c r="AC75" s="108"/>
      <c r="AD75" s="108"/>
      <c r="AE75" s="108"/>
      <c r="AF75" s="110">
        <f>160</f>
        <v>160</v>
      </c>
      <c r="AG75" s="107" t="s">
        <v>99</v>
      </c>
      <c r="AH75" s="108"/>
      <c r="AI75" s="108"/>
      <c r="AJ75" s="108"/>
      <c r="AK75" s="108"/>
      <c r="AL75" s="108"/>
      <c r="AM75" s="110"/>
      <c r="AN75" s="107"/>
      <c r="AO75" s="108"/>
      <c r="AP75" s="108"/>
      <c r="AQ75" s="108"/>
      <c r="AR75" s="108"/>
      <c r="AS75" s="108"/>
      <c r="AT75" s="110"/>
      <c r="AU75" s="107"/>
      <c r="AV75" s="108"/>
      <c r="AW75" s="108"/>
      <c r="AX75" s="108"/>
      <c r="AY75" s="108"/>
      <c r="AZ75" s="108"/>
      <c r="BA75" s="110"/>
      <c r="BB75" s="107"/>
      <c r="BC75" s="108"/>
      <c r="BD75" s="108"/>
      <c r="BE75" s="108"/>
      <c r="BF75" s="108"/>
      <c r="BG75" s="108"/>
      <c r="BH75" s="110"/>
      <c r="BI75" s="107"/>
      <c r="BJ75" s="108"/>
      <c r="BK75" s="108"/>
      <c r="BL75" s="108"/>
      <c r="BM75" s="108"/>
      <c r="BN75" s="108"/>
      <c r="BO75" s="110"/>
      <c r="BP75" s="107"/>
      <c r="BQ75" s="108"/>
      <c r="BR75" s="108"/>
      <c r="BS75" s="108"/>
      <c r="BT75" s="108"/>
      <c r="BU75" s="108"/>
      <c r="BV75" s="110"/>
      <c r="BW75" s="107"/>
      <c r="BX75" s="108"/>
      <c r="BY75" s="108"/>
      <c r="BZ75" s="108"/>
      <c r="CA75" s="108"/>
      <c r="CB75" s="108"/>
      <c r="CC75" s="110"/>
      <c r="CD75" s="107"/>
      <c r="CE75" s="108"/>
      <c r="CF75" s="108"/>
      <c r="CG75" s="108"/>
      <c r="CH75" s="108"/>
      <c r="CI75" s="108"/>
      <c r="CJ75" s="110"/>
      <c r="CK75" s="107"/>
      <c r="CL75" s="108"/>
      <c r="CM75" s="108"/>
      <c r="CN75" s="108"/>
      <c r="CO75" s="108"/>
      <c r="CP75" s="108"/>
      <c r="CQ75" s="110"/>
      <c r="DA75" s="104"/>
    </row>
    <row r="76" spans="10:105" ht="14.25" customHeight="1" x14ac:dyDescent="0.2">
      <c r="L76" s="107"/>
      <c r="M76" s="108"/>
      <c r="N76" s="108"/>
      <c r="O76" s="108"/>
      <c r="P76" s="108"/>
      <c r="Q76" s="108"/>
      <c r="R76" s="110"/>
      <c r="S76" s="107" t="s">
        <v>100</v>
      </c>
      <c r="T76" s="108"/>
      <c r="U76" s="108"/>
      <c r="V76" s="108"/>
      <c r="W76" s="108"/>
      <c r="X76" s="108"/>
      <c r="Y76" s="110">
        <f>253.35</f>
        <v>253.35</v>
      </c>
      <c r="Z76" s="107" t="s">
        <v>100</v>
      </c>
      <c r="AA76" s="108"/>
      <c r="AB76" s="108"/>
      <c r="AC76" s="108"/>
      <c r="AD76" s="108"/>
      <c r="AE76" s="108"/>
      <c r="AF76" s="110"/>
      <c r="AG76" s="107" t="s">
        <v>100</v>
      </c>
      <c r="AH76" s="108"/>
      <c r="AI76" s="108"/>
      <c r="AJ76" s="108"/>
      <c r="AK76" s="108"/>
      <c r="AL76" s="108"/>
      <c r="AM76" s="110">
        <f>260</f>
        <v>260</v>
      </c>
      <c r="AN76" s="107"/>
      <c r="AO76" s="108"/>
      <c r="AP76" s="108"/>
      <c r="AQ76" s="108"/>
      <c r="AR76" s="108"/>
      <c r="AS76" s="108"/>
      <c r="AT76" s="110"/>
      <c r="AU76" s="107"/>
      <c r="AV76" s="108"/>
      <c r="AW76" s="108"/>
      <c r="AX76" s="108"/>
      <c r="AY76" s="108"/>
      <c r="AZ76" s="108"/>
      <c r="BA76" s="110"/>
      <c r="BB76" s="107"/>
      <c r="BC76" s="108"/>
      <c r="BD76" s="108"/>
      <c r="BE76" s="108"/>
      <c r="BF76" s="108"/>
      <c r="BG76" s="108"/>
      <c r="BH76" s="110"/>
      <c r="BI76" s="107"/>
      <c r="BJ76" s="108"/>
      <c r="BK76" s="108"/>
      <c r="BL76" s="108"/>
      <c r="BM76" s="108"/>
      <c r="BN76" s="108"/>
      <c r="BO76" s="110"/>
      <c r="BP76" s="107"/>
      <c r="BQ76" s="108"/>
      <c r="BR76" s="108"/>
      <c r="BS76" s="108"/>
      <c r="BT76" s="108"/>
      <c r="BU76" s="108"/>
      <c r="BV76" s="110"/>
      <c r="BW76" s="107"/>
      <c r="BX76" s="108"/>
      <c r="BY76" s="108"/>
      <c r="BZ76" s="108"/>
      <c r="CA76" s="108"/>
      <c r="CB76" s="108"/>
      <c r="CC76" s="110"/>
      <c r="CD76" s="107"/>
      <c r="CE76" s="108"/>
      <c r="CF76" s="108"/>
      <c r="CG76" s="108"/>
      <c r="CH76" s="108"/>
      <c r="CI76" s="108"/>
      <c r="CJ76" s="110"/>
      <c r="CK76" s="107"/>
      <c r="CL76" s="108"/>
      <c r="CM76" s="108"/>
      <c r="CN76" s="108"/>
      <c r="CO76" s="108"/>
      <c r="CP76" s="108"/>
      <c r="CQ76" s="110"/>
      <c r="DA76" s="104"/>
    </row>
    <row r="77" spans="10:105" ht="14.25" customHeight="1" x14ac:dyDescent="0.2">
      <c r="L77" s="107"/>
      <c r="M77" s="108"/>
      <c r="N77" s="108"/>
      <c r="O77" s="108"/>
      <c r="P77" s="108"/>
      <c r="Q77" s="108"/>
      <c r="R77" s="110"/>
      <c r="S77" s="107" t="s">
        <v>101</v>
      </c>
      <c r="T77" s="108"/>
      <c r="U77" s="108"/>
      <c r="V77" s="108"/>
      <c r="W77" s="108"/>
      <c r="X77" s="108"/>
      <c r="Y77" s="110">
        <f>360.36+360.36</f>
        <v>720.72</v>
      </c>
      <c r="Z77" s="107" t="s">
        <v>101</v>
      </c>
      <c r="AA77" s="108"/>
      <c r="AB77" s="108"/>
      <c r="AC77" s="108"/>
      <c r="AD77" s="108"/>
      <c r="AE77" s="108"/>
      <c r="AF77" s="110">
        <f>360.36</f>
        <v>360.36</v>
      </c>
      <c r="AG77" s="107" t="s">
        <v>101</v>
      </c>
      <c r="AH77" s="108"/>
      <c r="AI77" s="108"/>
      <c r="AJ77" s="108"/>
      <c r="AK77" s="108"/>
      <c r="AL77" s="108"/>
      <c r="AM77" s="110">
        <f>360.36</f>
        <v>360.36</v>
      </c>
      <c r="AN77" s="107"/>
      <c r="AO77" s="108"/>
      <c r="AP77" s="108"/>
      <c r="AQ77" s="108"/>
      <c r="AR77" s="108"/>
      <c r="AS77" s="108"/>
      <c r="AT77" s="110"/>
      <c r="AU77" s="107"/>
      <c r="AV77" s="108"/>
      <c r="AW77" s="108"/>
      <c r="AX77" s="108"/>
      <c r="AY77" s="108"/>
      <c r="AZ77" s="108"/>
      <c r="BA77" s="110"/>
      <c r="BB77" s="107"/>
      <c r="BC77" s="108"/>
      <c r="BD77" s="108"/>
      <c r="BE77" s="108"/>
      <c r="BF77" s="108"/>
      <c r="BG77" s="108"/>
      <c r="BH77" s="110"/>
      <c r="BI77" s="107"/>
      <c r="BJ77" s="108"/>
      <c r="BK77" s="108"/>
      <c r="BL77" s="108"/>
      <c r="BM77" s="108"/>
      <c r="BN77" s="108"/>
      <c r="BO77" s="110"/>
      <c r="BP77" s="107"/>
      <c r="BQ77" s="108"/>
      <c r="BR77" s="108"/>
      <c r="BS77" s="108"/>
      <c r="BT77" s="108"/>
      <c r="BU77" s="108"/>
      <c r="BV77" s="110"/>
      <c r="BW77" s="107"/>
      <c r="BX77" s="108"/>
      <c r="BY77" s="108"/>
      <c r="BZ77" s="108"/>
      <c r="CA77" s="108"/>
      <c r="CB77" s="108"/>
      <c r="CC77" s="110"/>
      <c r="CD77" s="107"/>
      <c r="CE77" s="108"/>
      <c r="CF77" s="108"/>
      <c r="CG77" s="108"/>
      <c r="CH77" s="108"/>
      <c r="CI77" s="108"/>
      <c r="CJ77" s="110"/>
      <c r="CK77" s="107"/>
      <c r="CL77" s="108"/>
      <c r="CM77" s="108"/>
      <c r="CN77" s="108"/>
      <c r="CO77" s="108"/>
      <c r="CP77" s="108"/>
      <c r="CQ77" s="110"/>
    </row>
    <row r="78" spans="10:105" ht="14.25" customHeight="1" x14ac:dyDescent="0.2">
      <c r="L78" s="107"/>
      <c r="M78" s="108"/>
      <c r="N78" s="108"/>
      <c r="O78" s="108"/>
      <c r="P78" s="108"/>
      <c r="Q78" s="108"/>
      <c r="R78" s="110"/>
      <c r="S78" s="107" t="s">
        <v>102</v>
      </c>
      <c r="T78" s="108"/>
      <c r="U78" s="108"/>
      <c r="V78" s="108"/>
      <c r="W78" s="108"/>
      <c r="X78" s="108"/>
      <c r="Y78" s="110">
        <f>966.53</f>
        <v>966.53</v>
      </c>
      <c r="Z78" s="107" t="s">
        <v>102</v>
      </c>
      <c r="AA78" s="108"/>
      <c r="AB78" s="108"/>
      <c r="AC78" s="108"/>
      <c r="AD78" s="108"/>
      <c r="AE78" s="108"/>
      <c r="AF78" s="110"/>
      <c r="AG78" s="107" t="s">
        <v>102</v>
      </c>
      <c r="AH78" s="108"/>
      <c r="AI78" s="108"/>
      <c r="AJ78" s="108"/>
      <c r="AK78" s="108"/>
      <c r="AL78" s="108"/>
      <c r="AM78" s="110"/>
      <c r="AN78" s="107"/>
      <c r="AO78" s="108"/>
      <c r="AP78" s="108"/>
      <c r="AQ78" s="108"/>
      <c r="AR78" s="108"/>
      <c r="AS78" s="108"/>
      <c r="AT78" s="110"/>
      <c r="AU78" s="107"/>
      <c r="AV78" s="108"/>
      <c r="AW78" s="108"/>
      <c r="AX78" s="108"/>
      <c r="AY78" s="108"/>
      <c r="AZ78" s="108"/>
      <c r="BA78" s="110"/>
      <c r="BB78" s="107"/>
      <c r="BC78" s="108"/>
      <c r="BD78" s="108"/>
      <c r="BE78" s="108"/>
      <c r="BF78" s="108"/>
      <c r="BG78" s="108"/>
      <c r="BH78" s="110"/>
      <c r="BI78" s="107"/>
      <c r="BJ78" s="108"/>
      <c r="BK78" s="108"/>
      <c r="BL78" s="108"/>
      <c r="BM78" s="108"/>
      <c r="BN78" s="108"/>
      <c r="BO78" s="110"/>
      <c r="BP78" s="107"/>
      <c r="BQ78" s="108"/>
      <c r="BR78" s="108"/>
      <c r="BS78" s="108"/>
      <c r="BT78" s="108"/>
      <c r="BU78" s="108"/>
      <c r="BV78" s="110"/>
      <c r="BW78" s="107"/>
      <c r="BX78" s="108"/>
      <c r="BY78" s="108"/>
      <c r="BZ78" s="108"/>
      <c r="CA78" s="108"/>
      <c r="CB78" s="108"/>
      <c r="CC78" s="110"/>
      <c r="CD78" s="107"/>
      <c r="CE78" s="108"/>
      <c r="CF78" s="108"/>
      <c r="CG78" s="108"/>
      <c r="CH78" s="108"/>
      <c r="CI78" s="108"/>
      <c r="CJ78" s="110"/>
      <c r="CK78" s="107"/>
      <c r="CL78" s="108"/>
      <c r="CM78" s="108"/>
      <c r="CN78" s="108"/>
      <c r="CO78" s="108"/>
      <c r="CP78" s="108"/>
      <c r="CQ78" s="110"/>
    </row>
    <row r="79" spans="10:105" ht="14.25" customHeight="1" x14ac:dyDescent="0.2">
      <c r="L79" s="107"/>
      <c r="M79" s="108"/>
      <c r="N79" s="108"/>
      <c r="O79" s="108"/>
      <c r="P79" s="108"/>
      <c r="Q79" s="108"/>
      <c r="R79" s="110"/>
      <c r="S79" s="107"/>
      <c r="T79" s="108"/>
      <c r="U79" s="108"/>
      <c r="V79" s="108"/>
      <c r="W79" s="108"/>
      <c r="X79" s="108"/>
      <c r="Y79" s="110"/>
      <c r="Z79" s="107"/>
      <c r="AA79" s="108"/>
      <c r="AB79" s="108"/>
      <c r="AC79" s="108"/>
      <c r="AD79" s="108"/>
      <c r="AE79" s="108"/>
      <c r="AF79" s="110"/>
      <c r="AG79" s="107"/>
      <c r="AH79" s="108"/>
      <c r="AI79" s="108"/>
      <c r="AJ79" s="108"/>
      <c r="AK79" s="108"/>
      <c r="AL79" s="108"/>
      <c r="AM79" s="110"/>
      <c r="AN79" s="107"/>
      <c r="AO79" s="108"/>
      <c r="AP79" s="108"/>
      <c r="AQ79" s="108"/>
      <c r="AR79" s="108"/>
      <c r="AS79" s="108"/>
      <c r="AT79" s="110"/>
      <c r="AU79" s="107"/>
      <c r="AV79" s="108"/>
      <c r="AW79" s="108"/>
      <c r="AX79" s="108"/>
      <c r="AY79" s="108"/>
      <c r="AZ79" s="108"/>
      <c r="BA79" s="110"/>
      <c r="BB79" s="107"/>
      <c r="BC79" s="108"/>
      <c r="BD79" s="108"/>
      <c r="BE79" s="108"/>
      <c r="BF79" s="108"/>
      <c r="BG79" s="108"/>
      <c r="BH79" s="110"/>
      <c r="BI79" s="107"/>
      <c r="BJ79" s="108"/>
      <c r="BK79" s="108"/>
      <c r="BL79" s="108"/>
      <c r="BM79" s="108"/>
      <c r="BN79" s="108"/>
      <c r="BO79" s="110"/>
      <c r="BP79" s="107"/>
      <c r="BQ79" s="108"/>
      <c r="BR79" s="108"/>
      <c r="BS79" s="108"/>
      <c r="BT79" s="108"/>
      <c r="BU79" s="108"/>
      <c r="BV79" s="110"/>
      <c r="BW79" s="107"/>
      <c r="BX79" s="108"/>
      <c r="BY79" s="108"/>
      <c r="BZ79" s="108"/>
      <c r="CA79" s="108"/>
      <c r="CB79" s="108"/>
      <c r="CC79" s="110"/>
      <c r="CD79" s="107"/>
      <c r="CE79" s="108"/>
      <c r="CF79" s="108"/>
      <c r="CG79" s="108"/>
      <c r="CH79" s="108"/>
      <c r="CI79" s="108"/>
      <c r="CJ79" s="110"/>
      <c r="CK79" s="107"/>
      <c r="CL79" s="108"/>
      <c r="CM79" s="108"/>
      <c r="CN79" s="108"/>
      <c r="CO79" s="108"/>
      <c r="CP79" s="108"/>
      <c r="CQ79" s="110"/>
    </row>
    <row r="80" spans="10:105" ht="14.25" customHeight="1" x14ac:dyDescent="0.2">
      <c r="L80" s="107"/>
      <c r="M80" s="108"/>
      <c r="N80" s="108"/>
      <c r="O80" s="108"/>
      <c r="P80" s="108"/>
      <c r="Q80" s="108"/>
      <c r="R80" s="110"/>
      <c r="S80" s="107"/>
      <c r="T80" s="108"/>
      <c r="U80" s="108"/>
      <c r="V80" s="108"/>
      <c r="W80" s="108"/>
      <c r="X80" s="108"/>
      <c r="Y80" s="110"/>
      <c r="Z80" s="107"/>
      <c r="AA80" s="108"/>
      <c r="AB80" s="108"/>
      <c r="AC80" s="108"/>
      <c r="AD80" s="108"/>
      <c r="AE80" s="108"/>
      <c r="AF80" s="110"/>
      <c r="AG80" s="107"/>
      <c r="AH80" s="108"/>
      <c r="AI80" s="108"/>
      <c r="AJ80" s="108"/>
      <c r="AK80" s="108"/>
      <c r="AL80" s="108"/>
      <c r="AM80" s="110"/>
      <c r="AN80" s="107"/>
      <c r="AO80" s="108"/>
      <c r="AP80" s="108"/>
      <c r="AQ80" s="108"/>
      <c r="AR80" s="108"/>
      <c r="AS80" s="108"/>
      <c r="AT80" s="110"/>
      <c r="AU80" s="107"/>
      <c r="AV80" s="108"/>
      <c r="AW80" s="108"/>
      <c r="AX80" s="108"/>
      <c r="AY80" s="108"/>
      <c r="AZ80" s="108"/>
      <c r="BA80" s="110"/>
      <c r="BB80" s="107"/>
      <c r="BC80" s="108"/>
      <c r="BD80" s="108"/>
      <c r="BE80" s="108"/>
      <c r="BF80" s="108"/>
      <c r="BG80" s="108"/>
      <c r="BH80" s="110"/>
      <c r="BI80" s="107"/>
      <c r="BJ80" s="108"/>
      <c r="BK80" s="108"/>
      <c r="BL80" s="108"/>
      <c r="BM80" s="108"/>
      <c r="BN80" s="108"/>
      <c r="BO80" s="110"/>
      <c r="BP80" s="107"/>
      <c r="BQ80" s="108"/>
      <c r="BR80" s="108"/>
      <c r="BS80" s="108"/>
      <c r="BT80" s="108"/>
      <c r="BU80" s="108"/>
      <c r="BV80" s="110"/>
      <c r="BW80" s="107"/>
      <c r="BX80" s="108"/>
      <c r="BY80" s="108"/>
      <c r="BZ80" s="108"/>
      <c r="CA80" s="108"/>
      <c r="CB80" s="108"/>
      <c r="CC80" s="110"/>
      <c r="CD80" s="107"/>
      <c r="CE80" s="108"/>
      <c r="CF80" s="108"/>
      <c r="CG80" s="108"/>
      <c r="CH80" s="108"/>
      <c r="CI80" s="108"/>
      <c r="CJ80" s="110"/>
      <c r="CK80" s="107"/>
      <c r="CL80" s="108"/>
      <c r="CM80" s="108"/>
      <c r="CN80" s="108"/>
      <c r="CO80" s="108"/>
      <c r="CP80" s="108"/>
      <c r="CQ80" s="110"/>
    </row>
    <row r="81" spans="12:95" ht="14.25" customHeight="1" x14ac:dyDescent="0.2">
      <c r="L81" s="107"/>
      <c r="M81" s="108"/>
      <c r="N81" s="108"/>
      <c r="O81" s="108"/>
      <c r="P81" s="108"/>
      <c r="Q81" s="109"/>
      <c r="R81" s="110"/>
      <c r="S81" s="107"/>
      <c r="T81" s="108"/>
      <c r="U81" s="108"/>
      <c r="V81" s="108"/>
      <c r="W81" s="108"/>
      <c r="X81" s="109"/>
      <c r="Y81" s="110"/>
      <c r="Z81" s="107"/>
      <c r="AA81" s="108"/>
      <c r="AB81" s="108"/>
      <c r="AC81" s="108"/>
      <c r="AD81" s="108"/>
      <c r="AE81" s="109"/>
      <c r="AF81" s="110"/>
      <c r="AG81" s="107"/>
      <c r="AH81" s="108"/>
      <c r="AI81" s="108"/>
      <c r="AJ81" s="108"/>
      <c r="AK81" s="108"/>
      <c r="AL81" s="109"/>
      <c r="AM81" s="110"/>
      <c r="AN81" s="107"/>
      <c r="AO81" s="108"/>
      <c r="AP81" s="108"/>
      <c r="AQ81" s="108"/>
      <c r="AR81" s="108"/>
      <c r="AS81" s="109"/>
      <c r="AT81" s="110"/>
      <c r="AU81" s="107"/>
      <c r="AV81" s="108"/>
      <c r="AW81" s="108"/>
      <c r="AX81" s="108"/>
      <c r="AY81" s="108"/>
      <c r="AZ81" s="109"/>
      <c r="BA81" s="110"/>
      <c r="BB81" s="107"/>
      <c r="BC81" s="108"/>
      <c r="BD81" s="108"/>
      <c r="BE81" s="108"/>
      <c r="BF81" s="108"/>
      <c r="BG81" s="109"/>
      <c r="BH81" s="110"/>
      <c r="BI81" s="107"/>
      <c r="BJ81" s="108"/>
      <c r="BK81" s="108"/>
      <c r="BL81" s="108"/>
      <c r="BM81" s="108"/>
      <c r="BN81" s="109"/>
      <c r="BO81" s="110"/>
      <c r="BP81" s="107"/>
      <c r="BQ81" s="108"/>
      <c r="BR81" s="108"/>
      <c r="BS81" s="108"/>
      <c r="BT81" s="108"/>
      <c r="BU81" s="109"/>
      <c r="BV81" s="110"/>
      <c r="BW81" s="107"/>
      <c r="BX81" s="108"/>
      <c r="BY81" s="108"/>
      <c r="BZ81" s="108"/>
      <c r="CA81" s="108"/>
      <c r="CB81" s="109"/>
      <c r="CC81" s="110"/>
      <c r="CD81" s="107"/>
      <c r="CE81" s="108"/>
      <c r="CF81" s="108"/>
      <c r="CG81" s="108"/>
      <c r="CH81" s="108"/>
      <c r="CI81" s="109"/>
      <c r="CJ81" s="110"/>
      <c r="CK81" s="107"/>
      <c r="CL81" s="108"/>
      <c r="CM81" s="108"/>
      <c r="CN81" s="108"/>
      <c r="CO81" s="108"/>
      <c r="CP81" s="109"/>
      <c r="CQ81" s="110"/>
    </row>
    <row r="82" spans="12:95" ht="14.25" customHeight="1" x14ac:dyDescent="0.2">
      <c r="L82" s="107" t="s">
        <v>82</v>
      </c>
      <c r="M82" s="108"/>
      <c r="N82" s="108"/>
      <c r="O82" s="108"/>
      <c r="P82" s="108"/>
      <c r="Q82" s="109"/>
      <c r="R82" s="110">
        <f>SUM(R61:R81)</f>
        <v>24305.97</v>
      </c>
      <c r="S82" s="107" t="s">
        <v>82</v>
      </c>
      <c r="T82" s="108"/>
      <c r="U82" s="108"/>
      <c r="V82" s="108"/>
      <c r="W82" s="108"/>
      <c r="X82" s="109"/>
      <c r="Y82" s="110">
        <f>SUM(Y61:Y81)</f>
        <v>17166.78</v>
      </c>
      <c r="Z82" s="107" t="s">
        <v>82</v>
      </c>
      <c r="AA82" s="108"/>
      <c r="AB82" s="108"/>
      <c r="AC82" s="108"/>
      <c r="AD82" s="108"/>
      <c r="AE82" s="109"/>
      <c r="AF82" s="110">
        <f>SUM(AF61:AF81)</f>
        <v>32225.96</v>
      </c>
      <c r="AG82" s="107" t="s">
        <v>82</v>
      </c>
      <c r="AH82" s="108"/>
      <c r="AI82" s="108"/>
      <c r="AJ82" s="108"/>
      <c r="AK82" s="108"/>
      <c r="AL82" s="109"/>
      <c r="AM82" s="110">
        <f>SUM(AM61:AM81)</f>
        <v>11110.820000000003</v>
      </c>
      <c r="AN82" s="107" t="s">
        <v>82</v>
      </c>
      <c r="AO82" s="108"/>
      <c r="AP82" s="108"/>
      <c r="AQ82" s="108"/>
      <c r="AR82" s="108"/>
      <c r="AS82" s="109"/>
      <c r="AT82" s="110">
        <f>SUM(AT61:AT81)</f>
        <v>0</v>
      </c>
      <c r="AU82" s="107" t="s">
        <v>82</v>
      </c>
      <c r="AV82" s="108"/>
      <c r="AW82" s="108"/>
      <c r="AX82" s="108"/>
      <c r="AY82" s="108"/>
      <c r="AZ82" s="109"/>
      <c r="BA82" s="110">
        <f>SUM(BA61:BA81)</f>
        <v>0</v>
      </c>
      <c r="BB82" s="107" t="s">
        <v>82</v>
      </c>
      <c r="BC82" s="108"/>
      <c r="BD82" s="108"/>
      <c r="BE82" s="108"/>
      <c r="BF82" s="108"/>
      <c r="BG82" s="109"/>
      <c r="BH82" s="110">
        <f>SUM(BH61:BH81)</f>
        <v>0</v>
      </c>
      <c r="BI82" s="107" t="s">
        <v>82</v>
      </c>
      <c r="BJ82" s="108"/>
      <c r="BK82" s="108"/>
      <c r="BL82" s="108"/>
      <c r="BM82" s="108"/>
      <c r="BN82" s="109"/>
      <c r="BO82" s="110">
        <f>SUM(BO61:BO81)</f>
        <v>0</v>
      </c>
      <c r="BP82" s="107" t="s">
        <v>82</v>
      </c>
      <c r="BQ82" s="108"/>
      <c r="BR82" s="108"/>
      <c r="BS82" s="108"/>
      <c r="BT82" s="108"/>
      <c r="BU82" s="109"/>
      <c r="BV82" s="110">
        <f>SUM(BV61:BV81)</f>
        <v>0</v>
      </c>
      <c r="BW82" s="107" t="s">
        <v>82</v>
      </c>
      <c r="BX82" s="108"/>
      <c r="BY82" s="108"/>
      <c r="BZ82" s="108"/>
      <c r="CA82" s="108"/>
      <c r="CB82" s="109"/>
      <c r="CC82" s="110">
        <f>SUM(CC61:CC81)</f>
        <v>0</v>
      </c>
      <c r="CD82" s="107" t="s">
        <v>82</v>
      </c>
      <c r="CE82" s="108"/>
      <c r="CF82" s="108"/>
      <c r="CG82" s="108"/>
      <c r="CH82" s="108"/>
      <c r="CI82" s="109"/>
      <c r="CJ82" s="110">
        <f>SUM(CJ61:CJ81)</f>
        <v>0</v>
      </c>
      <c r="CK82" s="107" t="s">
        <v>82</v>
      </c>
      <c r="CL82" s="108"/>
      <c r="CM82" s="108"/>
      <c r="CN82" s="108"/>
      <c r="CO82" s="108"/>
      <c r="CP82" s="109"/>
      <c r="CQ82" s="110">
        <f>SUM(CQ61:CQ81)</f>
        <v>0</v>
      </c>
    </row>
    <row r="83" spans="12:95" ht="14.25" customHeight="1" x14ac:dyDescent="0.2"/>
    <row r="84" spans="12:95" ht="14.25" customHeight="1" x14ac:dyDescent="0.2"/>
    <row r="85" spans="12:95" ht="14.25" customHeight="1" x14ac:dyDescent="0.2"/>
    <row r="86" spans="12:95" ht="14.25" customHeight="1" x14ac:dyDescent="0.2"/>
    <row r="87" spans="12:95" ht="14.25" customHeight="1" x14ac:dyDescent="0.2"/>
    <row r="88" spans="12:95" ht="14.25" customHeight="1" x14ac:dyDescent="0.2"/>
    <row r="89" spans="12:95" ht="14.25" customHeight="1" x14ac:dyDescent="0.2"/>
    <row r="90" spans="12:95" ht="14.25" customHeight="1" x14ac:dyDescent="0.2"/>
    <row r="91" spans="12:95" ht="14.25" customHeight="1" x14ac:dyDescent="0.2"/>
    <row r="92" spans="12:95" ht="14.25" customHeight="1" x14ac:dyDescent="0.2"/>
    <row r="93" spans="12:95" ht="14.25" customHeight="1" x14ac:dyDescent="0.2"/>
    <row r="94" spans="12:95" ht="14.25" customHeight="1" x14ac:dyDescent="0.2"/>
    <row r="95" spans="12:95" ht="14.25" customHeight="1" x14ac:dyDescent="0.2"/>
    <row r="96" spans="12:95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mergeCells count="25">
    <mergeCell ref="BP2:BV2"/>
    <mergeCell ref="BW2:CC2"/>
    <mergeCell ref="CD2:CJ2"/>
    <mergeCell ref="B2:K2"/>
    <mergeCell ref="L2:R2"/>
    <mergeCell ref="S2:Y2"/>
    <mergeCell ref="Z2:AF2"/>
    <mergeCell ref="AG2:AM2"/>
    <mergeCell ref="AN2:AT2"/>
    <mergeCell ref="BW60:CC60"/>
    <mergeCell ref="CD60:CJ60"/>
    <mergeCell ref="CK60:CQ60"/>
    <mergeCell ref="CK2:CQ2"/>
    <mergeCell ref="L60:R60"/>
    <mergeCell ref="S60:Y60"/>
    <mergeCell ref="Z60:AF60"/>
    <mergeCell ref="AG60:AM60"/>
    <mergeCell ref="AN60:AT60"/>
    <mergeCell ref="AU60:BA60"/>
    <mergeCell ref="BB60:BH60"/>
    <mergeCell ref="BI60:BO60"/>
    <mergeCell ref="BP60:BV60"/>
    <mergeCell ref="AU2:BA2"/>
    <mergeCell ref="BB2:BH2"/>
    <mergeCell ref="BI2:BO2"/>
  </mergeCells>
  <printOptions horizontalCentered="1"/>
  <pageMargins left="9.8425196850393706E-2" right="9.8425196850393706E-2" top="0.59055118110236227" bottom="0.39370078740157483" header="0" footer="0"/>
  <pageSetup paperSize="9" scale="43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61952-9B9A-AE42-A05C-AD82CFBBB358}">
  <sheetPr>
    <pageSetUpPr fitToPage="1"/>
  </sheetPr>
  <dimension ref="A1:DD1000"/>
  <sheetViews>
    <sheetView zoomScale="70" zoomScaleNormal="70" workbookViewId="0">
      <pane xSplit="1" ySplit="3" topLeftCell="AU9" activePane="bottomRight" state="frozen"/>
      <selection pane="topRight" activeCell="B1" sqref="B1"/>
      <selection pane="bottomLeft" activeCell="A4" sqref="A4"/>
      <selection pane="bottomRight" activeCell="AZ56" sqref="AZ56:AZ57"/>
    </sheetView>
  </sheetViews>
  <sheetFormatPr baseColWidth="10" defaultColWidth="14.5" defaultRowHeight="15" customHeight="1" x14ac:dyDescent="0.2"/>
  <cols>
    <col min="1" max="1" width="27.83203125" customWidth="1"/>
    <col min="2" max="86" width="11.5" customWidth="1"/>
    <col min="87" max="87" width="13.5" customWidth="1"/>
    <col min="88" max="96" width="11.5" customWidth="1"/>
    <col min="97" max="99" width="10.33203125" hidden="1" customWidth="1"/>
    <col min="100" max="100" width="9.1640625" hidden="1" customWidth="1"/>
    <col min="101" max="101" width="9.33203125" hidden="1" customWidth="1"/>
    <col min="102" max="102" width="9.5" hidden="1" customWidth="1"/>
    <col min="103" max="104" width="9.33203125" hidden="1" customWidth="1"/>
    <col min="105" max="105" width="9.1640625" hidden="1" customWidth="1"/>
    <col min="106" max="106" width="10.1640625" hidden="1" customWidth="1"/>
    <col min="107" max="107" width="9.6640625" hidden="1" customWidth="1"/>
    <col min="108" max="108" width="9.1640625" hidden="1" customWidth="1"/>
  </cols>
  <sheetData>
    <row r="1" spans="1:108" ht="20" customHeight="1" thickBot="1" x14ac:dyDescent="0.25">
      <c r="A1" s="177" t="s">
        <v>175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45"/>
      <c r="DB1" s="4"/>
      <c r="DC1" s="4"/>
      <c r="DD1" s="4"/>
    </row>
    <row r="2" spans="1:108" ht="14.25" customHeight="1" thickBot="1" x14ac:dyDescent="0.25">
      <c r="A2" s="5"/>
      <c r="B2" s="245"/>
      <c r="C2" s="246"/>
      <c r="D2" s="246"/>
      <c r="E2" s="247"/>
      <c r="F2" s="247"/>
      <c r="G2" s="247"/>
      <c r="H2" s="247"/>
      <c r="I2" s="247"/>
      <c r="J2" s="247"/>
      <c r="K2" s="248"/>
      <c r="L2" s="245" t="s">
        <v>2</v>
      </c>
      <c r="M2" s="246"/>
      <c r="N2" s="246"/>
      <c r="O2" s="246"/>
      <c r="P2" s="246"/>
      <c r="Q2" s="247"/>
      <c r="R2" s="248"/>
      <c r="S2" s="245" t="s">
        <v>3</v>
      </c>
      <c r="T2" s="246"/>
      <c r="U2" s="246"/>
      <c r="V2" s="246"/>
      <c r="W2" s="246"/>
      <c r="X2" s="247"/>
      <c r="Y2" s="248"/>
      <c r="Z2" s="245" t="s">
        <v>4</v>
      </c>
      <c r="AA2" s="246"/>
      <c r="AB2" s="246"/>
      <c r="AC2" s="246"/>
      <c r="AD2" s="246"/>
      <c r="AE2" s="247"/>
      <c r="AF2" s="248"/>
      <c r="AG2" s="245" t="s">
        <v>5</v>
      </c>
      <c r="AH2" s="246"/>
      <c r="AI2" s="246"/>
      <c r="AJ2" s="246"/>
      <c r="AK2" s="246"/>
      <c r="AL2" s="247"/>
      <c r="AM2" s="248"/>
      <c r="AN2" s="245" t="s">
        <v>6</v>
      </c>
      <c r="AO2" s="246"/>
      <c r="AP2" s="246"/>
      <c r="AQ2" s="246"/>
      <c r="AR2" s="246"/>
      <c r="AS2" s="247"/>
      <c r="AT2" s="248"/>
      <c r="AU2" s="245" t="s">
        <v>7</v>
      </c>
      <c r="AV2" s="246"/>
      <c r="AW2" s="246"/>
      <c r="AX2" s="246"/>
      <c r="AY2" s="246"/>
      <c r="AZ2" s="247"/>
      <c r="BA2" s="248"/>
      <c r="BB2" s="245" t="s">
        <v>8</v>
      </c>
      <c r="BC2" s="246"/>
      <c r="BD2" s="246"/>
      <c r="BE2" s="246"/>
      <c r="BF2" s="246"/>
      <c r="BG2" s="247"/>
      <c r="BH2" s="248"/>
      <c r="BI2" s="245" t="s">
        <v>9</v>
      </c>
      <c r="BJ2" s="246"/>
      <c r="BK2" s="246"/>
      <c r="BL2" s="246"/>
      <c r="BM2" s="246"/>
      <c r="BN2" s="247"/>
      <c r="BO2" s="248"/>
      <c r="BP2" s="245" t="s">
        <v>10</v>
      </c>
      <c r="BQ2" s="246"/>
      <c r="BR2" s="246"/>
      <c r="BS2" s="246"/>
      <c r="BT2" s="246"/>
      <c r="BU2" s="247"/>
      <c r="BV2" s="248"/>
      <c r="BW2" s="245" t="s">
        <v>11</v>
      </c>
      <c r="BX2" s="246"/>
      <c r="BY2" s="246"/>
      <c r="BZ2" s="246"/>
      <c r="CA2" s="246"/>
      <c r="CB2" s="247"/>
      <c r="CC2" s="248"/>
      <c r="CD2" s="245" t="s">
        <v>12</v>
      </c>
      <c r="CE2" s="246"/>
      <c r="CF2" s="246"/>
      <c r="CG2" s="246"/>
      <c r="CH2" s="246"/>
      <c r="CI2" s="247"/>
      <c r="CJ2" s="248"/>
      <c r="CK2" s="245" t="s">
        <v>13</v>
      </c>
      <c r="CL2" s="246"/>
      <c r="CM2" s="246"/>
      <c r="CN2" s="246"/>
      <c r="CO2" s="246"/>
      <c r="CP2" s="247"/>
      <c r="CQ2" s="248"/>
      <c r="CR2" s="178"/>
      <c r="CS2" s="178"/>
      <c r="CT2" s="178"/>
      <c r="CU2" s="178"/>
      <c r="CV2" s="178"/>
      <c r="CW2" s="178"/>
      <c r="CX2" s="178"/>
    </row>
    <row r="3" spans="1:108" ht="45" customHeight="1" thickBot="1" x14ac:dyDescent="0.25">
      <c r="A3" s="5"/>
      <c r="B3" s="8" t="s">
        <v>14</v>
      </c>
      <c r="C3" s="9" t="s">
        <v>15</v>
      </c>
      <c r="D3" s="10" t="s">
        <v>16</v>
      </c>
      <c r="E3" s="8" t="s">
        <v>17</v>
      </c>
      <c r="F3" s="11" t="s">
        <v>18</v>
      </c>
      <c r="G3" s="12" t="s">
        <v>19</v>
      </c>
      <c r="H3" s="13" t="s">
        <v>20</v>
      </c>
      <c r="I3" s="14" t="s">
        <v>21</v>
      </c>
      <c r="J3" s="14" t="s">
        <v>22</v>
      </c>
      <c r="K3" s="15" t="s">
        <v>23</v>
      </c>
      <c r="L3" s="6" t="s">
        <v>24</v>
      </c>
      <c r="M3" s="14" t="s">
        <v>25</v>
      </c>
      <c r="N3" s="14" t="s">
        <v>26</v>
      </c>
      <c r="O3" s="14" t="s">
        <v>20</v>
      </c>
      <c r="P3" s="14" t="s">
        <v>21</v>
      </c>
      <c r="Q3" s="14" t="s">
        <v>27</v>
      </c>
      <c r="R3" s="15" t="s">
        <v>23</v>
      </c>
      <c r="S3" s="6" t="s">
        <v>24</v>
      </c>
      <c r="T3" s="14" t="s">
        <v>25</v>
      </c>
      <c r="U3" s="14" t="s">
        <v>26</v>
      </c>
      <c r="V3" s="14" t="s">
        <v>20</v>
      </c>
      <c r="W3" s="14" t="s">
        <v>21</v>
      </c>
      <c r="X3" s="14" t="s">
        <v>27</v>
      </c>
      <c r="Y3" s="15" t="s">
        <v>23</v>
      </c>
      <c r="Z3" s="6" t="s">
        <v>24</v>
      </c>
      <c r="AA3" s="14" t="s">
        <v>25</v>
      </c>
      <c r="AB3" s="14" t="s">
        <v>26</v>
      </c>
      <c r="AC3" s="14" t="s">
        <v>20</v>
      </c>
      <c r="AD3" s="14" t="s">
        <v>21</v>
      </c>
      <c r="AE3" s="14" t="s">
        <v>22</v>
      </c>
      <c r="AF3" s="15" t="s">
        <v>23</v>
      </c>
      <c r="AG3" s="6" t="s">
        <v>24</v>
      </c>
      <c r="AH3" s="14" t="s">
        <v>25</v>
      </c>
      <c r="AI3" s="14" t="s">
        <v>26</v>
      </c>
      <c r="AJ3" s="14" t="s">
        <v>20</v>
      </c>
      <c r="AK3" s="14" t="s">
        <v>21</v>
      </c>
      <c r="AL3" s="14" t="s">
        <v>22</v>
      </c>
      <c r="AM3" s="15" t="s">
        <v>23</v>
      </c>
      <c r="AN3" s="6" t="s">
        <v>24</v>
      </c>
      <c r="AO3" s="14" t="s">
        <v>25</v>
      </c>
      <c r="AP3" s="14" t="s">
        <v>26</v>
      </c>
      <c r="AQ3" s="14" t="s">
        <v>20</v>
      </c>
      <c r="AR3" s="14" t="s">
        <v>21</v>
      </c>
      <c r="AS3" s="14" t="s">
        <v>22</v>
      </c>
      <c r="AT3" s="15" t="s">
        <v>23</v>
      </c>
      <c r="AU3" s="6" t="s">
        <v>24</v>
      </c>
      <c r="AV3" s="14" t="s">
        <v>25</v>
      </c>
      <c r="AW3" s="14" t="s">
        <v>26</v>
      </c>
      <c r="AX3" s="14" t="s">
        <v>20</v>
      </c>
      <c r="AY3" s="14" t="s">
        <v>21</v>
      </c>
      <c r="AZ3" s="14" t="s">
        <v>22</v>
      </c>
      <c r="BA3" s="15" t="s">
        <v>23</v>
      </c>
      <c r="BB3" s="6" t="s">
        <v>24</v>
      </c>
      <c r="BC3" s="14" t="s">
        <v>25</v>
      </c>
      <c r="BD3" s="14" t="s">
        <v>26</v>
      </c>
      <c r="BE3" s="14" t="s">
        <v>20</v>
      </c>
      <c r="BF3" s="14" t="s">
        <v>21</v>
      </c>
      <c r="BG3" s="14" t="s">
        <v>22</v>
      </c>
      <c r="BH3" s="15" t="s">
        <v>23</v>
      </c>
      <c r="BI3" s="6" t="s">
        <v>24</v>
      </c>
      <c r="BJ3" s="14" t="s">
        <v>25</v>
      </c>
      <c r="BK3" s="14" t="s">
        <v>26</v>
      </c>
      <c r="BL3" s="14" t="s">
        <v>20</v>
      </c>
      <c r="BM3" s="14" t="s">
        <v>21</v>
      </c>
      <c r="BN3" s="14" t="s">
        <v>22</v>
      </c>
      <c r="BO3" s="15" t="s">
        <v>23</v>
      </c>
      <c r="BP3" s="6" t="s">
        <v>24</v>
      </c>
      <c r="BQ3" s="14" t="s">
        <v>25</v>
      </c>
      <c r="BR3" s="14" t="s">
        <v>26</v>
      </c>
      <c r="BS3" s="14" t="s">
        <v>20</v>
      </c>
      <c r="BT3" s="14" t="s">
        <v>21</v>
      </c>
      <c r="BU3" s="14" t="s">
        <v>22</v>
      </c>
      <c r="BV3" s="15" t="s">
        <v>23</v>
      </c>
      <c r="BW3" s="6" t="s">
        <v>24</v>
      </c>
      <c r="BX3" s="14" t="s">
        <v>25</v>
      </c>
      <c r="BY3" s="14" t="s">
        <v>26</v>
      </c>
      <c r="BZ3" s="14" t="s">
        <v>20</v>
      </c>
      <c r="CA3" s="14" t="s">
        <v>21</v>
      </c>
      <c r="CB3" s="14" t="s">
        <v>22</v>
      </c>
      <c r="CC3" s="15" t="s">
        <v>23</v>
      </c>
      <c r="CD3" s="6" t="s">
        <v>24</v>
      </c>
      <c r="CE3" s="14" t="s">
        <v>25</v>
      </c>
      <c r="CF3" s="14" t="s">
        <v>26</v>
      </c>
      <c r="CG3" s="14" t="s">
        <v>20</v>
      </c>
      <c r="CH3" s="14" t="s">
        <v>21</v>
      </c>
      <c r="CI3" s="14" t="s">
        <v>22</v>
      </c>
      <c r="CJ3" s="15" t="s">
        <v>23</v>
      </c>
      <c r="CK3" s="6" t="s">
        <v>24</v>
      </c>
      <c r="CL3" s="14" t="s">
        <v>25</v>
      </c>
      <c r="CM3" s="14" t="s">
        <v>26</v>
      </c>
      <c r="CN3" s="14" t="s">
        <v>20</v>
      </c>
      <c r="CO3" s="14" t="s">
        <v>21</v>
      </c>
      <c r="CP3" s="14" t="s">
        <v>22</v>
      </c>
      <c r="CQ3" s="15" t="s">
        <v>23</v>
      </c>
      <c r="CR3" s="178"/>
      <c r="CS3" s="178" t="s">
        <v>176</v>
      </c>
      <c r="CT3" s="178" t="s">
        <v>177</v>
      </c>
      <c r="CU3" s="178" t="s">
        <v>178</v>
      </c>
      <c r="CV3" s="178" t="s">
        <v>179</v>
      </c>
      <c r="CW3" s="178" t="s">
        <v>180</v>
      </c>
      <c r="CX3" s="178" t="s">
        <v>181</v>
      </c>
      <c r="CY3" s="178" t="s">
        <v>182</v>
      </c>
      <c r="CZ3" s="178" t="s">
        <v>183</v>
      </c>
      <c r="DA3" s="178" t="s">
        <v>184</v>
      </c>
      <c r="DB3" s="178" t="s">
        <v>185</v>
      </c>
      <c r="DC3" s="178" t="s">
        <v>186</v>
      </c>
      <c r="DD3" s="178" t="s">
        <v>187</v>
      </c>
    </row>
    <row r="4" spans="1:108" s="26" customFormat="1" ht="14.25" customHeight="1" thickBot="1" x14ac:dyDescent="0.25">
      <c r="A4" s="179" t="s">
        <v>28</v>
      </c>
      <c r="B4" s="17">
        <f t="shared" ref="B4:D35" si="0">+L4+S4+Z4+AG4+AN4+AU4+BB4+BI4+BP4+BW4+CD4+CK4</f>
        <v>1175314.1667968002</v>
      </c>
      <c r="C4" s="18">
        <f t="shared" si="0"/>
        <v>1141700.1816264116</v>
      </c>
      <c r="D4" s="19">
        <f t="shared" si="0"/>
        <v>33613.985170388478</v>
      </c>
      <c r="E4" s="17">
        <f>+L4+S4+Z4+AG4</f>
        <v>412045.34412800008</v>
      </c>
      <c r="F4" s="20">
        <f>+M4+T4+AA4+AH4</f>
        <v>400260.84728593926</v>
      </c>
      <c r="G4" s="21">
        <f>+N4+U4+AB4+AI4</f>
        <v>11784.4968420608</v>
      </c>
      <c r="H4" s="18">
        <f t="shared" ref="H4:J35" si="1">+O4+V4+AC4+AJ4+AQ4+AX4+BE4+BL4+BS4+BZ4+CG4+CN4</f>
        <v>523748.56260599999</v>
      </c>
      <c r="I4" s="20">
        <f t="shared" si="1"/>
        <v>15420.227394</v>
      </c>
      <c r="J4" s="20">
        <f t="shared" si="1"/>
        <v>539168.79</v>
      </c>
      <c r="K4" s="25">
        <f>IF(E4=0,"",(+J4/E4-1))</f>
        <v>0.30851809802881691</v>
      </c>
      <c r="L4" s="23">
        <f>[1]RB!$E4</f>
        <v>90865.336032000007</v>
      </c>
      <c r="M4" s="18">
        <f>L4-N4</f>
        <v>88266.587421484801</v>
      </c>
      <c r="N4" s="18">
        <f>+L4*2.86%</f>
        <v>2598.7486105152002</v>
      </c>
      <c r="O4" s="18">
        <f>+Q4-P4</f>
        <v>70582.059995999982</v>
      </c>
      <c r="P4" s="18">
        <f>+Q4*2.86%</f>
        <v>2078.0800039999995</v>
      </c>
      <c r="Q4" s="18">
        <f>100407.67-Q5-Q6-Q7-Q8-Q9</f>
        <v>72660.139999999985</v>
      </c>
      <c r="R4" s="18">
        <f t="shared" ref="R4:R54" si="2">IF(L4=0,"",(+Q4/L4-1))</f>
        <v>-0.20035358726444052</v>
      </c>
      <c r="S4" s="18">
        <f>[1]RB!$F4</f>
        <v>139449.33603200002</v>
      </c>
      <c r="T4" s="18">
        <f>S4-U4</f>
        <v>135461.08502148482</v>
      </c>
      <c r="U4" s="18">
        <f>+S4*2.86%</f>
        <v>3988.2510105152005</v>
      </c>
      <c r="V4" s="18">
        <f>+X4-W4</f>
        <v>75801.848754000021</v>
      </c>
      <c r="W4" s="18">
        <f>+X4*2.86%</f>
        <v>2231.7612460000005</v>
      </c>
      <c r="X4" s="18">
        <f>99668.97-X5-X6-X7-X8-X9</f>
        <v>78033.610000000015</v>
      </c>
      <c r="Y4" s="18">
        <f t="shared" ref="Y4:Y54" si="3">IF(S4=0,"",(+X4/S4-1))</f>
        <v>-0.44041605201982947</v>
      </c>
      <c r="Z4" s="18">
        <f>[1]RB!$G4</f>
        <v>90865.336032000007</v>
      </c>
      <c r="AA4" s="18">
        <f>Z4-AB4</f>
        <v>88266.587421484801</v>
      </c>
      <c r="AB4" s="18">
        <f>+Z4*2.86%</f>
        <v>2598.7486105152002</v>
      </c>
      <c r="AC4" s="18">
        <f>+AE4-AD4</f>
        <v>72676.825811999995</v>
      </c>
      <c r="AD4" s="18">
        <f>+AE4*2.86%</f>
        <v>2139.7541879999999</v>
      </c>
      <c r="AE4" s="18">
        <f>101138.85-AE5-AE6-AE7-AE8-AE9</f>
        <v>74816.58</v>
      </c>
      <c r="AF4" s="18">
        <f t="shared" ref="AF4:AF54" si="4">IF(Z4=0,"",(+AE4/Z4-1))</f>
        <v>-0.17662132483996007</v>
      </c>
      <c r="AG4" s="18">
        <f>[1]RB!$H4</f>
        <v>90865.336032000007</v>
      </c>
      <c r="AH4" s="18">
        <f>AG4-AI4</f>
        <v>88266.587421484801</v>
      </c>
      <c r="AI4" s="18">
        <f>+AG4*2.86%</f>
        <v>2598.7486105152002</v>
      </c>
      <c r="AJ4" s="18">
        <f>+AL4-AK4</f>
        <v>136506.742692</v>
      </c>
      <c r="AK4" s="18">
        <f>+AL4*2.86%</f>
        <v>4019.0373079999999</v>
      </c>
      <c r="AL4" s="18">
        <f>167110.6-AL5-AL6-AL7-AL8-AL9</f>
        <v>140525.78</v>
      </c>
      <c r="AM4" s="18">
        <f t="shared" ref="AM4:AM54" si="5">IF(AG4=0,"",(+AL4/AG4-1))</f>
        <v>0.54652792953421869</v>
      </c>
      <c r="AN4" s="18">
        <f>[1]RB!$I4</f>
        <v>90865.336032000007</v>
      </c>
      <c r="AO4" s="18">
        <f>AN4-AP4</f>
        <v>88266.587421484801</v>
      </c>
      <c r="AP4" s="18">
        <f>+AN4*2.86%</f>
        <v>2598.7486105152002</v>
      </c>
      <c r="AQ4" s="18">
        <f>+AS4-AR4</f>
        <v>82608.82739999998</v>
      </c>
      <c r="AR4" s="18">
        <f>+AS4*2.86%</f>
        <v>2432.1725999999994</v>
      </c>
      <c r="AS4" s="20">
        <v>85040.999999999985</v>
      </c>
      <c r="AT4" s="25">
        <f t="shared" ref="AT4:AT54" si="6">IF(AN4=0,"",(+AS4/AN4-1))</f>
        <v>-6.4098547216607127E-2</v>
      </c>
      <c r="AU4" s="23">
        <f>[1]RB!$J4</f>
        <v>90865.336032000007</v>
      </c>
      <c r="AV4" s="18">
        <f>AU4-AW4</f>
        <v>88266.587421484801</v>
      </c>
      <c r="AW4" s="18">
        <f>+AU4*2.86%</f>
        <v>2598.7486105152002</v>
      </c>
      <c r="AX4" s="18">
        <f>+AZ4-AY4</f>
        <v>85572.257952</v>
      </c>
      <c r="AY4" s="18">
        <f>+AZ4*2.86%</f>
        <v>2519.4220479999999</v>
      </c>
      <c r="AZ4" s="24">
        <v>88091.68</v>
      </c>
      <c r="BA4" s="25">
        <f t="shared" ref="BA4:BA54" si="7">IF(AU4=0,"",(+AZ4/AU4-1))</f>
        <v>-3.0524908101624337E-2</v>
      </c>
      <c r="BB4" s="23">
        <f>[1]RB!$K4</f>
        <v>90865.336032000007</v>
      </c>
      <c r="BC4" s="18">
        <f>BB4-BD4</f>
        <v>88266.587421484801</v>
      </c>
      <c r="BD4" s="18">
        <f>+BB4*2.86%</f>
        <v>2598.7486105152002</v>
      </c>
      <c r="BE4" s="18">
        <f>+BG4-BF4</f>
        <v>0</v>
      </c>
      <c r="BF4" s="18">
        <f>+BG4*2.86%</f>
        <v>0</v>
      </c>
      <c r="BG4" s="24"/>
      <c r="BH4" s="25">
        <f t="shared" ref="BH4:BH54" si="8">IF(BB4=0,"",(+BG4/BB4-1))</f>
        <v>-1</v>
      </c>
      <c r="BI4" s="23">
        <f>[1]RB!$L4</f>
        <v>98134.562914560011</v>
      </c>
      <c r="BJ4" s="18">
        <f>BI4-BK4</f>
        <v>95327.914415203588</v>
      </c>
      <c r="BK4" s="18">
        <f>+BI4*2.86%</f>
        <v>2806.6484993564163</v>
      </c>
      <c r="BL4" s="18">
        <f>+BN4-BM4</f>
        <v>0</v>
      </c>
      <c r="BM4" s="18">
        <f>+BN4*2.86%</f>
        <v>0</v>
      </c>
      <c r="BN4" s="20"/>
      <c r="BO4" s="25">
        <f t="shared" ref="BO4:BO54" si="9">IF(BI4=0,"",(+BN4/BI4-1))</f>
        <v>-1</v>
      </c>
      <c r="BP4" s="23">
        <f>[1]RB!$M4</f>
        <v>98134.562914560011</v>
      </c>
      <c r="BQ4" s="18">
        <f>BP4-BR4</f>
        <v>95327.914415203588</v>
      </c>
      <c r="BR4" s="18">
        <f>+BP4*2.86%</f>
        <v>2806.6484993564163</v>
      </c>
      <c r="BS4" s="18">
        <f>+BU4-BT4</f>
        <v>0</v>
      </c>
      <c r="BT4" s="18">
        <f>+BU4*2.86%</f>
        <v>0</v>
      </c>
      <c r="BU4" s="20"/>
      <c r="BV4" s="25">
        <f t="shared" ref="BV4:BV54" si="10">IF(BP4=0,"",(+BU4/BP4-1))</f>
        <v>-1</v>
      </c>
      <c r="BW4" s="23">
        <f>[1]RB!$N4</f>
        <v>98134.562914560011</v>
      </c>
      <c r="BX4" s="18">
        <f>BW4-BY4</f>
        <v>95327.914415203588</v>
      </c>
      <c r="BY4" s="18">
        <f>+BW4*2.86%</f>
        <v>2806.6484993564163</v>
      </c>
      <c r="BZ4" s="18">
        <f>+CB4-CA4</f>
        <v>0</v>
      </c>
      <c r="CA4" s="18">
        <f>+CB4*2.86%</f>
        <v>0</v>
      </c>
      <c r="CB4" s="20"/>
      <c r="CC4" s="25">
        <f t="shared" ref="CC4:CC54" si="11">IF(BW4=0,"",(+CB4/BW4-1))</f>
        <v>-1</v>
      </c>
      <c r="CD4" s="23">
        <f>[1]RB!$O4</f>
        <v>98134.562914560011</v>
      </c>
      <c r="CE4" s="18">
        <f>CD4-CF4</f>
        <v>95327.914415203588</v>
      </c>
      <c r="CF4" s="18">
        <f>+CD4*2.86%</f>
        <v>2806.6484993564163</v>
      </c>
      <c r="CG4" s="18">
        <f>+CI4-CH4</f>
        <v>0</v>
      </c>
      <c r="CH4" s="18">
        <f>+CI4*2.86%</f>
        <v>0</v>
      </c>
      <c r="CI4" s="20"/>
      <c r="CJ4" s="25">
        <f t="shared" ref="CJ4:CJ54" si="12">IF(CD4=0,"",(+CI4/CD4-1))</f>
        <v>-1</v>
      </c>
      <c r="CK4" s="23">
        <f>[1]RB!$P4</f>
        <v>98134.562914560011</v>
      </c>
      <c r="CL4" s="18">
        <f>CK4-CM4</f>
        <v>95327.914415203588</v>
      </c>
      <c r="CM4" s="18">
        <f>+CK4*2.86%</f>
        <v>2806.6484993564163</v>
      </c>
      <c r="CN4" s="18">
        <f>+CP4-CO4</f>
        <v>0</v>
      </c>
      <c r="CO4" s="18">
        <f>+CP4*2.86%</f>
        <v>0</v>
      </c>
      <c r="CP4" s="20"/>
      <c r="CQ4" s="25">
        <f t="shared" ref="CQ4:CQ54" si="13">IF(CK4=0,"",(+CP4/CK4-1))</f>
        <v>-1</v>
      </c>
      <c r="CR4" s="180"/>
      <c r="CS4" s="27">
        <f>200308.63-CS5-CS6-CS7-CS8-CS9</f>
        <v>139192.29999999999</v>
      </c>
      <c r="CT4" s="27">
        <f>156594.76-CT5-CT6-CT7-CT8-CT9</f>
        <v>101021.92000000001</v>
      </c>
      <c r="CU4" s="27">
        <f>156870.9-CU5-CU6-CU7-CU8-CU9</f>
        <v>127415.92</v>
      </c>
      <c r="CV4" s="27"/>
      <c r="CW4" s="27"/>
      <c r="CX4" s="27"/>
      <c r="CY4" s="27"/>
      <c r="CZ4" s="27"/>
      <c r="DA4" s="27"/>
      <c r="DB4" s="27"/>
      <c r="DC4" s="27"/>
      <c r="DD4" s="27"/>
    </row>
    <row r="5" spans="1:108" s="26" customFormat="1" ht="14.25" customHeight="1" thickBot="1" x14ac:dyDescent="0.25">
      <c r="A5" s="181" t="s">
        <v>29</v>
      </c>
      <c r="B5" s="30">
        <f t="shared" si="0"/>
        <v>35000.000000000007</v>
      </c>
      <c r="C5" s="31">
        <f t="shared" si="0"/>
        <v>33999</v>
      </c>
      <c r="D5" s="32">
        <f t="shared" si="0"/>
        <v>1000.9999999999997</v>
      </c>
      <c r="E5" s="30">
        <f t="shared" ref="E5:G36" si="14">+L5+S5+Z5+AG5</f>
        <v>11666.666666666666</v>
      </c>
      <c r="F5" s="33">
        <f t="shared" si="14"/>
        <v>11333</v>
      </c>
      <c r="G5" s="34">
        <f t="shared" si="14"/>
        <v>333.66666666666663</v>
      </c>
      <c r="H5" s="31">
        <f t="shared" si="1"/>
        <v>27791.316870000002</v>
      </c>
      <c r="I5" s="33">
        <f t="shared" si="1"/>
        <v>818.23313000000007</v>
      </c>
      <c r="J5" s="33">
        <f t="shared" si="1"/>
        <v>28609.550000000003</v>
      </c>
      <c r="K5" s="37">
        <f t="shared" ref="K5:K54" si="15">IF(E5=0,"",(+J5/E5-1))</f>
        <v>1.4522471428571433</v>
      </c>
      <c r="L5" s="36">
        <f>[1]RB!$E5</f>
        <v>2916.6666666666665</v>
      </c>
      <c r="M5" s="31">
        <f t="shared" ref="M5:M54" si="16">L5-N5</f>
        <v>2833.25</v>
      </c>
      <c r="N5" s="31">
        <f t="shared" ref="N5:N58" si="17">+L5*2.86%</f>
        <v>83.416666666666657</v>
      </c>
      <c r="O5" s="31">
        <f t="shared" ref="O5:O54" si="18">+Q5-P5</f>
        <v>3528.1539420000004</v>
      </c>
      <c r="P5" s="31">
        <f t="shared" ref="P5:P54" si="19">+Q5*2.86%</f>
        <v>103.876058</v>
      </c>
      <c r="Q5" s="31">
        <f>3018.65+613.38</f>
        <v>3632.03</v>
      </c>
      <c r="R5" s="31">
        <f t="shared" si="2"/>
        <v>0.24526742857142869</v>
      </c>
      <c r="S5" s="31">
        <f>[1]RB!$F5</f>
        <v>2916.6666666666665</v>
      </c>
      <c r="T5" s="31">
        <f t="shared" ref="T5:T54" si="20">S5-U5</f>
        <v>2833.25</v>
      </c>
      <c r="U5" s="31">
        <f t="shared" ref="U5:U58" si="21">+S5*2.86%</f>
        <v>83.416666666666657</v>
      </c>
      <c r="V5" s="31">
        <f t="shared" ref="V5:V54" si="22">+X5-W5</f>
        <v>3683.8013640000004</v>
      </c>
      <c r="W5" s="31">
        <f t="shared" ref="W5:W54" si="23">+X5*2.86%</f>
        <v>108.45863600000001</v>
      </c>
      <c r="X5" s="31">
        <f>3592.26+200</f>
        <v>3792.26</v>
      </c>
      <c r="Y5" s="31">
        <f t="shared" si="3"/>
        <v>0.30020342857142879</v>
      </c>
      <c r="Z5" s="31">
        <f>[1]RB!$G5</f>
        <v>2916.6666666666665</v>
      </c>
      <c r="AA5" s="31">
        <f t="shared" ref="AA5:AA54" si="24">Z5-AB5</f>
        <v>2833.25</v>
      </c>
      <c r="AB5" s="31">
        <f t="shared" ref="AB5:AB58" si="25">+Z5*2.86%</f>
        <v>83.416666666666657</v>
      </c>
      <c r="AC5" s="31">
        <f t="shared" ref="AC5:AC54" si="26">+AE5-AD5</f>
        <v>4118.7554280000004</v>
      </c>
      <c r="AD5" s="31">
        <f t="shared" ref="AD5:AD54" si="27">+AE5*2.86%</f>
        <v>121.26457200000002</v>
      </c>
      <c r="AE5" s="31">
        <f>3698.75+541.27</f>
        <v>4240.0200000000004</v>
      </c>
      <c r="AF5" s="31">
        <f t="shared" si="4"/>
        <v>0.45372114285714304</v>
      </c>
      <c r="AG5" s="31">
        <f>[1]RB!$H5</f>
        <v>2916.6666666666665</v>
      </c>
      <c r="AH5" s="31">
        <f t="shared" ref="AH5:AH54" si="28">AG5-AI5</f>
        <v>2833.25</v>
      </c>
      <c r="AI5" s="31">
        <f t="shared" ref="AI5:AI58" si="29">+AG5*2.86%</f>
        <v>83.416666666666657</v>
      </c>
      <c r="AJ5" s="31">
        <f t="shared" ref="AJ5:AJ54" si="30">+AL5-AK5</f>
        <v>6657.4121880000002</v>
      </c>
      <c r="AK5" s="31">
        <f t="shared" ref="AK5:AK54" si="31">+AL5*2.86%</f>
        <v>196.007812</v>
      </c>
      <c r="AL5" s="31">
        <f>4646.32+2207.1</f>
        <v>6853.42</v>
      </c>
      <c r="AM5" s="31">
        <f t="shared" si="5"/>
        <v>1.3497440000000003</v>
      </c>
      <c r="AN5" s="31">
        <f>[1]RB!$I5</f>
        <v>2916.6666666666665</v>
      </c>
      <c r="AO5" s="31">
        <f t="shared" ref="AO5:AO54" si="32">AN5-AP5</f>
        <v>2833.25</v>
      </c>
      <c r="AP5" s="31">
        <f t="shared" ref="AP5:AP58" si="33">+AN5*2.86%</f>
        <v>83.416666666666657</v>
      </c>
      <c r="AQ5" s="31">
        <f t="shared" ref="AQ5:AQ54" si="34">+AS5-AR5</f>
        <v>4901.596974</v>
      </c>
      <c r="AR5" s="31">
        <f t="shared" ref="AR5:AR54" si="35">+AS5*2.86%</f>
        <v>144.31302600000001</v>
      </c>
      <c r="AS5" s="33">
        <v>5045.91</v>
      </c>
      <c r="AT5" s="37">
        <f t="shared" si="6"/>
        <v>0.73002628571428585</v>
      </c>
      <c r="AU5" s="36">
        <f>[1]RB!$J5</f>
        <v>2916.6666666666665</v>
      </c>
      <c r="AV5" s="31">
        <f t="shared" ref="AV5:AV54" si="36">AU5-AW5</f>
        <v>2833.25</v>
      </c>
      <c r="AW5" s="18">
        <f t="shared" ref="AW5:AW58" si="37">+AU5*2.86%</f>
        <v>83.416666666666657</v>
      </c>
      <c r="AX5" s="31">
        <f t="shared" ref="AX5:AX54" si="38">+AZ5-AY5</f>
        <v>4901.596974</v>
      </c>
      <c r="AY5" s="31">
        <f t="shared" ref="AY5:AY54" si="39">+AZ5*2.86%</f>
        <v>144.31302600000001</v>
      </c>
      <c r="AZ5" s="27">
        <v>5045.91</v>
      </c>
      <c r="BA5" s="37">
        <f t="shared" si="7"/>
        <v>0.73002628571428585</v>
      </c>
      <c r="BB5" s="36">
        <f>[1]RB!$K5</f>
        <v>2916.6666666666665</v>
      </c>
      <c r="BC5" s="31">
        <f t="shared" ref="BC5:BC54" si="40">BB5-BD5</f>
        <v>2833.25</v>
      </c>
      <c r="BD5" s="18">
        <f t="shared" ref="BD5:BD58" si="41">+BB5*2.86%</f>
        <v>83.416666666666657</v>
      </c>
      <c r="BE5" s="31">
        <f t="shared" ref="BE5:BE54" si="42">+BG5-BF5</f>
        <v>0</v>
      </c>
      <c r="BF5" s="31">
        <f t="shared" ref="BF5:BF54" si="43">+BG5*2.86%</f>
        <v>0</v>
      </c>
      <c r="BG5" s="27"/>
      <c r="BH5" s="37">
        <f t="shared" si="8"/>
        <v>-1</v>
      </c>
      <c r="BI5" s="36">
        <f>[1]RB!$L5</f>
        <v>2916.6666666666665</v>
      </c>
      <c r="BJ5" s="31">
        <f t="shared" ref="BJ5:BJ54" si="44">BI5-BK5</f>
        <v>2833.25</v>
      </c>
      <c r="BK5" s="18">
        <f t="shared" ref="BK5:BK58" si="45">+BI5*2.86%</f>
        <v>83.416666666666657</v>
      </c>
      <c r="BL5" s="31">
        <f t="shared" ref="BL5:BL54" si="46">+BN5-BM5</f>
        <v>0</v>
      </c>
      <c r="BM5" s="31">
        <f t="shared" ref="BM5:BM54" si="47">+BN5*2.86%</f>
        <v>0</v>
      </c>
      <c r="BN5" s="33"/>
      <c r="BO5" s="37">
        <f t="shared" si="9"/>
        <v>-1</v>
      </c>
      <c r="BP5" s="36">
        <f>[1]RB!$M5</f>
        <v>2916.6666666666665</v>
      </c>
      <c r="BQ5" s="31">
        <f t="shared" ref="BQ5:BQ54" si="48">BP5-BR5</f>
        <v>2833.25</v>
      </c>
      <c r="BR5" s="18">
        <f t="shared" ref="BR5:BR58" si="49">+BP5*2.86%</f>
        <v>83.416666666666657</v>
      </c>
      <c r="BS5" s="31">
        <f t="shared" ref="BS5:BS54" si="50">+BU5-BT5</f>
        <v>0</v>
      </c>
      <c r="BT5" s="31">
        <f t="shared" ref="BT5:BT54" si="51">+BU5*2.86%</f>
        <v>0</v>
      </c>
      <c r="BU5" s="33"/>
      <c r="BV5" s="37">
        <f t="shared" si="10"/>
        <v>-1</v>
      </c>
      <c r="BW5" s="36">
        <f>[1]RB!$N5</f>
        <v>2916.6666666666665</v>
      </c>
      <c r="BX5" s="31">
        <f t="shared" ref="BX5:BX54" si="52">BW5-BY5</f>
        <v>2833.25</v>
      </c>
      <c r="BY5" s="18">
        <f t="shared" ref="BY5:BY58" si="53">+BW5*2.86%</f>
        <v>83.416666666666657</v>
      </c>
      <c r="BZ5" s="31">
        <f t="shared" ref="BZ5:BZ54" si="54">+CB5-CA5</f>
        <v>0</v>
      </c>
      <c r="CA5" s="31">
        <f t="shared" ref="CA5:CA54" si="55">+CB5*2.86%</f>
        <v>0</v>
      </c>
      <c r="CB5" s="33"/>
      <c r="CC5" s="37">
        <f t="shared" si="11"/>
        <v>-1</v>
      </c>
      <c r="CD5" s="36">
        <f>[1]RB!$O5</f>
        <v>2916.6666666666665</v>
      </c>
      <c r="CE5" s="31">
        <f t="shared" ref="CE5:CE54" si="56">CD5-CF5</f>
        <v>2833.25</v>
      </c>
      <c r="CF5" s="18">
        <f t="shared" ref="CF5:CF58" si="57">+CD5*2.86%</f>
        <v>83.416666666666657</v>
      </c>
      <c r="CG5" s="31">
        <f t="shared" ref="CG5:CG54" si="58">+CI5-CH5</f>
        <v>0</v>
      </c>
      <c r="CH5" s="31">
        <f t="shared" ref="CH5:CH54" si="59">+CI5*2.86%</f>
        <v>0</v>
      </c>
      <c r="CI5" s="33"/>
      <c r="CJ5" s="37">
        <f t="shared" si="12"/>
        <v>-1</v>
      </c>
      <c r="CK5" s="36">
        <f>[1]RB!$P5</f>
        <v>2916.6666666666665</v>
      </c>
      <c r="CL5" s="31">
        <f t="shared" ref="CL5:CL54" si="60">CK5-CM5</f>
        <v>2833.25</v>
      </c>
      <c r="CM5" s="18">
        <f t="shared" ref="CM5:CM58" si="61">+CK5*2.86%</f>
        <v>83.416666666666657</v>
      </c>
      <c r="CN5" s="31">
        <f t="shared" ref="CN5:CN54" si="62">+CP5-CO5</f>
        <v>0</v>
      </c>
      <c r="CO5" s="31">
        <f t="shared" ref="CO5:CO54" si="63">+CP5*2.86%</f>
        <v>0</v>
      </c>
      <c r="CP5" s="33"/>
      <c r="CQ5" s="37">
        <f t="shared" si="13"/>
        <v>-1</v>
      </c>
      <c r="CR5" s="180"/>
      <c r="CS5" s="27">
        <f>6010.13+2414.32+81.66</f>
        <v>8506.11</v>
      </c>
      <c r="CT5" s="27">
        <v>8424.4500000000007</v>
      </c>
      <c r="CU5" s="27">
        <f>4378.91</f>
        <v>4378.91</v>
      </c>
      <c r="CV5" s="27"/>
      <c r="CW5" s="27"/>
      <c r="CX5" s="27"/>
      <c r="CY5" s="27"/>
      <c r="CZ5" s="27"/>
      <c r="DA5" s="27"/>
      <c r="DB5" s="27"/>
      <c r="DC5" s="27"/>
      <c r="DD5" s="27"/>
    </row>
    <row r="6" spans="1:108" s="26" customFormat="1" ht="14.25" customHeight="1" thickBot="1" x14ac:dyDescent="0.25">
      <c r="A6" s="181" t="s">
        <v>30</v>
      </c>
      <c r="B6" s="30">
        <f t="shared" si="0"/>
        <v>138819.67867500804</v>
      </c>
      <c r="C6" s="31">
        <f t="shared" si="0"/>
        <v>134849.4358649028</v>
      </c>
      <c r="D6" s="32">
        <f t="shared" si="0"/>
        <v>3970.2428101052296</v>
      </c>
      <c r="E6" s="30">
        <f t="shared" si="14"/>
        <v>44822.014626346674</v>
      </c>
      <c r="F6" s="33">
        <f t="shared" si="14"/>
        <v>43540.105008033162</v>
      </c>
      <c r="G6" s="34">
        <f t="shared" si="14"/>
        <v>1281.9096183135148</v>
      </c>
      <c r="H6" s="31">
        <f t="shared" si="1"/>
        <v>57505.694892</v>
      </c>
      <c r="I6" s="33">
        <f t="shared" si="1"/>
        <v>1693.085108</v>
      </c>
      <c r="J6" s="33">
        <f t="shared" si="1"/>
        <v>59198.78</v>
      </c>
      <c r="K6" s="37">
        <f t="shared" si="15"/>
        <v>0.32075232435452761</v>
      </c>
      <c r="L6" s="36">
        <f>[1]RB!$E6</f>
        <v>11205.503656586669</v>
      </c>
      <c r="M6" s="31">
        <f t="shared" si="16"/>
        <v>10885.026252008291</v>
      </c>
      <c r="N6" s="31">
        <f t="shared" si="17"/>
        <v>320.4774045783787</v>
      </c>
      <c r="O6" s="31">
        <f t="shared" si="18"/>
        <v>8694.9139739999991</v>
      </c>
      <c r="P6" s="31">
        <f t="shared" si="19"/>
        <v>255.996026</v>
      </c>
      <c r="Q6" s="31">
        <v>8950.91</v>
      </c>
      <c r="R6" s="31">
        <f t="shared" si="2"/>
        <v>-0.20120413376166302</v>
      </c>
      <c r="S6" s="31">
        <f>[1]RB!$F6</f>
        <v>11205.503656586669</v>
      </c>
      <c r="T6" s="31">
        <f t="shared" si="20"/>
        <v>10885.026252008291</v>
      </c>
      <c r="U6" s="31">
        <f t="shared" si="21"/>
        <v>320.4774045783787</v>
      </c>
      <c r="V6" s="31">
        <f t="shared" si="22"/>
        <v>8702.3063280000006</v>
      </c>
      <c r="W6" s="31">
        <f t="shared" si="23"/>
        <v>256.21367200000003</v>
      </c>
      <c r="X6" s="31">
        <v>8958.52</v>
      </c>
      <c r="Y6" s="31">
        <f t="shared" si="3"/>
        <v>-0.20052500319928734</v>
      </c>
      <c r="Z6" s="31">
        <f>[1]RB!$G6</f>
        <v>11205.503656586669</v>
      </c>
      <c r="AA6" s="31">
        <f t="shared" si="24"/>
        <v>10885.026252008291</v>
      </c>
      <c r="AB6" s="31">
        <f t="shared" si="25"/>
        <v>320.4774045783787</v>
      </c>
      <c r="AC6" s="31">
        <f t="shared" si="26"/>
        <v>9882.9944579999992</v>
      </c>
      <c r="AD6" s="31">
        <f t="shared" si="27"/>
        <v>290.97554199999996</v>
      </c>
      <c r="AE6" s="31">
        <v>10173.969999999999</v>
      </c>
      <c r="AF6" s="31">
        <f t="shared" si="4"/>
        <v>-9.2055983220381776E-2</v>
      </c>
      <c r="AG6" s="31">
        <f>[1]RB!$H6</f>
        <v>11205.503656586669</v>
      </c>
      <c r="AH6" s="31">
        <f t="shared" si="28"/>
        <v>10885.026252008291</v>
      </c>
      <c r="AI6" s="31">
        <f t="shared" si="29"/>
        <v>320.4774045783787</v>
      </c>
      <c r="AJ6" s="31">
        <f t="shared" si="30"/>
        <v>11185.719569999999</v>
      </c>
      <c r="AK6" s="31">
        <f t="shared" si="31"/>
        <v>329.33042999999998</v>
      </c>
      <c r="AL6" s="31">
        <v>11515.05</v>
      </c>
      <c r="AM6" s="31">
        <f t="shared" si="5"/>
        <v>2.7624491758688308E-2</v>
      </c>
      <c r="AN6" s="31">
        <f>[1]RB!$I6</f>
        <v>11205.503656586669</v>
      </c>
      <c r="AO6" s="31">
        <f t="shared" si="32"/>
        <v>10885.026252008291</v>
      </c>
      <c r="AP6" s="31">
        <f t="shared" si="33"/>
        <v>320.4774045783787</v>
      </c>
      <c r="AQ6" s="31">
        <f t="shared" si="34"/>
        <v>9361.5566520000011</v>
      </c>
      <c r="AR6" s="31">
        <f t="shared" si="35"/>
        <v>275.62334800000002</v>
      </c>
      <c r="AS6" s="33">
        <v>9637.18</v>
      </c>
      <c r="AT6" s="37">
        <f t="shared" si="6"/>
        <v>-0.13996012179825557</v>
      </c>
      <c r="AU6" s="36">
        <f>[1]RB!$J6</f>
        <v>11205.503656586669</v>
      </c>
      <c r="AV6" s="31">
        <f t="shared" si="36"/>
        <v>10885.026252008291</v>
      </c>
      <c r="AW6" s="18">
        <f t="shared" si="37"/>
        <v>320.4774045783787</v>
      </c>
      <c r="AX6" s="31">
        <f t="shared" si="38"/>
        <v>9678.2039100000002</v>
      </c>
      <c r="AY6" s="31">
        <f t="shared" si="39"/>
        <v>284.94608999999997</v>
      </c>
      <c r="AZ6" s="27">
        <v>9963.15</v>
      </c>
      <c r="BA6" s="37">
        <f t="shared" si="7"/>
        <v>-0.11086995236099051</v>
      </c>
      <c r="BB6" s="36">
        <f>[1]RB!$K6</f>
        <v>11205.503656586669</v>
      </c>
      <c r="BC6" s="31">
        <f t="shared" si="40"/>
        <v>10885.026252008291</v>
      </c>
      <c r="BD6" s="18">
        <f t="shared" si="41"/>
        <v>320.4774045783787</v>
      </c>
      <c r="BE6" s="31">
        <f t="shared" si="42"/>
        <v>0</v>
      </c>
      <c r="BF6" s="31">
        <f t="shared" si="43"/>
        <v>0</v>
      </c>
      <c r="BG6" s="27"/>
      <c r="BH6" s="37">
        <f t="shared" si="8"/>
        <v>-1</v>
      </c>
      <c r="BI6" s="36">
        <f>[1]RB!$L6</f>
        <v>12076.230615780269</v>
      </c>
      <c r="BJ6" s="31">
        <f t="shared" si="44"/>
        <v>11730.850420168954</v>
      </c>
      <c r="BK6" s="18">
        <f t="shared" si="45"/>
        <v>345.38019561131568</v>
      </c>
      <c r="BL6" s="31">
        <f t="shared" si="46"/>
        <v>0</v>
      </c>
      <c r="BM6" s="31">
        <f t="shared" si="47"/>
        <v>0</v>
      </c>
      <c r="BN6" s="33"/>
      <c r="BO6" s="37">
        <f t="shared" si="9"/>
        <v>-1</v>
      </c>
      <c r="BP6" s="36">
        <f>[1]RB!$M6</f>
        <v>12076.230615780269</v>
      </c>
      <c r="BQ6" s="31">
        <f t="shared" si="48"/>
        <v>11730.850420168954</v>
      </c>
      <c r="BR6" s="18">
        <f t="shared" si="49"/>
        <v>345.38019561131568</v>
      </c>
      <c r="BS6" s="31">
        <f t="shared" si="50"/>
        <v>0</v>
      </c>
      <c r="BT6" s="31">
        <f t="shared" si="51"/>
        <v>0</v>
      </c>
      <c r="BU6" s="33"/>
      <c r="BV6" s="37">
        <f t="shared" si="10"/>
        <v>-1</v>
      </c>
      <c r="BW6" s="36">
        <f>[1]RB!$N6</f>
        <v>12076.230615780269</v>
      </c>
      <c r="BX6" s="31">
        <f t="shared" si="52"/>
        <v>11730.850420168954</v>
      </c>
      <c r="BY6" s="18">
        <f t="shared" si="53"/>
        <v>345.38019561131568</v>
      </c>
      <c r="BZ6" s="31">
        <f t="shared" si="54"/>
        <v>0</v>
      </c>
      <c r="CA6" s="31">
        <f t="shared" si="55"/>
        <v>0</v>
      </c>
      <c r="CB6" s="33"/>
      <c r="CC6" s="37">
        <f t="shared" si="11"/>
        <v>-1</v>
      </c>
      <c r="CD6" s="36">
        <f>[1]RB!$O6</f>
        <v>12076.230615780269</v>
      </c>
      <c r="CE6" s="31">
        <f t="shared" si="56"/>
        <v>11730.850420168954</v>
      </c>
      <c r="CF6" s="18">
        <f t="shared" si="57"/>
        <v>345.38019561131568</v>
      </c>
      <c r="CG6" s="31">
        <f t="shared" si="58"/>
        <v>0</v>
      </c>
      <c r="CH6" s="31">
        <f t="shared" si="59"/>
        <v>0</v>
      </c>
      <c r="CI6" s="33"/>
      <c r="CJ6" s="37">
        <f t="shared" si="12"/>
        <v>-1</v>
      </c>
      <c r="CK6" s="36">
        <f>[1]RB!$P6</f>
        <v>12076.230615780269</v>
      </c>
      <c r="CL6" s="31">
        <f t="shared" si="60"/>
        <v>11730.850420168954</v>
      </c>
      <c r="CM6" s="18">
        <f t="shared" si="61"/>
        <v>345.38019561131568</v>
      </c>
      <c r="CN6" s="31">
        <f t="shared" si="62"/>
        <v>0</v>
      </c>
      <c r="CO6" s="31">
        <f t="shared" si="63"/>
        <v>0</v>
      </c>
      <c r="CP6" s="33"/>
      <c r="CQ6" s="37">
        <f t="shared" si="13"/>
        <v>-1</v>
      </c>
      <c r="CR6" s="180"/>
      <c r="CS6" s="27">
        <v>22771.7</v>
      </c>
      <c r="CT6" s="27">
        <v>15108.61</v>
      </c>
      <c r="CU6" s="27">
        <v>11606.03</v>
      </c>
      <c r="CV6" s="27"/>
      <c r="CW6" s="27"/>
      <c r="CX6" s="27"/>
      <c r="CY6" s="27"/>
      <c r="CZ6" s="27"/>
      <c r="DA6" s="27"/>
      <c r="DB6" s="27"/>
      <c r="DC6" s="27"/>
      <c r="DD6" s="27"/>
    </row>
    <row r="7" spans="1:108" s="26" customFormat="1" ht="14.25" customHeight="1" thickBot="1" x14ac:dyDescent="0.25">
      <c r="A7" s="181" t="s">
        <v>31</v>
      </c>
      <c r="B7" s="30">
        <f t="shared" si="0"/>
        <v>107704.92310991998</v>
      </c>
      <c r="C7" s="31">
        <f t="shared" si="0"/>
        <v>104624.56230897628</v>
      </c>
      <c r="D7" s="32">
        <f t="shared" si="0"/>
        <v>3080.3608009437121</v>
      </c>
      <c r="E7" s="30">
        <f t="shared" si="14"/>
        <v>34775.701003199996</v>
      </c>
      <c r="F7" s="33">
        <f t="shared" si="14"/>
        <v>33781.115954508474</v>
      </c>
      <c r="G7" s="34">
        <f t="shared" si="14"/>
        <v>994.58504869151989</v>
      </c>
      <c r="H7" s="31">
        <f t="shared" si="1"/>
        <v>39092.807891999997</v>
      </c>
      <c r="I7" s="33">
        <f t="shared" si="1"/>
        <v>1150.9721079999999</v>
      </c>
      <c r="J7" s="33">
        <f t="shared" si="1"/>
        <v>40243.78</v>
      </c>
      <c r="K7" s="37">
        <f t="shared" si="15"/>
        <v>0.15723849811961643</v>
      </c>
      <c r="L7" s="36">
        <f>[1]RB!$E7</f>
        <v>8693.925250799999</v>
      </c>
      <c r="M7" s="31">
        <f t="shared" si="16"/>
        <v>8445.2789886271185</v>
      </c>
      <c r="N7" s="31">
        <f t="shared" si="17"/>
        <v>248.64626217287997</v>
      </c>
      <c r="O7" s="31">
        <f t="shared" si="18"/>
        <v>5920.4887200000003</v>
      </c>
      <c r="P7" s="31">
        <f t="shared" si="19"/>
        <v>174.31128000000001</v>
      </c>
      <c r="Q7" s="31">
        <v>6094.8</v>
      </c>
      <c r="R7" s="31">
        <f t="shared" si="2"/>
        <v>-0.29895877590629527</v>
      </c>
      <c r="S7" s="31">
        <f>[1]RB!$F7</f>
        <v>8693.925250799999</v>
      </c>
      <c r="T7" s="31">
        <f t="shared" si="20"/>
        <v>8445.2789886271185</v>
      </c>
      <c r="U7" s="31">
        <f t="shared" si="21"/>
        <v>248.64626217287997</v>
      </c>
      <c r="V7" s="31">
        <f t="shared" si="22"/>
        <v>5978.3841599999996</v>
      </c>
      <c r="W7" s="31">
        <f t="shared" si="23"/>
        <v>176.01584</v>
      </c>
      <c r="X7" s="31">
        <v>6154.4</v>
      </c>
      <c r="Y7" s="31">
        <f t="shared" si="3"/>
        <v>-0.29210341445784993</v>
      </c>
      <c r="Z7" s="31">
        <f>[1]RB!$G7</f>
        <v>8693.925250799999</v>
      </c>
      <c r="AA7" s="31">
        <f t="shared" si="24"/>
        <v>8445.2789886271185</v>
      </c>
      <c r="AB7" s="31">
        <f t="shared" si="25"/>
        <v>248.64626217287997</v>
      </c>
      <c r="AC7" s="31">
        <f t="shared" si="26"/>
        <v>6668.4764340000002</v>
      </c>
      <c r="AD7" s="31">
        <f t="shared" si="27"/>
        <v>196.33356600000002</v>
      </c>
      <c r="AE7" s="31">
        <v>6864.81</v>
      </c>
      <c r="AF7" s="31">
        <f t="shared" si="4"/>
        <v>-0.21039003649492927</v>
      </c>
      <c r="AG7" s="31">
        <f>[1]RB!$H7</f>
        <v>8693.925250799999</v>
      </c>
      <c r="AH7" s="31">
        <f t="shared" si="28"/>
        <v>8445.2789886271185</v>
      </c>
      <c r="AI7" s="31">
        <f t="shared" si="29"/>
        <v>248.64626217287997</v>
      </c>
      <c r="AJ7" s="31">
        <f t="shared" si="30"/>
        <v>7528.2528599999996</v>
      </c>
      <c r="AK7" s="31">
        <f t="shared" si="31"/>
        <v>221.64713999999998</v>
      </c>
      <c r="AL7" s="31">
        <v>7749.9</v>
      </c>
      <c r="AM7" s="31">
        <f t="shared" si="5"/>
        <v>-0.10858446830022284</v>
      </c>
      <c r="AN7" s="31">
        <f>[1]RB!$I7</f>
        <v>8693.925250799999</v>
      </c>
      <c r="AO7" s="31">
        <f t="shared" si="32"/>
        <v>8445.2789886271185</v>
      </c>
      <c r="AP7" s="31">
        <f t="shared" si="33"/>
        <v>248.64626217287997</v>
      </c>
      <c r="AQ7" s="31">
        <f t="shared" si="34"/>
        <v>6374.2879439999997</v>
      </c>
      <c r="AR7" s="31">
        <f t="shared" si="35"/>
        <v>187.672056</v>
      </c>
      <c r="AS7" s="33">
        <v>6561.96</v>
      </c>
      <c r="AT7" s="37">
        <f t="shared" si="6"/>
        <v>-0.24522470452616552</v>
      </c>
      <c r="AU7" s="36">
        <f>[1]RB!$J7</f>
        <v>8693.925250799999</v>
      </c>
      <c r="AV7" s="31">
        <f t="shared" si="36"/>
        <v>8445.2789886271185</v>
      </c>
      <c r="AW7" s="18">
        <f t="shared" si="37"/>
        <v>248.64626217287997</v>
      </c>
      <c r="AX7" s="31">
        <f t="shared" si="38"/>
        <v>6622.9177739999996</v>
      </c>
      <c r="AY7" s="31">
        <f t="shared" si="39"/>
        <v>194.99222599999999</v>
      </c>
      <c r="AZ7" s="27">
        <v>6817.91</v>
      </c>
      <c r="BA7" s="37">
        <f t="shared" si="7"/>
        <v>-0.21578460783607167</v>
      </c>
      <c r="BB7" s="36">
        <f>[1]RB!$K7</f>
        <v>8693.925250799999</v>
      </c>
      <c r="BC7" s="31">
        <f t="shared" si="40"/>
        <v>8445.2789886271185</v>
      </c>
      <c r="BD7" s="18">
        <f t="shared" si="41"/>
        <v>248.64626217287997</v>
      </c>
      <c r="BE7" s="31">
        <f t="shared" si="42"/>
        <v>0</v>
      </c>
      <c r="BF7" s="31">
        <f t="shared" si="43"/>
        <v>0</v>
      </c>
      <c r="BG7" s="27"/>
      <c r="BH7" s="37">
        <f t="shared" si="8"/>
        <v>-1</v>
      </c>
      <c r="BI7" s="36">
        <f>[1]RB!$L7</f>
        <v>9369.4892708640018</v>
      </c>
      <c r="BJ7" s="31">
        <f t="shared" si="44"/>
        <v>9101.5218777172922</v>
      </c>
      <c r="BK7" s="18">
        <f t="shared" si="45"/>
        <v>267.96739314671044</v>
      </c>
      <c r="BL7" s="31">
        <f t="shared" si="46"/>
        <v>0</v>
      </c>
      <c r="BM7" s="31">
        <f t="shared" si="47"/>
        <v>0</v>
      </c>
      <c r="BN7" s="33"/>
      <c r="BO7" s="37">
        <f t="shared" si="9"/>
        <v>-1</v>
      </c>
      <c r="BP7" s="36">
        <f>[1]RB!$M7</f>
        <v>9369.4892708640018</v>
      </c>
      <c r="BQ7" s="31">
        <f t="shared" si="48"/>
        <v>9101.5218777172922</v>
      </c>
      <c r="BR7" s="18">
        <f t="shared" si="49"/>
        <v>267.96739314671044</v>
      </c>
      <c r="BS7" s="31">
        <f t="shared" si="50"/>
        <v>0</v>
      </c>
      <c r="BT7" s="31">
        <f t="shared" si="51"/>
        <v>0</v>
      </c>
      <c r="BU7" s="33"/>
      <c r="BV7" s="37">
        <f t="shared" si="10"/>
        <v>-1</v>
      </c>
      <c r="BW7" s="36">
        <f>[1]RB!$N7</f>
        <v>9369.4892708640018</v>
      </c>
      <c r="BX7" s="31">
        <f t="shared" si="52"/>
        <v>9101.5218777172922</v>
      </c>
      <c r="BY7" s="18">
        <f t="shared" si="53"/>
        <v>267.96739314671044</v>
      </c>
      <c r="BZ7" s="31">
        <f t="shared" si="54"/>
        <v>0</v>
      </c>
      <c r="CA7" s="31">
        <f t="shared" si="55"/>
        <v>0</v>
      </c>
      <c r="CB7" s="33"/>
      <c r="CC7" s="37">
        <f t="shared" si="11"/>
        <v>-1</v>
      </c>
      <c r="CD7" s="36">
        <f>[1]RB!$O7</f>
        <v>9369.4892708640018</v>
      </c>
      <c r="CE7" s="31">
        <f t="shared" si="56"/>
        <v>9101.5218777172922</v>
      </c>
      <c r="CF7" s="18">
        <f t="shared" si="57"/>
        <v>267.96739314671044</v>
      </c>
      <c r="CG7" s="31">
        <f t="shared" si="58"/>
        <v>0</v>
      </c>
      <c r="CH7" s="31">
        <f t="shared" si="59"/>
        <v>0</v>
      </c>
      <c r="CI7" s="33"/>
      <c r="CJ7" s="37">
        <f t="shared" si="12"/>
        <v>-1</v>
      </c>
      <c r="CK7" s="36">
        <f>[1]RB!$P7</f>
        <v>9369.4892708640018</v>
      </c>
      <c r="CL7" s="31">
        <f t="shared" si="60"/>
        <v>9101.5218777172922</v>
      </c>
      <c r="CM7" s="18">
        <f t="shared" si="61"/>
        <v>267.96739314671044</v>
      </c>
      <c r="CN7" s="31">
        <f t="shared" si="62"/>
        <v>0</v>
      </c>
      <c r="CO7" s="31">
        <f t="shared" si="63"/>
        <v>0</v>
      </c>
      <c r="CP7" s="33"/>
      <c r="CQ7" s="37">
        <f t="shared" si="13"/>
        <v>-1</v>
      </c>
      <c r="CR7" s="180"/>
      <c r="CS7" s="27">
        <v>9481.5499999999993</v>
      </c>
      <c r="CT7" s="27">
        <v>10519.78</v>
      </c>
      <c r="CU7" s="27">
        <v>8421.5</v>
      </c>
      <c r="CV7" s="27"/>
      <c r="CW7" s="27"/>
      <c r="CX7" s="27"/>
      <c r="CY7" s="27"/>
      <c r="CZ7" s="27"/>
      <c r="DA7" s="27"/>
      <c r="DB7" s="27"/>
      <c r="DC7" s="27"/>
      <c r="DD7" s="27"/>
    </row>
    <row r="8" spans="1:108" s="26" customFormat="1" ht="14.25" customHeight="1" thickBot="1" x14ac:dyDescent="0.25">
      <c r="A8" s="182" t="s">
        <v>32</v>
      </c>
      <c r="B8" s="30">
        <f t="shared" si="0"/>
        <v>113681.43160605335</v>
      </c>
      <c r="C8" s="31">
        <f t="shared" si="0"/>
        <v>110430.14266212023</v>
      </c>
      <c r="D8" s="32">
        <f t="shared" si="0"/>
        <v>3251.2889439331257</v>
      </c>
      <c r="E8" s="30">
        <f t="shared" si="14"/>
        <v>0</v>
      </c>
      <c r="F8" s="33">
        <f t="shared" si="14"/>
        <v>0</v>
      </c>
      <c r="G8" s="34">
        <f t="shared" si="14"/>
        <v>0</v>
      </c>
      <c r="H8" s="31">
        <f t="shared" si="1"/>
        <v>0</v>
      </c>
      <c r="I8" s="33">
        <f t="shared" si="1"/>
        <v>0</v>
      </c>
      <c r="J8" s="33">
        <f t="shared" si="1"/>
        <v>0</v>
      </c>
      <c r="K8" s="37" t="str">
        <f t="shared" si="15"/>
        <v/>
      </c>
      <c r="L8" s="36">
        <f>[1]RB!$E8</f>
        <v>0</v>
      </c>
      <c r="M8" s="31">
        <f t="shared" si="16"/>
        <v>0</v>
      </c>
      <c r="N8" s="31">
        <f t="shared" si="17"/>
        <v>0</v>
      </c>
      <c r="O8" s="31">
        <f t="shared" si="18"/>
        <v>0</v>
      </c>
      <c r="P8" s="31">
        <f t="shared" si="19"/>
        <v>0</v>
      </c>
      <c r="Q8" s="31"/>
      <c r="R8" s="31" t="str">
        <f t="shared" si="2"/>
        <v/>
      </c>
      <c r="S8" s="31">
        <f>[1]RB!$F8</f>
        <v>0</v>
      </c>
      <c r="T8" s="31">
        <f t="shared" si="20"/>
        <v>0</v>
      </c>
      <c r="U8" s="31">
        <f t="shared" si="21"/>
        <v>0</v>
      </c>
      <c r="V8" s="31">
        <f t="shared" si="22"/>
        <v>0</v>
      </c>
      <c r="W8" s="31">
        <f t="shared" si="23"/>
        <v>0</v>
      </c>
      <c r="X8" s="31"/>
      <c r="Y8" s="31" t="str">
        <f t="shared" si="3"/>
        <v/>
      </c>
      <c r="Z8" s="31">
        <f>[1]RB!$G8</f>
        <v>0</v>
      </c>
      <c r="AA8" s="31">
        <f t="shared" si="24"/>
        <v>0</v>
      </c>
      <c r="AB8" s="31">
        <f t="shared" si="25"/>
        <v>0</v>
      </c>
      <c r="AC8" s="31">
        <f t="shared" si="26"/>
        <v>0</v>
      </c>
      <c r="AD8" s="31">
        <f t="shared" si="27"/>
        <v>0</v>
      </c>
      <c r="AE8" s="31"/>
      <c r="AF8" s="31" t="str">
        <f t="shared" si="4"/>
        <v/>
      </c>
      <c r="AG8" s="31">
        <f>[1]RB!$H8</f>
        <v>0</v>
      </c>
      <c r="AH8" s="31">
        <f t="shared" si="28"/>
        <v>0</v>
      </c>
      <c r="AI8" s="31">
        <f t="shared" si="29"/>
        <v>0</v>
      </c>
      <c r="AJ8" s="31">
        <f t="shared" si="30"/>
        <v>0</v>
      </c>
      <c r="AK8" s="31">
        <f t="shared" si="31"/>
        <v>0</v>
      </c>
      <c r="AL8" s="31"/>
      <c r="AM8" s="31" t="str">
        <f t="shared" si="5"/>
        <v/>
      </c>
      <c r="AN8" s="31">
        <f>[1]RB!$I8</f>
        <v>0</v>
      </c>
      <c r="AO8" s="31">
        <f t="shared" si="32"/>
        <v>0</v>
      </c>
      <c r="AP8" s="31">
        <f t="shared" si="33"/>
        <v>0</v>
      </c>
      <c r="AQ8" s="31">
        <f t="shared" si="34"/>
        <v>0</v>
      </c>
      <c r="AR8" s="31">
        <f t="shared" si="35"/>
        <v>0</v>
      </c>
      <c r="AS8" s="33"/>
      <c r="AT8" s="37" t="str">
        <f t="shared" si="6"/>
        <v/>
      </c>
      <c r="AU8" s="36">
        <f>[1]RB!$J8</f>
        <v>0</v>
      </c>
      <c r="AV8" s="31">
        <f t="shared" si="36"/>
        <v>0</v>
      </c>
      <c r="AW8" s="18">
        <f t="shared" si="37"/>
        <v>0</v>
      </c>
      <c r="AX8" s="31">
        <f t="shared" si="38"/>
        <v>0</v>
      </c>
      <c r="AY8" s="31">
        <f t="shared" si="39"/>
        <v>0</v>
      </c>
      <c r="AZ8" s="27"/>
      <c r="BA8" s="37" t="str">
        <f t="shared" si="7"/>
        <v/>
      </c>
      <c r="BB8" s="36">
        <f>[1]RB!$K8</f>
        <v>113681.43160605335</v>
      </c>
      <c r="BC8" s="31">
        <f t="shared" si="40"/>
        <v>110430.14266212023</v>
      </c>
      <c r="BD8" s="18">
        <f t="shared" si="41"/>
        <v>3251.2889439331257</v>
      </c>
      <c r="BE8" s="31">
        <f t="shared" si="42"/>
        <v>0</v>
      </c>
      <c r="BF8" s="31">
        <f t="shared" si="43"/>
        <v>0</v>
      </c>
      <c r="BG8" s="27"/>
      <c r="BH8" s="37">
        <f t="shared" si="8"/>
        <v>-1</v>
      </c>
      <c r="BI8" s="36">
        <f>[1]RB!$L8</f>
        <v>0</v>
      </c>
      <c r="BJ8" s="31">
        <f t="shared" si="44"/>
        <v>0</v>
      </c>
      <c r="BK8" s="18">
        <f t="shared" si="45"/>
        <v>0</v>
      </c>
      <c r="BL8" s="31">
        <f t="shared" si="46"/>
        <v>0</v>
      </c>
      <c r="BM8" s="31">
        <f t="shared" si="47"/>
        <v>0</v>
      </c>
      <c r="BN8" s="33"/>
      <c r="BO8" s="37" t="str">
        <f t="shared" si="9"/>
        <v/>
      </c>
      <c r="BP8" s="36">
        <f>[1]RB!$M8</f>
        <v>0</v>
      </c>
      <c r="BQ8" s="31">
        <f t="shared" si="48"/>
        <v>0</v>
      </c>
      <c r="BR8" s="18">
        <f t="shared" si="49"/>
        <v>0</v>
      </c>
      <c r="BS8" s="31">
        <f t="shared" si="50"/>
        <v>0</v>
      </c>
      <c r="BT8" s="31">
        <f t="shared" si="51"/>
        <v>0</v>
      </c>
      <c r="BU8" s="33"/>
      <c r="BV8" s="37" t="str">
        <f t="shared" si="10"/>
        <v/>
      </c>
      <c r="BW8" s="36">
        <f>[1]RB!$N8</f>
        <v>0</v>
      </c>
      <c r="BX8" s="31">
        <f t="shared" si="52"/>
        <v>0</v>
      </c>
      <c r="BY8" s="18">
        <f t="shared" si="53"/>
        <v>0</v>
      </c>
      <c r="BZ8" s="31">
        <f t="shared" si="54"/>
        <v>0</v>
      </c>
      <c r="CA8" s="31">
        <f t="shared" si="55"/>
        <v>0</v>
      </c>
      <c r="CB8" s="33"/>
      <c r="CC8" s="37" t="str">
        <f t="shared" si="11"/>
        <v/>
      </c>
      <c r="CD8" s="36">
        <f>[1]RB!$O8</f>
        <v>0</v>
      </c>
      <c r="CE8" s="31">
        <f t="shared" si="56"/>
        <v>0</v>
      </c>
      <c r="CF8" s="18">
        <f t="shared" si="57"/>
        <v>0</v>
      </c>
      <c r="CG8" s="31">
        <f t="shared" si="58"/>
        <v>0</v>
      </c>
      <c r="CH8" s="31">
        <f t="shared" si="59"/>
        <v>0</v>
      </c>
      <c r="CI8" s="33"/>
      <c r="CJ8" s="37" t="str">
        <f t="shared" si="12"/>
        <v/>
      </c>
      <c r="CK8" s="36">
        <f>[1]RB!$P8</f>
        <v>0</v>
      </c>
      <c r="CL8" s="31">
        <f t="shared" si="60"/>
        <v>0</v>
      </c>
      <c r="CM8" s="18">
        <f t="shared" si="61"/>
        <v>0</v>
      </c>
      <c r="CN8" s="31">
        <f t="shared" si="62"/>
        <v>0</v>
      </c>
      <c r="CO8" s="31">
        <f t="shared" si="63"/>
        <v>0</v>
      </c>
      <c r="CP8" s="33"/>
      <c r="CQ8" s="37" t="str">
        <f t="shared" si="13"/>
        <v/>
      </c>
      <c r="CR8" s="180"/>
      <c r="CS8" s="27">
        <f>158.37+48.77</f>
        <v>207.14000000000001</v>
      </c>
      <c r="CT8" s="27">
        <f>2203.4+875.94+542.29</f>
        <v>3621.63</v>
      </c>
      <c r="CU8" s="27">
        <f>309.26+853.44+1229.23+1086.46</f>
        <v>3478.3900000000003</v>
      </c>
      <c r="CV8" s="27"/>
      <c r="CW8" s="27"/>
      <c r="CX8" s="27"/>
      <c r="CY8" s="27"/>
      <c r="CZ8" s="27"/>
      <c r="DA8" s="27"/>
      <c r="DB8" s="27"/>
      <c r="DC8" s="27"/>
      <c r="DD8" s="27"/>
    </row>
    <row r="9" spans="1:108" s="26" customFormat="1" ht="14.25" customHeight="1" thickBot="1" x14ac:dyDescent="0.25">
      <c r="A9" s="182" t="s">
        <v>33</v>
      </c>
      <c r="B9" s="30">
        <f t="shared" si="0"/>
        <v>67520.279282944015</v>
      </c>
      <c r="C9" s="31">
        <f t="shared" si="0"/>
        <v>65589.199295451835</v>
      </c>
      <c r="D9" s="32">
        <f t="shared" si="0"/>
        <v>1931.0799874921993</v>
      </c>
      <c r="E9" s="30">
        <f t="shared" si="14"/>
        <v>21800.907295573339</v>
      </c>
      <c r="F9" s="33">
        <f t="shared" si="14"/>
        <v>21177.401346919942</v>
      </c>
      <c r="G9" s="34">
        <f t="shared" si="14"/>
        <v>623.50594865339747</v>
      </c>
      <c r="H9" s="31">
        <f t="shared" si="1"/>
        <v>19268.408694000005</v>
      </c>
      <c r="I9" s="33">
        <f t="shared" si="1"/>
        <v>567.30130600000007</v>
      </c>
      <c r="J9" s="33">
        <f t="shared" si="1"/>
        <v>19835.710000000003</v>
      </c>
      <c r="K9" s="37">
        <f t="shared" si="15"/>
        <v>-9.014291327097057E-2</v>
      </c>
      <c r="L9" s="36">
        <f>[1]RB!$E9</f>
        <v>5450.2268238933348</v>
      </c>
      <c r="M9" s="31">
        <f t="shared" si="16"/>
        <v>5294.3503367299854</v>
      </c>
      <c r="N9" s="31">
        <f t="shared" si="17"/>
        <v>155.87648716334937</v>
      </c>
      <c r="O9" s="31">
        <f t="shared" si="18"/>
        <v>8810.3940060000004</v>
      </c>
      <c r="P9" s="31">
        <f t="shared" si="19"/>
        <v>259.39599400000003</v>
      </c>
      <c r="Q9" s="31">
        <v>9069.7900000000009</v>
      </c>
      <c r="R9" s="31">
        <f t="shared" si="2"/>
        <v>0.66411239257764576</v>
      </c>
      <c r="S9" s="31">
        <f>[1]RB!$F9</f>
        <v>5450.2268238933348</v>
      </c>
      <c r="T9" s="31">
        <f t="shared" si="20"/>
        <v>5294.3503367299854</v>
      </c>
      <c r="U9" s="31">
        <f t="shared" si="21"/>
        <v>155.87648716334937</v>
      </c>
      <c r="V9" s="31">
        <f t="shared" si="22"/>
        <v>2652.0968519999997</v>
      </c>
      <c r="W9" s="31">
        <f t="shared" si="23"/>
        <v>78.083147999999994</v>
      </c>
      <c r="X9" s="31">
        <f>2730.18</f>
        <v>2730.18</v>
      </c>
      <c r="Y9" s="31">
        <f t="shared" si="3"/>
        <v>-0.49907038950542004</v>
      </c>
      <c r="Z9" s="31">
        <f>[1]RB!$G9</f>
        <v>5450.2268238933348</v>
      </c>
      <c r="AA9" s="31">
        <f t="shared" si="24"/>
        <v>5294.3503367299854</v>
      </c>
      <c r="AB9" s="31">
        <f t="shared" si="25"/>
        <v>155.87648716334937</v>
      </c>
      <c r="AC9" s="31">
        <f t="shared" si="26"/>
        <v>4899.2267580000007</v>
      </c>
      <c r="AD9" s="31">
        <f t="shared" si="27"/>
        <v>144.24324200000001</v>
      </c>
      <c r="AE9" s="31">
        <f>5043.47</f>
        <v>5043.47</v>
      </c>
      <c r="AF9" s="31">
        <f t="shared" si="4"/>
        <v>-7.4631173533942996E-2</v>
      </c>
      <c r="AG9" s="31">
        <f>[1]RB!$H9</f>
        <v>5450.2268238933348</v>
      </c>
      <c r="AH9" s="31">
        <f t="shared" si="28"/>
        <v>5294.3503367299854</v>
      </c>
      <c r="AI9" s="31">
        <f t="shared" si="29"/>
        <v>155.87648716334937</v>
      </c>
      <c r="AJ9" s="31">
        <f t="shared" si="30"/>
        <v>453.10953000000001</v>
      </c>
      <c r="AK9" s="31">
        <f t="shared" si="31"/>
        <v>13.34047</v>
      </c>
      <c r="AL9" s="31">
        <v>466.45</v>
      </c>
      <c r="AM9" s="31">
        <f t="shared" si="5"/>
        <v>-0.91441640594568974</v>
      </c>
      <c r="AN9" s="31">
        <f>[1]RB!$I9</f>
        <v>5450.2268238933348</v>
      </c>
      <c r="AO9" s="31">
        <f t="shared" si="32"/>
        <v>5294.3503367299854</v>
      </c>
      <c r="AP9" s="31">
        <f t="shared" si="33"/>
        <v>155.87648716334937</v>
      </c>
      <c r="AQ9" s="31">
        <f t="shared" si="34"/>
        <v>1226.7907740000001</v>
      </c>
      <c r="AR9" s="31">
        <f t="shared" si="35"/>
        <v>36.119226000000005</v>
      </c>
      <c r="AS9" s="33">
        <v>1262.9100000000001</v>
      </c>
      <c r="AT9" s="37">
        <f t="shared" si="6"/>
        <v>-0.76828303833823774</v>
      </c>
      <c r="AU9" s="36">
        <f>[1]RB!$J9</f>
        <v>5450.2268238933348</v>
      </c>
      <c r="AV9" s="31">
        <f t="shared" si="36"/>
        <v>5294.3503367299854</v>
      </c>
      <c r="AW9" s="18">
        <f t="shared" si="37"/>
        <v>155.87648716334937</v>
      </c>
      <c r="AX9" s="31">
        <f t="shared" si="38"/>
        <v>1226.7907740000001</v>
      </c>
      <c r="AY9" s="31">
        <f t="shared" si="39"/>
        <v>36.119226000000005</v>
      </c>
      <c r="AZ9" s="27">
        <v>1262.9100000000001</v>
      </c>
      <c r="BA9" s="37">
        <f t="shared" si="7"/>
        <v>-0.76828303833823774</v>
      </c>
      <c r="BB9" s="36">
        <f>[1]RB!$K9</f>
        <v>5450.2268238933348</v>
      </c>
      <c r="BC9" s="31">
        <f t="shared" si="40"/>
        <v>5294.3503367299854</v>
      </c>
      <c r="BD9" s="18">
        <f t="shared" si="41"/>
        <v>155.87648716334937</v>
      </c>
      <c r="BE9" s="31">
        <f t="shared" si="42"/>
        <v>0</v>
      </c>
      <c r="BF9" s="31">
        <f t="shared" si="43"/>
        <v>0</v>
      </c>
      <c r="BG9" s="27"/>
      <c r="BH9" s="37">
        <f t="shared" si="8"/>
        <v>-1</v>
      </c>
      <c r="BI9" s="36">
        <f>[1]RB!$L9</f>
        <v>5873.7383031381351</v>
      </c>
      <c r="BJ9" s="31">
        <f t="shared" si="44"/>
        <v>5705.7493876683848</v>
      </c>
      <c r="BK9" s="18">
        <f t="shared" si="45"/>
        <v>167.98891546975065</v>
      </c>
      <c r="BL9" s="31">
        <f t="shared" si="46"/>
        <v>0</v>
      </c>
      <c r="BM9" s="31">
        <f t="shared" si="47"/>
        <v>0</v>
      </c>
      <c r="BN9" s="33"/>
      <c r="BO9" s="37">
        <f t="shared" si="9"/>
        <v>-1</v>
      </c>
      <c r="BP9" s="36">
        <f>[1]RB!$M9</f>
        <v>5873.7383031381351</v>
      </c>
      <c r="BQ9" s="31">
        <f t="shared" si="48"/>
        <v>5705.7493876683848</v>
      </c>
      <c r="BR9" s="18">
        <f t="shared" si="49"/>
        <v>167.98891546975065</v>
      </c>
      <c r="BS9" s="31">
        <f t="shared" si="50"/>
        <v>0</v>
      </c>
      <c r="BT9" s="31">
        <f t="shared" si="51"/>
        <v>0</v>
      </c>
      <c r="BU9" s="33"/>
      <c r="BV9" s="37">
        <f t="shared" si="10"/>
        <v>-1</v>
      </c>
      <c r="BW9" s="36">
        <f>[1]RB!$N9</f>
        <v>5873.7383031381351</v>
      </c>
      <c r="BX9" s="31">
        <f t="shared" si="52"/>
        <v>5705.7493876683848</v>
      </c>
      <c r="BY9" s="18">
        <f t="shared" si="53"/>
        <v>167.98891546975065</v>
      </c>
      <c r="BZ9" s="31">
        <f t="shared" si="54"/>
        <v>0</v>
      </c>
      <c r="CA9" s="31">
        <f t="shared" si="55"/>
        <v>0</v>
      </c>
      <c r="CB9" s="33"/>
      <c r="CC9" s="37">
        <f t="shared" si="11"/>
        <v>-1</v>
      </c>
      <c r="CD9" s="36">
        <f>[1]RB!$O9</f>
        <v>5873.7383031381351</v>
      </c>
      <c r="CE9" s="31">
        <f t="shared" si="56"/>
        <v>5705.7493876683848</v>
      </c>
      <c r="CF9" s="18">
        <f t="shared" si="57"/>
        <v>167.98891546975065</v>
      </c>
      <c r="CG9" s="31">
        <f t="shared" si="58"/>
        <v>0</v>
      </c>
      <c r="CH9" s="31">
        <f t="shared" si="59"/>
        <v>0</v>
      </c>
      <c r="CI9" s="33"/>
      <c r="CJ9" s="37">
        <f t="shared" si="12"/>
        <v>-1</v>
      </c>
      <c r="CK9" s="36">
        <f>[1]RB!$P9</f>
        <v>5873.7383031381351</v>
      </c>
      <c r="CL9" s="31">
        <f t="shared" si="60"/>
        <v>5705.7493876683848</v>
      </c>
      <c r="CM9" s="18">
        <f t="shared" si="61"/>
        <v>167.98891546975065</v>
      </c>
      <c r="CN9" s="31">
        <f t="shared" si="62"/>
        <v>0</v>
      </c>
      <c r="CO9" s="31">
        <f t="shared" si="63"/>
        <v>0</v>
      </c>
      <c r="CP9" s="33"/>
      <c r="CQ9" s="37">
        <f t="shared" si="13"/>
        <v>-1</v>
      </c>
      <c r="CR9" s="180"/>
      <c r="CS9" s="27">
        <f>17898.37+797.29+1454.17</f>
        <v>20149.830000000002</v>
      </c>
      <c r="CT9" s="27">
        <v>17898.37</v>
      </c>
      <c r="CU9" s="27">
        <v>1570.15</v>
      </c>
      <c r="CV9" s="27"/>
      <c r="CW9" s="27"/>
      <c r="CX9" s="27"/>
      <c r="CY9" s="27"/>
      <c r="CZ9" s="27"/>
      <c r="DA9" s="27"/>
      <c r="DB9" s="27"/>
      <c r="DC9" s="27"/>
      <c r="DD9" s="27"/>
    </row>
    <row r="10" spans="1:108" s="26" customFormat="1" ht="14.25" customHeight="1" thickBot="1" x14ac:dyDescent="0.25">
      <c r="A10" s="182" t="s">
        <v>34</v>
      </c>
      <c r="B10" s="30">
        <f t="shared" si="0"/>
        <v>60000</v>
      </c>
      <c r="C10" s="31">
        <f t="shared" si="0"/>
        <v>58284</v>
      </c>
      <c r="D10" s="32">
        <f t="shared" si="0"/>
        <v>1716</v>
      </c>
      <c r="E10" s="30">
        <f t="shared" si="14"/>
        <v>20000</v>
      </c>
      <c r="F10" s="33">
        <f t="shared" si="14"/>
        <v>19428</v>
      </c>
      <c r="G10" s="34">
        <f t="shared" si="14"/>
        <v>572</v>
      </c>
      <c r="H10" s="31">
        <f t="shared" si="1"/>
        <v>8383.8911219999991</v>
      </c>
      <c r="I10" s="33">
        <f t="shared" si="1"/>
        <v>246.83887800000002</v>
      </c>
      <c r="J10" s="33">
        <f t="shared" si="1"/>
        <v>8630.73</v>
      </c>
      <c r="K10" s="37">
        <f t="shared" si="15"/>
        <v>-0.56846350000000001</v>
      </c>
      <c r="L10" s="36">
        <f>[1]RB!$E10</f>
        <v>5000</v>
      </c>
      <c r="M10" s="31">
        <f t="shared" si="16"/>
        <v>4857</v>
      </c>
      <c r="N10" s="31">
        <f t="shared" si="17"/>
        <v>143</v>
      </c>
      <c r="O10" s="31">
        <f t="shared" si="18"/>
        <v>0</v>
      </c>
      <c r="P10" s="31">
        <f t="shared" si="19"/>
        <v>0</v>
      </c>
      <c r="Q10" s="31"/>
      <c r="R10" s="31">
        <f t="shared" si="2"/>
        <v>-1</v>
      </c>
      <c r="S10" s="31">
        <f>[1]RB!$F10</f>
        <v>5000</v>
      </c>
      <c r="T10" s="31">
        <f t="shared" si="20"/>
        <v>4857</v>
      </c>
      <c r="U10" s="31">
        <f t="shared" si="21"/>
        <v>143</v>
      </c>
      <c r="V10" s="31">
        <f t="shared" si="22"/>
        <v>0</v>
      </c>
      <c r="W10" s="31">
        <f t="shared" si="23"/>
        <v>0</v>
      </c>
      <c r="X10" s="31"/>
      <c r="Y10" s="31">
        <f t="shared" si="3"/>
        <v>-1</v>
      </c>
      <c r="Z10" s="31">
        <f>[1]RB!$G10</f>
        <v>5000</v>
      </c>
      <c r="AA10" s="31">
        <f t="shared" si="24"/>
        <v>4857</v>
      </c>
      <c r="AB10" s="31">
        <f t="shared" si="25"/>
        <v>143</v>
      </c>
      <c r="AC10" s="31">
        <f t="shared" si="26"/>
        <v>2264.0711219999998</v>
      </c>
      <c r="AD10" s="31">
        <f t="shared" si="27"/>
        <v>66.658878000000001</v>
      </c>
      <c r="AE10" s="31">
        <v>2330.73</v>
      </c>
      <c r="AF10" s="31">
        <f t="shared" si="4"/>
        <v>-0.53385400000000005</v>
      </c>
      <c r="AG10" s="31">
        <f>[1]RB!$H10</f>
        <v>5000</v>
      </c>
      <c r="AH10" s="31">
        <f t="shared" si="28"/>
        <v>4857</v>
      </c>
      <c r="AI10" s="31">
        <f t="shared" si="29"/>
        <v>143</v>
      </c>
      <c r="AJ10" s="31">
        <f t="shared" si="30"/>
        <v>6119.82</v>
      </c>
      <c r="AK10" s="31">
        <f t="shared" si="31"/>
        <v>180.18</v>
      </c>
      <c r="AL10" s="31">
        <f>6300</f>
        <v>6300</v>
      </c>
      <c r="AM10" s="31">
        <f t="shared" si="5"/>
        <v>0.26</v>
      </c>
      <c r="AN10" s="31">
        <f>[1]RB!$I10</f>
        <v>5000</v>
      </c>
      <c r="AO10" s="31">
        <f t="shared" si="32"/>
        <v>4857</v>
      </c>
      <c r="AP10" s="31">
        <f t="shared" si="33"/>
        <v>143</v>
      </c>
      <c r="AQ10" s="31">
        <f t="shared" si="34"/>
        <v>0</v>
      </c>
      <c r="AR10" s="31">
        <f t="shared" si="35"/>
        <v>0</v>
      </c>
      <c r="AS10" s="33"/>
      <c r="AT10" s="37">
        <f t="shared" si="6"/>
        <v>-1</v>
      </c>
      <c r="AU10" s="36">
        <f>[1]RB!$J10</f>
        <v>5000</v>
      </c>
      <c r="AV10" s="31">
        <f t="shared" si="36"/>
        <v>4857</v>
      </c>
      <c r="AW10" s="18">
        <f t="shared" si="37"/>
        <v>143</v>
      </c>
      <c r="AX10" s="31">
        <f t="shared" si="38"/>
        <v>0</v>
      </c>
      <c r="AY10" s="31">
        <f t="shared" si="39"/>
        <v>0</v>
      </c>
      <c r="AZ10" s="27"/>
      <c r="BA10" s="37">
        <f t="shared" si="7"/>
        <v>-1</v>
      </c>
      <c r="BB10" s="36">
        <f>[1]RB!$K10</f>
        <v>5000</v>
      </c>
      <c r="BC10" s="31">
        <f t="shared" si="40"/>
        <v>4857</v>
      </c>
      <c r="BD10" s="18">
        <f t="shared" si="41"/>
        <v>143</v>
      </c>
      <c r="BE10" s="31">
        <f t="shared" si="42"/>
        <v>0</v>
      </c>
      <c r="BF10" s="31">
        <f t="shared" si="43"/>
        <v>0</v>
      </c>
      <c r="BG10" s="27"/>
      <c r="BH10" s="37">
        <f t="shared" si="8"/>
        <v>-1</v>
      </c>
      <c r="BI10" s="36">
        <f>[1]RB!$L10</f>
        <v>5000</v>
      </c>
      <c r="BJ10" s="31">
        <f t="shared" si="44"/>
        <v>4857</v>
      </c>
      <c r="BK10" s="18">
        <f t="shared" si="45"/>
        <v>143</v>
      </c>
      <c r="BL10" s="31">
        <f t="shared" si="46"/>
        <v>0</v>
      </c>
      <c r="BM10" s="31">
        <f t="shared" si="47"/>
        <v>0</v>
      </c>
      <c r="BN10" s="33"/>
      <c r="BO10" s="37">
        <f t="shared" si="9"/>
        <v>-1</v>
      </c>
      <c r="BP10" s="36">
        <f>[1]RB!$M10</f>
        <v>5000</v>
      </c>
      <c r="BQ10" s="31">
        <f t="shared" si="48"/>
        <v>4857</v>
      </c>
      <c r="BR10" s="18">
        <f t="shared" si="49"/>
        <v>143</v>
      </c>
      <c r="BS10" s="31">
        <f t="shared" si="50"/>
        <v>0</v>
      </c>
      <c r="BT10" s="31">
        <f t="shared" si="51"/>
        <v>0</v>
      </c>
      <c r="BU10" s="33"/>
      <c r="BV10" s="37">
        <f t="shared" si="10"/>
        <v>-1</v>
      </c>
      <c r="BW10" s="36">
        <f>[1]RB!$N10</f>
        <v>5000</v>
      </c>
      <c r="BX10" s="31">
        <f t="shared" si="52"/>
        <v>4857</v>
      </c>
      <c r="BY10" s="18">
        <f t="shared" si="53"/>
        <v>143</v>
      </c>
      <c r="BZ10" s="31">
        <f t="shared" si="54"/>
        <v>0</v>
      </c>
      <c r="CA10" s="31">
        <f t="shared" si="55"/>
        <v>0</v>
      </c>
      <c r="CB10" s="33"/>
      <c r="CC10" s="37">
        <f t="shared" si="11"/>
        <v>-1</v>
      </c>
      <c r="CD10" s="36">
        <f>[1]RB!$O10</f>
        <v>5000</v>
      </c>
      <c r="CE10" s="31">
        <f t="shared" si="56"/>
        <v>4857</v>
      </c>
      <c r="CF10" s="18">
        <f t="shared" si="57"/>
        <v>143</v>
      </c>
      <c r="CG10" s="31">
        <f t="shared" si="58"/>
        <v>0</v>
      </c>
      <c r="CH10" s="31">
        <f t="shared" si="59"/>
        <v>0</v>
      </c>
      <c r="CI10" s="33"/>
      <c r="CJ10" s="37">
        <f t="shared" si="12"/>
        <v>-1</v>
      </c>
      <c r="CK10" s="36">
        <f>[1]RB!$P10</f>
        <v>5000</v>
      </c>
      <c r="CL10" s="31">
        <f t="shared" si="60"/>
        <v>4857</v>
      </c>
      <c r="CM10" s="18">
        <f t="shared" si="61"/>
        <v>143</v>
      </c>
      <c r="CN10" s="31">
        <f t="shared" si="62"/>
        <v>0</v>
      </c>
      <c r="CO10" s="31">
        <f t="shared" si="63"/>
        <v>0</v>
      </c>
      <c r="CP10" s="33"/>
      <c r="CQ10" s="37">
        <f t="shared" si="13"/>
        <v>-1</v>
      </c>
      <c r="CR10" s="180"/>
      <c r="CS10" s="27">
        <f>1400+231.5</f>
        <v>1631.5</v>
      </c>
      <c r="CT10" s="27">
        <f>5600</f>
        <v>5600</v>
      </c>
      <c r="CU10" s="27">
        <f>8750+2798.37</f>
        <v>11548.369999999999</v>
      </c>
      <c r="CV10" s="27"/>
      <c r="CW10" s="27"/>
      <c r="CX10" s="27"/>
      <c r="CY10" s="27"/>
      <c r="CZ10" s="27"/>
      <c r="DA10" s="27"/>
      <c r="DB10" s="27"/>
      <c r="DC10" s="27"/>
      <c r="DD10" s="27"/>
    </row>
    <row r="11" spans="1:108" s="26" customFormat="1" ht="14.25" customHeight="1" thickBot="1" x14ac:dyDescent="0.25">
      <c r="A11" s="182" t="s">
        <v>35</v>
      </c>
      <c r="B11" s="30">
        <f t="shared" si="0"/>
        <v>0</v>
      </c>
      <c r="C11" s="31">
        <f t="shared" si="0"/>
        <v>0</v>
      </c>
      <c r="D11" s="32">
        <f t="shared" si="0"/>
        <v>0</v>
      </c>
      <c r="E11" s="30">
        <f t="shared" si="14"/>
        <v>0</v>
      </c>
      <c r="F11" s="33">
        <f t="shared" si="14"/>
        <v>0</v>
      </c>
      <c r="G11" s="34">
        <f t="shared" si="14"/>
        <v>0</v>
      </c>
      <c r="H11" s="31">
        <f t="shared" si="1"/>
        <v>11624.024964</v>
      </c>
      <c r="I11" s="33">
        <f t="shared" si="1"/>
        <v>342.23503600000004</v>
      </c>
      <c r="J11" s="33">
        <f t="shared" si="1"/>
        <v>11966.26</v>
      </c>
      <c r="K11" s="37" t="str">
        <f t="shared" si="15"/>
        <v/>
      </c>
      <c r="L11" s="36">
        <f>[1]RB!$E11</f>
        <v>0</v>
      </c>
      <c r="M11" s="31">
        <f t="shared" si="16"/>
        <v>0</v>
      </c>
      <c r="N11" s="31">
        <f t="shared" si="17"/>
        <v>0</v>
      </c>
      <c r="O11" s="31">
        <f t="shared" si="18"/>
        <v>0</v>
      </c>
      <c r="P11" s="31">
        <f t="shared" si="19"/>
        <v>0</v>
      </c>
      <c r="Q11" s="31"/>
      <c r="R11" s="31" t="str">
        <f t="shared" si="2"/>
        <v/>
      </c>
      <c r="S11" s="31">
        <f>[1]RB!$F11</f>
        <v>0</v>
      </c>
      <c r="T11" s="31">
        <f t="shared" si="20"/>
        <v>0</v>
      </c>
      <c r="U11" s="31">
        <f t="shared" si="21"/>
        <v>0</v>
      </c>
      <c r="V11" s="31">
        <f t="shared" si="22"/>
        <v>0</v>
      </c>
      <c r="W11" s="31">
        <f t="shared" si="23"/>
        <v>0</v>
      </c>
      <c r="X11" s="31"/>
      <c r="Y11" s="31" t="str">
        <f t="shared" si="3"/>
        <v/>
      </c>
      <c r="Z11" s="31">
        <f>[1]RB!$G11</f>
        <v>0</v>
      </c>
      <c r="AA11" s="31">
        <f t="shared" si="24"/>
        <v>0</v>
      </c>
      <c r="AB11" s="31">
        <f t="shared" si="25"/>
        <v>0</v>
      </c>
      <c r="AC11" s="31">
        <f t="shared" si="26"/>
        <v>0</v>
      </c>
      <c r="AD11" s="31">
        <f t="shared" si="27"/>
        <v>0</v>
      </c>
      <c r="AE11" s="31"/>
      <c r="AF11" s="31" t="str">
        <f t="shared" si="4"/>
        <v/>
      </c>
      <c r="AG11" s="31">
        <f>[1]RB!$H11</f>
        <v>0</v>
      </c>
      <c r="AH11" s="31">
        <f t="shared" si="28"/>
        <v>0</v>
      </c>
      <c r="AI11" s="31">
        <f t="shared" si="29"/>
        <v>0</v>
      </c>
      <c r="AJ11" s="31">
        <f t="shared" si="30"/>
        <v>11624.024964</v>
      </c>
      <c r="AK11" s="31">
        <f t="shared" si="31"/>
        <v>342.23503600000004</v>
      </c>
      <c r="AL11" s="31">
        <f>11966.26</f>
        <v>11966.26</v>
      </c>
      <c r="AM11" s="31" t="str">
        <f t="shared" si="5"/>
        <v/>
      </c>
      <c r="AN11" s="31">
        <f>[1]RB!$I11</f>
        <v>0</v>
      </c>
      <c r="AO11" s="31">
        <f t="shared" si="32"/>
        <v>0</v>
      </c>
      <c r="AP11" s="31">
        <f t="shared" si="33"/>
        <v>0</v>
      </c>
      <c r="AQ11" s="31">
        <f t="shared" si="34"/>
        <v>0</v>
      </c>
      <c r="AR11" s="31">
        <f t="shared" si="35"/>
        <v>0</v>
      </c>
      <c r="AS11" s="33"/>
      <c r="AT11" s="37" t="str">
        <f t="shared" si="6"/>
        <v/>
      </c>
      <c r="AU11" s="36">
        <f>[1]RB!$J11</f>
        <v>0</v>
      </c>
      <c r="AV11" s="31">
        <f t="shared" si="36"/>
        <v>0</v>
      </c>
      <c r="AW11" s="18">
        <f t="shared" si="37"/>
        <v>0</v>
      </c>
      <c r="AX11" s="31">
        <f t="shared" si="38"/>
        <v>0</v>
      </c>
      <c r="AY11" s="31">
        <f t="shared" si="39"/>
        <v>0</v>
      </c>
      <c r="AZ11" s="27"/>
      <c r="BA11" s="37" t="str">
        <f t="shared" si="7"/>
        <v/>
      </c>
      <c r="BB11" s="36">
        <f>[1]RB!$K11</f>
        <v>0</v>
      </c>
      <c r="BC11" s="31">
        <f t="shared" si="40"/>
        <v>0</v>
      </c>
      <c r="BD11" s="18">
        <f t="shared" si="41"/>
        <v>0</v>
      </c>
      <c r="BE11" s="31">
        <f t="shared" si="42"/>
        <v>0</v>
      </c>
      <c r="BF11" s="31">
        <f t="shared" si="43"/>
        <v>0</v>
      </c>
      <c r="BG11" s="27"/>
      <c r="BH11" s="37" t="str">
        <f t="shared" si="8"/>
        <v/>
      </c>
      <c r="BI11" s="36">
        <f>[1]RB!$L11</f>
        <v>0</v>
      </c>
      <c r="BJ11" s="31">
        <f t="shared" si="44"/>
        <v>0</v>
      </c>
      <c r="BK11" s="18">
        <f t="shared" si="45"/>
        <v>0</v>
      </c>
      <c r="BL11" s="31">
        <f t="shared" si="46"/>
        <v>0</v>
      </c>
      <c r="BM11" s="31">
        <f t="shared" si="47"/>
        <v>0</v>
      </c>
      <c r="BN11" s="33"/>
      <c r="BO11" s="37" t="str">
        <f t="shared" si="9"/>
        <v/>
      </c>
      <c r="BP11" s="36">
        <f>[1]RB!$M11</f>
        <v>0</v>
      </c>
      <c r="BQ11" s="31">
        <f t="shared" si="48"/>
        <v>0</v>
      </c>
      <c r="BR11" s="18">
        <f t="shared" si="49"/>
        <v>0</v>
      </c>
      <c r="BS11" s="31">
        <f t="shared" si="50"/>
        <v>0</v>
      </c>
      <c r="BT11" s="31">
        <f t="shared" si="51"/>
        <v>0</v>
      </c>
      <c r="BU11" s="33"/>
      <c r="BV11" s="37" t="str">
        <f t="shared" si="10"/>
        <v/>
      </c>
      <c r="BW11" s="36">
        <f>[1]RB!$N11</f>
        <v>0</v>
      </c>
      <c r="BX11" s="31">
        <f t="shared" si="52"/>
        <v>0</v>
      </c>
      <c r="BY11" s="18">
        <f t="shared" si="53"/>
        <v>0</v>
      </c>
      <c r="BZ11" s="31">
        <f t="shared" si="54"/>
        <v>0</v>
      </c>
      <c r="CA11" s="31">
        <f t="shared" si="55"/>
        <v>0</v>
      </c>
      <c r="CB11" s="33"/>
      <c r="CC11" s="37" t="str">
        <f t="shared" si="11"/>
        <v/>
      </c>
      <c r="CD11" s="36">
        <f>[1]RB!$O11</f>
        <v>0</v>
      </c>
      <c r="CE11" s="31">
        <f t="shared" si="56"/>
        <v>0</v>
      </c>
      <c r="CF11" s="18">
        <f t="shared" si="57"/>
        <v>0</v>
      </c>
      <c r="CG11" s="31">
        <f t="shared" si="58"/>
        <v>0</v>
      </c>
      <c r="CH11" s="31">
        <f t="shared" si="59"/>
        <v>0</v>
      </c>
      <c r="CI11" s="33"/>
      <c r="CJ11" s="37" t="str">
        <f t="shared" si="12"/>
        <v/>
      </c>
      <c r="CK11" s="36">
        <f>[1]RB!$P11</f>
        <v>0</v>
      </c>
      <c r="CL11" s="31">
        <f t="shared" si="60"/>
        <v>0</v>
      </c>
      <c r="CM11" s="18">
        <f t="shared" si="61"/>
        <v>0</v>
      </c>
      <c r="CN11" s="31">
        <f t="shared" si="62"/>
        <v>0</v>
      </c>
      <c r="CO11" s="31">
        <f t="shared" si="63"/>
        <v>0</v>
      </c>
      <c r="CP11" s="33"/>
      <c r="CQ11" s="37" t="str">
        <f t="shared" si="13"/>
        <v/>
      </c>
      <c r="CR11" s="180"/>
      <c r="CS11" s="27">
        <f>1122.48+1503.46</f>
        <v>2625.94</v>
      </c>
      <c r="CT11" s="27"/>
      <c r="CU11" s="27"/>
      <c r="CV11" s="27"/>
      <c r="CW11" s="27"/>
      <c r="CX11" s="27"/>
      <c r="CY11" s="27"/>
      <c r="CZ11" s="27"/>
      <c r="DA11" s="27"/>
      <c r="DB11" s="27"/>
      <c r="DC11" s="27"/>
      <c r="DD11" s="27"/>
    </row>
    <row r="12" spans="1:108" s="26" customFormat="1" ht="14.25" customHeight="1" thickBot="1" x14ac:dyDescent="0.25">
      <c r="A12" s="181" t="s">
        <v>36</v>
      </c>
      <c r="B12" s="30">
        <f t="shared" si="0"/>
        <v>37260</v>
      </c>
      <c r="C12" s="31">
        <f t="shared" si="0"/>
        <v>36194.364000000001</v>
      </c>
      <c r="D12" s="32">
        <f t="shared" si="0"/>
        <v>1065.636</v>
      </c>
      <c r="E12" s="30">
        <f t="shared" si="14"/>
        <v>12420</v>
      </c>
      <c r="F12" s="33">
        <f t="shared" si="14"/>
        <v>12064.788</v>
      </c>
      <c r="G12" s="34">
        <f t="shared" si="14"/>
        <v>355.21199999999999</v>
      </c>
      <c r="H12" s="31">
        <f t="shared" si="1"/>
        <v>14868.151260000002</v>
      </c>
      <c r="I12" s="33">
        <f t="shared" si="1"/>
        <v>437.74874</v>
      </c>
      <c r="J12" s="33">
        <f t="shared" si="1"/>
        <v>15305.9</v>
      </c>
      <c r="K12" s="37">
        <f t="shared" si="15"/>
        <v>0.23235909822866341</v>
      </c>
      <c r="L12" s="36">
        <f>[1]RB!$E12</f>
        <v>3105</v>
      </c>
      <c r="M12" s="31">
        <f t="shared" si="16"/>
        <v>3016.1970000000001</v>
      </c>
      <c r="N12" s="31">
        <f t="shared" si="17"/>
        <v>88.802999999999997</v>
      </c>
      <c r="O12" s="31">
        <f t="shared" si="18"/>
        <v>2812.1058600000001</v>
      </c>
      <c r="P12" s="31">
        <f t="shared" si="19"/>
        <v>82.794139999999999</v>
      </c>
      <c r="Q12" s="31">
        <f>2894.9</f>
        <v>2894.9</v>
      </c>
      <c r="R12" s="31">
        <f t="shared" si="2"/>
        <v>-6.766505636070852E-2</v>
      </c>
      <c r="S12" s="31">
        <f>[1]RB!$F12</f>
        <v>3105</v>
      </c>
      <c r="T12" s="31">
        <f t="shared" si="20"/>
        <v>3016.1970000000001</v>
      </c>
      <c r="U12" s="31">
        <f t="shared" si="21"/>
        <v>88.802999999999997</v>
      </c>
      <c r="V12" s="31">
        <f t="shared" si="22"/>
        <v>0</v>
      </c>
      <c r="W12" s="31">
        <f t="shared" si="23"/>
        <v>0</v>
      </c>
      <c r="X12" s="31"/>
      <c r="Y12" s="31">
        <f t="shared" si="3"/>
        <v>-1</v>
      </c>
      <c r="Z12" s="31">
        <f>[1]RB!$G12</f>
        <v>3105</v>
      </c>
      <c r="AA12" s="31">
        <f t="shared" si="24"/>
        <v>3016.1970000000001</v>
      </c>
      <c r="AB12" s="31">
        <f t="shared" si="25"/>
        <v>88.802999999999997</v>
      </c>
      <c r="AC12" s="31">
        <f t="shared" si="26"/>
        <v>3014.0113499999998</v>
      </c>
      <c r="AD12" s="31">
        <f t="shared" si="27"/>
        <v>88.738650000000007</v>
      </c>
      <c r="AE12" s="31">
        <f>3102.75</f>
        <v>3102.75</v>
      </c>
      <c r="AF12" s="31">
        <f t="shared" si="4"/>
        <v>-7.246376811593791E-4</v>
      </c>
      <c r="AG12" s="31">
        <f>[1]RB!$H12</f>
        <v>3105</v>
      </c>
      <c r="AH12" s="31">
        <f t="shared" si="28"/>
        <v>3016.1970000000001</v>
      </c>
      <c r="AI12" s="31">
        <f t="shared" si="29"/>
        <v>88.802999999999997</v>
      </c>
      <c r="AJ12" s="31">
        <f t="shared" si="30"/>
        <v>3014.0113499999998</v>
      </c>
      <c r="AK12" s="31">
        <f t="shared" si="31"/>
        <v>88.738650000000007</v>
      </c>
      <c r="AL12" s="31">
        <f>3102.75</f>
        <v>3102.75</v>
      </c>
      <c r="AM12" s="31">
        <f t="shared" si="5"/>
        <v>-7.246376811593791E-4</v>
      </c>
      <c r="AN12" s="31">
        <f>[1]RB!$I12</f>
        <v>3105</v>
      </c>
      <c r="AO12" s="31">
        <f t="shared" si="32"/>
        <v>3016.1970000000001</v>
      </c>
      <c r="AP12" s="31">
        <f t="shared" si="33"/>
        <v>88.802999999999997</v>
      </c>
      <c r="AQ12" s="31">
        <f t="shared" si="34"/>
        <v>3014.0113499999998</v>
      </c>
      <c r="AR12" s="31">
        <f t="shared" si="35"/>
        <v>88.738650000000007</v>
      </c>
      <c r="AS12" s="33">
        <v>3102.75</v>
      </c>
      <c r="AT12" s="37">
        <f t="shared" si="6"/>
        <v>-7.246376811593791E-4</v>
      </c>
      <c r="AU12" s="36">
        <f>[1]RB!$J12</f>
        <v>3105</v>
      </c>
      <c r="AV12" s="31">
        <f t="shared" si="36"/>
        <v>3016.1970000000001</v>
      </c>
      <c r="AW12" s="18">
        <f t="shared" si="37"/>
        <v>88.802999999999997</v>
      </c>
      <c r="AX12" s="31">
        <f t="shared" si="38"/>
        <v>3014.0113499999998</v>
      </c>
      <c r="AY12" s="31">
        <f t="shared" si="39"/>
        <v>88.738650000000007</v>
      </c>
      <c r="AZ12" s="27">
        <v>3102.75</v>
      </c>
      <c r="BA12" s="37">
        <f t="shared" si="7"/>
        <v>-7.246376811593791E-4</v>
      </c>
      <c r="BB12" s="36">
        <f>[1]RB!$K12</f>
        <v>3105</v>
      </c>
      <c r="BC12" s="31">
        <f t="shared" si="40"/>
        <v>3016.1970000000001</v>
      </c>
      <c r="BD12" s="18">
        <f t="shared" si="41"/>
        <v>88.802999999999997</v>
      </c>
      <c r="BE12" s="31">
        <f t="shared" si="42"/>
        <v>0</v>
      </c>
      <c r="BF12" s="31">
        <f t="shared" si="43"/>
        <v>0</v>
      </c>
      <c r="BG12" s="27"/>
      <c r="BH12" s="37">
        <f t="shared" si="8"/>
        <v>-1</v>
      </c>
      <c r="BI12" s="36">
        <f>[1]RB!$L12</f>
        <v>3105</v>
      </c>
      <c r="BJ12" s="31">
        <f t="shared" si="44"/>
        <v>3016.1970000000001</v>
      </c>
      <c r="BK12" s="18">
        <f t="shared" si="45"/>
        <v>88.802999999999997</v>
      </c>
      <c r="BL12" s="31">
        <f t="shared" si="46"/>
        <v>0</v>
      </c>
      <c r="BM12" s="31">
        <f t="shared" si="47"/>
        <v>0</v>
      </c>
      <c r="BN12" s="33"/>
      <c r="BO12" s="37">
        <f t="shared" si="9"/>
        <v>-1</v>
      </c>
      <c r="BP12" s="36">
        <f>[1]RB!$M12</f>
        <v>3105</v>
      </c>
      <c r="BQ12" s="31">
        <f t="shared" si="48"/>
        <v>3016.1970000000001</v>
      </c>
      <c r="BR12" s="18">
        <f t="shared" si="49"/>
        <v>88.802999999999997</v>
      </c>
      <c r="BS12" s="31">
        <f t="shared" si="50"/>
        <v>0</v>
      </c>
      <c r="BT12" s="31">
        <f t="shared" si="51"/>
        <v>0</v>
      </c>
      <c r="BU12" s="33"/>
      <c r="BV12" s="37">
        <f t="shared" si="10"/>
        <v>-1</v>
      </c>
      <c r="BW12" s="36">
        <f>[1]RB!$N12</f>
        <v>3105</v>
      </c>
      <c r="BX12" s="31">
        <f t="shared" si="52"/>
        <v>3016.1970000000001</v>
      </c>
      <c r="BY12" s="18">
        <f t="shared" si="53"/>
        <v>88.802999999999997</v>
      </c>
      <c r="BZ12" s="31">
        <f t="shared" si="54"/>
        <v>0</v>
      </c>
      <c r="CA12" s="31">
        <f t="shared" si="55"/>
        <v>0</v>
      </c>
      <c r="CB12" s="33"/>
      <c r="CC12" s="37">
        <f t="shared" si="11"/>
        <v>-1</v>
      </c>
      <c r="CD12" s="36">
        <f>[1]RB!$O12</f>
        <v>3105</v>
      </c>
      <c r="CE12" s="31">
        <f t="shared" si="56"/>
        <v>3016.1970000000001</v>
      </c>
      <c r="CF12" s="18">
        <f t="shared" si="57"/>
        <v>88.802999999999997</v>
      </c>
      <c r="CG12" s="31">
        <f t="shared" si="58"/>
        <v>0</v>
      </c>
      <c r="CH12" s="31">
        <f t="shared" si="59"/>
        <v>0</v>
      </c>
      <c r="CI12" s="33"/>
      <c r="CJ12" s="37">
        <f t="shared" si="12"/>
        <v>-1</v>
      </c>
      <c r="CK12" s="36">
        <f>[1]RB!$P12</f>
        <v>3105</v>
      </c>
      <c r="CL12" s="31">
        <f t="shared" si="60"/>
        <v>3016.1970000000001</v>
      </c>
      <c r="CM12" s="18">
        <f t="shared" si="61"/>
        <v>88.802999999999997</v>
      </c>
      <c r="CN12" s="31">
        <f t="shared" si="62"/>
        <v>0</v>
      </c>
      <c r="CO12" s="31">
        <f t="shared" si="63"/>
        <v>0</v>
      </c>
      <c r="CP12" s="33"/>
      <c r="CQ12" s="37">
        <f t="shared" si="13"/>
        <v>-1</v>
      </c>
      <c r="CR12" s="180"/>
      <c r="CS12" s="27">
        <f t="shared" ref="CS12:CU12" si="64">2894.9</f>
        <v>2894.9</v>
      </c>
      <c r="CT12" s="27">
        <f t="shared" si="64"/>
        <v>2894.9</v>
      </c>
      <c r="CU12" s="27">
        <f t="shared" si="64"/>
        <v>2894.9</v>
      </c>
      <c r="CV12" s="27"/>
      <c r="CW12" s="27"/>
      <c r="CX12" s="27"/>
      <c r="CY12" s="27"/>
      <c r="CZ12" s="27"/>
      <c r="DA12" s="27"/>
      <c r="DB12" s="27"/>
      <c r="DC12" s="27"/>
      <c r="DD12" s="27"/>
    </row>
    <row r="13" spans="1:108" s="26" customFormat="1" ht="16" customHeight="1" thickBot="1" x14ac:dyDescent="0.25">
      <c r="A13" s="182" t="s">
        <v>37</v>
      </c>
      <c r="B13" s="30">
        <f t="shared" si="0"/>
        <v>6000</v>
      </c>
      <c r="C13" s="31">
        <f t="shared" si="0"/>
        <v>5828.3999999999987</v>
      </c>
      <c r="D13" s="32">
        <f t="shared" si="0"/>
        <v>171.60000000000002</v>
      </c>
      <c r="E13" s="30">
        <f t="shared" si="14"/>
        <v>2000</v>
      </c>
      <c r="F13" s="33">
        <f t="shared" si="14"/>
        <v>1942.8</v>
      </c>
      <c r="G13" s="34">
        <f t="shared" si="14"/>
        <v>57.2</v>
      </c>
      <c r="H13" s="31">
        <f t="shared" si="1"/>
        <v>5828.4</v>
      </c>
      <c r="I13" s="33">
        <f t="shared" si="1"/>
        <v>171.6</v>
      </c>
      <c r="J13" s="33">
        <f t="shared" si="1"/>
        <v>6000</v>
      </c>
      <c r="K13" s="37">
        <f t="shared" si="15"/>
        <v>2</v>
      </c>
      <c r="L13" s="36">
        <f>[1]RB!$E13</f>
        <v>500</v>
      </c>
      <c r="M13" s="31">
        <f t="shared" si="16"/>
        <v>485.7</v>
      </c>
      <c r="N13" s="31">
        <f t="shared" si="17"/>
        <v>14.3</v>
      </c>
      <c r="O13" s="31">
        <f t="shared" si="18"/>
        <v>0</v>
      </c>
      <c r="P13" s="31">
        <f t="shared" si="19"/>
        <v>0</v>
      </c>
      <c r="Q13" s="31"/>
      <c r="R13" s="31">
        <f t="shared" si="2"/>
        <v>-1</v>
      </c>
      <c r="S13" s="31">
        <f>[1]RB!$F13</f>
        <v>500</v>
      </c>
      <c r="T13" s="31">
        <f t="shared" si="20"/>
        <v>485.7</v>
      </c>
      <c r="U13" s="31">
        <f t="shared" si="21"/>
        <v>14.3</v>
      </c>
      <c r="V13" s="31">
        <f t="shared" si="22"/>
        <v>0</v>
      </c>
      <c r="W13" s="31">
        <f t="shared" si="23"/>
        <v>0</v>
      </c>
      <c r="X13" s="31"/>
      <c r="Y13" s="31">
        <f t="shared" si="3"/>
        <v>-1</v>
      </c>
      <c r="Z13" s="31">
        <f>[1]RB!$G13</f>
        <v>500</v>
      </c>
      <c r="AA13" s="31">
        <f t="shared" si="24"/>
        <v>485.7</v>
      </c>
      <c r="AB13" s="31">
        <f t="shared" si="25"/>
        <v>14.3</v>
      </c>
      <c r="AC13" s="31">
        <f t="shared" si="26"/>
        <v>0</v>
      </c>
      <c r="AD13" s="31">
        <f t="shared" si="27"/>
        <v>0</v>
      </c>
      <c r="AE13" s="31"/>
      <c r="AF13" s="31">
        <f t="shared" si="4"/>
        <v>-1</v>
      </c>
      <c r="AG13" s="31">
        <f>[1]RB!$H13</f>
        <v>500</v>
      </c>
      <c r="AH13" s="31">
        <f t="shared" si="28"/>
        <v>485.7</v>
      </c>
      <c r="AI13" s="31">
        <f t="shared" si="29"/>
        <v>14.3</v>
      </c>
      <c r="AJ13" s="31">
        <f t="shared" si="30"/>
        <v>0</v>
      </c>
      <c r="AK13" s="31">
        <f t="shared" si="31"/>
        <v>0</v>
      </c>
      <c r="AL13" s="31"/>
      <c r="AM13" s="31">
        <f t="shared" si="5"/>
        <v>-1</v>
      </c>
      <c r="AN13" s="31">
        <f>[1]RB!$I13</f>
        <v>500</v>
      </c>
      <c r="AO13" s="31">
        <f t="shared" si="32"/>
        <v>485.7</v>
      </c>
      <c r="AP13" s="31">
        <f t="shared" si="33"/>
        <v>14.3</v>
      </c>
      <c r="AQ13" s="31">
        <f t="shared" si="34"/>
        <v>2914.2</v>
      </c>
      <c r="AR13" s="31">
        <f t="shared" si="35"/>
        <v>85.8</v>
      </c>
      <c r="AS13" s="33">
        <v>3000</v>
      </c>
      <c r="AT13" s="37">
        <f t="shared" si="6"/>
        <v>5</v>
      </c>
      <c r="AU13" s="36">
        <f>[1]RB!$J13</f>
        <v>500</v>
      </c>
      <c r="AV13" s="31">
        <f t="shared" si="36"/>
        <v>485.7</v>
      </c>
      <c r="AW13" s="18">
        <f t="shared" si="37"/>
        <v>14.3</v>
      </c>
      <c r="AX13" s="31">
        <f t="shared" si="38"/>
        <v>2914.2</v>
      </c>
      <c r="AY13" s="31">
        <f t="shared" si="39"/>
        <v>85.8</v>
      </c>
      <c r="AZ13" s="27">
        <v>3000</v>
      </c>
      <c r="BA13" s="37">
        <f t="shared" si="7"/>
        <v>5</v>
      </c>
      <c r="BB13" s="36">
        <f>[1]RB!$K13</f>
        <v>500</v>
      </c>
      <c r="BC13" s="31">
        <f t="shared" si="40"/>
        <v>485.7</v>
      </c>
      <c r="BD13" s="18">
        <f t="shared" si="41"/>
        <v>14.3</v>
      </c>
      <c r="BE13" s="31">
        <f t="shared" si="42"/>
        <v>0</v>
      </c>
      <c r="BF13" s="31">
        <f t="shared" si="43"/>
        <v>0</v>
      </c>
      <c r="BG13" s="27"/>
      <c r="BH13" s="37">
        <f t="shared" si="8"/>
        <v>-1</v>
      </c>
      <c r="BI13" s="36">
        <f>[1]RB!$L13</f>
        <v>500</v>
      </c>
      <c r="BJ13" s="31">
        <f t="shared" si="44"/>
        <v>485.7</v>
      </c>
      <c r="BK13" s="18">
        <f t="shared" si="45"/>
        <v>14.3</v>
      </c>
      <c r="BL13" s="31">
        <f t="shared" si="46"/>
        <v>0</v>
      </c>
      <c r="BM13" s="31">
        <f t="shared" si="47"/>
        <v>0</v>
      </c>
      <c r="BN13" s="33"/>
      <c r="BO13" s="37">
        <f t="shared" si="9"/>
        <v>-1</v>
      </c>
      <c r="BP13" s="36">
        <f>[1]RB!$M13</f>
        <v>500</v>
      </c>
      <c r="BQ13" s="31">
        <f t="shared" si="48"/>
        <v>485.7</v>
      </c>
      <c r="BR13" s="18">
        <f t="shared" si="49"/>
        <v>14.3</v>
      </c>
      <c r="BS13" s="31">
        <f t="shared" si="50"/>
        <v>0</v>
      </c>
      <c r="BT13" s="31">
        <f t="shared" si="51"/>
        <v>0</v>
      </c>
      <c r="BU13" s="33"/>
      <c r="BV13" s="37">
        <f t="shared" si="10"/>
        <v>-1</v>
      </c>
      <c r="BW13" s="36">
        <f>[1]RB!$N13</f>
        <v>500</v>
      </c>
      <c r="BX13" s="31">
        <f t="shared" si="52"/>
        <v>485.7</v>
      </c>
      <c r="BY13" s="18">
        <f t="shared" si="53"/>
        <v>14.3</v>
      </c>
      <c r="BZ13" s="31">
        <f t="shared" si="54"/>
        <v>0</v>
      </c>
      <c r="CA13" s="31">
        <f t="shared" si="55"/>
        <v>0</v>
      </c>
      <c r="CB13" s="33"/>
      <c r="CC13" s="37">
        <f t="shared" si="11"/>
        <v>-1</v>
      </c>
      <c r="CD13" s="36">
        <f>[1]RB!$O13</f>
        <v>500</v>
      </c>
      <c r="CE13" s="31">
        <f t="shared" si="56"/>
        <v>485.7</v>
      </c>
      <c r="CF13" s="18">
        <f t="shared" si="57"/>
        <v>14.3</v>
      </c>
      <c r="CG13" s="31">
        <f t="shared" si="58"/>
        <v>0</v>
      </c>
      <c r="CH13" s="31">
        <f t="shared" si="59"/>
        <v>0</v>
      </c>
      <c r="CI13" s="33"/>
      <c r="CJ13" s="37">
        <f t="shared" si="12"/>
        <v>-1</v>
      </c>
      <c r="CK13" s="36">
        <f>[1]RB!$P13</f>
        <v>500</v>
      </c>
      <c r="CL13" s="31">
        <f t="shared" si="60"/>
        <v>485.7</v>
      </c>
      <c r="CM13" s="18">
        <f t="shared" si="61"/>
        <v>14.3</v>
      </c>
      <c r="CN13" s="31">
        <f t="shared" si="62"/>
        <v>0</v>
      </c>
      <c r="CO13" s="31">
        <f t="shared" si="63"/>
        <v>0</v>
      </c>
      <c r="CP13" s="33"/>
      <c r="CQ13" s="37">
        <f t="shared" si="13"/>
        <v>-1</v>
      </c>
      <c r="CR13" s="180"/>
      <c r="CS13" s="27"/>
      <c r="CT13" s="27"/>
      <c r="CU13" s="27"/>
      <c r="CV13" s="27"/>
      <c r="CW13" s="27"/>
      <c r="CX13" s="27"/>
      <c r="CY13" s="27"/>
      <c r="CZ13" s="27"/>
      <c r="DA13" s="27"/>
      <c r="DB13" s="27"/>
      <c r="DC13" s="27"/>
      <c r="DD13" s="27"/>
    </row>
    <row r="14" spans="1:108" s="26" customFormat="1" ht="16" customHeight="1" thickBot="1" x14ac:dyDescent="0.25">
      <c r="A14" s="183" t="s">
        <v>38</v>
      </c>
      <c r="B14" s="30">
        <f t="shared" si="0"/>
        <v>79941.84</v>
      </c>
      <c r="C14" s="31">
        <f t="shared" si="0"/>
        <v>77655.503375999993</v>
      </c>
      <c r="D14" s="32">
        <f t="shared" si="0"/>
        <v>2286.3366240000005</v>
      </c>
      <c r="E14" s="30">
        <f t="shared" si="14"/>
        <v>26647.279999999999</v>
      </c>
      <c r="F14" s="33">
        <f t="shared" si="14"/>
        <v>25885.167792</v>
      </c>
      <c r="G14" s="34">
        <f t="shared" si="14"/>
        <v>762.11220800000001</v>
      </c>
      <c r="H14" s="31">
        <f t="shared" si="1"/>
        <v>31027.312547999998</v>
      </c>
      <c r="I14" s="33">
        <f t="shared" si="1"/>
        <v>913.50745199999983</v>
      </c>
      <c r="J14" s="33">
        <f t="shared" si="1"/>
        <v>31940.820000000003</v>
      </c>
      <c r="K14" s="37">
        <f t="shared" si="15"/>
        <v>0.1986521701276831</v>
      </c>
      <c r="L14" s="36">
        <f>[1]RB!$E14</f>
        <v>6661.82</v>
      </c>
      <c r="M14" s="31">
        <f t="shared" si="16"/>
        <v>6471.291948</v>
      </c>
      <c r="N14" s="31">
        <f t="shared" si="17"/>
        <v>190.528052</v>
      </c>
      <c r="O14" s="31">
        <f t="shared" si="18"/>
        <v>3534.9148859999996</v>
      </c>
      <c r="P14" s="31">
        <f t="shared" si="19"/>
        <v>104.075114</v>
      </c>
      <c r="Q14" s="31">
        <f>3638.99</f>
        <v>3638.99</v>
      </c>
      <c r="R14" s="31">
        <f t="shared" si="2"/>
        <v>-0.45375437943384844</v>
      </c>
      <c r="S14" s="31">
        <f>[1]RB!$F14</f>
        <v>6661.82</v>
      </c>
      <c r="T14" s="31">
        <f t="shared" si="20"/>
        <v>6471.291948</v>
      </c>
      <c r="U14" s="31">
        <f t="shared" si="21"/>
        <v>190.528052</v>
      </c>
      <c r="V14" s="31">
        <f t="shared" si="22"/>
        <v>11527.205526</v>
      </c>
      <c r="W14" s="31">
        <f t="shared" si="23"/>
        <v>339.38447400000001</v>
      </c>
      <c r="X14" s="31">
        <f>11866.59</f>
        <v>11866.59</v>
      </c>
      <c r="Y14" s="31">
        <f t="shared" si="3"/>
        <v>0.78128349309948342</v>
      </c>
      <c r="Z14" s="31">
        <f>[1]RB!$G14</f>
        <v>6661.82</v>
      </c>
      <c r="AA14" s="31">
        <f t="shared" si="24"/>
        <v>6471.291948</v>
      </c>
      <c r="AB14" s="31">
        <f t="shared" si="25"/>
        <v>190.528052</v>
      </c>
      <c r="AC14" s="31">
        <f t="shared" si="26"/>
        <v>4336.7084460000005</v>
      </c>
      <c r="AD14" s="31">
        <f t="shared" si="27"/>
        <v>127.68155400000001</v>
      </c>
      <c r="AE14" s="31">
        <f>4464.39</f>
        <v>4464.3900000000003</v>
      </c>
      <c r="AF14" s="31">
        <f t="shared" si="4"/>
        <v>-0.32985430407906535</v>
      </c>
      <c r="AG14" s="31">
        <f>[1]RB!$H14</f>
        <v>6661.82</v>
      </c>
      <c r="AH14" s="31">
        <f t="shared" si="28"/>
        <v>6471.291948</v>
      </c>
      <c r="AI14" s="31">
        <f t="shared" si="29"/>
        <v>190.528052</v>
      </c>
      <c r="AJ14" s="31">
        <f t="shared" si="30"/>
        <v>3948.6924299999996</v>
      </c>
      <c r="AK14" s="31">
        <f t="shared" si="31"/>
        <v>116.25757</v>
      </c>
      <c r="AL14" s="31">
        <f>4064.95</f>
        <v>4064.95</v>
      </c>
      <c r="AM14" s="31">
        <f t="shared" si="5"/>
        <v>-0.389813894701448</v>
      </c>
      <c r="AN14" s="31">
        <f>[1]RB!$I14</f>
        <v>6661.82</v>
      </c>
      <c r="AO14" s="31">
        <f t="shared" si="32"/>
        <v>6471.291948</v>
      </c>
      <c r="AP14" s="31">
        <f t="shared" si="33"/>
        <v>190.528052</v>
      </c>
      <c r="AQ14" s="31">
        <f t="shared" si="34"/>
        <v>3708.7566299999999</v>
      </c>
      <c r="AR14" s="31">
        <f t="shared" si="35"/>
        <v>109.19337</v>
      </c>
      <c r="AS14" s="33">
        <v>3817.95</v>
      </c>
      <c r="AT14" s="37">
        <f t="shared" si="6"/>
        <v>-0.42689084964769386</v>
      </c>
      <c r="AU14" s="36">
        <f>[1]RB!$J14</f>
        <v>6661.82</v>
      </c>
      <c r="AV14" s="31">
        <f t="shared" si="36"/>
        <v>6471.291948</v>
      </c>
      <c r="AW14" s="18">
        <f t="shared" si="37"/>
        <v>190.528052</v>
      </c>
      <c r="AX14" s="31">
        <f t="shared" si="38"/>
        <v>3971.0346299999997</v>
      </c>
      <c r="AY14" s="31">
        <f t="shared" si="39"/>
        <v>116.91537</v>
      </c>
      <c r="AZ14" s="27">
        <v>4087.95</v>
      </c>
      <c r="BA14" s="37">
        <f t="shared" si="7"/>
        <v>-0.38636138472669634</v>
      </c>
      <c r="BB14" s="36">
        <f>[1]RB!$K14</f>
        <v>6661.82</v>
      </c>
      <c r="BC14" s="31">
        <f t="shared" si="40"/>
        <v>6471.291948</v>
      </c>
      <c r="BD14" s="18">
        <f t="shared" si="41"/>
        <v>190.528052</v>
      </c>
      <c r="BE14" s="31">
        <f t="shared" si="42"/>
        <v>0</v>
      </c>
      <c r="BF14" s="31">
        <f t="shared" si="43"/>
        <v>0</v>
      </c>
      <c r="BG14" s="27"/>
      <c r="BH14" s="37">
        <f t="shared" si="8"/>
        <v>-1</v>
      </c>
      <c r="BI14" s="36">
        <f>[1]RB!$L14</f>
        <v>6661.82</v>
      </c>
      <c r="BJ14" s="31">
        <f t="shared" si="44"/>
        <v>6471.291948</v>
      </c>
      <c r="BK14" s="18">
        <f t="shared" si="45"/>
        <v>190.528052</v>
      </c>
      <c r="BL14" s="31">
        <f t="shared" si="46"/>
        <v>0</v>
      </c>
      <c r="BM14" s="31">
        <f t="shared" si="47"/>
        <v>0</v>
      </c>
      <c r="BN14" s="33"/>
      <c r="BO14" s="37">
        <f t="shared" si="9"/>
        <v>-1</v>
      </c>
      <c r="BP14" s="36">
        <f>[1]RB!$M14</f>
        <v>6661.82</v>
      </c>
      <c r="BQ14" s="31">
        <f t="shared" si="48"/>
        <v>6471.291948</v>
      </c>
      <c r="BR14" s="18">
        <f t="shared" si="49"/>
        <v>190.528052</v>
      </c>
      <c r="BS14" s="31">
        <f t="shared" si="50"/>
        <v>0</v>
      </c>
      <c r="BT14" s="31">
        <f t="shared" si="51"/>
        <v>0</v>
      </c>
      <c r="BU14" s="33"/>
      <c r="BV14" s="37">
        <f t="shared" si="10"/>
        <v>-1</v>
      </c>
      <c r="BW14" s="36">
        <f>[1]RB!$N14</f>
        <v>6661.82</v>
      </c>
      <c r="BX14" s="31">
        <f t="shared" si="52"/>
        <v>6471.291948</v>
      </c>
      <c r="BY14" s="18">
        <f t="shared" si="53"/>
        <v>190.528052</v>
      </c>
      <c r="BZ14" s="31">
        <f t="shared" si="54"/>
        <v>0</v>
      </c>
      <c r="CA14" s="31">
        <f t="shared" si="55"/>
        <v>0</v>
      </c>
      <c r="CB14" s="33"/>
      <c r="CC14" s="37">
        <f t="shared" si="11"/>
        <v>-1</v>
      </c>
      <c r="CD14" s="36">
        <f>[1]RB!$O14</f>
        <v>6661.82</v>
      </c>
      <c r="CE14" s="31">
        <f t="shared" si="56"/>
        <v>6471.291948</v>
      </c>
      <c r="CF14" s="18">
        <f t="shared" si="57"/>
        <v>190.528052</v>
      </c>
      <c r="CG14" s="31">
        <f t="shared" si="58"/>
        <v>0</v>
      </c>
      <c r="CH14" s="31">
        <f t="shared" si="59"/>
        <v>0</v>
      </c>
      <c r="CI14" s="33"/>
      <c r="CJ14" s="37">
        <f t="shared" si="12"/>
        <v>-1</v>
      </c>
      <c r="CK14" s="36">
        <f>[1]RB!$P14</f>
        <v>6661.82</v>
      </c>
      <c r="CL14" s="31">
        <f t="shared" si="60"/>
        <v>6471.291948</v>
      </c>
      <c r="CM14" s="18">
        <f t="shared" si="61"/>
        <v>190.528052</v>
      </c>
      <c r="CN14" s="31">
        <f t="shared" si="62"/>
        <v>0</v>
      </c>
      <c r="CO14" s="31">
        <f t="shared" si="63"/>
        <v>0</v>
      </c>
      <c r="CP14" s="33"/>
      <c r="CQ14" s="37">
        <f t="shared" si="13"/>
        <v>-1</v>
      </c>
      <c r="CR14" s="180"/>
      <c r="CS14" s="27">
        <f>5437.62</f>
        <v>5437.62</v>
      </c>
      <c r="CT14" s="27">
        <f>4963.62</f>
        <v>4963.62</v>
      </c>
      <c r="CU14" s="27">
        <f>4889.08</f>
        <v>4889.08</v>
      </c>
      <c r="CV14" s="27"/>
      <c r="CW14" s="27"/>
      <c r="CX14" s="27"/>
      <c r="CY14" s="27"/>
      <c r="CZ14" s="27"/>
      <c r="DA14" s="27"/>
      <c r="DB14" s="27"/>
      <c r="DC14" s="27"/>
      <c r="DD14" s="27"/>
    </row>
    <row r="15" spans="1:108" s="26" customFormat="1" ht="16" customHeight="1" thickBot="1" x14ac:dyDescent="0.25">
      <c r="A15" s="182" t="s">
        <v>39</v>
      </c>
      <c r="B15" s="30">
        <f t="shared" si="0"/>
        <v>127725</v>
      </c>
      <c r="C15" s="31">
        <f t="shared" si="0"/>
        <v>124072.06499999997</v>
      </c>
      <c r="D15" s="32">
        <f t="shared" si="0"/>
        <v>3652.9350000000009</v>
      </c>
      <c r="E15" s="30">
        <f t="shared" si="14"/>
        <v>42300</v>
      </c>
      <c r="F15" s="33">
        <f t="shared" si="14"/>
        <v>41090.22</v>
      </c>
      <c r="G15" s="34">
        <f t="shared" si="14"/>
        <v>1209.78</v>
      </c>
      <c r="H15" s="31">
        <f t="shared" si="1"/>
        <v>71435.697174000015</v>
      </c>
      <c r="I15" s="33">
        <f t="shared" si="1"/>
        <v>2103.2128260000009</v>
      </c>
      <c r="J15" s="33">
        <f t="shared" si="1"/>
        <v>73538.910000000018</v>
      </c>
      <c r="K15" s="37">
        <f t="shared" si="15"/>
        <v>0.73850851063829825</v>
      </c>
      <c r="L15" s="36">
        <f>[1]RB!$E15</f>
        <v>10575</v>
      </c>
      <c r="M15" s="40">
        <f t="shared" si="16"/>
        <v>10272.555</v>
      </c>
      <c r="N15" s="40">
        <f t="shared" si="17"/>
        <v>302.44499999999999</v>
      </c>
      <c r="O15" s="40">
        <f t="shared" si="18"/>
        <v>9203.8207200000015</v>
      </c>
      <c r="P15" s="40">
        <f t="shared" si="19"/>
        <v>270.97928000000002</v>
      </c>
      <c r="Q15" s="40">
        <f>725.95+15636.74-(11.15+6876.74)</f>
        <v>9474.8000000000011</v>
      </c>
      <c r="R15" s="40">
        <f t="shared" si="2"/>
        <v>-0.10403782505910153</v>
      </c>
      <c r="S15" s="40">
        <f>[1]RB!$F15</f>
        <v>10575</v>
      </c>
      <c r="T15" s="40">
        <f t="shared" si="20"/>
        <v>10272.555</v>
      </c>
      <c r="U15" s="40">
        <f t="shared" si="21"/>
        <v>302.44499999999999</v>
      </c>
      <c r="V15" s="40">
        <f t="shared" si="22"/>
        <v>9169.4234460000134</v>
      </c>
      <c r="W15" s="40">
        <f t="shared" si="23"/>
        <v>269.96655400000043</v>
      </c>
      <c r="X15" s="40">
        <f>734.38+92229.46-(25008.8+58515.65)</f>
        <v>9439.390000000014</v>
      </c>
      <c r="Y15" s="40">
        <f t="shared" si="3"/>
        <v>-0.10738628841607434</v>
      </c>
      <c r="Z15" s="40">
        <f>[1]RB!$G15</f>
        <v>10575</v>
      </c>
      <c r="AA15" s="40">
        <f t="shared" si="24"/>
        <v>10272.555</v>
      </c>
      <c r="AB15" s="40">
        <f t="shared" si="25"/>
        <v>302.44499999999999</v>
      </c>
      <c r="AC15" s="40">
        <f t="shared" si="26"/>
        <v>12721.386402</v>
      </c>
      <c r="AD15" s="40">
        <f t="shared" si="27"/>
        <v>374.54359800000003</v>
      </c>
      <c r="AE15" s="40">
        <f>725.95+12369.98</f>
        <v>13095.93</v>
      </c>
      <c r="AF15" s="40">
        <f t="shared" si="4"/>
        <v>0.23838581560283689</v>
      </c>
      <c r="AG15" s="40">
        <f>[1]RB!$H15</f>
        <v>10575</v>
      </c>
      <c r="AH15" s="40">
        <f t="shared" si="28"/>
        <v>10272.555</v>
      </c>
      <c r="AI15" s="40">
        <f t="shared" si="29"/>
        <v>302.44499999999999</v>
      </c>
      <c r="AJ15" s="40">
        <f t="shared" si="30"/>
        <v>16214.501946</v>
      </c>
      <c r="AK15" s="40">
        <f t="shared" si="31"/>
        <v>477.38805400000001</v>
      </c>
      <c r="AL15" s="40">
        <f>731.33+15960.56</f>
        <v>16691.89</v>
      </c>
      <c r="AM15" s="40">
        <f t="shared" si="5"/>
        <v>0.5784293144208037</v>
      </c>
      <c r="AN15" s="40">
        <f>[1]RB!$I15</f>
        <v>10575</v>
      </c>
      <c r="AO15" s="40">
        <f t="shared" si="32"/>
        <v>10272.555</v>
      </c>
      <c r="AP15" s="40">
        <f t="shared" si="33"/>
        <v>302.44499999999999</v>
      </c>
      <c r="AQ15" s="40">
        <f t="shared" si="34"/>
        <v>13011.883571999999</v>
      </c>
      <c r="AR15" s="40">
        <f t="shared" si="35"/>
        <v>383.096428</v>
      </c>
      <c r="AS15" s="115">
        <v>13394.98</v>
      </c>
      <c r="AT15" s="37">
        <f t="shared" si="6"/>
        <v>0.26666477541371147</v>
      </c>
      <c r="AU15" s="36">
        <f>[1]RB!$J15</f>
        <v>10575</v>
      </c>
      <c r="AV15" s="40">
        <f t="shared" si="36"/>
        <v>10272.555</v>
      </c>
      <c r="AW15" s="18">
        <f t="shared" si="37"/>
        <v>302.44499999999999</v>
      </c>
      <c r="AX15" s="40">
        <f t="shared" si="38"/>
        <v>11114.681088000001</v>
      </c>
      <c r="AY15" s="40">
        <f t="shared" si="39"/>
        <v>327.23891200000008</v>
      </c>
      <c r="AZ15" s="116">
        <v>11441.920000000002</v>
      </c>
      <c r="BA15" s="37">
        <f t="shared" si="7"/>
        <v>8.197825059101671E-2</v>
      </c>
      <c r="BB15" s="36">
        <f>[1]RB!$K15</f>
        <v>11400</v>
      </c>
      <c r="BC15" s="40">
        <f t="shared" si="40"/>
        <v>11073.96</v>
      </c>
      <c r="BD15" s="18">
        <f t="shared" si="41"/>
        <v>326.04000000000002</v>
      </c>
      <c r="BE15" s="40">
        <f t="shared" si="42"/>
        <v>0</v>
      </c>
      <c r="BF15" s="40">
        <f t="shared" si="43"/>
        <v>0</v>
      </c>
      <c r="BG15" s="116"/>
      <c r="BH15" s="37">
        <f t="shared" si="8"/>
        <v>-1</v>
      </c>
      <c r="BI15" s="36">
        <f>[1]RB!$L15</f>
        <v>10575</v>
      </c>
      <c r="BJ15" s="40">
        <f t="shared" si="44"/>
        <v>10272.555</v>
      </c>
      <c r="BK15" s="18">
        <f t="shared" si="45"/>
        <v>302.44499999999999</v>
      </c>
      <c r="BL15" s="40">
        <f t="shared" si="46"/>
        <v>0</v>
      </c>
      <c r="BM15" s="40">
        <f t="shared" si="47"/>
        <v>0</v>
      </c>
      <c r="BN15" s="115"/>
      <c r="BO15" s="37">
        <f t="shared" si="9"/>
        <v>-1</v>
      </c>
      <c r="BP15" s="36">
        <f>[1]RB!$M15</f>
        <v>10575</v>
      </c>
      <c r="BQ15" s="40">
        <f t="shared" si="48"/>
        <v>10272.555</v>
      </c>
      <c r="BR15" s="18">
        <f t="shared" si="49"/>
        <v>302.44499999999999</v>
      </c>
      <c r="BS15" s="40">
        <f t="shared" si="50"/>
        <v>0</v>
      </c>
      <c r="BT15" s="40">
        <f t="shared" si="51"/>
        <v>0</v>
      </c>
      <c r="BU15" s="115"/>
      <c r="BV15" s="37">
        <f t="shared" si="10"/>
        <v>-1</v>
      </c>
      <c r="BW15" s="36">
        <f>[1]RB!$N15</f>
        <v>10575</v>
      </c>
      <c r="BX15" s="40">
        <f t="shared" si="52"/>
        <v>10272.555</v>
      </c>
      <c r="BY15" s="18">
        <f t="shared" si="53"/>
        <v>302.44499999999999</v>
      </c>
      <c r="BZ15" s="40">
        <f t="shared" si="54"/>
        <v>0</v>
      </c>
      <c r="CA15" s="40">
        <f t="shared" si="55"/>
        <v>0</v>
      </c>
      <c r="CB15" s="115"/>
      <c r="CC15" s="37">
        <f t="shared" si="11"/>
        <v>-1</v>
      </c>
      <c r="CD15" s="36">
        <f>[1]RB!$O15</f>
        <v>10575</v>
      </c>
      <c r="CE15" s="40">
        <f t="shared" si="56"/>
        <v>10272.555</v>
      </c>
      <c r="CF15" s="18">
        <f t="shared" si="57"/>
        <v>302.44499999999999</v>
      </c>
      <c r="CG15" s="40">
        <f t="shared" si="58"/>
        <v>0</v>
      </c>
      <c r="CH15" s="40">
        <f t="shared" si="59"/>
        <v>0</v>
      </c>
      <c r="CI15" s="115"/>
      <c r="CJ15" s="37">
        <f t="shared" si="12"/>
        <v>-1</v>
      </c>
      <c r="CK15" s="36">
        <f>[1]RB!$P15</f>
        <v>10575</v>
      </c>
      <c r="CL15" s="40">
        <f t="shared" si="60"/>
        <v>10272.555</v>
      </c>
      <c r="CM15" s="18">
        <f t="shared" si="61"/>
        <v>302.44499999999999</v>
      </c>
      <c r="CN15" s="40">
        <f t="shared" si="62"/>
        <v>0</v>
      </c>
      <c r="CO15" s="40">
        <f t="shared" si="63"/>
        <v>0</v>
      </c>
      <c r="CP15" s="115"/>
      <c r="CQ15" s="37">
        <f t="shared" si="13"/>
        <v>-1</v>
      </c>
      <c r="CR15" s="180"/>
      <c r="CS15" s="27">
        <f>1748.25+20645.69+19.78</f>
        <v>22413.719999999998</v>
      </c>
      <c r="CT15" s="27">
        <f>4971.13+(1268.78)+12139.99</f>
        <v>18379.900000000001</v>
      </c>
      <c r="CU15" s="27">
        <f>994.86+18324.72</f>
        <v>19319.580000000002</v>
      </c>
      <c r="CV15" s="27"/>
      <c r="CW15" s="27"/>
      <c r="CX15" s="27"/>
      <c r="CY15" s="27"/>
      <c r="CZ15" s="27"/>
      <c r="DA15" s="27"/>
      <c r="DB15" s="27"/>
      <c r="DC15" s="27"/>
      <c r="DD15" s="27"/>
    </row>
    <row r="16" spans="1:108" s="26" customFormat="1" ht="16" customHeight="1" thickBot="1" x14ac:dyDescent="0.25">
      <c r="A16" s="181" t="s">
        <v>40</v>
      </c>
      <c r="B16" s="30">
        <f t="shared" si="0"/>
        <v>32499.999999999996</v>
      </c>
      <c r="C16" s="31">
        <f t="shared" si="0"/>
        <v>31570.5</v>
      </c>
      <c r="D16" s="32">
        <f t="shared" si="0"/>
        <v>929.50000000000034</v>
      </c>
      <c r="E16" s="30">
        <f t="shared" si="14"/>
        <v>10833.333333333334</v>
      </c>
      <c r="F16" s="33">
        <f t="shared" si="14"/>
        <v>10523.5</v>
      </c>
      <c r="G16" s="34">
        <f t="shared" si="14"/>
        <v>309.83333333333337</v>
      </c>
      <c r="H16" s="31">
        <f t="shared" si="1"/>
        <v>22938.309323999998</v>
      </c>
      <c r="I16" s="33">
        <f t="shared" si="1"/>
        <v>675.35067600000002</v>
      </c>
      <c r="J16" s="33">
        <f t="shared" si="1"/>
        <v>23613.66</v>
      </c>
      <c r="K16" s="37">
        <f t="shared" si="15"/>
        <v>1.1797224615384616</v>
      </c>
      <c r="L16" s="36">
        <f>[1]RB!$E16</f>
        <v>2708.3333333333335</v>
      </c>
      <c r="M16" s="31">
        <f t="shared" si="16"/>
        <v>2630.875</v>
      </c>
      <c r="N16" s="31">
        <f t="shared" si="17"/>
        <v>77.458333333333343</v>
      </c>
      <c r="O16" s="31">
        <f t="shared" si="18"/>
        <v>3457.9314359999998</v>
      </c>
      <c r="P16" s="31">
        <f t="shared" si="19"/>
        <v>101.80856399999999</v>
      </c>
      <c r="Q16" s="31">
        <f>3559.74</f>
        <v>3559.74</v>
      </c>
      <c r="R16" s="31">
        <f t="shared" si="2"/>
        <v>0.31436553846153825</v>
      </c>
      <c r="S16" s="31">
        <f>[1]RB!$F16</f>
        <v>2708.3333333333335</v>
      </c>
      <c r="T16" s="31">
        <f t="shared" si="20"/>
        <v>2630.875</v>
      </c>
      <c r="U16" s="31">
        <f t="shared" si="21"/>
        <v>77.458333333333343</v>
      </c>
      <c r="V16" s="31">
        <f t="shared" si="22"/>
        <v>2381.1928200000002</v>
      </c>
      <c r="W16" s="31">
        <f t="shared" si="23"/>
        <v>70.10718</v>
      </c>
      <c r="X16" s="31">
        <f>2451.3</f>
        <v>2451.3000000000002</v>
      </c>
      <c r="Y16" s="31">
        <f t="shared" si="3"/>
        <v>-9.4904615384615365E-2</v>
      </c>
      <c r="Z16" s="31">
        <f>[1]RB!$G16</f>
        <v>2708.3333333333335</v>
      </c>
      <c r="AA16" s="31">
        <f t="shared" si="24"/>
        <v>2630.875</v>
      </c>
      <c r="AB16" s="31">
        <f t="shared" si="25"/>
        <v>77.458333333333343</v>
      </c>
      <c r="AC16" s="31">
        <f t="shared" si="26"/>
        <v>6453.0101999999997</v>
      </c>
      <c r="AD16" s="31">
        <f t="shared" si="27"/>
        <v>189.9898</v>
      </c>
      <c r="AE16" s="31">
        <f>6643</f>
        <v>6643</v>
      </c>
      <c r="AF16" s="31">
        <f t="shared" si="4"/>
        <v>1.4527999999999999</v>
      </c>
      <c r="AG16" s="31">
        <f>[1]RB!$H16</f>
        <v>2708.3333333333335</v>
      </c>
      <c r="AH16" s="31">
        <f t="shared" si="28"/>
        <v>2630.875</v>
      </c>
      <c r="AI16" s="31">
        <f t="shared" si="29"/>
        <v>77.458333333333343</v>
      </c>
      <c r="AJ16" s="31">
        <f t="shared" si="30"/>
        <v>3213.4786260000001</v>
      </c>
      <c r="AK16" s="31">
        <f t="shared" si="31"/>
        <v>94.611374000000012</v>
      </c>
      <c r="AL16" s="31">
        <f>3308.09</f>
        <v>3308.09</v>
      </c>
      <c r="AM16" s="31">
        <f t="shared" si="5"/>
        <v>0.22144861538461535</v>
      </c>
      <c r="AN16" s="31">
        <f>[1]RB!$I16</f>
        <v>2708.3333333333335</v>
      </c>
      <c r="AO16" s="31">
        <f t="shared" si="32"/>
        <v>2630.875</v>
      </c>
      <c r="AP16" s="31">
        <f t="shared" si="33"/>
        <v>77.458333333333343</v>
      </c>
      <c r="AQ16" s="31">
        <f t="shared" si="34"/>
        <v>3913.6248900000001</v>
      </c>
      <c r="AR16" s="31">
        <f t="shared" si="35"/>
        <v>115.22511</v>
      </c>
      <c r="AS16" s="33">
        <v>4028.85</v>
      </c>
      <c r="AT16" s="37">
        <f t="shared" si="6"/>
        <v>0.48757538461538452</v>
      </c>
      <c r="AU16" s="36">
        <f>[1]RB!$J16</f>
        <v>2708.3333333333335</v>
      </c>
      <c r="AV16" s="31">
        <f t="shared" si="36"/>
        <v>2630.875</v>
      </c>
      <c r="AW16" s="18">
        <f t="shared" si="37"/>
        <v>77.458333333333343</v>
      </c>
      <c r="AX16" s="31">
        <f t="shared" si="38"/>
        <v>3519.0713519999999</v>
      </c>
      <c r="AY16" s="31">
        <f t="shared" si="39"/>
        <v>103.608648</v>
      </c>
      <c r="AZ16" s="27">
        <v>3622.68</v>
      </c>
      <c r="BA16" s="37">
        <f t="shared" si="7"/>
        <v>0.33760492307692291</v>
      </c>
      <c r="BB16" s="36">
        <f>[1]RB!$K16</f>
        <v>2708.3333333333335</v>
      </c>
      <c r="BC16" s="31">
        <f t="shared" si="40"/>
        <v>2630.875</v>
      </c>
      <c r="BD16" s="18">
        <f t="shared" si="41"/>
        <v>77.458333333333343</v>
      </c>
      <c r="BE16" s="31">
        <f t="shared" si="42"/>
        <v>0</v>
      </c>
      <c r="BF16" s="31">
        <f t="shared" si="43"/>
        <v>0</v>
      </c>
      <c r="BG16" s="27"/>
      <c r="BH16" s="37">
        <f t="shared" si="8"/>
        <v>-1</v>
      </c>
      <c r="BI16" s="36">
        <f>[1]RB!$L16</f>
        <v>2708.3333333333335</v>
      </c>
      <c r="BJ16" s="31">
        <f t="shared" si="44"/>
        <v>2630.875</v>
      </c>
      <c r="BK16" s="18">
        <f t="shared" si="45"/>
        <v>77.458333333333343</v>
      </c>
      <c r="BL16" s="31">
        <f t="shared" si="46"/>
        <v>0</v>
      </c>
      <c r="BM16" s="31">
        <f t="shared" si="47"/>
        <v>0</v>
      </c>
      <c r="BN16" s="33"/>
      <c r="BO16" s="37">
        <f t="shared" si="9"/>
        <v>-1</v>
      </c>
      <c r="BP16" s="36">
        <f>[1]RB!$M16</f>
        <v>2708.3333333333335</v>
      </c>
      <c r="BQ16" s="31">
        <f t="shared" si="48"/>
        <v>2630.875</v>
      </c>
      <c r="BR16" s="18">
        <f t="shared" si="49"/>
        <v>77.458333333333343</v>
      </c>
      <c r="BS16" s="31">
        <f t="shared" si="50"/>
        <v>0</v>
      </c>
      <c r="BT16" s="31">
        <f t="shared" si="51"/>
        <v>0</v>
      </c>
      <c r="BU16" s="33"/>
      <c r="BV16" s="37">
        <f t="shared" si="10"/>
        <v>-1</v>
      </c>
      <c r="BW16" s="36">
        <f>[1]RB!$N16</f>
        <v>2708.3333333333335</v>
      </c>
      <c r="BX16" s="31">
        <f t="shared" si="52"/>
        <v>2630.875</v>
      </c>
      <c r="BY16" s="18">
        <f t="shared" si="53"/>
        <v>77.458333333333343</v>
      </c>
      <c r="BZ16" s="31">
        <f t="shared" si="54"/>
        <v>0</v>
      </c>
      <c r="CA16" s="31">
        <f t="shared" si="55"/>
        <v>0</v>
      </c>
      <c r="CB16" s="33"/>
      <c r="CC16" s="37">
        <f t="shared" si="11"/>
        <v>-1</v>
      </c>
      <c r="CD16" s="36">
        <f>[1]RB!$O16</f>
        <v>2708.3333333333335</v>
      </c>
      <c r="CE16" s="31">
        <f t="shared" si="56"/>
        <v>2630.875</v>
      </c>
      <c r="CF16" s="18">
        <f t="shared" si="57"/>
        <v>77.458333333333343</v>
      </c>
      <c r="CG16" s="31">
        <f t="shared" si="58"/>
        <v>0</v>
      </c>
      <c r="CH16" s="31">
        <f t="shared" si="59"/>
        <v>0</v>
      </c>
      <c r="CI16" s="33"/>
      <c r="CJ16" s="37">
        <f t="shared" si="12"/>
        <v>-1</v>
      </c>
      <c r="CK16" s="36">
        <f>[1]RB!$P16</f>
        <v>2708.3333333333335</v>
      </c>
      <c r="CL16" s="31">
        <f t="shared" si="60"/>
        <v>2630.875</v>
      </c>
      <c r="CM16" s="18">
        <f t="shared" si="61"/>
        <v>77.458333333333343</v>
      </c>
      <c r="CN16" s="31">
        <f t="shared" si="62"/>
        <v>0</v>
      </c>
      <c r="CO16" s="31">
        <f t="shared" si="63"/>
        <v>0</v>
      </c>
      <c r="CP16" s="33"/>
      <c r="CQ16" s="37">
        <f t="shared" si="13"/>
        <v>-1</v>
      </c>
      <c r="CR16" s="180"/>
      <c r="CS16" s="27">
        <f>3294.43</f>
        <v>3294.43</v>
      </c>
      <c r="CT16" s="27">
        <f>3541.82</f>
        <v>3541.82</v>
      </c>
      <c r="CU16" s="27">
        <f>3207.4</f>
        <v>3207.4</v>
      </c>
      <c r="CV16" s="27"/>
      <c r="CW16" s="27"/>
      <c r="CX16" s="27"/>
      <c r="CY16" s="27"/>
      <c r="CZ16" s="27"/>
      <c r="DA16" s="27"/>
      <c r="DB16" s="27"/>
      <c r="DC16" s="27"/>
      <c r="DD16" s="27"/>
    </row>
    <row r="17" spans="1:108" s="26" customFormat="1" ht="16" customHeight="1" thickBot="1" x14ac:dyDescent="0.25">
      <c r="A17" s="182" t="s">
        <v>41</v>
      </c>
      <c r="B17" s="30">
        <f t="shared" si="0"/>
        <v>686880</v>
      </c>
      <c r="C17" s="31">
        <f t="shared" si="0"/>
        <v>667235.23199999996</v>
      </c>
      <c r="D17" s="32">
        <f t="shared" si="0"/>
        <v>19644.768</v>
      </c>
      <c r="E17" s="30">
        <f t="shared" si="14"/>
        <v>228960</v>
      </c>
      <c r="F17" s="33">
        <f t="shared" si="14"/>
        <v>222411.74400000001</v>
      </c>
      <c r="G17" s="34">
        <f t="shared" si="14"/>
        <v>6548.2560000000003</v>
      </c>
      <c r="H17" s="31">
        <f t="shared" si="1"/>
        <v>285280.76171399996</v>
      </c>
      <c r="I17" s="33">
        <f t="shared" si="1"/>
        <v>8399.2482859999982</v>
      </c>
      <c r="J17" s="33">
        <f t="shared" si="1"/>
        <v>293680.01</v>
      </c>
      <c r="K17" s="37">
        <f t="shared" si="15"/>
        <v>0.2826695055904962</v>
      </c>
      <c r="L17" s="36">
        <f>[1]RB!$E17</f>
        <v>57240</v>
      </c>
      <c r="M17" s="31">
        <f t="shared" si="16"/>
        <v>55602.936000000002</v>
      </c>
      <c r="N17" s="31">
        <f t="shared" si="17"/>
        <v>1637.0640000000001</v>
      </c>
      <c r="O17" s="31">
        <f t="shared" si="18"/>
        <v>42183.919260000002</v>
      </c>
      <c r="P17" s="31">
        <f t="shared" si="19"/>
        <v>1241.98074</v>
      </c>
      <c r="Q17" s="31">
        <f>43425.9</f>
        <v>43425.9</v>
      </c>
      <c r="R17" s="31">
        <f t="shared" si="2"/>
        <v>-0.24133647798742131</v>
      </c>
      <c r="S17" s="31">
        <f>[1]RB!$F17</f>
        <v>57240</v>
      </c>
      <c r="T17" s="31">
        <f t="shared" si="20"/>
        <v>55602.936000000002</v>
      </c>
      <c r="U17" s="31">
        <f t="shared" si="21"/>
        <v>1637.0640000000001</v>
      </c>
      <c r="V17" s="31">
        <f t="shared" si="22"/>
        <v>43802.475654000002</v>
      </c>
      <c r="W17" s="31">
        <f t="shared" si="23"/>
        <v>1289.6343460000001</v>
      </c>
      <c r="X17" s="31">
        <v>45092.11</v>
      </c>
      <c r="Y17" s="31">
        <f t="shared" si="3"/>
        <v>-0.21222728860936402</v>
      </c>
      <c r="Z17" s="31">
        <f>[1]RB!$G17</f>
        <v>57240</v>
      </c>
      <c r="AA17" s="31">
        <f t="shared" si="24"/>
        <v>55602.936000000002</v>
      </c>
      <c r="AB17" s="31">
        <f t="shared" si="25"/>
        <v>1637.0640000000001</v>
      </c>
      <c r="AC17" s="31">
        <f t="shared" si="26"/>
        <v>61132.611072</v>
      </c>
      <c r="AD17" s="31">
        <f t="shared" si="27"/>
        <v>1799.8689280000001</v>
      </c>
      <c r="AE17" s="31">
        <v>62932.480000000003</v>
      </c>
      <c r="AF17" s="31">
        <f t="shared" si="4"/>
        <v>9.9449336128581534E-2</v>
      </c>
      <c r="AG17" s="31">
        <f>[1]RB!$H17</f>
        <v>57240</v>
      </c>
      <c r="AH17" s="31">
        <f t="shared" si="28"/>
        <v>55602.936000000002</v>
      </c>
      <c r="AI17" s="31">
        <f t="shared" si="29"/>
        <v>1637.0640000000001</v>
      </c>
      <c r="AJ17" s="31">
        <f t="shared" si="30"/>
        <v>54376.300649999997</v>
      </c>
      <c r="AK17" s="31">
        <f t="shared" si="31"/>
        <v>1600.9493500000001</v>
      </c>
      <c r="AL17" s="31">
        <v>55977.25</v>
      </c>
      <c r="AM17" s="31">
        <f t="shared" si="5"/>
        <v>-2.2060621942697423E-2</v>
      </c>
      <c r="AN17" s="31">
        <f>[1]RB!$I17</f>
        <v>57240</v>
      </c>
      <c r="AO17" s="31">
        <f t="shared" si="32"/>
        <v>55602.936000000002</v>
      </c>
      <c r="AP17" s="31">
        <f t="shared" si="33"/>
        <v>1637.0640000000001</v>
      </c>
      <c r="AQ17" s="31">
        <f t="shared" si="34"/>
        <v>43348.569575999994</v>
      </c>
      <c r="AR17" s="31">
        <f t="shared" si="35"/>
        <v>1276.2704239999998</v>
      </c>
      <c r="AS17" s="33">
        <v>44624.84</v>
      </c>
      <c r="AT17" s="37">
        <f t="shared" si="6"/>
        <v>-0.22039063591893782</v>
      </c>
      <c r="AU17" s="36">
        <f>[1]RB!$J17</f>
        <v>57240</v>
      </c>
      <c r="AV17" s="31">
        <f t="shared" si="36"/>
        <v>55602.936000000002</v>
      </c>
      <c r="AW17" s="18">
        <f t="shared" si="37"/>
        <v>1637.0640000000001</v>
      </c>
      <c r="AX17" s="31">
        <f t="shared" si="38"/>
        <v>40436.885501999997</v>
      </c>
      <c r="AY17" s="31">
        <f t="shared" si="39"/>
        <v>1190.544498</v>
      </c>
      <c r="AZ17" s="27">
        <v>41627.43</v>
      </c>
      <c r="BA17" s="37">
        <f t="shared" si="7"/>
        <v>-0.27275628930817608</v>
      </c>
      <c r="BB17" s="36">
        <f>[1]RB!$K17</f>
        <v>57240</v>
      </c>
      <c r="BC17" s="31">
        <f t="shared" si="40"/>
        <v>55602.936000000002</v>
      </c>
      <c r="BD17" s="18">
        <f t="shared" si="41"/>
        <v>1637.0640000000001</v>
      </c>
      <c r="BE17" s="31">
        <f t="shared" si="42"/>
        <v>0</v>
      </c>
      <c r="BF17" s="31">
        <f t="shared" si="43"/>
        <v>0</v>
      </c>
      <c r="BG17" s="27"/>
      <c r="BH17" s="37">
        <f t="shared" si="8"/>
        <v>-1</v>
      </c>
      <c r="BI17" s="36">
        <f>[1]RB!$L17</f>
        <v>57240</v>
      </c>
      <c r="BJ17" s="31">
        <f t="shared" si="44"/>
        <v>55602.936000000002</v>
      </c>
      <c r="BK17" s="18">
        <f t="shared" si="45"/>
        <v>1637.0640000000001</v>
      </c>
      <c r="BL17" s="31">
        <f t="shared" si="46"/>
        <v>0</v>
      </c>
      <c r="BM17" s="31">
        <f t="shared" si="47"/>
        <v>0</v>
      </c>
      <c r="BN17" s="33"/>
      <c r="BO17" s="37">
        <f t="shared" si="9"/>
        <v>-1</v>
      </c>
      <c r="BP17" s="36">
        <f>[1]RB!$M17</f>
        <v>57240</v>
      </c>
      <c r="BQ17" s="31">
        <f t="shared" si="48"/>
        <v>55602.936000000002</v>
      </c>
      <c r="BR17" s="18">
        <f t="shared" si="49"/>
        <v>1637.0640000000001</v>
      </c>
      <c r="BS17" s="31">
        <f t="shared" si="50"/>
        <v>0</v>
      </c>
      <c r="BT17" s="31">
        <f t="shared" si="51"/>
        <v>0</v>
      </c>
      <c r="BU17" s="33"/>
      <c r="BV17" s="37">
        <f t="shared" si="10"/>
        <v>-1</v>
      </c>
      <c r="BW17" s="36">
        <f>[1]RB!$N17</f>
        <v>57240</v>
      </c>
      <c r="BX17" s="31">
        <f t="shared" si="52"/>
        <v>55602.936000000002</v>
      </c>
      <c r="BY17" s="18">
        <f t="shared" si="53"/>
        <v>1637.0640000000001</v>
      </c>
      <c r="BZ17" s="31">
        <f t="shared" si="54"/>
        <v>0</v>
      </c>
      <c r="CA17" s="31">
        <f t="shared" si="55"/>
        <v>0</v>
      </c>
      <c r="CB17" s="33"/>
      <c r="CC17" s="37">
        <f t="shared" si="11"/>
        <v>-1</v>
      </c>
      <c r="CD17" s="36">
        <f>[1]RB!$O17</f>
        <v>57240</v>
      </c>
      <c r="CE17" s="31">
        <f t="shared" si="56"/>
        <v>55602.936000000002</v>
      </c>
      <c r="CF17" s="18">
        <f t="shared" si="57"/>
        <v>1637.0640000000001</v>
      </c>
      <c r="CG17" s="31">
        <f t="shared" si="58"/>
        <v>0</v>
      </c>
      <c r="CH17" s="31">
        <f t="shared" si="59"/>
        <v>0</v>
      </c>
      <c r="CI17" s="33"/>
      <c r="CJ17" s="37">
        <f t="shared" si="12"/>
        <v>-1</v>
      </c>
      <c r="CK17" s="36">
        <f>[1]RB!$P17</f>
        <v>57240</v>
      </c>
      <c r="CL17" s="31">
        <f t="shared" si="60"/>
        <v>55602.936000000002</v>
      </c>
      <c r="CM17" s="18">
        <f t="shared" si="61"/>
        <v>1637.0640000000001</v>
      </c>
      <c r="CN17" s="31">
        <f t="shared" si="62"/>
        <v>0</v>
      </c>
      <c r="CO17" s="31">
        <f t="shared" si="63"/>
        <v>0</v>
      </c>
      <c r="CP17" s="33"/>
      <c r="CQ17" s="37">
        <f t="shared" si="13"/>
        <v>-1</v>
      </c>
      <c r="CR17" s="180"/>
      <c r="CS17" s="27"/>
      <c r="CT17" s="27"/>
      <c r="CU17" s="27"/>
      <c r="CV17" s="27"/>
      <c r="CW17" s="27"/>
      <c r="CX17" s="27"/>
      <c r="CY17" s="27"/>
      <c r="CZ17" s="27"/>
      <c r="DA17" s="27"/>
      <c r="DB17" s="27"/>
      <c r="DC17" s="27"/>
      <c r="DD17" s="27"/>
    </row>
    <row r="18" spans="1:108" s="26" customFormat="1" ht="16" customHeight="1" thickBot="1" x14ac:dyDescent="0.25">
      <c r="A18" s="182" t="s">
        <v>42</v>
      </c>
      <c r="B18" s="30">
        <f t="shared" si="0"/>
        <v>119691</v>
      </c>
      <c r="C18" s="31">
        <f t="shared" si="0"/>
        <v>116267.83739999997</v>
      </c>
      <c r="D18" s="32">
        <f t="shared" si="0"/>
        <v>3423.162600000001</v>
      </c>
      <c r="E18" s="30">
        <f t="shared" si="14"/>
        <v>39897</v>
      </c>
      <c r="F18" s="33">
        <f t="shared" si="14"/>
        <v>38755.945800000001</v>
      </c>
      <c r="G18" s="34">
        <f t="shared" si="14"/>
        <v>1141.0542</v>
      </c>
      <c r="H18" s="31">
        <f t="shared" si="1"/>
        <v>44947.863108000005</v>
      </c>
      <c r="I18" s="33">
        <f t="shared" si="1"/>
        <v>1323.356892</v>
      </c>
      <c r="J18" s="33">
        <f t="shared" si="1"/>
        <v>46271.22</v>
      </c>
      <c r="K18" s="37">
        <f t="shared" si="15"/>
        <v>0.15976689976689973</v>
      </c>
      <c r="L18" s="36">
        <f>[1]RB!$E18</f>
        <v>9974.25</v>
      </c>
      <c r="M18" s="31">
        <f t="shared" si="16"/>
        <v>9688.9864500000003</v>
      </c>
      <c r="N18" s="31">
        <f t="shared" si="17"/>
        <v>285.26355000000001</v>
      </c>
      <c r="O18" s="31">
        <f t="shared" si="18"/>
        <v>13005.210054000001</v>
      </c>
      <c r="P18" s="31">
        <f t="shared" si="19"/>
        <v>382.899946</v>
      </c>
      <c r="Q18" s="31">
        <v>13388.11</v>
      </c>
      <c r="R18" s="31">
        <f t="shared" si="2"/>
        <v>0.3422673383963708</v>
      </c>
      <c r="S18" s="31">
        <f>[1]RB!$F18</f>
        <v>9974.25</v>
      </c>
      <c r="T18" s="31">
        <f t="shared" si="20"/>
        <v>9688.9864500000003</v>
      </c>
      <c r="U18" s="31">
        <f t="shared" si="21"/>
        <v>285.26355000000001</v>
      </c>
      <c r="V18" s="31">
        <f t="shared" si="22"/>
        <v>0</v>
      </c>
      <c r="W18" s="31">
        <f t="shared" si="23"/>
        <v>0</v>
      </c>
      <c r="X18" s="31"/>
      <c r="Y18" s="31">
        <f t="shared" si="3"/>
        <v>-1</v>
      </c>
      <c r="Z18" s="31">
        <f>[1]RB!$G18</f>
        <v>9974.25</v>
      </c>
      <c r="AA18" s="31">
        <f t="shared" si="24"/>
        <v>9688.9864500000003</v>
      </c>
      <c r="AB18" s="31">
        <f t="shared" si="25"/>
        <v>285.26355000000001</v>
      </c>
      <c r="AC18" s="31">
        <f t="shared" si="26"/>
        <v>21721.261692</v>
      </c>
      <c r="AD18" s="31">
        <f t="shared" si="27"/>
        <v>639.51830799999993</v>
      </c>
      <c r="AE18" s="31">
        <v>22360.78</v>
      </c>
      <c r="AF18" s="31">
        <f t="shared" si="4"/>
        <v>1.2418507657217335</v>
      </c>
      <c r="AG18" s="31">
        <f>[1]RB!$H18</f>
        <v>9974.25</v>
      </c>
      <c r="AH18" s="31">
        <f t="shared" si="28"/>
        <v>9688.9864500000003</v>
      </c>
      <c r="AI18" s="31">
        <f t="shared" si="29"/>
        <v>285.26355000000001</v>
      </c>
      <c r="AJ18" s="31">
        <f t="shared" si="30"/>
        <v>0</v>
      </c>
      <c r="AK18" s="31">
        <f t="shared" si="31"/>
        <v>0</v>
      </c>
      <c r="AL18" s="31"/>
      <c r="AM18" s="31">
        <f t="shared" si="5"/>
        <v>-1</v>
      </c>
      <c r="AN18" s="31">
        <f>[1]RB!$I18</f>
        <v>9974.25</v>
      </c>
      <c r="AO18" s="31">
        <f t="shared" si="32"/>
        <v>9688.9864500000003</v>
      </c>
      <c r="AP18" s="31">
        <f t="shared" si="33"/>
        <v>285.26355000000001</v>
      </c>
      <c r="AQ18" s="31">
        <f t="shared" si="34"/>
        <v>5339.8537980000001</v>
      </c>
      <c r="AR18" s="31">
        <f t="shared" si="35"/>
        <v>157.21620199999998</v>
      </c>
      <c r="AS18" s="33">
        <v>5497.07</v>
      </c>
      <c r="AT18" s="37">
        <f t="shared" si="6"/>
        <v>-0.44887385016417281</v>
      </c>
      <c r="AU18" s="36">
        <f>[1]RB!$J18</f>
        <v>9974.25</v>
      </c>
      <c r="AV18" s="31">
        <f t="shared" si="36"/>
        <v>9688.9864500000003</v>
      </c>
      <c r="AW18" s="18">
        <f t="shared" si="37"/>
        <v>285.26355000000001</v>
      </c>
      <c r="AX18" s="31">
        <f t="shared" si="38"/>
        <v>4881.5375640000002</v>
      </c>
      <c r="AY18" s="31">
        <f t="shared" si="39"/>
        <v>143.72243600000002</v>
      </c>
      <c r="AZ18" s="27">
        <v>5025.26</v>
      </c>
      <c r="BA18" s="37">
        <f t="shared" si="7"/>
        <v>-0.49617665488633234</v>
      </c>
      <c r="BB18" s="36">
        <f>[1]RB!$K18</f>
        <v>9974.25</v>
      </c>
      <c r="BC18" s="31">
        <f t="shared" si="40"/>
        <v>9688.9864500000003</v>
      </c>
      <c r="BD18" s="18">
        <f t="shared" si="41"/>
        <v>285.26355000000001</v>
      </c>
      <c r="BE18" s="31">
        <f t="shared" si="42"/>
        <v>0</v>
      </c>
      <c r="BF18" s="31">
        <f t="shared" si="43"/>
        <v>0</v>
      </c>
      <c r="BG18" s="27"/>
      <c r="BH18" s="37">
        <f t="shared" si="8"/>
        <v>-1</v>
      </c>
      <c r="BI18" s="36">
        <f>[1]RB!$L18</f>
        <v>9974.25</v>
      </c>
      <c r="BJ18" s="31">
        <f t="shared" si="44"/>
        <v>9688.9864500000003</v>
      </c>
      <c r="BK18" s="18">
        <f t="shared" si="45"/>
        <v>285.26355000000001</v>
      </c>
      <c r="BL18" s="31">
        <f t="shared" si="46"/>
        <v>0</v>
      </c>
      <c r="BM18" s="31">
        <f t="shared" si="47"/>
        <v>0</v>
      </c>
      <c r="BN18" s="33"/>
      <c r="BO18" s="37">
        <f t="shared" si="9"/>
        <v>-1</v>
      </c>
      <c r="BP18" s="36">
        <f>[1]RB!$M18</f>
        <v>9974.25</v>
      </c>
      <c r="BQ18" s="31">
        <f t="shared" si="48"/>
        <v>9688.9864500000003</v>
      </c>
      <c r="BR18" s="18">
        <f t="shared" si="49"/>
        <v>285.26355000000001</v>
      </c>
      <c r="BS18" s="31">
        <f t="shared" si="50"/>
        <v>0</v>
      </c>
      <c r="BT18" s="31">
        <f t="shared" si="51"/>
        <v>0</v>
      </c>
      <c r="BU18" s="33"/>
      <c r="BV18" s="37">
        <f t="shared" si="10"/>
        <v>-1</v>
      </c>
      <c r="BW18" s="36">
        <f>[1]RB!$N18</f>
        <v>9974.25</v>
      </c>
      <c r="BX18" s="31">
        <f t="shared" si="52"/>
        <v>9688.9864500000003</v>
      </c>
      <c r="BY18" s="18">
        <f t="shared" si="53"/>
        <v>285.26355000000001</v>
      </c>
      <c r="BZ18" s="31">
        <f t="shared" si="54"/>
        <v>0</v>
      </c>
      <c r="CA18" s="31">
        <f t="shared" si="55"/>
        <v>0</v>
      </c>
      <c r="CB18" s="33"/>
      <c r="CC18" s="37">
        <f t="shared" si="11"/>
        <v>-1</v>
      </c>
      <c r="CD18" s="36">
        <f>[1]RB!$O18</f>
        <v>9974.25</v>
      </c>
      <c r="CE18" s="31">
        <f t="shared" si="56"/>
        <v>9688.9864500000003</v>
      </c>
      <c r="CF18" s="18">
        <f t="shared" si="57"/>
        <v>285.26355000000001</v>
      </c>
      <c r="CG18" s="31">
        <f t="shared" si="58"/>
        <v>0</v>
      </c>
      <c r="CH18" s="31">
        <f t="shared" si="59"/>
        <v>0</v>
      </c>
      <c r="CI18" s="33"/>
      <c r="CJ18" s="37">
        <f t="shared" si="12"/>
        <v>-1</v>
      </c>
      <c r="CK18" s="36">
        <f>[1]RB!$P18</f>
        <v>9974.25</v>
      </c>
      <c r="CL18" s="31">
        <f t="shared" si="60"/>
        <v>9688.9864500000003</v>
      </c>
      <c r="CM18" s="18">
        <f t="shared" si="61"/>
        <v>285.26355000000001</v>
      </c>
      <c r="CN18" s="31">
        <f t="shared" si="62"/>
        <v>0</v>
      </c>
      <c r="CO18" s="31">
        <f t="shared" si="63"/>
        <v>0</v>
      </c>
      <c r="CP18" s="33"/>
      <c r="CQ18" s="37">
        <f t="shared" si="13"/>
        <v>-1</v>
      </c>
      <c r="CR18" s="180"/>
      <c r="CS18" s="27"/>
      <c r="CT18" s="27"/>
      <c r="CU18" s="27"/>
      <c r="CV18" s="27"/>
      <c r="CW18" s="27"/>
      <c r="CX18" s="27"/>
      <c r="CY18" s="27"/>
      <c r="CZ18" s="27"/>
      <c r="DA18" s="27"/>
      <c r="DB18" s="27"/>
      <c r="DC18" s="27"/>
      <c r="DD18" s="27"/>
    </row>
    <row r="19" spans="1:108" s="26" customFormat="1" ht="16" customHeight="1" thickBot="1" x14ac:dyDescent="0.25">
      <c r="A19" s="182" t="s">
        <v>43</v>
      </c>
      <c r="B19" s="30">
        <f t="shared" si="0"/>
        <v>30000</v>
      </c>
      <c r="C19" s="31">
        <f t="shared" si="0"/>
        <v>29142</v>
      </c>
      <c r="D19" s="32">
        <f t="shared" si="0"/>
        <v>858</v>
      </c>
      <c r="E19" s="30">
        <f t="shared" si="14"/>
        <v>10000</v>
      </c>
      <c r="F19" s="33">
        <f t="shared" si="14"/>
        <v>9714</v>
      </c>
      <c r="G19" s="34">
        <f t="shared" si="14"/>
        <v>286</v>
      </c>
      <c r="H19" s="31">
        <f t="shared" si="1"/>
        <v>16921.428582</v>
      </c>
      <c r="I19" s="33">
        <f t="shared" si="1"/>
        <v>498.20141800000005</v>
      </c>
      <c r="J19" s="33">
        <f t="shared" si="1"/>
        <v>17419.63</v>
      </c>
      <c r="K19" s="37">
        <f t="shared" si="15"/>
        <v>0.74196300000000015</v>
      </c>
      <c r="L19" s="36">
        <f>[1]RB!$E19</f>
        <v>2500</v>
      </c>
      <c r="M19" s="31">
        <f t="shared" si="16"/>
        <v>2428.5</v>
      </c>
      <c r="N19" s="31">
        <f t="shared" si="17"/>
        <v>71.5</v>
      </c>
      <c r="O19" s="31">
        <f t="shared" si="18"/>
        <v>2476.3317359999996</v>
      </c>
      <c r="P19" s="31">
        <f t="shared" si="19"/>
        <v>72.908263999999988</v>
      </c>
      <c r="Q19" s="31">
        <v>2549.2399999999998</v>
      </c>
      <c r="R19" s="31">
        <f t="shared" si="2"/>
        <v>1.9695999999999936E-2</v>
      </c>
      <c r="S19" s="31">
        <f>[1]RB!$F19</f>
        <v>2500</v>
      </c>
      <c r="T19" s="31">
        <f t="shared" si="20"/>
        <v>2428.5</v>
      </c>
      <c r="U19" s="31">
        <f t="shared" si="21"/>
        <v>71.5</v>
      </c>
      <c r="V19" s="31">
        <f t="shared" si="22"/>
        <v>2490.4850339999998</v>
      </c>
      <c r="W19" s="31">
        <f t="shared" si="23"/>
        <v>73.324966000000003</v>
      </c>
      <c r="X19" s="31">
        <v>2563.81</v>
      </c>
      <c r="Y19" s="31">
        <f t="shared" si="3"/>
        <v>2.552399999999988E-2</v>
      </c>
      <c r="Z19" s="31">
        <f>[1]RB!$G19</f>
        <v>2500</v>
      </c>
      <c r="AA19" s="31">
        <f t="shared" si="24"/>
        <v>2428.5</v>
      </c>
      <c r="AB19" s="31">
        <f t="shared" si="25"/>
        <v>71.5</v>
      </c>
      <c r="AC19" s="31">
        <f t="shared" si="26"/>
        <v>3518.1970920000003</v>
      </c>
      <c r="AD19" s="31">
        <f t="shared" si="27"/>
        <v>103.582908</v>
      </c>
      <c r="AE19" s="31">
        <v>3621.78</v>
      </c>
      <c r="AF19" s="31">
        <f t="shared" si="4"/>
        <v>0.448712</v>
      </c>
      <c r="AG19" s="31">
        <f>[1]RB!$H19</f>
        <v>2500</v>
      </c>
      <c r="AH19" s="31">
        <f t="shared" si="28"/>
        <v>2428.5</v>
      </c>
      <c r="AI19" s="31">
        <f t="shared" si="29"/>
        <v>71.5</v>
      </c>
      <c r="AJ19" s="31">
        <f t="shared" si="30"/>
        <v>3217.1990880000003</v>
      </c>
      <c r="AK19" s="31">
        <f t="shared" si="31"/>
        <v>94.720911999999998</v>
      </c>
      <c r="AL19" s="31">
        <v>3311.92</v>
      </c>
      <c r="AM19" s="31">
        <f t="shared" si="5"/>
        <v>0.32476799999999995</v>
      </c>
      <c r="AN19" s="31">
        <f>[1]RB!$I19</f>
        <v>2500</v>
      </c>
      <c r="AO19" s="31">
        <f t="shared" si="32"/>
        <v>2428.5</v>
      </c>
      <c r="AP19" s="31">
        <f t="shared" si="33"/>
        <v>71.5</v>
      </c>
      <c r="AQ19" s="31">
        <f t="shared" si="34"/>
        <v>3132.2695859999999</v>
      </c>
      <c r="AR19" s="31">
        <f t="shared" si="35"/>
        <v>92.220413999999991</v>
      </c>
      <c r="AS19" s="33">
        <v>3224.49</v>
      </c>
      <c r="AT19" s="37">
        <f t="shared" si="6"/>
        <v>0.28979599999999994</v>
      </c>
      <c r="AU19" s="36">
        <f>[1]RB!$J19</f>
        <v>2500</v>
      </c>
      <c r="AV19" s="31">
        <f t="shared" si="36"/>
        <v>2428.5</v>
      </c>
      <c r="AW19" s="18">
        <f t="shared" si="37"/>
        <v>71.5</v>
      </c>
      <c r="AX19" s="31">
        <f t="shared" si="38"/>
        <v>2086.946046</v>
      </c>
      <c r="AY19" s="31">
        <f t="shared" si="39"/>
        <v>61.443953999999998</v>
      </c>
      <c r="AZ19" s="27">
        <v>2148.39</v>
      </c>
      <c r="BA19" s="37">
        <f t="shared" si="7"/>
        <v>-0.1406440000000001</v>
      </c>
      <c r="BB19" s="36">
        <f>[1]RB!$K19</f>
        <v>2500</v>
      </c>
      <c r="BC19" s="31">
        <f t="shared" si="40"/>
        <v>2428.5</v>
      </c>
      <c r="BD19" s="18">
        <f t="shared" si="41"/>
        <v>71.5</v>
      </c>
      <c r="BE19" s="31">
        <f t="shared" si="42"/>
        <v>0</v>
      </c>
      <c r="BF19" s="31">
        <f t="shared" si="43"/>
        <v>0</v>
      </c>
      <c r="BG19" s="27"/>
      <c r="BH19" s="37">
        <f t="shared" si="8"/>
        <v>-1</v>
      </c>
      <c r="BI19" s="36">
        <f>[1]RB!$L19</f>
        <v>2500</v>
      </c>
      <c r="BJ19" s="31">
        <f t="shared" si="44"/>
        <v>2428.5</v>
      </c>
      <c r="BK19" s="18">
        <f t="shared" si="45"/>
        <v>71.5</v>
      </c>
      <c r="BL19" s="31">
        <f t="shared" si="46"/>
        <v>0</v>
      </c>
      <c r="BM19" s="31">
        <f t="shared" si="47"/>
        <v>0</v>
      </c>
      <c r="BN19" s="33"/>
      <c r="BO19" s="37">
        <f t="shared" si="9"/>
        <v>-1</v>
      </c>
      <c r="BP19" s="36">
        <f>[1]RB!$M19</f>
        <v>2500</v>
      </c>
      <c r="BQ19" s="31">
        <f t="shared" si="48"/>
        <v>2428.5</v>
      </c>
      <c r="BR19" s="18">
        <f t="shared" si="49"/>
        <v>71.5</v>
      </c>
      <c r="BS19" s="31">
        <f t="shared" si="50"/>
        <v>0</v>
      </c>
      <c r="BT19" s="31">
        <f t="shared" si="51"/>
        <v>0</v>
      </c>
      <c r="BU19" s="33"/>
      <c r="BV19" s="37">
        <f t="shared" si="10"/>
        <v>-1</v>
      </c>
      <c r="BW19" s="36">
        <f>[1]RB!$N19</f>
        <v>2500</v>
      </c>
      <c r="BX19" s="31">
        <f t="shared" si="52"/>
        <v>2428.5</v>
      </c>
      <c r="BY19" s="18">
        <f t="shared" si="53"/>
        <v>71.5</v>
      </c>
      <c r="BZ19" s="31">
        <f t="shared" si="54"/>
        <v>0</v>
      </c>
      <c r="CA19" s="31">
        <f t="shared" si="55"/>
        <v>0</v>
      </c>
      <c r="CB19" s="33"/>
      <c r="CC19" s="37">
        <f t="shared" si="11"/>
        <v>-1</v>
      </c>
      <c r="CD19" s="36">
        <f>[1]RB!$O19</f>
        <v>2500</v>
      </c>
      <c r="CE19" s="31">
        <f t="shared" si="56"/>
        <v>2428.5</v>
      </c>
      <c r="CF19" s="18">
        <f t="shared" si="57"/>
        <v>71.5</v>
      </c>
      <c r="CG19" s="31">
        <f t="shared" si="58"/>
        <v>0</v>
      </c>
      <c r="CH19" s="31">
        <f t="shared" si="59"/>
        <v>0</v>
      </c>
      <c r="CI19" s="33"/>
      <c r="CJ19" s="37">
        <f t="shared" si="12"/>
        <v>-1</v>
      </c>
      <c r="CK19" s="36">
        <f>[1]RB!$P19</f>
        <v>2500</v>
      </c>
      <c r="CL19" s="31">
        <f t="shared" si="60"/>
        <v>2428.5</v>
      </c>
      <c r="CM19" s="18">
        <f t="shared" si="61"/>
        <v>71.5</v>
      </c>
      <c r="CN19" s="31">
        <f t="shared" si="62"/>
        <v>0</v>
      </c>
      <c r="CO19" s="31">
        <f t="shared" si="63"/>
        <v>0</v>
      </c>
      <c r="CP19" s="33"/>
      <c r="CQ19" s="37">
        <f t="shared" si="13"/>
        <v>-1</v>
      </c>
      <c r="CR19" s="180"/>
      <c r="CS19" s="27"/>
      <c r="CT19" s="27"/>
      <c r="CU19" s="27"/>
      <c r="CV19" s="27"/>
      <c r="CW19" s="27"/>
      <c r="CX19" s="27"/>
      <c r="CY19" s="27"/>
      <c r="CZ19" s="27"/>
      <c r="DA19" s="27"/>
      <c r="DB19" s="27"/>
      <c r="DC19" s="27"/>
      <c r="DD19" s="27"/>
    </row>
    <row r="20" spans="1:108" s="26" customFormat="1" ht="16" customHeight="1" thickBot="1" x14ac:dyDescent="0.25">
      <c r="A20" s="181" t="s">
        <v>44</v>
      </c>
      <c r="B20" s="30">
        <f t="shared" si="0"/>
        <v>882932.41279999993</v>
      </c>
      <c r="C20" s="31">
        <f t="shared" si="0"/>
        <v>857680.54579392006</v>
      </c>
      <c r="D20" s="32">
        <f t="shared" si="0"/>
        <v>25251.86700608</v>
      </c>
      <c r="E20" s="30">
        <f t="shared" si="14"/>
        <v>415717.67551999999</v>
      </c>
      <c r="F20" s="33">
        <f t="shared" si="14"/>
        <v>403828.15000012796</v>
      </c>
      <c r="G20" s="34">
        <f t="shared" si="14"/>
        <v>11889.525519872001</v>
      </c>
      <c r="H20" s="31">
        <f t="shared" si="1"/>
        <v>613437.14748599997</v>
      </c>
      <c r="I20" s="33">
        <f t="shared" si="1"/>
        <v>18060.842514</v>
      </c>
      <c r="J20" s="33">
        <f t="shared" si="1"/>
        <v>631497.99</v>
      </c>
      <c r="K20" s="37">
        <f t="shared" si="15"/>
        <v>0.51905494326189383</v>
      </c>
      <c r="L20" s="36">
        <f>[1]RB!$E20</f>
        <v>0</v>
      </c>
      <c r="M20" s="31">
        <f t="shared" si="16"/>
        <v>0</v>
      </c>
      <c r="N20" s="31">
        <f t="shared" si="17"/>
        <v>0</v>
      </c>
      <c r="O20" s="31">
        <f t="shared" si="18"/>
        <v>0</v>
      </c>
      <c r="P20" s="31">
        <f t="shared" si="19"/>
        <v>0</v>
      </c>
      <c r="Q20" s="31"/>
      <c r="R20" s="31" t="str">
        <f t="shared" si="2"/>
        <v/>
      </c>
      <c r="S20" s="31">
        <f>[1]RB!$F20</f>
        <v>0</v>
      </c>
      <c r="T20" s="31">
        <f t="shared" si="20"/>
        <v>0</v>
      </c>
      <c r="U20" s="31">
        <f t="shared" si="21"/>
        <v>0</v>
      </c>
      <c r="V20" s="31">
        <f t="shared" si="22"/>
        <v>4507.0822920000001</v>
      </c>
      <c r="W20" s="31">
        <f t="shared" si="23"/>
        <v>132.69770800000001</v>
      </c>
      <c r="X20" s="31">
        <v>4639.78</v>
      </c>
      <c r="Y20" s="31" t="str">
        <f t="shared" si="3"/>
        <v/>
      </c>
      <c r="Z20" s="31">
        <f>[1]RB!$G20</f>
        <v>415717.67551999999</v>
      </c>
      <c r="AA20" s="31">
        <f t="shared" si="24"/>
        <v>403828.15000012796</v>
      </c>
      <c r="AB20" s="31">
        <f t="shared" si="25"/>
        <v>11889.525519872001</v>
      </c>
      <c r="AC20" s="31">
        <f t="shared" si="26"/>
        <v>267019.35483000003</v>
      </c>
      <c r="AD20" s="31">
        <f t="shared" si="27"/>
        <v>7861.5951700000005</v>
      </c>
      <c r="AE20" s="31">
        <v>274880.95</v>
      </c>
      <c r="AF20" s="31">
        <f t="shared" si="4"/>
        <v>-0.33877973878265943</v>
      </c>
      <c r="AG20" s="31">
        <f>[1]RB!$H20</f>
        <v>0</v>
      </c>
      <c r="AH20" s="31">
        <f t="shared" si="28"/>
        <v>0</v>
      </c>
      <c r="AI20" s="31">
        <f t="shared" si="29"/>
        <v>0</v>
      </c>
      <c r="AJ20" s="31">
        <f t="shared" si="30"/>
        <v>61626.577685999997</v>
      </c>
      <c r="AK20" s="31">
        <f t="shared" si="31"/>
        <v>1814.4123139999999</v>
      </c>
      <c r="AL20" s="31">
        <v>63440.99</v>
      </c>
      <c r="AM20" s="31" t="str">
        <f t="shared" si="5"/>
        <v/>
      </c>
      <c r="AN20" s="31">
        <f>[1]RB!$I20</f>
        <v>10408.13272</v>
      </c>
      <c r="AO20" s="31">
        <f t="shared" si="32"/>
        <v>10110.460124207999</v>
      </c>
      <c r="AP20" s="31">
        <f t="shared" si="33"/>
        <v>297.67259579199998</v>
      </c>
      <c r="AQ20" s="31">
        <f t="shared" si="34"/>
        <v>213838.371594</v>
      </c>
      <c r="AR20" s="31">
        <f t="shared" si="35"/>
        <v>6295.8384059999998</v>
      </c>
      <c r="AS20" s="33">
        <v>220134.21</v>
      </c>
      <c r="AT20" s="37">
        <f t="shared" si="6"/>
        <v>20.150211658715282</v>
      </c>
      <c r="AU20" s="36">
        <f>[1]RB!$J20</f>
        <v>10408.13272</v>
      </c>
      <c r="AV20" s="31">
        <f t="shared" si="36"/>
        <v>10110.460124207999</v>
      </c>
      <c r="AW20" s="18">
        <f t="shared" si="37"/>
        <v>297.67259579199998</v>
      </c>
      <c r="AX20" s="31">
        <f t="shared" si="38"/>
        <v>66445.761083999998</v>
      </c>
      <c r="AY20" s="31">
        <f t="shared" si="39"/>
        <v>1956.298916</v>
      </c>
      <c r="AZ20" s="27">
        <v>68402.06</v>
      </c>
      <c r="BA20" s="37">
        <f t="shared" si="7"/>
        <v>5.5719819145426888</v>
      </c>
      <c r="BB20" s="36">
        <f>[1]RB!$K20</f>
        <v>193074.13271999999</v>
      </c>
      <c r="BC20" s="31">
        <f t="shared" si="40"/>
        <v>187552.21252420801</v>
      </c>
      <c r="BD20" s="18">
        <f t="shared" si="41"/>
        <v>5521.9201957919995</v>
      </c>
      <c r="BE20" s="31">
        <f t="shared" si="42"/>
        <v>0</v>
      </c>
      <c r="BF20" s="31">
        <f t="shared" si="43"/>
        <v>0</v>
      </c>
      <c r="BG20" s="27"/>
      <c r="BH20" s="37">
        <f t="shared" si="8"/>
        <v>-1</v>
      </c>
      <c r="BI20" s="36">
        <f>[1]RB!$L20</f>
        <v>29025.808239999998</v>
      </c>
      <c r="BJ20" s="31">
        <f t="shared" si="44"/>
        <v>28195.670124336</v>
      </c>
      <c r="BK20" s="18">
        <f t="shared" si="45"/>
        <v>830.138115664</v>
      </c>
      <c r="BL20" s="31">
        <f t="shared" si="46"/>
        <v>0</v>
      </c>
      <c r="BM20" s="31">
        <f t="shared" si="47"/>
        <v>0</v>
      </c>
      <c r="BN20" s="33"/>
      <c r="BO20" s="37">
        <f t="shared" si="9"/>
        <v>-1</v>
      </c>
      <c r="BP20" s="36">
        <f>[1]RB!$M20</f>
        <v>193074.13271999999</v>
      </c>
      <c r="BQ20" s="31">
        <f t="shared" si="48"/>
        <v>187552.21252420801</v>
      </c>
      <c r="BR20" s="18">
        <f t="shared" si="49"/>
        <v>5521.9201957919995</v>
      </c>
      <c r="BS20" s="31">
        <f t="shared" si="50"/>
        <v>0</v>
      </c>
      <c r="BT20" s="31">
        <f t="shared" si="51"/>
        <v>0</v>
      </c>
      <c r="BU20" s="33"/>
      <c r="BV20" s="37">
        <f t="shared" si="10"/>
        <v>-1</v>
      </c>
      <c r="BW20" s="36">
        <f>[1]RB!$N20</f>
        <v>10408.13272</v>
      </c>
      <c r="BX20" s="31">
        <f t="shared" si="52"/>
        <v>10110.460124207999</v>
      </c>
      <c r="BY20" s="18">
        <f t="shared" si="53"/>
        <v>297.67259579199998</v>
      </c>
      <c r="BZ20" s="31">
        <f t="shared" si="54"/>
        <v>0</v>
      </c>
      <c r="CA20" s="31">
        <f t="shared" si="55"/>
        <v>0</v>
      </c>
      <c r="CB20" s="33"/>
      <c r="CC20" s="37">
        <f t="shared" si="11"/>
        <v>-1</v>
      </c>
      <c r="CD20" s="36">
        <f>[1]RB!$O20</f>
        <v>10408.13272</v>
      </c>
      <c r="CE20" s="31">
        <f t="shared" si="56"/>
        <v>10110.460124207999</v>
      </c>
      <c r="CF20" s="18">
        <f t="shared" si="57"/>
        <v>297.67259579199998</v>
      </c>
      <c r="CG20" s="31">
        <f t="shared" si="58"/>
        <v>0</v>
      </c>
      <c r="CH20" s="31">
        <f t="shared" si="59"/>
        <v>0</v>
      </c>
      <c r="CI20" s="33"/>
      <c r="CJ20" s="37">
        <f t="shared" si="12"/>
        <v>-1</v>
      </c>
      <c r="CK20" s="36">
        <f>[1]RB!$P20</f>
        <v>10408.13272</v>
      </c>
      <c r="CL20" s="31">
        <f t="shared" si="60"/>
        <v>10110.460124207999</v>
      </c>
      <c r="CM20" s="18">
        <f t="shared" si="61"/>
        <v>297.67259579199998</v>
      </c>
      <c r="CN20" s="31">
        <f t="shared" si="62"/>
        <v>0</v>
      </c>
      <c r="CO20" s="31">
        <f t="shared" si="63"/>
        <v>0</v>
      </c>
      <c r="CP20" s="33"/>
      <c r="CQ20" s="37">
        <f t="shared" si="13"/>
        <v>-1</v>
      </c>
      <c r="CR20" s="180"/>
      <c r="CS20" s="27"/>
      <c r="CT20" s="27"/>
      <c r="CU20" s="27"/>
      <c r="CV20" s="27"/>
      <c r="CW20" s="27"/>
      <c r="CX20" s="27"/>
      <c r="CY20" s="27"/>
      <c r="CZ20" s="27"/>
      <c r="DA20" s="27"/>
      <c r="DB20" s="27"/>
      <c r="DC20" s="27"/>
      <c r="DD20" s="27"/>
    </row>
    <row r="21" spans="1:108" s="26" customFormat="1" ht="16" customHeight="1" thickBot="1" x14ac:dyDescent="0.25">
      <c r="A21" s="182" t="s">
        <v>45</v>
      </c>
      <c r="B21" s="30">
        <f t="shared" si="0"/>
        <v>107523.719999999</v>
      </c>
      <c r="C21" s="31">
        <f t="shared" si="0"/>
        <v>104448.54160799902</v>
      </c>
      <c r="D21" s="32">
        <f t="shared" si="0"/>
        <v>3075.1783919999712</v>
      </c>
      <c r="E21" s="30">
        <f t="shared" si="14"/>
        <v>107523.719999999</v>
      </c>
      <c r="F21" s="33">
        <f t="shared" si="14"/>
        <v>104448.54160799902</v>
      </c>
      <c r="G21" s="34">
        <f t="shared" si="14"/>
        <v>3075.1783919999712</v>
      </c>
      <c r="H21" s="31">
        <f t="shared" si="1"/>
        <v>60858.21</v>
      </c>
      <c r="I21" s="33">
        <f t="shared" si="1"/>
        <v>1791.79</v>
      </c>
      <c r="J21" s="33">
        <f t="shared" si="1"/>
        <v>62650</v>
      </c>
      <c r="K21" s="37">
        <f t="shared" si="15"/>
        <v>-0.41733786740264767</v>
      </c>
      <c r="L21" s="36">
        <f>[1]RB!$E21</f>
        <v>107523.719999999</v>
      </c>
      <c r="M21" s="31">
        <f t="shared" si="16"/>
        <v>104448.54160799902</v>
      </c>
      <c r="N21" s="31">
        <f t="shared" si="17"/>
        <v>3075.1783919999712</v>
      </c>
      <c r="O21" s="31">
        <f t="shared" si="18"/>
        <v>55003.582199999997</v>
      </c>
      <c r="P21" s="31">
        <f t="shared" si="19"/>
        <v>1619.4177999999999</v>
      </c>
      <c r="Q21" s="31">
        <f>56623</f>
        <v>56623</v>
      </c>
      <c r="R21" s="31">
        <f t="shared" si="2"/>
        <v>-0.47339061557765549</v>
      </c>
      <c r="S21" s="31">
        <f>[1]RB!$F21</f>
        <v>0</v>
      </c>
      <c r="T21" s="31">
        <f t="shared" si="20"/>
        <v>0</v>
      </c>
      <c r="U21" s="31">
        <f t="shared" si="21"/>
        <v>0</v>
      </c>
      <c r="V21" s="31">
        <f t="shared" si="22"/>
        <v>5854.6278000000002</v>
      </c>
      <c r="W21" s="31">
        <f t="shared" si="23"/>
        <v>172.37219999999999</v>
      </c>
      <c r="X21" s="31">
        <v>6027</v>
      </c>
      <c r="Y21" s="31" t="str">
        <f t="shared" si="3"/>
        <v/>
      </c>
      <c r="Z21" s="31">
        <f>[1]RB!$G21</f>
        <v>0</v>
      </c>
      <c r="AA21" s="31">
        <f t="shared" si="24"/>
        <v>0</v>
      </c>
      <c r="AB21" s="31">
        <f t="shared" si="25"/>
        <v>0</v>
      </c>
      <c r="AC21" s="31">
        <f t="shared" si="26"/>
        <v>0</v>
      </c>
      <c r="AD21" s="31">
        <f t="shared" si="27"/>
        <v>0</v>
      </c>
      <c r="AE21" s="31"/>
      <c r="AF21" s="31" t="str">
        <f t="shared" si="4"/>
        <v/>
      </c>
      <c r="AG21" s="31">
        <f>[1]RB!$H21</f>
        <v>0</v>
      </c>
      <c r="AH21" s="31">
        <f t="shared" si="28"/>
        <v>0</v>
      </c>
      <c r="AI21" s="31">
        <f t="shared" si="29"/>
        <v>0</v>
      </c>
      <c r="AJ21" s="31">
        <f t="shared" si="30"/>
        <v>0</v>
      </c>
      <c r="AK21" s="31">
        <f t="shared" si="31"/>
        <v>0</v>
      </c>
      <c r="AL21" s="31"/>
      <c r="AM21" s="31" t="str">
        <f t="shared" si="5"/>
        <v/>
      </c>
      <c r="AN21" s="31">
        <f>[1]RB!$I21</f>
        <v>0</v>
      </c>
      <c r="AO21" s="31">
        <f t="shared" si="32"/>
        <v>0</v>
      </c>
      <c r="AP21" s="31">
        <f t="shared" si="33"/>
        <v>0</v>
      </c>
      <c r="AQ21" s="31">
        <f t="shared" si="34"/>
        <v>0</v>
      </c>
      <c r="AR21" s="31">
        <f t="shared" si="35"/>
        <v>0</v>
      </c>
      <c r="AS21" s="33"/>
      <c r="AT21" s="37" t="str">
        <f t="shared" si="6"/>
        <v/>
      </c>
      <c r="AU21" s="36">
        <f>[1]RB!$J21</f>
        <v>0</v>
      </c>
      <c r="AV21" s="31">
        <f t="shared" si="36"/>
        <v>0</v>
      </c>
      <c r="AW21" s="18">
        <f t="shared" si="37"/>
        <v>0</v>
      </c>
      <c r="AX21" s="31">
        <f t="shared" si="38"/>
        <v>0</v>
      </c>
      <c r="AY21" s="31">
        <f t="shared" si="39"/>
        <v>0</v>
      </c>
      <c r="AZ21" s="27"/>
      <c r="BA21" s="37" t="str">
        <f t="shared" si="7"/>
        <v/>
      </c>
      <c r="BB21" s="36">
        <f>[1]RB!$K21</f>
        <v>0</v>
      </c>
      <c r="BC21" s="31">
        <f t="shared" si="40"/>
        <v>0</v>
      </c>
      <c r="BD21" s="18">
        <f t="shared" si="41"/>
        <v>0</v>
      </c>
      <c r="BE21" s="31">
        <f t="shared" si="42"/>
        <v>0</v>
      </c>
      <c r="BF21" s="31">
        <f t="shared" si="43"/>
        <v>0</v>
      </c>
      <c r="BG21" s="27"/>
      <c r="BH21" s="37" t="str">
        <f t="shared" si="8"/>
        <v/>
      </c>
      <c r="BI21" s="36">
        <f>[1]RB!$L21</f>
        <v>0</v>
      </c>
      <c r="BJ21" s="31">
        <f t="shared" si="44"/>
        <v>0</v>
      </c>
      <c r="BK21" s="18">
        <f t="shared" si="45"/>
        <v>0</v>
      </c>
      <c r="BL21" s="31">
        <f t="shared" si="46"/>
        <v>0</v>
      </c>
      <c r="BM21" s="31">
        <f t="shared" si="47"/>
        <v>0</v>
      </c>
      <c r="BN21" s="33"/>
      <c r="BO21" s="37" t="str">
        <f t="shared" si="9"/>
        <v/>
      </c>
      <c r="BP21" s="36">
        <f>[1]RB!$M21</f>
        <v>0</v>
      </c>
      <c r="BQ21" s="31">
        <f t="shared" si="48"/>
        <v>0</v>
      </c>
      <c r="BR21" s="18">
        <f t="shared" si="49"/>
        <v>0</v>
      </c>
      <c r="BS21" s="31">
        <f t="shared" si="50"/>
        <v>0</v>
      </c>
      <c r="BT21" s="31">
        <f t="shared" si="51"/>
        <v>0</v>
      </c>
      <c r="BU21" s="33"/>
      <c r="BV21" s="37" t="str">
        <f t="shared" si="10"/>
        <v/>
      </c>
      <c r="BW21" s="36">
        <f>[1]RB!$N21</f>
        <v>0</v>
      </c>
      <c r="BX21" s="31">
        <f t="shared" si="52"/>
        <v>0</v>
      </c>
      <c r="BY21" s="18">
        <f t="shared" si="53"/>
        <v>0</v>
      </c>
      <c r="BZ21" s="31">
        <f t="shared" si="54"/>
        <v>0</v>
      </c>
      <c r="CA21" s="31">
        <f t="shared" si="55"/>
        <v>0</v>
      </c>
      <c r="CB21" s="33"/>
      <c r="CC21" s="37" t="str">
        <f t="shared" si="11"/>
        <v/>
      </c>
      <c r="CD21" s="36">
        <f>[1]RB!$O21</f>
        <v>0</v>
      </c>
      <c r="CE21" s="31">
        <f t="shared" si="56"/>
        <v>0</v>
      </c>
      <c r="CF21" s="18">
        <f t="shared" si="57"/>
        <v>0</v>
      </c>
      <c r="CG21" s="31">
        <f t="shared" si="58"/>
        <v>0</v>
      </c>
      <c r="CH21" s="31">
        <f t="shared" si="59"/>
        <v>0</v>
      </c>
      <c r="CI21" s="33"/>
      <c r="CJ21" s="37" t="str">
        <f t="shared" si="12"/>
        <v/>
      </c>
      <c r="CK21" s="36">
        <f>[1]RB!$P21</f>
        <v>0</v>
      </c>
      <c r="CL21" s="31">
        <f t="shared" si="60"/>
        <v>0</v>
      </c>
      <c r="CM21" s="18">
        <f t="shared" si="61"/>
        <v>0</v>
      </c>
      <c r="CN21" s="31">
        <f t="shared" si="62"/>
        <v>0</v>
      </c>
      <c r="CO21" s="31">
        <f t="shared" si="63"/>
        <v>0</v>
      </c>
      <c r="CP21" s="33"/>
      <c r="CQ21" s="37" t="str">
        <f t="shared" si="13"/>
        <v/>
      </c>
      <c r="CR21" s="180"/>
      <c r="CS21" s="27"/>
      <c r="CT21" s="27"/>
      <c r="CU21" s="27"/>
      <c r="CV21" s="27"/>
      <c r="CW21" s="27"/>
      <c r="CX21" s="27"/>
      <c r="CY21" s="27"/>
      <c r="CZ21" s="27"/>
      <c r="DA21" s="27"/>
      <c r="DB21" s="27"/>
      <c r="DC21" s="27"/>
      <c r="DD21" s="27"/>
    </row>
    <row r="22" spans="1:108" s="26" customFormat="1" ht="16" customHeight="1" thickBot="1" x14ac:dyDescent="0.25">
      <c r="A22" s="182" t="s">
        <v>46</v>
      </c>
      <c r="B22" s="30">
        <f t="shared" si="0"/>
        <v>263585.55199999997</v>
      </c>
      <c r="C22" s="31">
        <f t="shared" si="0"/>
        <v>256047.00521279997</v>
      </c>
      <c r="D22" s="32">
        <f t="shared" si="0"/>
        <v>7538.5467871999981</v>
      </c>
      <c r="E22" s="30">
        <f t="shared" si="14"/>
        <v>87861.850666666665</v>
      </c>
      <c r="F22" s="33">
        <f t="shared" si="14"/>
        <v>85349.001737600003</v>
      </c>
      <c r="G22" s="34">
        <f t="shared" si="14"/>
        <v>2512.8489290666666</v>
      </c>
      <c r="H22" s="31">
        <f t="shared" si="1"/>
        <v>82755.945930000002</v>
      </c>
      <c r="I22" s="33">
        <f t="shared" si="1"/>
        <v>2436.5040700000004</v>
      </c>
      <c r="J22" s="33">
        <f t="shared" si="1"/>
        <v>85192.450000000012</v>
      </c>
      <c r="K22" s="37">
        <f t="shared" si="15"/>
        <v>-3.0381794219130676E-2</v>
      </c>
      <c r="L22" s="36">
        <f>[1]RB!$E22</f>
        <v>21965.462666666666</v>
      </c>
      <c r="M22" s="31">
        <f t="shared" si="16"/>
        <v>21337.250434400001</v>
      </c>
      <c r="N22" s="31">
        <f t="shared" si="17"/>
        <v>628.21223226666666</v>
      </c>
      <c r="O22" s="31">
        <f t="shared" si="18"/>
        <v>19716.9915</v>
      </c>
      <c r="P22" s="31">
        <f t="shared" si="19"/>
        <v>580.50850000000003</v>
      </c>
      <c r="Q22" s="31">
        <f>20297.5</f>
        <v>20297.5</v>
      </c>
      <c r="R22" s="31">
        <f t="shared" si="2"/>
        <v>-7.5935694684813315E-2</v>
      </c>
      <c r="S22" s="31">
        <f>[1]RB!$F22</f>
        <v>21965.462666666666</v>
      </c>
      <c r="T22" s="31">
        <f t="shared" si="20"/>
        <v>21337.250434400001</v>
      </c>
      <c r="U22" s="31">
        <f t="shared" si="21"/>
        <v>628.21223226666666</v>
      </c>
      <c r="V22" s="31">
        <f t="shared" si="22"/>
        <v>24362.32344</v>
      </c>
      <c r="W22" s="31">
        <f t="shared" si="23"/>
        <v>717.27656000000002</v>
      </c>
      <c r="X22" s="31">
        <v>25079.599999999999</v>
      </c>
      <c r="Y22" s="31">
        <f t="shared" si="3"/>
        <v>0.14177426538158655</v>
      </c>
      <c r="Z22" s="31">
        <f>[1]RB!$G22</f>
        <v>21965.462666666666</v>
      </c>
      <c r="AA22" s="31">
        <f t="shared" si="24"/>
        <v>21337.250434400001</v>
      </c>
      <c r="AB22" s="31">
        <f t="shared" si="25"/>
        <v>628.21223226666666</v>
      </c>
      <c r="AC22" s="31">
        <f t="shared" si="26"/>
        <v>9492.2293800000007</v>
      </c>
      <c r="AD22" s="31">
        <f t="shared" si="27"/>
        <v>279.47062</v>
      </c>
      <c r="AE22" s="31">
        <f>9771.7</f>
        <v>9771.7000000000007</v>
      </c>
      <c r="AF22" s="31">
        <f t="shared" si="4"/>
        <v>-0.55513343159263906</v>
      </c>
      <c r="AG22" s="31">
        <f>[1]RB!$H22</f>
        <v>21965.462666666666</v>
      </c>
      <c r="AH22" s="31">
        <f t="shared" si="28"/>
        <v>21337.250434400001</v>
      </c>
      <c r="AI22" s="31">
        <f t="shared" si="29"/>
        <v>628.21223226666666</v>
      </c>
      <c r="AJ22" s="31">
        <f t="shared" si="30"/>
        <v>6505.7280780000001</v>
      </c>
      <c r="AK22" s="31">
        <f t="shared" si="31"/>
        <v>191.54192200000003</v>
      </c>
      <c r="AL22" s="31">
        <v>6697.27</v>
      </c>
      <c r="AM22" s="31">
        <f t="shared" si="5"/>
        <v>-0.6950999802902702</v>
      </c>
      <c r="AN22" s="31">
        <f>[1]RB!$I22</f>
        <v>21965.462666666666</v>
      </c>
      <c r="AO22" s="31">
        <f t="shared" si="32"/>
        <v>21337.250434400001</v>
      </c>
      <c r="AP22" s="31">
        <f t="shared" si="33"/>
        <v>628.21223226666666</v>
      </c>
      <c r="AQ22" s="31">
        <f t="shared" si="34"/>
        <v>14681.030478000001</v>
      </c>
      <c r="AR22" s="31">
        <f t="shared" si="35"/>
        <v>432.23952200000002</v>
      </c>
      <c r="AS22" s="33">
        <v>15113.27</v>
      </c>
      <c r="AT22" s="37">
        <f t="shared" si="6"/>
        <v>-0.31195303147723363</v>
      </c>
      <c r="AU22" s="36">
        <f>[1]RB!$J22</f>
        <v>21965.462666666666</v>
      </c>
      <c r="AV22" s="31">
        <f t="shared" si="36"/>
        <v>21337.250434400001</v>
      </c>
      <c r="AW22" s="18">
        <f t="shared" si="37"/>
        <v>628.21223226666666</v>
      </c>
      <c r="AX22" s="31">
        <f t="shared" si="38"/>
        <v>7997.6430540000001</v>
      </c>
      <c r="AY22" s="31">
        <f t="shared" si="39"/>
        <v>235.46694600000001</v>
      </c>
      <c r="AZ22" s="27">
        <v>8233.11</v>
      </c>
      <c r="BA22" s="37">
        <f t="shared" si="7"/>
        <v>-0.62517930421315349</v>
      </c>
      <c r="BB22" s="36">
        <f>[1]RB!$K22</f>
        <v>21965.462666666666</v>
      </c>
      <c r="BC22" s="31">
        <f t="shared" si="40"/>
        <v>21337.250434400001</v>
      </c>
      <c r="BD22" s="18">
        <f t="shared" si="41"/>
        <v>628.21223226666666</v>
      </c>
      <c r="BE22" s="31">
        <f t="shared" si="42"/>
        <v>0</v>
      </c>
      <c r="BF22" s="31">
        <f t="shared" si="43"/>
        <v>0</v>
      </c>
      <c r="BG22" s="27"/>
      <c r="BH22" s="37">
        <f t="shared" si="8"/>
        <v>-1</v>
      </c>
      <c r="BI22" s="36">
        <f>[1]RB!$L22</f>
        <v>21965.462666666666</v>
      </c>
      <c r="BJ22" s="31">
        <f t="shared" si="44"/>
        <v>21337.250434400001</v>
      </c>
      <c r="BK22" s="18">
        <f t="shared" si="45"/>
        <v>628.21223226666666</v>
      </c>
      <c r="BL22" s="31">
        <f t="shared" si="46"/>
        <v>0</v>
      </c>
      <c r="BM22" s="31">
        <f t="shared" si="47"/>
        <v>0</v>
      </c>
      <c r="BN22" s="33"/>
      <c r="BO22" s="37">
        <f t="shared" si="9"/>
        <v>-1</v>
      </c>
      <c r="BP22" s="36">
        <f>[1]RB!$M22</f>
        <v>21965.462666666666</v>
      </c>
      <c r="BQ22" s="31">
        <f t="shared" si="48"/>
        <v>21337.250434400001</v>
      </c>
      <c r="BR22" s="18">
        <f t="shared" si="49"/>
        <v>628.21223226666666</v>
      </c>
      <c r="BS22" s="31">
        <f t="shared" si="50"/>
        <v>0</v>
      </c>
      <c r="BT22" s="31">
        <f t="shared" si="51"/>
        <v>0</v>
      </c>
      <c r="BU22" s="33"/>
      <c r="BV22" s="37">
        <f t="shared" si="10"/>
        <v>-1</v>
      </c>
      <c r="BW22" s="36">
        <f>[1]RB!$N22</f>
        <v>21965.462666666666</v>
      </c>
      <c r="BX22" s="31">
        <f t="shared" si="52"/>
        <v>21337.250434400001</v>
      </c>
      <c r="BY22" s="18">
        <f t="shared" si="53"/>
        <v>628.21223226666666</v>
      </c>
      <c r="BZ22" s="31">
        <f t="shared" si="54"/>
        <v>0</v>
      </c>
      <c r="CA22" s="31">
        <f t="shared" si="55"/>
        <v>0</v>
      </c>
      <c r="CB22" s="33"/>
      <c r="CC22" s="37">
        <f t="shared" si="11"/>
        <v>-1</v>
      </c>
      <c r="CD22" s="36">
        <f>[1]RB!$O22</f>
        <v>21965.462666666666</v>
      </c>
      <c r="CE22" s="31">
        <f t="shared" si="56"/>
        <v>21337.250434400001</v>
      </c>
      <c r="CF22" s="18">
        <f t="shared" si="57"/>
        <v>628.21223226666666</v>
      </c>
      <c r="CG22" s="31">
        <f t="shared" si="58"/>
        <v>0</v>
      </c>
      <c r="CH22" s="31">
        <f t="shared" si="59"/>
        <v>0</v>
      </c>
      <c r="CI22" s="33"/>
      <c r="CJ22" s="37">
        <f t="shared" si="12"/>
        <v>-1</v>
      </c>
      <c r="CK22" s="36">
        <f>[1]RB!$P22</f>
        <v>21965.462666666666</v>
      </c>
      <c r="CL22" s="31">
        <f t="shared" si="60"/>
        <v>21337.250434400001</v>
      </c>
      <c r="CM22" s="18">
        <f t="shared" si="61"/>
        <v>628.21223226666666</v>
      </c>
      <c r="CN22" s="31">
        <f t="shared" si="62"/>
        <v>0</v>
      </c>
      <c r="CO22" s="31">
        <f t="shared" si="63"/>
        <v>0</v>
      </c>
      <c r="CP22" s="33"/>
      <c r="CQ22" s="37">
        <f t="shared" si="13"/>
        <v>-1</v>
      </c>
      <c r="CR22" s="180"/>
      <c r="CS22" s="27"/>
      <c r="CT22" s="27"/>
      <c r="CU22" s="27"/>
      <c r="CV22" s="27"/>
      <c r="CW22" s="27"/>
      <c r="CX22" s="27"/>
      <c r="CY22" s="27"/>
      <c r="CZ22" s="27"/>
      <c r="DA22" s="27"/>
      <c r="DB22" s="27"/>
      <c r="DC22" s="27"/>
      <c r="DD22" s="27"/>
    </row>
    <row r="23" spans="1:108" s="26" customFormat="1" ht="16" customHeight="1" thickBot="1" x14ac:dyDescent="0.25">
      <c r="A23" s="181" t="s">
        <v>47</v>
      </c>
      <c r="B23" s="30">
        <f t="shared" si="0"/>
        <v>0</v>
      </c>
      <c r="C23" s="31">
        <f t="shared" si="0"/>
        <v>0</v>
      </c>
      <c r="D23" s="32">
        <f t="shared" si="0"/>
        <v>0</v>
      </c>
      <c r="E23" s="30">
        <f t="shared" si="14"/>
        <v>0</v>
      </c>
      <c r="F23" s="33">
        <f t="shared" si="14"/>
        <v>0</v>
      </c>
      <c r="G23" s="34">
        <f t="shared" si="14"/>
        <v>0</v>
      </c>
      <c r="H23" s="31">
        <f t="shared" si="1"/>
        <v>0</v>
      </c>
      <c r="I23" s="33">
        <f t="shared" si="1"/>
        <v>0</v>
      </c>
      <c r="J23" s="33">
        <f t="shared" si="1"/>
        <v>0</v>
      </c>
      <c r="K23" s="37" t="str">
        <f t="shared" si="15"/>
        <v/>
      </c>
      <c r="L23" s="36">
        <f>[1]RB!$E23</f>
        <v>0</v>
      </c>
      <c r="M23" s="31">
        <f t="shared" si="16"/>
        <v>0</v>
      </c>
      <c r="N23" s="31">
        <f t="shared" si="17"/>
        <v>0</v>
      </c>
      <c r="O23" s="31">
        <f t="shared" si="18"/>
        <v>0</v>
      </c>
      <c r="P23" s="31">
        <f t="shared" si="19"/>
        <v>0</v>
      </c>
      <c r="Q23" s="31"/>
      <c r="R23" s="31" t="str">
        <f t="shared" si="2"/>
        <v/>
      </c>
      <c r="S23" s="31">
        <f>[1]RB!$F23</f>
        <v>0</v>
      </c>
      <c r="T23" s="31">
        <f t="shared" si="20"/>
        <v>0</v>
      </c>
      <c r="U23" s="31">
        <f t="shared" si="21"/>
        <v>0</v>
      </c>
      <c r="V23" s="31">
        <f t="shared" si="22"/>
        <v>0</v>
      </c>
      <c r="W23" s="31">
        <f t="shared" si="23"/>
        <v>0</v>
      </c>
      <c r="X23" s="31"/>
      <c r="Y23" s="31" t="str">
        <f t="shared" si="3"/>
        <v/>
      </c>
      <c r="Z23" s="31">
        <f>[1]RB!$G23</f>
        <v>0</v>
      </c>
      <c r="AA23" s="31">
        <f t="shared" si="24"/>
        <v>0</v>
      </c>
      <c r="AB23" s="31">
        <f t="shared" si="25"/>
        <v>0</v>
      </c>
      <c r="AC23" s="31">
        <f t="shared" si="26"/>
        <v>0</v>
      </c>
      <c r="AD23" s="31">
        <f t="shared" si="27"/>
        <v>0</v>
      </c>
      <c r="AE23" s="31"/>
      <c r="AF23" s="31" t="str">
        <f t="shared" si="4"/>
        <v/>
      </c>
      <c r="AG23" s="31">
        <f>[1]RB!$H23</f>
        <v>0</v>
      </c>
      <c r="AH23" s="31">
        <f t="shared" si="28"/>
        <v>0</v>
      </c>
      <c r="AI23" s="31">
        <f t="shared" si="29"/>
        <v>0</v>
      </c>
      <c r="AJ23" s="31">
        <f t="shared" si="30"/>
        <v>0</v>
      </c>
      <c r="AK23" s="31">
        <f t="shared" si="31"/>
        <v>0</v>
      </c>
      <c r="AL23" s="31"/>
      <c r="AM23" s="31" t="str">
        <f t="shared" si="5"/>
        <v/>
      </c>
      <c r="AN23" s="31">
        <f>[1]RB!$I23</f>
        <v>0</v>
      </c>
      <c r="AO23" s="31">
        <f t="shared" si="32"/>
        <v>0</v>
      </c>
      <c r="AP23" s="31">
        <f t="shared" si="33"/>
        <v>0</v>
      </c>
      <c r="AQ23" s="31">
        <f t="shared" si="34"/>
        <v>0</v>
      </c>
      <c r="AR23" s="31">
        <f t="shared" si="35"/>
        <v>0</v>
      </c>
      <c r="AS23" s="33"/>
      <c r="AT23" s="37" t="str">
        <f t="shared" si="6"/>
        <v/>
      </c>
      <c r="AU23" s="36">
        <f>[1]RB!$J23</f>
        <v>0</v>
      </c>
      <c r="AV23" s="31">
        <f t="shared" si="36"/>
        <v>0</v>
      </c>
      <c r="AW23" s="18">
        <f t="shared" si="37"/>
        <v>0</v>
      </c>
      <c r="AX23" s="31">
        <f t="shared" si="38"/>
        <v>0</v>
      </c>
      <c r="AY23" s="31">
        <f t="shared" si="39"/>
        <v>0</v>
      </c>
      <c r="AZ23" s="27"/>
      <c r="BA23" s="37" t="str">
        <f t="shared" si="7"/>
        <v/>
      </c>
      <c r="BB23" s="36">
        <f>[1]RB!$K23</f>
        <v>0</v>
      </c>
      <c r="BC23" s="31">
        <f t="shared" si="40"/>
        <v>0</v>
      </c>
      <c r="BD23" s="18">
        <f t="shared" si="41"/>
        <v>0</v>
      </c>
      <c r="BE23" s="31">
        <f t="shared" si="42"/>
        <v>0</v>
      </c>
      <c r="BF23" s="31">
        <f t="shared" si="43"/>
        <v>0</v>
      </c>
      <c r="BG23" s="27"/>
      <c r="BH23" s="37" t="str">
        <f t="shared" si="8"/>
        <v/>
      </c>
      <c r="BI23" s="36">
        <f>[1]RB!$L23</f>
        <v>0</v>
      </c>
      <c r="BJ23" s="31">
        <f t="shared" si="44"/>
        <v>0</v>
      </c>
      <c r="BK23" s="18">
        <f t="shared" si="45"/>
        <v>0</v>
      </c>
      <c r="BL23" s="31">
        <f t="shared" si="46"/>
        <v>0</v>
      </c>
      <c r="BM23" s="31">
        <f t="shared" si="47"/>
        <v>0</v>
      </c>
      <c r="BN23" s="33"/>
      <c r="BO23" s="37" t="str">
        <f t="shared" si="9"/>
        <v/>
      </c>
      <c r="BP23" s="36">
        <f>[1]RB!$M23</f>
        <v>0</v>
      </c>
      <c r="BQ23" s="31">
        <f t="shared" si="48"/>
        <v>0</v>
      </c>
      <c r="BR23" s="18">
        <f t="shared" si="49"/>
        <v>0</v>
      </c>
      <c r="BS23" s="31">
        <f t="shared" si="50"/>
        <v>0</v>
      </c>
      <c r="BT23" s="31">
        <f t="shared" si="51"/>
        <v>0</v>
      </c>
      <c r="BU23" s="33"/>
      <c r="BV23" s="37" t="str">
        <f t="shared" si="10"/>
        <v/>
      </c>
      <c r="BW23" s="36">
        <f>[1]RB!$N23</f>
        <v>0</v>
      </c>
      <c r="BX23" s="31">
        <f t="shared" si="52"/>
        <v>0</v>
      </c>
      <c r="BY23" s="18">
        <f t="shared" si="53"/>
        <v>0</v>
      </c>
      <c r="BZ23" s="31">
        <f t="shared" si="54"/>
        <v>0</v>
      </c>
      <c r="CA23" s="31">
        <f t="shared" si="55"/>
        <v>0</v>
      </c>
      <c r="CB23" s="33"/>
      <c r="CC23" s="37" t="str">
        <f t="shared" si="11"/>
        <v/>
      </c>
      <c r="CD23" s="36">
        <f>[1]RB!$O23</f>
        <v>0</v>
      </c>
      <c r="CE23" s="31">
        <f t="shared" si="56"/>
        <v>0</v>
      </c>
      <c r="CF23" s="18">
        <f t="shared" si="57"/>
        <v>0</v>
      </c>
      <c r="CG23" s="31">
        <f t="shared" si="58"/>
        <v>0</v>
      </c>
      <c r="CH23" s="31">
        <f t="shared" si="59"/>
        <v>0</v>
      </c>
      <c r="CI23" s="33"/>
      <c r="CJ23" s="37" t="str">
        <f t="shared" si="12"/>
        <v/>
      </c>
      <c r="CK23" s="36">
        <f>[1]RB!$P23</f>
        <v>0</v>
      </c>
      <c r="CL23" s="31">
        <f t="shared" si="60"/>
        <v>0</v>
      </c>
      <c r="CM23" s="18">
        <f t="shared" si="61"/>
        <v>0</v>
      </c>
      <c r="CN23" s="31">
        <f t="shared" si="62"/>
        <v>0</v>
      </c>
      <c r="CO23" s="31">
        <f t="shared" si="63"/>
        <v>0</v>
      </c>
      <c r="CP23" s="33"/>
      <c r="CQ23" s="37" t="str">
        <f t="shared" si="13"/>
        <v/>
      </c>
      <c r="CR23" s="180"/>
      <c r="CS23" s="27"/>
      <c r="CT23" s="27"/>
      <c r="CU23" s="27"/>
      <c r="CV23" s="27"/>
      <c r="CW23" s="27"/>
      <c r="CX23" s="27"/>
      <c r="CY23" s="27"/>
      <c r="CZ23" s="27"/>
      <c r="DA23" s="27"/>
      <c r="DB23" s="27"/>
      <c r="DC23" s="27"/>
      <c r="DD23" s="27"/>
    </row>
    <row r="24" spans="1:108" s="26" customFormat="1" ht="16" customHeight="1" thickBot="1" x14ac:dyDescent="0.25">
      <c r="A24" s="181" t="s">
        <v>48</v>
      </c>
      <c r="B24" s="30">
        <f t="shared" si="0"/>
        <v>249299.39813543158</v>
      </c>
      <c r="C24" s="31">
        <f t="shared" si="0"/>
        <v>242169.43534875824</v>
      </c>
      <c r="D24" s="32">
        <f t="shared" si="0"/>
        <v>7129.9627866733463</v>
      </c>
      <c r="E24" s="30">
        <f t="shared" si="14"/>
        <v>84320.655862317202</v>
      </c>
      <c r="F24" s="33">
        <f t="shared" si="14"/>
        <v>81909.085104654936</v>
      </c>
      <c r="G24" s="34">
        <f t="shared" si="14"/>
        <v>2411.5707576622722</v>
      </c>
      <c r="H24" s="31">
        <f t="shared" si="1"/>
        <v>122874.23165999999</v>
      </c>
      <c r="I24" s="33">
        <f t="shared" si="1"/>
        <v>3617.6683399999997</v>
      </c>
      <c r="J24" s="33">
        <f t="shared" si="1"/>
        <v>126491.89999999998</v>
      </c>
      <c r="K24" s="37">
        <f t="shared" si="15"/>
        <v>0.5001294606453488</v>
      </c>
      <c r="L24" s="36">
        <f>[1]RB!$E24</f>
        <v>21080.163965579301</v>
      </c>
      <c r="M24" s="31">
        <f t="shared" si="16"/>
        <v>20477.271276163734</v>
      </c>
      <c r="N24" s="31">
        <f t="shared" si="17"/>
        <v>602.89268941556804</v>
      </c>
      <c r="O24" s="31">
        <f t="shared" si="18"/>
        <v>38520.235589999997</v>
      </c>
      <c r="P24" s="31">
        <f t="shared" si="19"/>
        <v>1134.1144099999999</v>
      </c>
      <c r="Q24" s="31">
        <v>39654.35</v>
      </c>
      <c r="R24" s="31">
        <f t="shared" si="2"/>
        <v>0.88112151616797263</v>
      </c>
      <c r="S24" s="31">
        <f>[1]RB!$F24</f>
        <v>21080.163965579301</v>
      </c>
      <c r="T24" s="31">
        <f t="shared" si="20"/>
        <v>20477.271276163734</v>
      </c>
      <c r="U24" s="31">
        <f t="shared" si="21"/>
        <v>602.89268941556804</v>
      </c>
      <c r="V24" s="31">
        <f t="shared" si="22"/>
        <v>30941.945915999997</v>
      </c>
      <c r="W24" s="31">
        <f t="shared" si="23"/>
        <v>910.99408399999993</v>
      </c>
      <c r="X24" s="31">
        <v>31852.94</v>
      </c>
      <c r="Y24" s="31">
        <f t="shared" si="3"/>
        <v>0.51103853138955668</v>
      </c>
      <c r="Z24" s="31">
        <f>[1]RB!$G24</f>
        <v>21080.163965579301</v>
      </c>
      <c r="AA24" s="31">
        <f t="shared" si="24"/>
        <v>20477.271276163734</v>
      </c>
      <c r="AB24" s="31">
        <f t="shared" si="25"/>
        <v>602.89268941556804</v>
      </c>
      <c r="AC24" s="31">
        <f t="shared" si="26"/>
        <v>30793.661706000003</v>
      </c>
      <c r="AD24" s="31">
        <f t="shared" si="27"/>
        <v>906.62829399999998</v>
      </c>
      <c r="AE24" s="31">
        <v>31700.29</v>
      </c>
      <c r="AF24" s="31">
        <f t="shared" si="4"/>
        <v>0.50379712661446807</v>
      </c>
      <c r="AG24" s="31">
        <f>[1]RB!$H24</f>
        <v>21080.163965579301</v>
      </c>
      <c r="AH24" s="31">
        <f t="shared" si="28"/>
        <v>20477.271276163734</v>
      </c>
      <c r="AI24" s="31">
        <f t="shared" si="29"/>
        <v>602.89268941556804</v>
      </c>
      <c r="AJ24" s="31">
        <f t="shared" si="30"/>
        <v>12176.460143999999</v>
      </c>
      <c r="AK24" s="31">
        <f t="shared" si="31"/>
        <v>358.49985599999997</v>
      </c>
      <c r="AL24" s="31">
        <v>12534.96</v>
      </c>
      <c r="AM24" s="31">
        <f t="shared" si="5"/>
        <v>-0.40536705404817153</v>
      </c>
      <c r="AN24" s="31">
        <f>[1]RB!$I24</f>
        <v>21080.163965579301</v>
      </c>
      <c r="AO24" s="31">
        <f t="shared" si="32"/>
        <v>20477.271276163734</v>
      </c>
      <c r="AP24" s="31">
        <f t="shared" si="33"/>
        <v>602.89268941556804</v>
      </c>
      <c r="AQ24" s="31">
        <f t="shared" si="34"/>
        <v>0</v>
      </c>
      <c r="AR24" s="31">
        <f t="shared" si="35"/>
        <v>0</v>
      </c>
      <c r="AS24" s="33"/>
      <c r="AT24" s="37">
        <f t="shared" si="6"/>
        <v>-1</v>
      </c>
      <c r="AU24" s="36">
        <f>[1]RB!$J24</f>
        <v>21080.163965579301</v>
      </c>
      <c r="AV24" s="31">
        <f t="shared" si="36"/>
        <v>20477.271276163734</v>
      </c>
      <c r="AW24" s="18">
        <f t="shared" si="37"/>
        <v>602.89268941556804</v>
      </c>
      <c r="AX24" s="31">
        <f t="shared" si="38"/>
        <v>10441.928304000001</v>
      </c>
      <c r="AY24" s="31">
        <f t="shared" si="39"/>
        <v>307.43169600000004</v>
      </c>
      <c r="AZ24" s="27">
        <v>10749.36</v>
      </c>
      <c r="BA24" s="37">
        <f t="shared" si="7"/>
        <v>-0.49007227754242944</v>
      </c>
      <c r="BB24" s="36">
        <f>[1]RB!$K24</f>
        <v>17417.594514059299</v>
      </c>
      <c r="BC24" s="31">
        <f t="shared" si="40"/>
        <v>16919.451310957204</v>
      </c>
      <c r="BD24" s="18">
        <f t="shared" si="41"/>
        <v>498.14320310209598</v>
      </c>
      <c r="BE24" s="31">
        <f t="shared" si="42"/>
        <v>0</v>
      </c>
      <c r="BF24" s="31">
        <f t="shared" si="43"/>
        <v>0</v>
      </c>
      <c r="BG24" s="27"/>
      <c r="BH24" s="37">
        <f t="shared" si="8"/>
        <v>-1</v>
      </c>
      <c r="BI24" s="36">
        <f>[1]RB!$L24</f>
        <v>21080.163965579301</v>
      </c>
      <c r="BJ24" s="31">
        <f t="shared" si="44"/>
        <v>20477.271276163734</v>
      </c>
      <c r="BK24" s="18">
        <f t="shared" si="45"/>
        <v>602.89268941556804</v>
      </c>
      <c r="BL24" s="31">
        <f t="shared" si="46"/>
        <v>0</v>
      </c>
      <c r="BM24" s="31">
        <f t="shared" si="47"/>
        <v>0</v>
      </c>
      <c r="BN24" s="33"/>
      <c r="BO24" s="37">
        <f t="shared" si="9"/>
        <v>-1</v>
      </c>
      <c r="BP24" s="36">
        <f>[1]RB!$M24</f>
        <v>21080.163965579301</v>
      </c>
      <c r="BQ24" s="31">
        <f t="shared" si="48"/>
        <v>20477.271276163734</v>
      </c>
      <c r="BR24" s="18">
        <f t="shared" si="49"/>
        <v>602.89268941556804</v>
      </c>
      <c r="BS24" s="31">
        <f t="shared" si="50"/>
        <v>0</v>
      </c>
      <c r="BT24" s="31">
        <f t="shared" si="51"/>
        <v>0</v>
      </c>
      <c r="BU24" s="33"/>
      <c r="BV24" s="37">
        <f t="shared" si="10"/>
        <v>-1</v>
      </c>
      <c r="BW24" s="36">
        <f>[1]RB!$N24</f>
        <v>21080.163965579301</v>
      </c>
      <c r="BX24" s="31">
        <f t="shared" si="52"/>
        <v>20477.271276163734</v>
      </c>
      <c r="BY24" s="18">
        <f t="shared" si="53"/>
        <v>602.89268941556804</v>
      </c>
      <c r="BZ24" s="31">
        <f t="shared" si="54"/>
        <v>0</v>
      </c>
      <c r="CA24" s="31">
        <f t="shared" si="55"/>
        <v>0</v>
      </c>
      <c r="CB24" s="33"/>
      <c r="CC24" s="37">
        <f t="shared" si="11"/>
        <v>-1</v>
      </c>
      <c r="CD24" s="36">
        <f>[1]RB!$O24</f>
        <v>21080.163965579301</v>
      </c>
      <c r="CE24" s="31">
        <f t="shared" si="56"/>
        <v>20477.271276163734</v>
      </c>
      <c r="CF24" s="18">
        <f t="shared" si="57"/>
        <v>602.89268941556804</v>
      </c>
      <c r="CG24" s="31">
        <f t="shared" si="58"/>
        <v>0</v>
      </c>
      <c r="CH24" s="31">
        <f t="shared" si="59"/>
        <v>0</v>
      </c>
      <c r="CI24" s="33"/>
      <c r="CJ24" s="37">
        <f t="shared" si="12"/>
        <v>-1</v>
      </c>
      <c r="CK24" s="36">
        <f>[1]RB!$P24</f>
        <v>21080.163965579301</v>
      </c>
      <c r="CL24" s="31">
        <f t="shared" si="60"/>
        <v>20477.271276163734</v>
      </c>
      <c r="CM24" s="18">
        <f t="shared" si="61"/>
        <v>602.89268941556804</v>
      </c>
      <c r="CN24" s="31">
        <f t="shared" si="62"/>
        <v>0</v>
      </c>
      <c r="CO24" s="31">
        <f t="shared" si="63"/>
        <v>0</v>
      </c>
      <c r="CP24" s="33"/>
      <c r="CQ24" s="37">
        <f t="shared" si="13"/>
        <v>-1</v>
      </c>
      <c r="CR24" s="180"/>
      <c r="CS24" s="27"/>
      <c r="CT24" s="27"/>
      <c r="CU24" s="27"/>
      <c r="CV24" s="27"/>
      <c r="CW24" s="27"/>
      <c r="CX24" s="27"/>
      <c r="CY24" s="27"/>
      <c r="CZ24" s="27"/>
      <c r="DA24" s="27"/>
      <c r="DB24" s="27"/>
      <c r="DC24" s="27"/>
      <c r="DD24" s="27"/>
    </row>
    <row r="25" spans="1:108" s="26" customFormat="1" ht="16" customHeight="1" thickBot="1" x14ac:dyDescent="0.25">
      <c r="A25" s="181" t="s">
        <v>49</v>
      </c>
      <c r="B25" s="30">
        <f t="shared" si="0"/>
        <v>427606.11783599923</v>
      </c>
      <c r="C25" s="31">
        <f t="shared" si="0"/>
        <v>415376.58286588953</v>
      </c>
      <c r="D25" s="32">
        <f t="shared" si="0"/>
        <v>12229.534970109578</v>
      </c>
      <c r="E25" s="30">
        <f t="shared" si="14"/>
        <v>147552.3524519999</v>
      </c>
      <c r="F25" s="33">
        <f t="shared" si="14"/>
        <v>143332.35517187271</v>
      </c>
      <c r="G25" s="34">
        <f t="shared" si="14"/>
        <v>4219.997280127197</v>
      </c>
      <c r="H25" s="31">
        <f t="shared" si="1"/>
        <v>325575.035982</v>
      </c>
      <c r="I25" s="33">
        <f t="shared" si="1"/>
        <v>9585.5940179999998</v>
      </c>
      <c r="J25" s="33">
        <f t="shared" si="1"/>
        <v>335160.63</v>
      </c>
      <c r="K25" s="37">
        <f t="shared" si="15"/>
        <v>1.2714692407837465</v>
      </c>
      <c r="L25" s="36">
        <f>[1]RB!$E25</f>
        <v>0</v>
      </c>
      <c r="M25" s="31">
        <f t="shared" si="16"/>
        <v>0</v>
      </c>
      <c r="N25" s="31">
        <f t="shared" si="17"/>
        <v>0</v>
      </c>
      <c r="O25" s="31">
        <f t="shared" si="18"/>
        <v>891.60920399999998</v>
      </c>
      <c r="P25" s="31">
        <f t="shared" si="19"/>
        <v>26.250796000000001</v>
      </c>
      <c r="Q25" s="31">
        <f>917.86</f>
        <v>917.86</v>
      </c>
      <c r="R25" s="31" t="str">
        <f t="shared" si="2"/>
        <v/>
      </c>
      <c r="S25" s="31">
        <f>[1]RB!$F25</f>
        <v>0</v>
      </c>
      <c r="T25" s="31">
        <f t="shared" si="20"/>
        <v>0</v>
      </c>
      <c r="U25" s="31">
        <f t="shared" si="21"/>
        <v>0</v>
      </c>
      <c r="V25" s="31">
        <f t="shared" si="22"/>
        <v>27724.853682000001</v>
      </c>
      <c r="W25" s="31">
        <f t="shared" si="23"/>
        <v>816.27631800000006</v>
      </c>
      <c r="X25" s="31">
        <v>28541.13</v>
      </c>
      <c r="Y25" s="31" t="str">
        <f t="shared" si="3"/>
        <v/>
      </c>
      <c r="Z25" s="31">
        <f>[1]RB!$G25</f>
        <v>64725.626069999897</v>
      </c>
      <c r="AA25" s="31">
        <f t="shared" si="24"/>
        <v>62874.473164397903</v>
      </c>
      <c r="AB25" s="31">
        <f t="shared" si="25"/>
        <v>1851.152905601997</v>
      </c>
      <c r="AC25" s="31">
        <f t="shared" si="26"/>
        <v>71893.896840000001</v>
      </c>
      <c r="AD25" s="31">
        <f t="shared" si="27"/>
        <v>2116.70316</v>
      </c>
      <c r="AE25" s="31">
        <v>74010.600000000006</v>
      </c>
      <c r="AF25" s="31">
        <f t="shared" si="4"/>
        <v>0.14345128033151089</v>
      </c>
      <c r="AG25" s="31">
        <f>[1]RB!$H25</f>
        <v>82826.726381999993</v>
      </c>
      <c r="AH25" s="31">
        <f t="shared" si="28"/>
        <v>80457.882007474793</v>
      </c>
      <c r="AI25" s="31">
        <f t="shared" si="29"/>
        <v>2368.8443745251998</v>
      </c>
      <c r="AJ25" s="31">
        <f t="shared" si="30"/>
        <v>66218.958612000002</v>
      </c>
      <c r="AK25" s="31">
        <f t="shared" si="31"/>
        <v>1949.621388</v>
      </c>
      <c r="AL25" s="31">
        <v>68168.58</v>
      </c>
      <c r="AM25" s="31">
        <f t="shared" si="5"/>
        <v>-0.17697362943449035</v>
      </c>
      <c r="AN25" s="31">
        <f>[1]RB!$I25</f>
        <v>82826.726381999993</v>
      </c>
      <c r="AO25" s="31">
        <f t="shared" si="32"/>
        <v>80457.882007474793</v>
      </c>
      <c r="AP25" s="31">
        <f t="shared" si="33"/>
        <v>2368.8443745251998</v>
      </c>
      <c r="AQ25" s="31">
        <f t="shared" si="34"/>
        <v>79576.728582000011</v>
      </c>
      <c r="AR25" s="31">
        <f t="shared" si="35"/>
        <v>2342.9014180000004</v>
      </c>
      <c r="AS25" s="33">
        <v>81919.63</v>
      </c>
      <c r="AT25" s="37">
        <f t="shared" si="6"/>
        <v>-1.0951735286704789E-2</v>
      </c>
      <c r="AU25" s="36">
        <f>[1]RB!$J25</f>
        <v>86657.276945999998</v>
      </c>
      <c r="AV25" s="31">
        <f t="shared" si="36"/>
        <v>84178.878825344393</v>
      </c>
      <c r="AW25" s="18">
        <f t="shared" si="37"/>
        <v>2478.3981206556</v>
      </c>
      <c r="AX25" s="31">
        <f t="shared" si="38"/>
        <v>79268.989062000008</v>
      </c>
      <c r="AY25" s="31">
        <f t="shared" si="39"/>
        <v>2333.8409380000003</v>
      </c>
      <c r="AZ25" s="27">
        <v>81602.83</v>
      </c>
      <c r="BA25" s="37">
        <f t="shared" si="7"/>
        <v>-5.8326860987677365E-2</v>
      </c>
      <c r="BB25" s="36">
        <f>[1]RB!$K25</f>
        <v>23457.865145999898</v>
      </c>
      <c r="BC25" s="31">
        <f t="shared" si="40"/>
        <v>22786.970202824301</v>
      </c>
      <c r="BD25" s="18">
        <f t="shared" si="41"/>
        <v>670.89494317559706</v>
      </c>
      <c r="BE25" s="31">
        <f t="shared" si="42"/>
        <v>0</v>
      </c>
      <c r="BF25" s="31">
        <f t="shared" si="43"/>
        <v>0</v>
      </c>
      <c r="BG25" s="27"/>
      <c r="BH25" s="37">
        <f t="shared" si="8"/>
        <v>-1</v>
      </c>
      <c r="BI25" s="36">
        <f>[1]RB!$L25</f>
        <v>23457.865145999898</v>
      </c>
      <c r="BJ25" s="31">
        <f t="shared" si="44"/>
        <v>22786.970202824301</v>
      </c>
      <c r="BK25" s="18">
        <f t="shared" si="45"/>
        <v>670.89494317559706</v>
      </c>
      <c r="BL25" s="31">
        <f t="shared" si="46"/>
        <v>0</v>
      </c>
      <c r="BM25" s="31">
        <f t="shared" si="47"/>
        <v>0</v>
      </c>
      <c r="BN25" s="33"/>
      <c r="BO25" s="37">
        <f t="shared" si="9"/>
        <v>-1</v>
      </c>
      <c r="BP25" s="36">
        <f>[1]RB!$M25</f>
        <v>23457.865145999898</v>
      </c>
      <c r="BQ25" s="31">
        <f t="shared" si="48"/>
        <v>22786.970202824301</v>
      </c>
      <c r="BR25" s="18">
        <f t="shared" si="49"/>
        <v>670.89494317559706</v>
      </c>
      <c r="BS25" s="31">
        <f t="shared" si="50"/>
        <v>0</v>
      </c>
      <c r="BT25" s="31">
        <f t="shared" si="51"/>
        <v>0</v>
      </c>
      <c r="BU25" s="33"/>
      <c r="BV25" s="37">
        <f t="shared" si="10"/>
        <v>-1</v>
      </c>
      <c r="BW25" s="36">
        <f>[1]RB!$N25</f>
        <v>16275.5204219999</v>
      </c>
      <c r="BX25" s="31">
        <f t="shared" si="52"/>
        <v>15810.040537930703</v>
      </c>
      <c r="BY25" s="18">
        <f t="shared" si="53"/>
        <v>465.47988406919711</v>
      </c>
      <c r="BZ25" s="31">
        <f t="shared" si="54"/>
        <v>0</v>
      </c>
      <c r="CA25" s="31">
        <f t="shared" si="55"/>
        <v>0</v>
      </c>
      <c r="CB25" s="33"/>
      <c r="CC25" s="37">
        <f t="shared" si="11"/>
        <v>-1</v>
      </c>
      <c r="CD25" s="36">
        <f>[1]RB!$O25</f>
        <v>11960.323097999901</v>
      </c>
      <c r="CE25" s="31">
        <f t="shared" si="56"/>
        <v>11618.257857397104</v>
      </c>
      <c r="CF25" s="18">
        <f t="shared" si="57"/>
        <v>342.06524060279719</v>
      </c>
      <c r="CG25" s="31">
        <f t="shared" si="58"/>
        <v>0</v>
      </c>
      <c r="CH25" s="31">
        <f t="shared" si="59"/>
        <v>0</v>
      </c>
      <c r="CI25" s="33"/>
      <c r="CJ25" s="37">
        <f t="shared" si="12"/>
        <v>-1</v>
      </c>
      <c r="CK25" s="36">
        <f>[1]RB!$P25</f>
        <v>11960.323097999901</v>
      </c>
      <c r="CL25" s="31">
        <f t="shared" si="60"/>
        <v>11618.257857397104</v>
      </c>
      <c r="CM25" s="18">
        <f t="shared" si="61"/>
        <v>342.06524060279719</v>
      </c>
      <c r="CN25" s="31">
        <f t="shared" si="62"/>
        <v>0</v>
      </c>
      <c r="CO25" s="31">
        <f t="shared" si="63"/>
        <v>0</v>
      </c>
      <c r="CP25" s="33"/>
      <c r="CQ25" s="37">
        <f t="shared" si="13"/>
        <v>-1</v>
      </c>
      <c r="CR25" s="180"/>
      <c r="CS25" s="27"/>
      <c r="CT25" s="27"/>
      <c r="CU25" s="27"/>
      <c r="CV25" s="27"/>
      <c r="CW25" s="27"/>
      <c r="CX25" s="27"/>
      <c r="CY25" s="27"/>
      <c r="CZ25" s="27"/>
      <c r="DA25" s="27"/>
      <c r="DB25" s="27"/>
      <c r="DC25" s="27"/>
      <c r="DD25" s="27"/>
    </row>
    <row r="26" spans="1:108" s="26" customFormat="1" ht="16" customHeight="1" thickBot="1" x14ac:dyDescent="0.25">
      <c r="A26" s="181" t="s">
        <v>50</v>
      </c>
      <c r="B26" s="30">
        <f t="shared" si="0"/>
        <v>2778822.8347042045</v>
      </c>
      <c r="C26" s="31">
        <f t="shared" si="0"/>
        <v>2699348.501631665</v>
      </c>
      <c r="D26" s="32">
        <f t="shared" si="0"/>
        <v>79474.333072540263</v>
      </c>
      <c r="E26" s="30">
        <f t="shared" si="14"/>
        <v>756407.89632411976</v>
      </c>
      <c r="F26" s="33">
        <f t="shared" si="14"/>
        <v>734774.63048924995</v>
      </c>
      <c r="G26" s="34">
        <f t="shared" si="14"/>
        <v>21633.265834869824</v>
      </c>
      <c r="H26" s="31">
        <f t="shared" si="1"/>
        <v>850885.38636599993</v>
      </c>
      <c r="I26" s="33">
        <f t="shared" si="1"/>
        <v>25051.803634</v>
      </c>
      <c r="J26" s="33">
        <f t="shared" si="1"/>
        <v>875937.19</v>
      </c>
      <c r="K26" s="37">
        <f t="shared" si="15"/>
        <v>0.15802227112745793</v>
      </c>
      <c r="L26" s="36">
        <f>[1]RB!$E26</f>
        <v>81034.486392694394</v>
      </c>
      <c r="M26" s="31">
        <f t="shared" si="16"/>
        <v>78716.900081863336</v>
      </c>
      <c r="N26" s="31">
        <f t="shared" si="17"/>
        <v>2317.5863108310596</v>
      </c>
      <c r="O26" s="31">
        <f t="shared" si="18"/>
        <v>89698.590299999996</v>
      </c>
      <c r="P26" s="31">
        <f t="shared" si="19"/>
        <v>2640.9097000000002</v>
      </c>
      <c r="Q26" s="31">
        <f>1049.18+91290.32</f>
        <v>92339.5</v>
      </c>
      <c r="R26" s="31">
        <f t="shared" si="2"/>
        <v>0.13950867230183128</v>
      </c>
      <c r="S26" s="31">
        <f>[1]RB!$F26</f>
        <v>165326.09269669437</v>
      </c>
      <c r="T26" s="31">
        <f t="shared" si="20"/>
        <v>160597.76644556891</v>
      </c>
      <c r="U26" s="31">
        <f t="shared" si="21"/>
        <v>4728.3262511254588</v>
      </c>
      <c r="V26" s="31">
        <f t="shared" si="22"/>
        <v>130027.88353799998</v>
      </c>
      <c r="W26" s="31">
        <f t="shared" si="23"/>
        <v>3828.2864619999996</v>
      </c>
      <c r="X26" s="31">
        <f>10.09+132376.08+1470</f>
        <v>133856.16999999998</v>
      </c>
      <c r="Y26" s="31">
        <f t="shared" si="3"/>
        <v>-0.19035061062278169</v>
      </c>
      <c r="Z26" s="31">
        <f>[1]RB!$G26</f>
        <v>255023.65861736552</v>
      </c>
      <c r="AA26" s="31">
        <f t="shared" si="24"/>
        <v>247729.98198090887</v>
      </c>
      <c r="AB26" s="31">
        <f t="shared" si="25"/>
        <v>7293.6766364566538</v>
      </c>
      <c r="AC26" s="31">
        <f t="shared" si="26"/>
        <v>157698.69823799998</v>
      </c>
      <c r="AD26" s="31">
        <f t="shared" si="27"/>
        <v>4642.9717619999992</v>
      </c>
      <c r="AE26" s="31">
        <f>1470+30.27+160841.4</f>
        <v>162341.66999999998</v>
      </c>
      <c r="AF26" s="31">
        <f t="shared" si="4"/>
        <v>-0.36342506071730585</v>
      </c>
      <c r="AG26" s="31">
        <f>[1]RB!$H26</f>
        <v>255023.65861736552</v>
      </c>
      <c r="AH26" s="31">
        <f t="shared" si="28"/>
        <v>247729.98198090887</v>
      </c>
      <c r="AI26" s="31">
        <f t="shared" si="29"/>
        <v>7293.6766364566538</v>
      </c>
      <c r="AJ26" s="31">
        <f t="shared" si="30"/>
        <v>132497.41547400001</v>
      </c>
      <c r="AK26" s="31">
        <f t="shared" si="31"/>
        <v>3900.994526</v>
      </c>
      <c r="AL26" s="31">
        <v>136398.41</v>
      </c>
      <c r="AM26" s="31">
        <f t="shared" si="5"/>
        <v>-0.46515389693843834</v>
      </c>
      <c r="AN26" s="31">
        <f>[1]RB!$I26</f>
        <v>285897.84913669439</v>
      </c>
      <c r="AO26" s="31">
        <f t="shared" si="32"/>
        <v>277721.17065138492</v>
      </c>
      <c r="AP26" s="31">
        <f t="shared" si="33"/>
        <v>8176.6784853094596</v>
      </c>
      <c r="AQ26" s="31">
        <f t="shared" si="34"/>
        <v>208522.55023200001</v>
      </c>
      <c r="AR26" s="31">
        <f t="shared" si="35"/>
        <v>6139.3297680000005</v>
      </c>
      <c r="AS26" s="33">
        <v>214661.88</v>
      </c>
      <c r="AT26" s="37">
        <f t="shared" si="6"/>
        <v>-0.24916580992756898</v>
      </c>
      <c r="AU26" s="36">
        <f>[1]RB!$J26</f>
        <v>221024.59576536631</v>
      </c>
      <c r="AV26" s="31">
        <f t="shared" si="36"/>
        <v>214703.29232647683</v>
      </c>
      <c r="AW26" s="18">
        <f t="shared" si="37"/>
        <v>6321.3034388894766</v>
      </c>
      <c r="AX26" s="31">
        <f t="shared" si="38"/>
        <v>132440.24858399999</v>
      </c>
      <c r="AY26" s="31">
        <f t="shared" si="39"/>
        <v>3899.311416</v>
      </c>
      <c r="AZ26" s="27">
        <v>136339.56</v>
      </c>
      <c r="BA26" s="37">
        <f t="shared" si="7"/>
        <v>-0.38314756541966777</v>
      </c>
      <c r="BB26" s="36">
        <f>[1]RB!$K26</f>
        <v>190150.40524603747</v>
      </c>
      <c r="BC26" s="31">
        <f t="shared" si="40"/>
        <v>184712.10365600081</v>
      </c>
      <c r="BD26" s="18">
        <f t="shared" si="41"/>
        <v>5438.3015900366718</v>
      </c>
      <c r="BE26" s="31">
        <f t="shared" si="42"/>
        <v>0</v>
      </c>
      <c r="BF26" s="31">
        <f t="shared" si="43"/>
        <v>0</v>
      </c>
      <c r="BG26" s="27"/>
      <c r="BH26" s="37">
        <f t="shared" si="8"/>
        <v>-1</v>
      </c>
      <c r="BI26" s="36">
        <f>[1]RB!$L26</f>
        <v>255023.65861736552</v>
      </c>
      <c r="BJ26" s="31">
        <f t="shared" si="44"/>
        <v>247729.98198090887</v>
      </c>
      <c r="BK26" s="18">
        <f t="shared" si="45"/>
        <v>7293.6766364566538</v>
      </c>
      <c r="BL26" s="31">
        <f t="shared" si="46"/>
        <v>0</v>
      </c>
      <c r="BM26" s="31">
        <f t="shared" si="47"/>
        <v>0</v>
      </c>
      <c r="BN26" s="33"/>
      <c r="BO26" s="37">
        <f t="shared" si="9"/>
        <v>-1</v>
      </c>
      <c r="BP26" s="36">
        <f>[1]RB!$M26</f>
        <v>319984.288493992</v>
      </c>
      <c r="BQ26" s="31">
        <f t="shared" si="48"/>
        <v>310832.73784306383</v>
      </c>
      <c r="BR26" s="18">
        <f t="shared" si="49"/>
        <v>9151.5506509281713</v>
      </c>
      <c r="BS26" s="31">
        <f t="shared" si="50"/>
        <v>0</v>
      </c>
      <c r="BT26" s="31">
        <f t="shared" si="51"/>
        <v>0</v>
      </c>
      <c r="BU26" s="33"/>
      <c r="BV26" s="37">
        <f t="shared" si="10"/>
        <v>-1</v>
      </c>
      <c r="BW26" s="36">
        <f>[1]RB!$N26</f>
        <v>308098.3824773191</v>
      </c>
      <c r="BX26" s="31">
        <f t="shared" si="52"/>
        <v>299286.76873846777</v>
      </c>
      <c r="BY26" s="18">
        <f t="shared" si="53"/>
        <v>8811.6137388513271</v>
      </c>
      <c r="BZ26" s="31">
        <f t="shared" si="54"/>
        <v>0</v>
      </c>
      <c r="CA26" s="31">
        <f t="shared" si="55"/>
        <v>0</v>
      </c>
      <c r="CB26" s="33"/>
      <c r="CC26" s="37">
        <f t="shared" si="11"/>
        <v>-1</v>
      </c>
      <c r="CD26" s="36">
        <f>[1]RB!$O26</f>
        <v>223820.85912999112</v>
      </c>
      <c r="CE26" s="31">
        <f t="shared" si="56"/>
        <v>217419.58255887337</v>
      </c>
      <c r="CF26" s="18">
        <f t="shared" si="57"/>
        <v>6401.2765711177462</v>
      </c>
      <c r="CG26" s="31">
        <f t="shared" si="58"/>
        <v>0</v>
      </c>
      <c r="CH26" s="31">
        <f t="shared" si="59"/>
        <v>0</v>
      </c>
      <c r="CI26" s="33"/>
      <c r="CJ26" s="37">
        <f t="shared" si="12"/>
        <v>-1</v>
      </c>
      <c r="CK26" s="36">
        <f>[1]RB!$P26</f>
        <v>218414.89951331913</v>
      </c>
      <c r="CL26" s="31">
        <f t="shared" si="60"/>
        <v>212168.2333872382</v>
      </c>
      <c r="CM26" s="18">
        <f t="shared" si="61"/>
        <v>6246.6661260809269</v>
      </c>
      <c r="CN26" s="31">
        <f t="shared" si="62"/>
        <v>0</v>
      </c>
      <c r="CO26" s="31">
        <f t="shared" si="63"/>
        <v>0</v>
      </c>
      <c r="CP26" s="33"/>
      <c r="CQ26" s="37">
        <f t="shared" si="13"/>
        <v>-1</v>
      </c>
      <c r="CR26" s="180"/>
      <c r="CS26" s="27"/>
      <c r="CT26" s="27"/>
      <c r="CU26" s="27"/>
      <c r="CV26" s="27"/>
      <c r="CW26" s="27"/>
      <c r="CX26" s="27"/>
      <c r="CY26" s="27"/>
      <c r="CZ26" s="27"/>
      <c r="DA26" s="27"/>
      <c r="DB26" s="27"/>
      <c r="DC26" s="27"/>
      <c r="DD26" s="27"/>
    </row>
    <row r="27" spans="1:108" s="26" customFormat="1" ht="16" customHeight="1" thickBot="1" x14ac:dyDescent="0.25">
      <c r="A27" s="181" t="s">
        <v>51</v>
      </c>
      <c r="B27" s="30">
        <f t="shared" si="0"/>
        <v>156702.2663127195</v>
      </c>
      <c r="C27" s="31">
        <f t="shared" si="0"/>
        <v>152220.58149617573</v>
      </c>
      <c r="D27" s="32">
        <f t="shared" si="0"/>
        <v>4481.6848165437777</v>
      </c>
      <c r="E27" s="30">
        <f t="shared" si="14"/>
        <v>48760.904023919706</v>
      </c>
      <c r="F27" s="33">
        <f t="shared" si="14"/>
        <v>47366.342168835596</v>
      </c>
      <c r="G27" s="34">
        <f t="shared" si="14"/>
        <v>1394.5618550841034</v>
      </c>
      <c r="H27" s="31">
        <f t="shared" si="1"/>
        <v>113475.08182800001</v>
      </c>
      <c r="I27" s="33">
        <f t="shared" si="1"/>
        <v>3340.9381719999997</v>
      </c>
      <c r="J27" s="33">
        <f t="shared" si="1"/>
        <v>116816.01999999999</v>
      </c>
      <c r="K27" s="37">
        <f t="shared" si="15"/>
        <v>1.3956902017791917</v>
      </c>
      <c r="L27" s="36">
        <f>[1]RB!$E27</f>
        <v>4221.6986017600002</v>
      </c>
      <c r="M27" s="31">
        <f t="shared" si="16"/>
        <v>4100.9580217496641</v>
      </c>
      <c r="N27" s="31">
        <f t="shared" si="17"/>
        <v>120.740580010336</v>
      </c>
      <c r="O27" s="31">
        <f t="shared" si="18"/>
        <v>6182.3198760000005</v>
      </c>
      <c r="P27" s="31">
        <f t="shared" si="19"/>
        <v>182.02012400000001</v>
      </c>
      <c r="Q27" s="31">
        <f>6364.34</f>
        <v>6364.34</v>
      </c>
      <c r="R27" s="31">
        <f t="shared" si="2"/>
        <v>0.50753064118474622</v>
      </c>
      <c r="S27" s="31">
        <f>[1]RB!$F27</f>
        <v>15240.6213060799</v>
      </c>
      <c r="T27" s="31">
        <f t="shared" si="20"/>
        <v>14804.739536726014</v>
      </c>
      <c r="U27" s="31">
        <f t="shared" si="21"/>
        <v>435.88176935388515</v>
      </c>
      <c r="V27" s="31">
        <f t="shared" si="22"/>
        <v>8905.319214000001</v>
      </c>
      <c r="W27" s="31">
        <f t="shared" si="23"/>
        <v>262.190786</v>
      </c>
      <c r="X27" s="31">
        <v>9167.51</v>
      </c>
      <c r="Y27" s="31">
        <f t="shared" si="3"/>
        <v>-0.39848187184187633</v>
      </c>
      <c r="Z27" s="31">
        <f>[1]RB!$G27</f>
        <v>15240.6213060799</v>
      </c>
      <c r="AA27" s="31">
        <f t="shared" si="24"/>
        <v>14804.739536726014</v>
      </c>
      <c r="AB27" s="31">
        <f t="shared" si="25"/>
        <v>435.88176935388515</v>
      </c>
      <c r="AC27" s="31">
        <f t="shared" si="26"/>
        <v>29380.352417999999</v>
      </c>
      <c r="AD27" s="31">
        <f t="shared" si="27"/>
        <v>865.01758199999995</v>
      </c>
      <c r="AE27" s="31">
        <v>30245.37</v>
      </c>
      <c r="AF27" s="31">
        <f t="shared" si="4"/>
        <v>0.9845234254284827</v>
      </c>
      <c r="AG27" s="31">
        <f>[1]RB!$H27</f>
        <v>14057.962809999901</v>
      </c>
      <c r="AH27" s="31">
        <f t="shared" si="28"/>
        <v>13655.905073633903</v>
      </c>
      <c r="AI27" s="31">
        <f t="shared" si="29"/>
        <v>402.05773636599719</v>
      </c>
      <c r="AJ27" s="31">
        <f t="shared" si="30"/>
        <v>17984.266464</v>
      </c>
      <c r="AK27" s="31">
        <f t="shared" si="31"/>
        <v>529.49353599999995</v>
      </c>
      <c r="AL27" s="31">
        <v>18513.759999999998</v>
      </c>
      <c r="AM27" s="31">
        <f t="shared" si="5"/>
        <v>0.31695895416870346</v>
      </c>
      <c r="AN27" s="31">
        <f>[1]RB!$I27</f>
        <v>5506.77441</v>
      </c>
      <c r="AO27" s="31">
        <f t="shared" si="32"/>
        <v>5349.2806618739996</v>
      </c>
      <c r="AP27" s="31">
        <f t="shared" si="33"/>
        <v>157.49374812600001</v>
      </c>
      <c r="AQ27" s="31">
        <f t="shared" si="34"/>
        <v>29565.812106000001</v>
      </c>
      <c r="AR27" s="31">
        <f t="shared" si="35"/>
        <v>870.47789399999999</v>
      </c>
      <c r="AS27" s="33">
        <v>30436.29</v>
      </c>
      <c r="AT27" s="37">
        <f t="shared" si="6"/>
        <v>4.5270631650952273</v>
      </c>
      <c r="AU27" s="36">
        <f>[1]RB!$J27</f>
        <v>18279.66141176</v>
      </c>
      <c r="AV27" s="31">
        <f t="shared" si="36"/>
        <v>17756.863095383665</v>
      </c>
      <c r="AW27" s="18">
        <f t="shared" si="37"/>
        <v>522.79831637633606</v>
      </c>
      <c r="AX27" s="31">
        <f t="shared" si="38"/>
        <v>21457.011750000001</v>
      </c>
      <c r="AY27" s="31">
        <f t="shared" si="39"/>
        <v>631.73824999999999</v>
      </c>
      <c r="AZ27" s="27">
        <v>22088.75</v>
      </c>
      <c r="BA27" s="37">
        <f t="shared" si="7"/>
        <v>0.20837850890331411</v>
      </c>
      <c r="BB27" s="36">
        <f>[1]RB!$K27</f>
        <v>9728.4730117599993</v>
      </c>
      <c r="BC27" s="31">
        <f t="shared" si="40"/>
        <v>9450.2386836236637</v>
      </c>
      <c r="BD27" s="18">
        <f t="shared" si="41"/>
        <v>278.23432813633599</v>
      </c>
      <c r="BE27" s="31">
        <f t="shared" si="42"/>
        <v>0</v>
      </c>
      <c r="BF27" s="31">
        <f t="shared" si="43"/>
        <v>0</v>
      </c>
      <c r="BG27" s="27"/>
      <c r="BH27" s="37">
        <f t="shared" si="8"/>
        <v>-1</v>
      </c>
      <c r="BI27" s="36">
        <f>[1]RB!$L27</f>
        <v>18279.66141176</v>
      </c>
      <c r="BJ27" s="31">
        <f t="shared" si="44"/>
        <v>17756.863095383665</v>
      </c>
      <c r="BK27" s="18">
        <f t="shared" si="45"/>
        <v>522.79831637633606</v>
      </c>
      <c r="BL27" s="31">
        <f t="shared" si="46"/>
        <v>0</v>
      </c>
      <c r="BM27" s="31">
        <f t="shared" si="47"/>
        <v>0</v>
      </c>
      <c r="BN27" s="33"/>
      <c r="BO27" s="37">
        <f t="shared" si="9"/>
        <v>-1</v>
      </c>
      <c r="BP27" s="36">
        <f>[1]RB!$M27</f>
        <v>18279.66141176</v>
      </c>
      <c r="BQ27" s="31">
        <f t="shared" si="48"/>
        <v>17756.863095383665</v>
      </c>
      <c r="BR27" s="18">
        <f t="shared" si="49"/>
        <v>522.79831637633606</v>
      </c>
      <c r="BS27" s="31">
        <f t="shared" si="50"/>
        <v>0</v>
      </c>
      <c r="BT27" s="31">
        <f t="shared" si="51"/>
        <v>0</v>
      </c>
      <c r="BU27" s="33"/>
      <c r="BV27" s="37">
        <f t="shared" si="10"/>
        <v>-1</v>
      </c>
      <c r="BW27" s="36">
        <f>[1]RB!$N27</f>
        <v>15436.842611759999</v>
      </c>
      <c r="BX27" s="31">
        <f t="shared" si="52"/>
        <v>14995.348913063663</v>
      </c>
      <c r="BY27" s="18">
        <f t="shared" si="53"/>
        <v>441.49369869633597</v>
      </c>
      <c r="BZ27" s="31">
        <f t="shared" si="54"/>
        <v>0</v>
      </c>
      <c r="CA27" s="31">
        <f t="shared" si="55"/>
        <v>0</v>
      </c>
      <c r="CB27" s="33"/>
      <c r="CC27" s="37">
        <f t="shared" si="11"/>
        <v>-1</v>
      </c>
      <c r="CD27" s="36">
        <f>[1]RB!$O27</f>
        <v>11215.1440099999</v>
      </c>
      <c r="CE27" s="31">
        <f t="shared" si="56"/>
        <v>10894.390891313902</v>
      </c>
      <c r="CF27" s="18">
        <f t="shared" si="57"/>
        <v>320.75311868599715</v>
      </c>
      <c r="CG27" s="31">
        <f t="shared" si="58"/>
        <v>0</v>
      </c>
      <c r="CH27" s="31">
        <f t="shared" si="59"/>
        <v>0</v>
      </c>
      <c r="CI27" s="33"/>
      <c r="CJ27" s="37">
        <f t="shared" si="12"/>
        <v>-1</v>
      </c>
      <c r="CK27" s="36">
        <f>[1]RB!$P27</f>
        <v>11215.1440099999</v>
      </c>
      <c r="CL27" s="31">
        <f t="shared" si="60"/>
        <v>10894.390891313902</v>
      </c>
      <c r="CM27" s="18">
        <f t="shared" si="61"/>
        <v>320.75311868599715</v>
      </c>
      <c r="CN27" s="31">
        <f t="shared" si="62"/>
        <v>0</v>
      </c>
      <c r="CO27" s="31">
        <f t="shared" si="63"/>
        <v>0</v>
      </c>
      <c r="CP27" s="33"/>
      <c r="CQ27" s="37">
        <f t="shared" si="13"/>
        <v>-1</v>
      </c>
      <c r="CR27" s="180"/>
      <c r="CS27" s="27"/>
      <c r="CT27" s="27"/>
      <c r="CU27" s="27"/>
      <c r="CV27" s="27"/>
      <c r="CW27" s="27"/>
      <c r="CX27" s="27"/>
      <c r="CY27" s="27"/>
      <c r="CZ27" s="27"/>
      <c r="DA27" s="27"/>
      <c r="DB27" s="27"/>
      <c r="DC27" s="27"/>
      <c r="DD27" s="27"/>
    </row>
    <row r="28" spans="1:108" s="26" customFormat="1" ht="16" customHeight="1" thickBot="1" x14ac:dyDescent="0.25">
      <c r="A28" s="181" t="s">
        <v>52</v>
      </c>
      <c r="B28" s="30">
        <f t="shared" si="0"/>
        <v>158459.4669499991</v>
      </c>
      <c r="C28" s="31">
        <f t="shared" si="0"/>
        <v>153927.52619522909</v>
      </c>
      <c r="D28" s="32">
        <f t="shared" si="0"/>
        <v>4531.9407547699739</v>
      </c>
      <c r="E28" s="30">
        <f t="shared" si="14"/>
        <v>54492.221989999794</v>
      </c>
      <c r="F28" s="33">
        <f t="shared" si="14"/>
        <v>52933.744441085808</v>
      </c>
      <c r="G28" s="34">
        <f t="shared" si="14"/>
        <v>1558.4775489139943</v>
      </c>
      <c r="H28" s="31">
        <f t="shared" si="1"/>
        <v>50479.947251999998</v>
      </c>
      <c r="I28" s="33">
        <f t="shared" si="1"/>
        <v>1486.2327480000004</v>
      </c>
      <c r="J28" s="33">
        <f t="shared" si="1"/>
        <v>51966.18</v>
      </c>
      <c r="K28" s="37">
        <f t="shared" si="15"/>
        <v>-4.6356010046045948E-2</v>
      </c>
      <c r="L28" s="36">
        <f>[1]RB!$E28</f>
        <v>11601.380219999999</v>
      </c>
      <c r="M28" s="31">
        <f t="shared" si="16"/>
        <v>11269.580745707999</v>
      </c>
      <c r="N28" s="31">
        <f t="shared" si="17"/>
        <v>331.79947429199996</v>
      </c>
      <c r="O28" s="31">
        <f t="shared" si="18"/>
        <v>13140.652356000001</v>
      </c>
      <c r="P28" s="31">
        <f t="shared" si="19"/>
        <v>386.88764400000002</v>
      </c>
      <c r="Q28" s="31">
        <v>13527.54</v>
      </c>
      <c r="R28" s="31">
        <f t="shared" si="2"/>
        <v>0.16602850208110853</v>
      </c>
      <c r="S28" s="31">
        <f>[1]RB!$F28</f>
        <v>11601.380219999999</v>
      </c>
      <c r="T28" s="31">
        <f t="shared" si="20"/>
        <v>11269.580745707999</v>
      </c>
      <c r="U28" s="31">
        <f t="shared" si="21"/>
        <v>331.79947429199996</v>
      </c>
      <c r="V28" s="31">
        <f t="shared" si="22"/>
        <v>11428.705566000001</v>
      </c>
      <c r="W28" s="31">
        <f t="shared" si="23"/>
        <v>336.48443400000002</v>
      </c>
      <c r="X28" s="31">
        <v>11765.19</v>
      </c>
      <c r="Y28" s="31">
        <f t="shared" si="3"/>
        <v>1.4119852715248848E-2</v>
      </c>
      <c r="Z28" s="31">
        <f>[1]RB!$G28</f>
        <v>15468.506959999901</v>
      </c>
      <c r="AA28" s="31">
        <f t="shared" si="24"/>
        <v>15026.107660943904</v>
      </c>
      <c r="AB28" s="31">
        <f t="shared" si="25"/>
        <v>442.39929905599718</v>
      </c>
      <c r="AC28" s="31">
        <f t="shared" si="26"/>
        <v>5473.2853020000002</v>
      </c>
      <c r="AD28" s="31">
        <f t="shared" si="27"/>
        <v>161.14469800000001</v>
      </c>
      <c r="AE28" s="31">
        <v>5634.43</v>
      </c>
      <c r="AF28" s="31">
        <f t="shared" si="4"/>
        <v>-0.63574829719700132</v>
      </c>
      <c r="AG28" s="31">
        <f>[1]RB!$H28</f>
        <v>15820.954589999899</v>
      </c>
      <c r="AH28" s="31">
        <f t="shared" si="28"/>
        <v>15368.475288725902</v>
      </c>
      <c r="AI28" s="31">
        <f t="shared" si="29"/>
        <v>452.47930127399712</v>
      </c>
      <c r="AJ28" s="31">
        <f t="shared" si="30"/>
        <v>3013.0302359999996</v>
      </c>
      <c r="AK28" s="31">
        <f t="shared" si="31"/>
        <v>88.709763999999993</v>
      </c>
      <c r="AL28" s="31">
        <v>3101.74</v>
      </c>
      <c r="AM28" s="31">
        <f t="shared" si="5"/>
        <v>-0.8039473546077589</v>
      </c>
      <c r="AN28" s="31">
        <f>[1]RB!$I28</f>
        <v>13534.943589999901</v>
      </c>
      <c r="AO28" s="31">
        <f t="shared" si="32"/>
        <v>13147.844203325903</v>
      </c>
      <c r="AP28" s="31">
        <f t="shared" si="33"/>
        <v>387.09938667399717</v>
      </c>
      <c r="AQ28" s="31">
        <f t="shared" si="34"/>
        <v>6330.3418080000001</v>
      </c>
      <c r="AR28" s="31">
        <f t="shared" si="35"/>
        <v>186.37819200000001</v>
      </c>
      <c r="AS28" s="33">
        <v>6516.72</v>
      </c>
      <c r="AT28" s="37">
        <f t="shared" si="6"/>
        <v>-0.51852625342193626</v>
      </c>
      <c r="AU28" s="36">
        <f>[1]RB!$J28</f>
        <v>11953.8278499999</v>
      </c>
      <c r="AV28" s="31">
        <f t="shared" si="36"/>
        <v>11611.948373489902</v>
      </c>
      <c r="AW28" s="18">
        <f t="shared" si="37"/>
        <v>341.87947650999712</v>
      </c>
      <c r="AX28" s="31">
        <f t="shared" si="38"/>
        <v>11093.931983999999</v>
      </c>
      <c r="AY28" s="31">
        <f t="shared" si="39"/>
        <v>326.628016</v>
      </c>
      <c r="AZ28" s="27">
        <v>11420.56</v>
      </c>
      <c r="BA28" s="37">
        <f t="shared" si="7"/>
        <v>-4.4610634910549174E-2</v>
      </c>
      <c r="BB28" s="36">
        <f>[1]RB!$K28</f>
        <v>9667.8168499999992</v>
      </c>
      <c r="BC28" s="31">
        <f t="shared" si="40"/>
        <v>9391.3172880900001</v>
      </c>
      <c r="BD28" s="18">
        <f t="shared" si="41"/>
        <v>276.49956190999995</v>
      </c>
      <c r="BE28" s="31">
        <f t="shared" si="42"/>
        <v>0</v>
      </c>
      <c r="BF28" s="31">
        <f t="shared" si="43"/>
        <v>0</v>
      </c>
      <c r="BG28" s="27"/>
      <c r="BH28" s="37">
        <f t="shared" si="8"/>
        <v>-1</v>
      </c>
      <c r="BI28" s="36">
        <f>[1]RB!$L28</f>
        <v>15820.954589999899</v>
      </c>
      <c r="BJ28" s="31">
        <f t="shared" si="44"/>
        <v>15368.475288725902</v>
      </c>
      <c r="BK28" s="18">
        <f t="shared" si="45"/>
        <v>452.47930127399712</v>
      </c>
      <c r="BL28" s="31">
        <f t="shared" si="46"/>
        <v>0</v>
      </c>
      <c r="BM28" s="31">
        <f t="shared" si="47"/>
        <v>0</v>
      </c>
      <c r="BN28" s="33"/>
      <c r="BO28" s="37">
        <f t="shared" si="9"/>
        <v>-1</v>
      </c>
      <c r="BP28" s="36">
        <f>[1]RB!$M28</f>
        <v>15820.954589999899</v>
      </c>
      <c r="BQ28" s="31">
        <f t="shared" si="48"/>
        <v>15368.475288725902</v>
      </c>
      <c r="BR28" s="18">
        <f t="shared" si="49"/>
        <v>452.47930127399712</v>
      </c>
      <c r="BS28" s="31">
        <f t="shared" si="50"/>
        <v>0</v>
      </c>
      <c r="BT28" s="31">
        <f t="shared" si="51"/>
        <v>0</v>
      </c>
      <c r="BU28" s="33"/>
      <c r="BV28" s="37">
        <f t="shared" si="10"/>
        <v>-1</v>
      </c>
      <c r="BW28" s="36">
        <f>[1]RB!$N28</f>
        <v>14967.6669899999</v>
      </c>
      <c r="BX28" s="31">
        <f t="shared" si="52"/>
        <v>14539.591714085902</v>
      </c>
      <c r="BY28" s="18">
        <f t="shared" si="53"/>
        <v>428.07527591399713</v>
      </c>
      <c r="BZ28" s="31">
        <f t="shared" si="54"/>
        <v>0</v>
      </c>
      <c r="CA28" s="31">
        <f t="shared" si="55"/>
        <v>0</v>
      </c>
      <c r="CB28" s="33"/>
      <c r="CC28" s="37">
        <f t="shared" si="11"/>
        <v>-1</v>
      </c>
      <c r="CD28" s="36">
        <f>[1]RB!$O28</f>
        <v>11100.5402499999</v>
      </c>
      <c r="CE28" s="31">
        <f t="shared" si="56"/>
        <v>10783.064798849902</v>
      </c>
      <c r="CF28" s="18">
        <f t="shared" si="57"/>
        <v>317.47545114999713</v>
      </c>
      <c r="CG28" s="31">
        <f t="shared" si="58"/>
        <v>0</v>
      </c>
      <c r="CH28" s="31">
        <f t="shared" si="59"/>
        <v>0</v>
      </c>
      <c r="CI28" s="33"/>
      <c r="CJ28" s="37">
        <f t="shared" si="12"/>
        <v>-1</v>
      </c>
      <c r="CK28" s="36">
        <f>[1]RB!$P28</f>
        <v>11100.5402499999</v>
      </c>
      <c r="CL28" s="31">
        <f t="shared" si="60"/>
        <v>10783.064798849902</v>
      </c>
      <c r="CM28" s="18">
        <f t="shared" si="61"/>
        <v>317.47545114999713</v>
      </c>
      <c r="CN28" s="31">
        <f t="shared" si="62"/>
        <v>0</v>
      </c>
      <c r="CO28" s="31">
        <f t="shared" si="63"/>
        <v>0</v>
      </c>
      <c r="CP28" s="33"/>
      <c r="CQ28" s="37">
        <f t="shared" si="13"/>
        <v>-1</v>
      </c>
      <c r="CR28" s="180"/>
      <c r="CS28" s="27"/>
      <c r="CT28" s="27"/>
      <c r="CU28" s="27"/>
      <c r="CV28" s="27"/>
      <c r="CW28" s="27"/>
      <c r="CX28" s="27"/>
      <c r="CY28" s="27"/>
      <c r="CZ28" s="27"/>
      <c r="DA28" s="27"/>
      <c r="DB28" s="27"/>
      <c r="DC28" s="27"/>
      <c r="DD28" s="27"/>
    </row>
    <row r="29" spans="1:108" s="26" customFormat="1" ht="16" customHeight="1" thickBot="1" x14ac:dyDescent="0.25">
      <c r="A29" s="181" t="s">
        <v>53</v>
      </c>
      <c r="B29" s="30">
        <f t="shared" si="0"/>
        <v>313400.68799999997</v>
      </c>
      <c r="C29" s="31">
        <f t="shared" si="0"/>
        <v>304437.42832319997</v>
      </c>
      <c r="D29" s="32">
        <f t="shared" si="0"/>
        <v>8963.2596768000003</v>
      </c>
      <c r="E29" s="30">
        <f t="shared" si="14"/>
        <v>104466.89600000001</v>
      </c>
      <c r="F29" s="33">
        <f t="shared" si="14"/>
        <v>101479.14277440001</v>
      </c>
      <c r="G29" s="34">
        <f t="shared" si="14"/>
        <v>2987.7532256</v>
      </c>
      <c r="H29" s="31">
        <f t="shared" si="1"/>
        <v>0</v>
      </c>
      <c r="I29" s="33">
        <f t="shared" si="1"/>
        <v>0</v>
      </c>
      <c r="J29" s="33">
        <f t="shared" si="1"/>
        <v>0</v>
      </c>
      <c r="K29" s="37">
        <f t="shared" si="15"/>
        <v>-1</v>
      </c>
      <c r="L29" s="36">
        <f>[1]RB!$E29</f>
        <v>20636.314999999999</v>
      </c>
      <c r="M29" s="31">
        <f t="shared" si="16"/>
        <v>20046.116391</v>
      </c>
      <c r="N29" s="31">
        <f t="shared" si="17"/>
        <v>590.19860899999992</v>
      </c>
      <c r="O29" s="31">
        <f t="shared" si="18"/>
        <v>0</v>
      </c>
      <c r="P29" s="31">
        <f t="shared" si="19"/>
        <v>0</v>
      </c>
      <c r="Q29" s="31"/>
      <c r="R29" s="31">
        <f t="shared" si="2"/>
        <v>-1</v>
      </c>
      <c r="S29" s="31">
        <f>[1]RB!$F29</f>
        <v>31597.133000000002</v>
      </c>
      <c r="T29" s="31">
        <f t="shared" si="20"/>
        <v>30693.454996200002</v>
      </c>
      <c r="U29" s="31">
        <f t="shared" si="21"/>
        <v>903.67800380000006</v>
      </c>
      <c r="V29" s="31">
        <f t="shared" si="22"/>
        <v>0</v>
      </c>
      <c r="W29" s="31">
        <f t="shared" si="23"/>
        <v>0</v>
      </c>
      <c r="X29" s="31"/>
      <c r="Y29" s="31">
        <f t="shared" si="3"/>
        <v>-1</v>
      </c>
      <c r="Z29" s="31">
        <f>[1]RB!$G29</f>
        <v>20636.314999999999</v>
      </c>
      <c r="AA29" s="31">
        <f t="shared" si="24"/>
        <v>20046.116391</v>
      </c>
      <c r="AB29" s="31">
        <f t="shared" si="25"/>
        <v>590.19860899999992</v>
      </c>
      <c r="AC29" s="31">
        <f t="shared" si="26"/>
        <v>0</v>
      </c>
      <c r="AD29" s="31">
        <f t="shared" si="27"/>
        <v>0</v>
      </c>
      <c r="AE29" s="31"/>
      <c r="AF29" s="31">
        <f t="shared" si="4"/>
        <v>-1</v>
      </c>
      <c r="AG29" s="31">
        <f>[1]RB!$H29</f>
        <v>31597.133000000002</v>
      </c>
      <c r="AH29" s="31">
        <f t="shared" si="28"/>
        <v>30693.454996200002</v>
      </c>
      <c r="AI29" s="31">
        <f t="shared" si="29"/>
        <v>903.67800380000006</v>
      </c>
      <c r="AJ29" s="31">
        <f t="shared" si="30"/>
        <v>0</v>
      </c>
      <c r="AK29" s="31">
        <f t="shared" si="31"/>
        <v>0</v>
      </c>
      <c r="AL29" s="31"/>
      <c r="AM29" s="31">
        <f t="shared" si="5"/>
        <v>-1</v>
      </c>
      <c r="AN29" s="31">
        <f>[1]RB!$I29</f>
        <v>20636.314999999999</v>
      </c>
      <c r="AO29" s="31">
        <f t="shared" si="32"/>
        <v>20046.116391</v>
      </c>
      <c r="AP29" s="31">
        <f t="shared" si="33"/>
        <v>590.19860899999992</v>
      </c>
      <c r="AQ29" s="31">
        <f t="shared" si="34"/>
        <v>0</v>
      </c>
      <c r="AR29" s="31">
        <f t="shared" si="35"/>
        <v>0</v>
      </c>
      <c r="AS29" s="33"/>
      <c r="AT29" s="37">
        <f t="shared" si="6"/>
        <v>-1</v>
      </c>
      <c r="AU29" s="36">
        <f>[1]RB!$J29</f>
        <v>31597.133000000002</v>
      </c>
      <c r="AV29" s="31">
        <f t="shared" si="36"/>
        <v>30693.454996200002</v>
      </c>
      <c r="AW29" s="18">
        <f t="shared" si="37"/>
        <v>903.67800380000006</v>
      </c>
      <c r="AX29" s="31">
        <f t="shared" si="38"/>
        <v>0</v>
      </c>
      <c r="AY29" s="31">
        <f t="shared" si="39"/>
        <v>0</v>
      </c>
      <c r="AZ29" s="27"/>
      <c r="BA29" s="37">
        <f t="shared" si="7"/>
        <v>-1</v>
      </c>
      <c r="BB29" s="36">
        <f>[1]RB!$K29</f>
        <v>20636.314999999999</v>
      </c>
      <c r="BC29" s="31">
        <f t="shared" si="40"/>
        <v>20046.116391</v>
      </c>
      <c r="BD29" s="18">
        <f t="shared" si="41"/>
        <v>590.19860899999992</v>
      </c>
      <c r="BE29" s="31">
        <f t="shared" si="42"/>
        <v>0</v>
      </c>
      <c r="BF29" s="31">
        <f t="shared" si="43"/>
        <v>0</v>
      </c>
      <c r="BG29" s="27"/>
      <c r="BH29" s="37">
        <f t="shared" si="8"/>
        <v>-1</v>
      </c>
      <c r="BI29" s="36">
        <f>[1]RB!$L29</f>
        <v>31597.133000000002</v>
      </c>
      <c r="BJ29" s="31">
        <f t="shared" si="44"/>
        <v>30693.454996200002</v>
      </c>
      <c r="BK29" s="18">
        <f t="shared" si="45"/>
        <v>903.67800380000006</v>
      </c>
      <c r="BL29" s="31">
        <f t="shared" si="46"/>
        <v>0</v>
      </c>
      <c r="BM29" s="31">
        <f t="shared" si="47"/>
        <v>0</v>
      </c>
      <c r="BN29" s="33"/>
      <c r="BO29" s="37">
        <f t="shared" si="9"/>
        <v>-1</v>
      </c>
      <c r="BP29" s="36">
        <f>[1]RB!$M29</f>
        <v>20636.314999999999</v>
      </c>
      <c r="BQ29" s="31">
        <f t="shared" si="48"/>
        <v>20046.116391</v>
      </c>
      <c r="BR29" s="18">
        <f t="shared" si="49"/>
        <v>590.19860899999992</v>
      </c>
      <c r="BS29" s="31">
        <f t="shared" si="50"/>
        <v>0</v>
      </c>
      <c r="BT29" s="31">
        <f t="shared" si="51"/>
        <v>0</v>
      </c>
      <c r="BU29" s="33"/>
      <c r="BV29" s="37">
        <f t="shared" si="10"/>
        <v>-1</v>
      </c>
      <c r="BW29" s="36">
        <f>[1]RB!$N29</f>
        <v>31597.133000000002</v>
      </c>
      <c r="BX29" s="31">
        <f t="shared" si="52"/>
        <v>30693.454996200002</v>
      </c>
      <c r="BY29" s="18">
        <f t="shared" si="53"/>
        <v>903.67800380000006</v>
      </c>
      <c r="BZ29" s="31">
        <f t="shared" si="54"/>
        <v>0</v>
      </c>
      <c r="CA29" s="31">
        <f t="shared" si="55"/>
        <v>0</v>
      </c>
      <c r="CB29" s="33"/>
      <c r="CC29" s="37">
        <f t="shared" si="11"/>
        <v>-1</v>
      </c>
      <c r="CD29" s="36">
        <f>[1]RB!$O29</f>
        <v>20636.314999999999</v>
      </c>
      <c r="CE29" s="31">
        <f t="shared" si="56"/>
        <v>20046.116391</v>
      </c>
      <c r="CF29" s="18">
        <f t="shared" si="57"/>
        <v>590.19860899999992</v>
      </c>
      <c r="CG29" s="31">
        <f t="shared" si="58"/>
        <v>0</v>
      </c>
      <c r="CH29" s="31">
        <f t="shared" si="59"/>
        <v>0</v>
      </c>
      <c r="CI29" s="33"/>
      <c r="CJ29" s="37">
        <f t="shared" si="12"/>
        <v>-1</v>
      </c>
      <c r="CK29" s="36">
        <f>[1]RB!$P29</f>
        <v>31597.133000000002</v>
      </c>
      <c r="CL29" s="31">
        <f t="shared" si="60"/>
        <v>30693.454996200002</v>
      </c>
      <c r="CM29" s="18">
        <f t="shared" si="61"/>
        <v>903.67800380000006</v>
      </c>
      <c r="CN29" s="31">
        <f t="shared" si="62"/>
        <v>0</v>
      </c>
      <c r="CO29" s="31">
        <f t="shared" si="63"/>
        <v>0</v>
      </c>
      <c r="CP29" s="33"/>
      <c r="CQ29" s="37">
        <f t="shared" si="13"/>
        <v>-1</v>
      </c>
      <c r="CR29" s="180"/>
      <c r="CS29" s="27"/>
      <c r="CT29" s="27"/>
      <c r="CU29" s="27"/>
      <c r="CV29" s="27"/>
      <c r="CW29" s="27"/>
      <c r="CX29" s="27"/>
      <c r="CY29" s="27"/>
      <c r="CZ29" s="27"/>
      <c r="DA29" s="27"/>
      <c r="DB29" s="27"/>
      <c r="DC29" s="27"/>
      <c r="DD29" s="27"/>
    </row>
    <row r="30" spans="1:108" s="26" customFormat="1" ht="16" customHeight="1" thickBot="1" x14ac:dyDescent="0.25">
      <c r="A30" s="181" t="s">
        <v>54</v>
      </c>
      <c r="B30" s="30">
        <f t="shared" si="0"/>
        <v>80000</v>
      </c>
      <c r="C30" s="31">
        <f t="shared" si="0"/>
        <v>77712</v>
      </c>
      <c r="D30" s="32">
        <f t="shared" si="0"/>
        <v>2288.0000000000005</v>
      </c>
      <c r="E30" s="30">
        <f t="shared" si="14"/>
        <v>26666.666666666668</v>
      </c>
      <c r="F30" s="33">
        <f t="shared" si="14"/>
        <v>25904</v>
      </c>
      <c r="G30" s="34">
        <f t="shared" si="14"/>
        <v>762.66666666666674</v>
      </c>
      <c r="H30" s="31">
        <f t="shared" si="1"/>
        <v>0</v>
      </c>
      <c r="I30" s="33">
        <f t="shared" si="1"/>
        <v>0</v>
      </c>
      <c r="J30" s="33">
        <f t="shared" si="1"/>
        <v>0</v>
      </c>
      <c r="K30" s="37">
        <f t="shared" si="15"/>
        <v>-1</v>
      </c>
      <c r="L30" s="36">
        <f>[1]RB!$E30</f>
        <v>6666.666666666667</v>
      </c>
      <c r="M30" s="31">
        <f t="shared" si="16"/>
        <v>6476</v>
      </c>
      <c r="N30" s="31">
        <f t="shared" si="17"/>
        <v>190.66666666666669</v>
      </c>
      <c r="O30" s="31">
        <f t="shared" si="18"/>
        <v>0</v>
      </c>
      <c r="P30" s="31">
        <f t="shared" si="19"/>
        <v>0</v>
      </c>
      <c r="Q30" s="31"/>
      <c r="R30" s="31">
        <f t="shared" si="2"/>
        <v>-1</v>
      </c>
      <c r="S30" s="31">
        <f>[1]RB!$F30</f>
        <v>6666.666666666667</v>
      </c>
      <c r="T30" s="31">
        <f t="shared" si="20"/>
        <v>6476</v>
      </c>
      <c r="U30" s="31">
        <f t="shared" si="21"/>
        <v>190.66666666666669</v>
      </c>
      <c r="V30" s="31">
        <f t="shared" si="22"/>
        <v>0</v>
      </c>
      <c r="W30" s="31">
        <f t="shared" si="23"/>
        <v>0</v>
      </c>
      <c r="X30" s="31"/>
      <c r="Y30" s="31">
        <f t="shared" si="3"/>
        <v>-1</v>
      </c>
      <c r="Z30" s="31">
        <f>[1]RB!$G30</f>
        <v>6666.666666666667</v>
      </c>
      <c r="AA30" s="31">
        <f t="shared" si="24"/>
        <v>6476</v>
      </c>
      <c r="AB30" s="31">
        <f t="shared" si="25"/>
        <v>190.66666666666669</v>
      </c>
      <c r="AC30" s="31">
        <f t="shared" si="26"/>
        <v>0</v>
      </c>
      <c r="AD30" s="31">
        <f t="shared" si="27"/>
        <v>0</v>
      </c>
      <c r="AE30" s="31"/>
      <c r="AF30" s="31">
        <f t="shared" si="4"/>
        <v>-1</v>
      </c>
      <c r="AG30" s="31">
        <f>[1]RB!$H30</f>
        <v>6666.666666666667</v>
      </c>
      <c r="AH30" s="31">
        <f t="shared" si="28"/>
        <v>6476</v>
      </c>
      <c r="AI30" s="31">
        <f t="shared" si="29"/>
        <v>190.66666666666669</v>
      </c>
      <c r="AJ30" s="31">
        <f t="shared" si="30"/>
        <v>0</v>
      </c>
      <c r="AK30" s="31">
        <f t="shared" si="31"/>
        <v>0</v>
      </c>
      <c r="AL30" s="31"/>
      <c r="AM30" s="31">
        <f t="shared" si="5"/>
        <v>-1</v>
      </c>
      <c r="AN30" s="31">
        <f>[1]RB!$I30</f>
        <v>6666.666666666667</v>
      </c>
      <c r="AO30" s="31">
        <f t="shared" si="32"/>
        <v>6476</v>
      </c>
      <c r="AP30" s="31">
        <f t="shared" si="33"/>
        <v>190.66666666666669</v>
      </c>
      <c r="AQ30" s="31">
        <f t="shared" si="34"/>
        <v>0</v>
      </c>
      <c r="AR30" s="31">
        <f t="shared" si="35"/>
        <v>0</v>
      </c>
      <c r="AS30" s="33"/>
      <c r="AT30" s="37">
        <f t="shared" si="6"/>
        <v>-1</v>
      </c>
      <c r="AU30" s="36">
        <f>[1]RB!$J30</f>
        <v>6666.666666666667</v>
      </c>
      <c r="AV30" s="31">
        <f t="shared" si="36"/>
        <v>6476</v>
      </c>
      <c r="AW30" s="18">
        <f t="shared" si="37"/>
        <v>190.66666666666669</v>
      </c>
      <c r="AX30" s="31">
        <f t="shared" si="38"/>
        <v>0</v>
      </c>
      <c r="AY30" s="31">
        <f t="shared" si="39"/>
        <v>0</v>
      </c>
      <c r="AZ30" s="27"/>
      <c r="BA30" s="37">
        <f t="shared" si="7"/>
        <v>-1</v>
      </c>
      <c r="BB30" s="36">
        <f>[1]RB!$K30</f>
        <v>6666.666666666667</v>
      </c>
      <c r="BC30" s="31">
        <f t="shared" si="40"/>
        <v>6476</v>
      </c>
      <c r="BD30" s="18">
        <f t="shared" si="41"/>
        <v>190.66666666666669</v>
      </c>
      <c r="BE30" s="31">
        <f t="shared" si="42"/>
        <v>0</v>
      </c>
      <c r="BF30" s="31">
        <f t="shared" si="43"/>
        <v>0</v>
      </c>
      <c r="BG30" s="27"/>
      <c r="BH30" s="37">
        <f t="shared" si="8"/>
        <v>-1</v>
      </c>
      <c r="BI30" s="36">
        <f>[1]RB!$L30</f>
        <v>6666.666666666667</v>
      </c>
      <c r="BJ30" s="31">
        <f t="shared" si="44"/>
        <v>6476</v>
      </c>
      <c r="BK30" s="18">
        <f t="shared" si="45"/>
        <v>190.66666666666669</v>
      </c>
      <c r="BL30" s="31">
        <f t="shared" si="46"/>
        <v>0</v>
      </c>
      <c r="BM30" s="31">
        <f t="shared" si="47"/>
        <v>0</v>
      </c>
      <c r="BN30" s="33"/>
      <c r="BO30" s="37">
        <f t="shared" si="9"/>
        <v>-1</v>
      </c>
      <c r="BP30" s="36">
        <f>[1]RB!$M30</f>
        <v>6666.666666666667</v>
      </c>
      <c r="BQ30" s="31">
        <f t="shared" si="48"/>
        <v>6476</v>
      </c>
      <c r="BR30" s="18">
        <f t="shared" si="49"/>
        <v>190.66666666666669</v>
      </c>
      <c r="BS30" s="31">
        <f t="shared" si="50"/>
        <v>0</v>
      </c>
      <c r="BT30" s="31">
        <f t="shared" si="51"/>
        <v>0</v>
      </c>
      <c r="BU30" s="33"/>
      <c r="BV30" s="37">
        <f t="shared" si="10"/>
        <v>-1</v>
      </c>
      <c r="BW30" s="36">
        <f>[1]RB!$N30</f>
        <v>6666.666666666667</v>
      </c>
      <c r="BX30" s="31">
        <f t="shared" si="52"/>
        <v>6476</v>
      </c>
      <c r="BY30" s="18">
        <f t="shared" si="53"/>
        <v>190.66666666666669</v>
      </c>
      <c r="BZ30" s="31">
        <f t="shared" si="54"/>
        <v>0</v>
      </c>
      <c r="CA30" s="31">
        <f t="shared" si="55"/>
        <v>0</v>
      </c>
      <c r="CB30" s="33"/>
      <c r="CC30" s="37">
        <f t="shared" si="11"/>
        <v>-1</v>
      </c>
      <c r="CD30" s="36">
        <f>[1]RB!$O30</f>
        <v>6666.666666666667</v>
      </c>
      <c r="CE30" s="31">
        <f t="shared" si="56"/>
        <v>6476</v>
      </c>
      <c r="CF30" s="18">
        <f t="shared" si="57"/>
        <v>190.66666666666669</v>
      </c>
      <c r="CG30" s="31">
        <f t="shared" si="58"/>
        <v>0</v>
      </c>
      <c r="CH30" s="31">
        <f t="shared" si="59"/>
        <v>0</v>
      </c>
      <c r="CI30" s="33"/>
      <c r="CJ30" s="37">
        <f t="shared" si="12"/>
        <v>-1</v>
      </c>
      <c r="CK30" s="36">
        <f>[1]RB!$P30</f>
        <v>6666.666666666667</v>
      </c>
      <c r="CL30" s="31">
        <f t="shared" si="60"/>
        <v>6476</v>
      </c>
      <c r="CM30" s="18">
        <f t="shared" si="61"/>
        <v>190.66666666666669</v>
      </c>
      <c r="CN30" s="31">
        <f t="shared" si="62"/>
        <v>0</v>
      </c>
      <c r="CO30" s="31">
        <f t="shared" si="63"/>
        <v>0</v>
      </c>
      <c r="CP30" s="33"/>
      <c r="CQ30" s="37">
        <f t="shared" si="13"/>
        <v>-1</v>
      </c>
      <c r="CR30" s="180"/>
      <c r="CS30" s="27">
        <f>8840+290.24</f>
        <v>9130.24</v>
      </c>
      <c r="CT30" s="27">
        <f>5317.5+166.04</f>
        <v>5483.54</v>
      </c>
      <c r="CU30" s="27">
        <f>166.04+(6447.6)</f>
        <v>6613.64</v>
      </c>
      <c r="CV30" s="27"/>
      <c r="CW30" s="27"/>
      <c r="CX30" s="27"/>
      <c r="CY30" s="27"/>
      <c r="CZ30" s="27"/>
      <c r="DA30" s="27"/>
      <c r="DB30" s="27"/>
      <c r="DC30" s="27"/>
      <c r="DD30" s="27"/>
    </row>
    <row r="31" spans="1:108" s="26" customFormat="1" ht="16" customHeight="1" thickBot="1" x14ac:dyDescent="0.25">
      <c r="A31" s="182" t="s">
        <v>55</v>
      </c>
      <c r="B31" s="30">
        <f t="shared" si="0"/>
        <v>5000</v>
      </c>
      <c r="C31" s="31">
        <f t="shared" si="0"/>
        <v>4857</v>
      </c>
      <c r="D31" s="32">
        <f t="shared" si="0"/>
        <v>143.00000000000003</v>
      </c>
      <c r="E31" s="30">
        <f t="shared" si="14"/>
        <v>1666.6666666666667</v>
      </c>
      <c r="F31" s="33">
        <f t="shared" si="14"/>
        <v>1619</v>
      </c>
      <c r="G31" s="34">
        <f t="shared" si="14"/>
        <v>47.666666666666671</v>
      </c>
      <c r="H31" s="31">
        <f t="shared" si="1"/>
        <v>0</v>
      </c>
      <c r="I31" s="33">
        <f t="shared" si="1"/>
        <v>0</v>
      </c>
      <c r="J31" s="33">
        <f t="shared" si="1"/>
        <v>0</v>
      </c>
      <c r="K31" s="37">
        <f t="shared" si="15"/>
        <v>-1</v>
      </c>
      <c r="L31" s="36">
        <f>[1]RB!$E31</f>
        <v>416.66666666666669</v>
      </c>
      <c r="M31" s="31">
        <f t="shared" si="16"/>
        <v>404.75</v>
      </c>
      <c r="N31" s="31">
        <f t="shared" si="17"/>
        <v>11.916666666666668</v>
      </c>
      <c r="O31" s="31">
        <f t="shared" si="18"/>
        <v>0</v>
      </c>
      <c r="P31" s="31">
        <f t="shared" si="19"/>
        <v>0</v>
      </c>
      <c r="Q31" s="31"/>
      <c r="R31" s="31">
        <f t="shared" si="2"/>
        <v>-1</v>
      </c>
      <c r="S31" s="31">
        <f>[1]RB!$F31</f>
        <v>416.66666666666669</v>
      </c>
      <c r="T31" s="31">
        <f t="shared" si="20"/>
        <v>404.75</v>
      </c>
      <c r="U31" s="31">
        <f t="shared" si="21"/>
        <v>11.916666666666668</v>
      </c>
      <c r="V31" s="31">
        <f t="shared" si="22"/>
        <v>0</v>
      </c>
      <c r="W31" s="31">
        <f t="shared" si="23"/>
        <v>0</v>
      </c>
      <c r="X31" s="31"/>
      <c r="Y31" s="31">
        <f t="shared" si="3"/>
        <v>-1</v>
      </c>
      <c r="Z31" s="31">
        <f>[1]RB!$G31</f>
        <v>416.66666666666669</v>
      </c>
      <c r="AA31" s="31">
        <f t="shared" si="24"/>
        <v>404.75</v>
      </c>
      <c r="AB31" s="31">
        <f t="shared" si="25"/>
        <v>11.916666666666668</v>
      </c>
      <c r="AC31" s="31">
        <f t="shared" si="26"/>
        <v>0</v>
      </c>
      <c r="AD31" s="31">
        <f t="shared" si="27"/>
        <v>0</v>
      </c>
      <c r="AE31" s="31"/>
      <c r="AF31" s="31">
        <f t="shared" si="4"/>
        <v>-1</v>
      </c>
      <c r="AG31" s="31">
        <f>[1]RB!$H31</f>
        <v>416.66666666666669</v>
      </c>
      <c r="AH31" s="31">
        <f t="shared" si="28"/>
        <v>404.75</v>
      </c>
      <c r="AI31" s="31">
        <f t="shared" si="29"/>
        <v>11.916666666666668</v>
      </c>
      <c r="AJ31" s="31">
        <f t="shared" si="30"/>
        <v>0</v>
      </c>
      <c r="AK31" s="31">
        <f t="shared" si="31"/>
        <v>0</v>
      </c>
      <c r="AL31" s="31"/>
      <c r="AM31" s="31">
        <f t="shared" si="5"/>
        <v>-1</v>
      </c>
      <c r="AN31" s="31">
        <f>[1]RB!$I31</f>
        <v>416.66666666666669</v>
      </c>
      <c r="AO31" s="31">
        <f t="shared" si="32"/>
        <v>404.75</v>
      </c>
      <c r="AP31" s="31">
        <f t="shared" si="33"/>
        <v>11.916666666666668</v>
      </c>
      <c r="AQ31" s="31">
        <f t="shared" si="34"/>
        <v>0</v>
      </c>
      <c r="AR31" s="31">
        <f t="shared" si="35"/>
        <v>0</v>
      </c>
      <c r="AS31" s="33"/>
      <c r="AT31" s="37">
        <f t="shared" si="6"/>
        <v>-1</v>
      </c>
      <c r="AU31" s="36">
        <f>[1]RB!$J31</f>
        <v>416.66666666666669</v>
      </c>
      <c r="AV31" s="31">
        <f t="shared" si="36"/>
        <v>404.75</v>
      </c>
      <c r="AW31" s="18">
        <f t="shared" si="37"/>
        <v>11.916666666666668</v>
      </c>
      <c r="AX31" s="31">
        <f t="shared" si="38"/>
        <v>0</v>
      </c>
      <c r="AY31" s="31">
        <f t="shared" si="39"/>
        <v>0</v>
      </c>
      <c r="AZ31" s="27"/>
      <c r="BA31" s="37">
        <f t="shared" si="7"/>
        <v>-1</v>
      </c>
      <c r="BB31" s="36">
        <f>[1]RB!$K31</f>
        <v>416.66666666666669</v>
      </c>
      <c r="BC31" s="31">
        <f t="shared" si="40"/>
        <v>404.75</v>
      </c>
      <c r="BD31" s="18">
        <f t="shared" si="41"/>
        <v>11.916666666666668</v>
      </c>
      <c r="BE31" s="31">
        <f t="shared" si="42"/>
        <v>0</v>
      </c>
      <c r="BF31" s="31">
        <f t="shared" si="43"/>
        <v>0</v>
      </c>
      <c r="BG31" s="27"/>
      <c r="BH31" s="37">
        <f t="shared" si="8"/>
        <v>-1</v>
      </c>
      <c r="BI31" s="36">
        <f>[1]RB!$L31</f>
        <v>416.66666666666669</v>
      </c>
      <c r="BJ31" s="31">
        <f t="shared" si="44"/>
        <v>404.75</v>
      </c>
      <c r="BK31" s="18">
        <f t="shared" si="45"/>
        <v>11.916666666666668</v>
      </c>
      <c r="BL31" s="31">
        <f t="shared" si="46"/>
        <v>0</v>
      </c>
      <c r="BM31" s="31">
        <f t="shared" si="47"/>
        <v>0</v>
      </c>
      <c r="BN31" s="33"/>
      <c r="BO31" s="37">
        <f t="shared" si="9"/>
        <v>-1</v>
      </c>
      <c r="BP31" s="36">
        <f>[1]RB!$M31</f>
        <v>416.66666666666669</v>
      </c>
      <c r="BQ31" s="31">
        <f t="shared" si="48"/>
        <v>404.75</v>
      </c>
      <c r="BR31" s="18">
        <f t="shared" si="49"/>
        <v>11.916666666666668</v>
      </c>
      <c r="BS31" s="31">
        <f t="shared" si="50"/>
        <v>0</v>
      </c>
      <c r="BT31" s="31">
        <f t="shared" si="51"/>
        <v>0</v>
      </c>
      <c r="BU31" s="33"/>
      <c r="BV31" s="37">
        <f t="shared" si="10"/>
        <v>-1</v>
      </c>
      <c r="BW31" s="36">
        <f>[1]RB!$N31</f>
        <v>416.66666666666669</v>
      </c>
      <c r="BX31" s="31">
        <f t="shared" si="52"/>
        <v>404.75</v>
      </c>
      <c r="BY31" s="18">
        <f t="shared" si="53"/>
        <v>11.916666666666668</v>
      </c>
      <c r="BZ31" s="31">
        <f t="shared" si="54"/>
        <v>0</v>
      </c>
      <c r="CA31" s="31">
        <f t="shared" si="55"/>
        <v>0</v>
      </c>
      <c r="CB31" s="33"/>
      <c r="CC31" s="37">
        <f t="shared" si="11"/>
        <v>-1</v>
      </c>
      <c r="CD31" s="36">
        <f>[1]RB!$O31</f>
        <v>416.66666666666669</v>
      </c>
      <c r="CE31" s="31">
        <f t="shared" si="56"/>
        <v>404.75</v>
      </c>
      <c r="CF31" s="18">
        <f t="shared" si="57"/>
        <v>11.916666666666668</v>
      </c>
      <c r="CG31" s="31">
        <f t="shared" si="58"/>
        <v>0</v>
      </c>
      <c r="CH31" s="31">
        <f t="shared" si="59"/>
        <v>0</v>
      </c>
      <c r="CI31" s="33"/>
      <c r="CJ31" s="37">
        <f t="shared" si="12"/>
        <v>-1</v>
      </c>
      <c r="CK31" s="36">
        <f>[1]RB!$P31</f>
        <v>416.66666666666669</v>
      </c>
      <c r="CL31" s="31">
        <f t="shared" si="60"/>
        <v>404.75</v>
      </c>
      <c r="CM31" s="18">
        <f t="shared" si="61"/>
        <v>11.916666666666668</v>
      </c>
      <c r="CN31" s="31">
        <f t="shared" si="62"/>
        <v>0</v>
      </c>
      <c r="CO31" s="31">
        <f t="shared" si="63"/>
        <v>0</v>
      </c>
      <c r="CP31" s="33"/>
      <c r="CQ31" s="37">
        <f t="shared" si="13"/>
        <v>-1</v>
      </c>
      <c r="CR31" s="180"/>
      <c r="CS31" s="27"/>
      <c r="CT31" s="27"/>
      <c r="CU31" s="27">
        <f>1422+3492</f>
        <v>4914</v>
      </c>
      <c r="CV31" s="27"/>
      <c r="CW31" s="27"/>
      <c r="CX31" s="27"/>
      <c r="CY31" s="27"/>
      <c r="CZ31" s="27"/>
      <c r="DA31" s="27"/>
      <c r="DB31" s="27"/>
      <c r="DC31" s="27"/>
      <c r="DD31" s="27"/>
    </row>
    <row r="32" spans="1:108" s="26" customFormat="1" ht="16" customHeight="1" thickBot="1" x14ac:dyDescent="0.25">
      <c r="A32" s="181" t="s">
        <v>145</v>
      </c>
      <c r="B32" s="30">
        <f t="shared" si="0"/>
        <v>3725158.0960000008</v>
      </c>
      <c r="C32" s="31">
        <f t="shared" si="0"/>
        <v>3618618.5744544007</v>
      </c>
      <c r="D32" s="32">
        <f t="shared" si="0"/>
        <v>106539.52154560002</v>
      </c>
      <c r="E32" s="30">
        <f t="shared" si="14"/>
        <v>1726531.0480000002</v>
      </c>
      <c r="F32" s="33">
        <f t="shared" si="14"/>
        <v>1677152.2600272002</v>
      </c>
      <c r="G32" s="34">
        <f t="shared" si="14"/>
        <v>49378.787972800012</v>
      </c>
      <c r="H32" s="31">
        <f t="shared" si="1"/>
        <v>1798692.4991520001</v>
      </c>
      <c r="I32" s="33">
        <f t="shared" si="1"/>
        <v>52957.180847999996</v>
      </c>
      <c r="J32" s="33">
        <f t="shared" si="1"/>
        <v>1851649.68</v>
      </c>
      <c r="K32" s="37">
        <f t="shared" si="15"/>
        <v>7.2468220102346992E-2</v>
      </c>
      <c r="L32" s="36">
        <f>[1]RB!$E32</f>
        <v>421069.88000000006</v>
      </c>
      <c r="M32" s="31">
        <f t="shared" si="16"/>
        <v>409027.28143200005</v>
      </c>
      <c r="N32" s="31">
        <f t="shared" si="17"/>
        <v>12042.598568000001</v>
      </c>
      <c r="O32" s="31">
        <f t="shared" si="18"/>
        <v>458921.83390200004</v>
      </c>
      <c r="P32" s="31">
        <f t="shared" si="19"/>
        <v>13511.596098000002</v>
      </c>
      <c r="Q32" s="31">
        <f>(280174.85-50000)+234817.78+2247.96+5192.84</f>
        <v>472433.43000000005</v>
      </c>
      <c r="R32" s="31">
        <f t="shared" si="2"/>
        <v>0.1219834341986179</v>
      </c>
      <c r="S32" s="31">
        <f>[1]RB!$F32</f>
        <v>421069.88000000006</v>
      </c>
      <c r="T32" s="31">
        <f t="shared" si="20"/>
        <v>409027.28143200005</v>
      </c>
      <c r="U32" s="31">
        <f t="shared" si="21"/>
        <v>12042.598568000001</v>
      </c>
      <c r="V32" s="31">
        <f t="shared" si="22"/>
        <v>268781.07615599997</v>
      </c>
      <c r="W32" s="31">
        <f t="shared" si="23"/>
        <v>7913.4638439999999</v>
      </c>
      <c r="X32" s="31">
        <f>271542.08+2004.91+3147.55</f>
        <v>276694.53999999998</v>
      </c>
      <c r="Y32" s="31">
        <f t="shared" si="3"/>
        <v>-0.34287738652786104</v>
      </c>
      <c r="Z32" s="31">
        <f>[1]RB!$G32</f>
        <v>415207.05600000004</v>
      </c>
      <c r="AA32" s="31">
        <f t="shared" si="24"/>
        <v>403332.13419840002</v>
      </c>
      <c r="AB32" s="31">
        <f t="shared" si="25"/>
        <v>11874.921801600001</v>
      </c>
      <c r="AC32" s="31">
        <f t="shared" si="26"/>
        <v>320756.11486199999</v>
      </c>
      <c r="AD32" s="31">
        <f t="shared" si="27"/>
        <v>9443.7151380000014</v>
      </c>
      <c r="AE32" s="31">
        <f>304361.9+16874+4822.2+4141.73</f>
        <v>330199.83</v>
      </c>
      <c r="AF32" s="31">
        <f t="shared" si="4"/>
        <v>-0.2047345409274548</v>
      </c>
      <c r="AG32" s="31">
        <f>[1]RB!$H32</f>
        <v>469184.23200000013</v>
      </c>
      <c r="AH32" s="31">
        <f t="shared" si="28"/>
        <v>455765.5629648001</v>
      </c>
      <c r="AI32" s="31">
        <f t="shared" si="29"/>
        <v>13418.669035200004</v>
      </c>
      <c r="AJ32" s="31">
        <f t="shared" si="30"/>
        <v>263655.18292200007</v>
      </c>
      <c r="AK32" s="31">
        <f t="shared" si="31"/>
        <v>7762.5470780000014</v>
      </c>
      <c r="AL32" s="31">
        <f>268426.28+1751.75+1239.7</f>
        <v>271417.73000000004</v>
      </c>
      <c r="AM32" s="31">
        <f t="shared" si="5"/>
        <v>-0.42151139895937517</v>
      </c>
      <c r="AN32" s="31">
        <f>[1]RB!$I32</f>
        <v>545161.40800000005</v>
      </c>
      <c r="AO32" s="31">
        <f t="shared" si="32"/>
        <v>529569.79173120006</v>
      </c>
      <c r="AP32" s="31">
        <f t="shared" si="33"/>
        <v>15591.616268800002</v>
      </c>
      <c r="AQ32" s="31">
        <f t="shared" si="34"/>
        <v>247733.15008799999</v>
      </c>
      <c r="AR32" s="31">
        <f t="shared" si="35"/>
        <v>7293.7699119999997</v>
      </c>
      <c r="AS32" s="33">
        <v>255026.91999999998</v>
      </c>
      <c r="AT32" s="37">
        <f t="shared" si="6"/>
        <v>-0.53219924180693301</v>
      </c>
      <c r="AU32" s="36">
        <f>[1]RB!$J32</f>
        <v>523161.40800000011</v>
      </c>
      <c r="AV32" s="31">
        <f t="shared" si="36"/>
        <v>508198.99173120013</v>
      </c>
      <c r="AW32" s="18">
        <f t="shared" si="37"/>
        <v>14962.416268800003</v>
      </c>
      <c r="AX32" s="31">
        <f t="shared" si="38"/>
        <v>238845.14122200001</v>
      </c>
      <c r="AY32" s="31">
        <f t="shared" si="39"/>
        <v>7032.0887780000003</v>
      </c>
      <c r="AZ32" s="27">
        <v>245877.23</v>
      </c>
      <c r="BA32" s="37">
        <f t="shared" si="7"/>
        <v>-0.53001649922923988</v>
      </c>
      <c r="BB32" s="36">
        <f>[1]RB!$K32</f>
        <v>565984.23200000008</v>
      </c>
      <c r="BC32" s="31">
        <f t="shared" si="40"/>
        <v>549797.08296480007</v>
      </c>
      <c r="BD32" s="18">
        <f t="shared" si="41"/>
        <v>16187.149035200002</v>
      </c>
      <c r="BE32" s="31">
        <f t="shared" si="42"/>
        <v>0</v>
      </c>
      <c r="BF32" s="31">
        <f t="shared" si="43"/>
        <v>0</v>
      </c>
      <c r="BG32" s="27"/>
      <c r="BH32" s="37">
        <f t="shared" si="8"/>
        <v>-1</v>
      </c>
      <c r="BI32" s="36">
        <f>[1]RB!$L32</f>
        <v>331760</v>
      </c>
      <c r="BJ32" s="31">
        <f t="shared" si="44"/>
        <v>322271.66399999999</v>
      </c>
      <c r="BK32" s="18">
        <f t="shared" si="45"/>
        <v>9488.3359999999993</v>
      </c>
      <c r="BL32" s="31">
        <f t="shared" si="46"/>
        <v>0</v>
      </c>
      <c r="BM32" s="31">
        <f t="shared" si="47"/>
        <v>0</v>
      </c>
      <c r="BN32" s="33"/>
      <c r="BO32" s="37">
        <f t="shared" si="9"/>
        <v>-1</v>
      </c>
      <c r="BP32" s="36">
        <f>[1]RB!$M32</f>
        <v>27280</v>
      </c>
      <c r="BQ32" s="31">
        <f t="shared" si="48"/>
        <v>26499.792000000001</v>
      </c>
      <c r="BR32" s="18">
        <f t="shared" si="49"/>
        <v>780.20799999999997</v>
      </c>
      <c r="BS32" s="31">
        <f t="shared" si="50"/>
        <v>0</v>
      </c>
      <c r="BT32" s="31">
        <f t="shared" si="51"/>
        <v>0</v>
      </c>
      <c r="BU32" s="33"/>
      <c r="BV32" s="37">
        <f t="shared" si="10"/>
        <v>-1</v>
      </c>
      <c r="BW32" s="36">
        <f>[1]RB!$N32</f>
        <v>5280</v>
      </c>
      <c r="BX32" s="31">
        <f t="shared" si="52"/>
        <v>5128.9920000000002</v>
      </c>
      <c r="BY32" s="18">
        <f t="shared" si="53"/>
        <v>151.00800000000001</v>
      </c>
      <c r="BZ32" s="31">
        <f t="shared" si="54"/>
        <v>0</v>
      </c>
      <c r="CA32" s="31">
        <f t="shared" si="55"/>
        <v>0</v>
      </c>
      <c r="CB32" s="33"/>
      <c r="CC32" s="37">
        <f t="shared" si="11"/>
        <v>-1</v>
      </c>
      <c r="CD32" s="36">
        <f>[1]RB!$O32</f>
        <v>0</v>
      </c>
      <c r="CE32" s="31">
        <f t="shared" si="56"/>
        <v>0</v>
      </c>
      <c r="CF32" s="18">
        <f t="shared" si="57"/>
        <v>0</v>
      </c>
      <c r="CG32" s="31">
        <f t="shared" si="58"/>
        <v>0</v>
      </c>
      <c r="CH32" s="31">
        <f t="shared" si="59"/>
        <v>0</v>
      </c>
      <c r="CI32" s="33"/>
      <c r="CJ32" s="37" t="str">
        <f t="shared" si="12"/>
        <v/>
      </c>
      <c r="CK32" s="36">
        <f>[1]RB!$P32</f>
        <v>0</v>
      </c>
      <c r="CL32" s="31">
        <f t="shared" si="60"/>
        <v>0</v>
      </c>
      <c r="CM32" s="18">
        <f t="shared" si="61"/>
        <v>0</v>
      </c>
      <c r="CN32" s="31">
        <f t="shared" si="62"/>
        <v>0</v>
      </c>
      <c r="CO32" s="31">
        <f t="shared" si="63"/>
        <v>0</v>
      </c>
      <c r="CP32" s="33"/>
      <c r="CQ32" s="37" t="str">
        <f t="shared" si="13"/>
        <v/>
      </c>
      <c r="CR32" s="180"/>
      <c r="CS32" s="27"/>
      <c r="CT32" s="27"/>
      <c r="CU32" s="27"/>
      <c r="CV32" s="27"/>
      <c r="CW32" s="27"/>
      <c r="CX32" s="27"/>
      <c r="CY32" s="27"/>
      <c r="CZ32" s="27"/>
      <c r="DA32" s="27"/>
      <c r="DB32" s="27"/>
      <c r="DC32" s="27"/>
      <c r="DD32" s="27"/>
    </row>
    <row r="33" spans="1:108" s="26" customFormat="1" ht="16" customHeight="1" thickBot="1" x14ac:dyDescent="0.25">
      <c r="A33" s="181" t="s">
        <v>57</v>
      </c>
      <c r="B33" s="30">
        <f t="shared" si="0"/>
        <v>1595918.3673469387</v>
      </c>
      <c r="C33" s="31">
        <f t="shared" si="0"/>
        <v>1550275.1020408163</v>
      </c>
      <c r="D33" s="32">
        <f t="shared" si="0"/>
        <v>45643.265306122448</v>
      </c>
      <c r="E33" s="30">
        <f t="shared" si="14"/>
        <v>797959.18367346935</v>
      </c>
      <c r="F33" s="33">
        <f t="shared" si="14"/>
        <v>775137.55102040817</v>
      </c>
      <c r="G33" s="34">
        <f t="shared" si="14"/>
        <v>22821.632653061224</v>
      </c>
      <c r="H33" s="31">
        <f t="shared" si="1"/>
        <v>671348.36302200006</v>
      </c>
      <c r="I33" s="33">
        <f t="shared" si="1"/>
        <v>19765.866977999998</v>
      </c>
      <c r="J33" s="33">
        <f t="shared" si="1"/>
        <v>691114.23</v>
      </c>
      <c r="K33" s="37">
        <f t="shared" si="15"/>
        <v>-0.13389776803069053</v>
      </c>
      <c r="L33" s="36">
        <f>[1]RB!$E33</f>
        <v>173469.38775510204</v>
      </c>
      <c r="M33" s="31">
        <f t="shared" si="16"/>
        <v>168508.16326530612</v>
      </c>
      <c r="N33" s="31">
        <f t="shared" si="17"/>
        <v>4961.2244897959181</v>
      </c>
      <c r="O33" s="31">
        <f t="shared" si="18"/>
        <v>162191.607804</v>
      </c>
      <c r="P33" s="31">
        <f t="shared" si="19"/>
        <v>4775.2521959999995</v>
      </c>
      <c r="Q33" s="31">
        <f>81551.87+85414.99</f>
        <v>166966.85999999999</v>
      </c>
      <c r="R33" s="31">
        <f t="shared" si="2"/>
        <v>-3.7485160000000128E-2</v>
      </c>
      <c r="S33" s="31">
        <f>[1]RB!$F33</f>
        <v>173469.38775510204</v>
      </c>
      <c r="T33" s="31">
        <f t="shared" si="20"/>
        <v>168508.16326530612</v>
      </c>
      <c r="U33" s="31">
        <f t="shared" si="21"/>
        <v>4961.2244897959181</v>
      </c>
      <c r="V33" s="31">
        <f t="shared" si="22"/>
        <v>108801.93870599999</v>
      </c>
      <c r="W33" s="31">
        <f t="shared" si="23"/>
        <v>3203.3512940000001</v>
      </c>
      <c r="X33" s="31">
        <v>112005.29</v>
      </c>
      <c r="Y33" s="31">
        <f t="shared" si="3"/>
        <v>-0.35432244588235295</v>
      </c>
      <c r="Z33" s="31">
        <f>[1]RB!$G33</f>
        <v>208163.26530612243</v>
      </c>
      <c r="AA33" s="31">
        <f t="shared" si="24"/>
        <v>202209.79591836734</v>
      </c>
      <c r="AB33" s="31">
        <f t="shared" si="25"/>
        <v>5953.4693877551017</v>
      </c>
      <c r="AC33" s="31">
        <f t="shared" si="26"/>
        <v>79779.080916000006</v>
      </c>
      <c r="AD33" s="31">
        <f t="shared" si="27"/>
        <v>2348.8590840000002</v>
      </c>
      <c r="AE33" s="31">
        <v>82127.94</v>
      </c>
      <c r="AF33" s="31">
        <f t="shared" si="4"/>
        <v>-0.60546381764705881</v>
      </c>
      <c r="AG33" s="31">
        <f>[1]RB!$H33</f>
        <v>242857.14285714284</v>
      </c>
      <c r="AH33" s="31">
        <f t="shared" si="28"/>
        <v>235911.42857142855</v>
      </c>
      <c r="AI33" s="31">
        <f t="shared" si="29"/>
        <v>6945.7142857142853</v>
      </c>
      <c r="AJ33" s="31">
        <f t="shared" si="30"/>
        <v>65422.672890000009</v>
      </c>
      <c r="AK33" s="31">
        <f t="shared" si="31"/>
        <v>1926.1771100000001</v>
      </c>
      <c r="AL33" s="31">
        <v>67348.850000000006</v>
      </c>
      <c r="AM33" s="31">
        <f t="shared" si="5"/>
        <v>-0.72268120588235285</v>
      </c>
      <c r="AN33" s="31">
        <f>[1]RB!$I33</f>
        <v>277551.02040816325</v>
      </c>
      <c r="AO33" s="31">
        <f t="shared" si="32"/>
        <v>269613.06122448976</v>
      </c>
      <c r="AP33" s="31">
        <f t="shared" si="33"/>
        <v>7937.9591836734689</v>
      </c>
      <c r="AQ33" s="31">
        <f t="shared" si="34"/>
        <v>102652.374438</v>
      </c>
      <c r="AR33" s="31">
        <f t="shared" si="35"/>
        <v>3022.2955619999998</v>
      </c>
      <c r="AS33" s="33">
        <v>105674.67</v>
      </c>
      <c r="AT33" s="37">
        <f t="shared" si="6"/>
        <v>-0.61926038014705886</v>
      </c>
      <c r="AU33" s="36">
        <f>[1]RB!$J33</f>
        <v>277551.02040816325</v>
      </c>
      <c r="AV33" s="31">
        <f t="shared" si="36"/>
        <v>269613.06122448976</v>
      </c>
      <c r="AW33" s="18">
        <f t="shared" si="37"/>
        <v>7937.9591836734689</v>
      </c>
      <c r="AX33" s="31">
        <f t="shared" si="38"/>
        <v>152500.688268</v>
      </c>
      <c r="AY33" s="31">
        <f t="shared" si="39"/>
        <v>4489.931732</v>
      </c>
      <c r="AZ33" s="27">
        <v>156990.62</v>
      </c>
      <c r="BA33" s="37">
        <f t="shared" si="7"/>
        <v>-0.43437203088235299</v>
      </c>
      <c r="BB33" s="36">
        <f>[1]RB!$K33</f>
        <v>242857.14285714284</v>
      </c>
      <c r="BC33" s="31">
        <f t="shared" si="40"/>
        <v>235911.42857142855</v>
      </c>
      <c r="BD33" s="18">
        <f t="shared" si="41"/>
        <v>6945.7142857142853</v>
      </c>
      <c r="BE33" s="31">
        <f t="shared" si="42"/>
        <v>0</v>
      </c>
      <c r="BF33" s="31">
        <f t="shared" si="43"/>
        <v>0</v>
      </c>
      <c r="BG33" s="27"/>
      <c r="BH33" s="37">
        <f t="shared" si="8"/>
        <v>-1</v>
      </c>
      <c r="BI33" s="36">
        <f>[1]RB!$L33</f>
        <v>0</v>
      </c>
      <c r="BJ33" s="31">
        <f t="shared" si="44"/>
        <v>0</v>
      </c>
      <c r="BK33" s="18">
        <f t="shared" si="45"/>
        <v>0</v>
      </c>
      <c r="BL33" s="31">
        <f t="shared" si="46"/>
        <v>0</v>
      </c>
      <c r="BM33" s="31">
        <f t="shared" si="47"/>
        <v>0</v>
      </c>
      <c r="BN33" s="33"/>
      <c r="BO33" s="37" t="str">
        <f t="shared" si="9"/>
        <v/>
      </c>
      <c r="BP33" s="36">
        <f>[1]RB!$M33</f>
        <v>0</v>
      </c>
      <c r="BQ33" s="31">
        <f t="shared" si="48"/>
        <v>0</v>
      </c>
      <c r="BR33" s="18">
        <f t="shared" si="49"/>
        <v>0</v>
      </c>
      <c r="BS33" s="31">
        <f t="shared" si="50"/>
        <v>0</v>
      </c>
      <c r="BT33" s="31">
        <f t="shared" si="51"/>
        <v>0</v>
      </c>
      <c r="BU33" s="33"/>
      <c r="BV33" s="37" t="str">
        <f t="shared" si="10"/>
        <v/>
      </c>
      <c r="BW33" s="36">
        <f>[1]RB!$N33</f>
        <v>0</v>
      </c>
      <c r="BX33" s="31">
        <f t="shared" si="52"/>
        <v>0</v>
      </c>
      <c r="BY33" s="18">
        <f t="shared" si="53"/>
        <v>0</v>
      </c>
      <c r="BZ33" s="31">
        <f t="shared" si="54"/>
        <v>0</v>
      </c>
      <c r="CA33" s="31">
        <f t="shared" si="55"/>
        <v>0</v>
      </c>
      <c r="CB33" s="33"/>
      <c r="CC33" s="37" t="str">
        <f t="shared" si="11"/>
        <v/>
      </c>
      <c r="CD33" s="36">
        <f>[1]RB!$O33</f>
        <v>0</v>
      </c>
      <c r="CE33" s="31">
        <f t="shared" si="56"/>
        <v>0</v>
      </c>
      <c r="CF33" s="18">
        <f t="shared" si="57"/>
        <v>0</v>
      </c>
      <c r="CG33" s="31">
        <f t="shared" si="58"/>
        <v>0</v>
      </c>
      <c r="CH33" s="31">
        <f t="shared" si="59"/>
        <v>0</v>
      </c>
      <c r="CI33" s="33"/>
      <c r="CJ33" s="37" t="str">
        <f t="shared" si="12"/>
        <v/>
      </c>
      <c r="CK33" s="36">
        <f>[1]RB!$P33</f>
        <v>0</v>
      </c>
      <c r="CL33" s="31">
        <f t="shared" si="60"/>
        <v>0</v>
      </c>
      <c r="CM33" s="18">
        <f t="shared" si="61"/>
        <v>0</v>
      </c>
      <c r="CN33" s="31">
        <f t="shared" si="62"/>
        <v>0</v>
      </c>
      <c r="CO33" s="31">
        <f t="shared" si="63"/>
        <v>0</v>
      </c>
      <c r="CP33" s="33"/>
      <c r="CQ33" s="37" t="str">
        <f t="shared" si="13"/>
        <v/>
      </c>
      <c r="CR33" s="180"/>
      <c r="CS33" s="27"/>
      <c r="CT33" s="27"/>
      <c r="CU33" s="27"/>
      <c r="CV33" s="27"/>
      <c r="CW33" s="27"/>
      <c r="CX33" s="27"/>
      <c r="CY33" s="27"/>
      <c r="CZ33" s="27"/>
      <c r="DA33" s="27"/>
      <c r="DB33" s="27"/>
      <c r="DC33" s="27"/>
      <c r="DD33" s="27"/>
    </row>
    <row r="34" spans="1:108" s="26" customFormat="1" ht="16" customHeight="1" thickBot="1" x14ac:dyDescent="0.25">
      <c r="A34" s="181" t="s">
        <v>105</v>
      </c>
      <c r="B34" s="30">
        <f t="shared" si="0"/>
        <v>0</v>
      </c>
      <c r="C34" s="31">
        <f t="shared" si="0"/>
        <v>0</v>
      </c>
      <c r="D34" s="32">
        <f t="shared" si="0"/>
        <v>0</v>
      </c>
      <c r="E34" s="30">
        <f t="shared" si="14"/>
        <v>0</v>
      </c>
      <c r="F34" s="33">
        <f t="shared" si="14"/>
        <v>0</v>
      </c>
      <c r="G34" s="34">
        <f t="shared" si="14"/>
        <v>0</v>
      </c>
      <c r="H34" s="31">
        <f t="shared" si="1"/>
        <v>0</v>
      </c>
      <c r="I34" s="33">
        <f t="shared" si="1"/>
        <v>0</v>
      </c>
      <c r="J34" s="33">
        <f t="shared" si="1"/>
        <v>0</v>
      </c>
      <c r="K34" s="37" t="str">
        <f t="shared" si="15"/>
        <v/>
      </c>
      <c r="L34" s="36">
        <f>[1]RB!$E34</f>
        <v>0</v>
      </c>
      <c r="M34" s="31">
        <f t="shared" si="16"/>
        <v>0</v>
      </c>
      <c r="N34" s="31">
        <f t="shared" si="17"/>
        <v>0</v>
      </c>
      <c r="O34" s="31">
        <f t="shared" si="18"/>
        <v>0</v>
      </c>
      <c r="P34" s="31">
        <f t="shared" si="19"/>
        <v>0</v>
      </c>
      <c r="Q34" s="31"/>
      <c r="R34" s="31" t="str">
        <f t="shared" si="2"/>
        <v/>
      </c>
      <c r="S34" s="31">
        <f>[1]RB!$F34</f>
        <v>0</v>
      </c>
      <c r="T34" s="31">
        <f t="shared" si="20"/>
        <v>0</v>
      </c>
      <c r="U34" s="31">
        <f t="shared" si="21"/>
        <v>0</v>
      </c>
      <c r="V34" s="31">
        <f t="shared" si="22"/>
        <v>0</v>
      </c>
      <c r="W34" s="31">
        <f t="shared" si="23"/>
        <v>0</v>
      </c>
      <c r="X34" s="31"/>
      <c r="Y34" s="31" t="str">
        <f t="shared" si="3"/>
        <v/>
      </c>
      <c r="Z34" s="31">
        <f>[1]RB!$G34</f>
        <v>0</v>
      </c>
      <c r="AA34" s="31">
        <f t="shared" si="24"/>
        <v>0</v>
      </c>
      <c r="AB34" s="31">
        <f t="shared" si="25"/>
        <v>0</v>
      </c>
      <c r="AC34" s="31">
        <f t="shared" si="26"/>
        <v>0</v>
      </c>
      <c r="AD34" s="31">
        <f t="shared" si="27"/>
        <v>0</v>
      </c>
      <c r="AE34" s="31"/>
      <c r="AF34" s="31" t="str">
        <f t="shared" si="4"/>
        <v/>
      </c>
      <c r="AG34" s="31">
        <f>[1]RB!$H34</f>
        <v>0</v>
      </c>
      <c r="AH34" s="31">
        <f t="shared" si="28"/>
        <v>0</v>
      </c>
      <c r="AI34" s="31">
        <f t="shared" si="29"/>
        <v>0</v>
      </c>
      <c r="AJ34" s="31">
        <f t="shared" si="30"/>
        <v>0</v>
      </c>
      <c r="AK34" s="31">
        <f t="shared" si="31"/>
        <v>0</v>
      </c>
      <c r="AL34" s="31"/>
      <c r="AM34" s="31" t="str">
        <f t="shared" si="5"/>
        <v/>
      </c>
      <c r="AN34" s="31">
        <f>[1]RB!$I34</f>
        <v>0</v>
      </c>
      <c r="AO34" s="31">
        <f t="shared" si="32"/>
        <v>0</v>
      </c>
      <c r="AP34" s="31">
        <f t="shared" si="33"/>
        <v>0</v>
      </c>
      <c r="AQ34" s="31">
        <f t="shared" si="34"/>
        <v>0</v>
      </c>
      <c r="AR34" s="31">
        <f t="shared" si="35"/>
        <v>0</v>
      </c>
      <c r="AS34" s="33"/>
      <c r="AT34" s="37" t="str">
        <f t="shared" si="6"/>
        <v/>
      </c>
      <c r="AU34" s="36">
        <f>[1]RB!$J34</f>
        <v>0</v>
      </c>
      <c r="AV34" s="31">
        <f t="shared" si="36"/>
        <v>0</v>
      </c>
      <c r="AW34" s="18">
        <f t="shared" si="37"/>
        <v>0</v>
      </c>
      <c r="AX34" s="31">
        <f t="shared" si="38"/>
        <v>0</v>
      </c>
      <c r="AY34" s="31">
        <f t="shared" si="39"/>
        <v>0</v>
      </c>
      <c r="AZ34" s="27"/>
      <c r="BA34" s="37" t="str">
        <f t="shared" si="7"/>
        <v/>
      </c>
      <c r="BB34" s="36">
        <f>[1]RB!$K34</f>
        <v>0</v>
      </c>
      <c r="BC34" s="31">
        <f t="shared" si="40"/>
        <v>0</v>
      </c>
      <c r="BD34" s="18">
        <f t="shared" si="41"/>
        <v>0</v>
      </c>
      <c r="BE34" s="31">
        <f t="shared" si="42"/>
        <v>0</v>
      </c>
      <c r="BF34" s="31">
        <f t="shared" si="43"/>
        <v>0</v>
      </c>
      <c r="BG34" s="27"/>
      <c r="BH34" s="37" t="str">
        <f t="shared" si="8"/>
        <v/>
      </c>
      <c r="BI34" s="36">
        <f>[1]RB!$L34</f>
        <v>0</v>
      </c>
      <c r="BJ34" s="31">
        <f t="shared" si="44"/>
        <v>0</v>
      </c>
      <c r="BK34" s="18">
        <f t="shared" si="45"/>
        <v>0</v>
      </c>
      <c r="BL34" s="31">
        <f t="shared" si="46"/>
        <v>0</v>
      </c>
      <c r="BM34" s="31">
        <f t="shared" si="47"/>
        <v>0</v>
      </c>
      <c r="BN34" s="33"/>
      <c r="BO34" s="37" t="str">
        <f t="shared" si="9"/>
        <v/>
      </c>
      <c r="BP34" s="36">
        <f>[1]RB!$M34</f>
        <v>0</v>
      </c>
      <c r="BQ34" s="31">
        <f t="shared" si="48"/>
        <v>0</v>
      </c>
      <c r="BR34" s="18">
        <f t="shared" si="49"/>
        <v>0</v>
      </c>
      <c r="BS34" s="31">
        <f t="shared" si="50"/>
        <v>0</v>
      </c>
      <c r="BT34" s="31">
        <f t="shared" si="51"/>
        <v>0</v>
      </c>
      <c r="BU34" s="33"/>
      <c r="BV34" s="37" t="str">
        <f t="shared" si="10"/>
        <v/>
      </c>
      <c r="BW34" s="36">
        <f>[1]RB!$N34</f>
        <v>0</v>
      </c>
      <c r="BX34" s="31">
        <f t="shared" si="52"/>
        <v>0</v>
      </c>
      <c r="BY34" s="18">
        <f t="shared" si="53"/>
        <v>0</v>
      </c>
      <c r="BZ34" s="31">
        <f t="shared" si="54"/>
        <v>0</v>
      </c>
      <c r="CA34" s="31">
        <f t="shared" si="55"/>
        <v>0</v>
      </c>
      <c r="CB34" s="33"/>
      <c r="CC34" s="37" t="str">
        <f t="shared" si="11"/>
        <v/>
      </c>
      <c r="CD34" s="36">
        <f>[1]RB!$O34</f>
        <v>0</v>
      </c>
      <c r="CE34" s="31">
        <f t="shared" si="56"/>
        <v>0</v>
      </c>
      <c r="CF34" s="18">
        <f t="shared" si="57"/>
        <v>0</v>
      </c>
      <c r="CG34" s="31">
        <f t="shared" si="58"/>
        <v>0</v>
      </c>
      <c r="CH34" s="31">
        <f t="shared" si="59"/>
        <v>0</v>
      </c>
      <c r="CI34" s="33"/>
      <c r="CJ34" s="37" t="str">
        <f t="shared" si="12"/>
        <v/>
      </c>
      <c r="CK34" s="36">
        <f>[1]RB!$P34</f>
        <v>0</v>
      </c>
      <c r="CL34" s="31">
        <f t="shared" si="60"/>
        <v>0</v>
      </c>
      <c r="CM34" s="18">
        <f t="shared" si="61"/>
        <v>0</v>
      </c>
      <c r="CN34" s="31">
        <f t="shared" si="62"/>
        <v>0</v>
      </c>
      <c r="CO34" s="31">
        <f t="shared" si="63"/>
        <v>0</v>
      </c>
      <c r="CP34" s="33"/>
      <c r="CQ34" s="37" t="str">
        <f t="shared" si="13"/>
        <v/>
      </c>
      <c r="CR34" s="180"/>
      <c r="CS34" s="27"/>
      <c r="CT34" s="27"/>
      <c r="CU34" s="27"/>
      <c r="CV34" s="27"/>
      <c r="CW34" s="27"/>
      <c r="CX34" s="27"/>
      <c r="CY34" s="27"/>
      <c r="CZ34" s="27"/>
      <c r="DA34" s="27"/>
      <c r="DB34" s="27"/>
      <c r="DC34" s="27"/>
      <c r="DD34" s="27"/>
    </row>
    <row r="35" spans="1:108" s="26" customFormat="1" ht="16" customHeight="1" thickBot="1" x14ac:dyDescent="0.25">
      <c r="A35" s="181" t="s">
        <v>59</v>
      </c>
      <c r="B35" s="30">
        <f t="shared" si="0"/>
        <v>0</v>
      </c>
      <c r="C35" s="31">
        <f t="shared" si="0"/>
        <v>0</v>
      </c>
      <c r="D35" s="32">
        <f t="shared" si="0"/>
        <v>0</v>
      </c>
      <c r="E35" s="30">
        <f t="shared" si="14"/>
        <v>0</v>
      </c>
      <c r="F35" s="33">
        <f t="shared" si="14"/>
        <v>0</v>
      </c>
      <c r="G35" s="34">
        <f t="shared" si="14"/>
        <v>0</v>
      </c>
      <c r="H35" s="31">
        <f t="shared" si="1"/>
        <v>0</v>
      </c>
      <c r="I35" s="33">
        <f t="shared" si="1"/>
        <v>0</v>
      </c>
      <c r="J35" s="33">
        <f t="shared" si="1"/>
        <v>0</v>
      </c>
      <c r="K35" s="37" t="str">
        <f t="shared" si="15"/>
        <v/>
      </c>
      <c r="L35" s="36">
        <f>[1]RB!$E35</f>
        <v>0</v>
      </c>
      <c r="M35" s="31">
        <f t="shared" si="16"/>
        <v>0</v>
      </c>
      <c r="N35" s="31">
        <f t="shared" si="17"/>
        <v>0</v>
      </c>
      <c r="O35" s="31">
        <f t="shared" si="18"/>
        <v>0</v>
      </c>
      <c r="P35" s="31">
        <f t="shared" si="19"/>
        <v>0</v>
      </c>
      <c r="Q35" s="31"/>
      <c r="R35" s="31" t="str">
        <f t="shared" si="2"/>
        <v/>
      </c>
      <c r="S35" s="31">
        <f>[1]RB!$F35</f>
        <v>0</v>
      </c>
      <c r="T35" s="31">
        <f t="shared" si="20"/>
        <v>0</v>
      </c>
      <c r="U35" s="31">
        <f t="shared" si="21"/>
        <v>0</v>
      </c>
      <c r="V35" s="31">
        <f t="shared" si="22"/>
        <v>0</v>
      </c>
      <c r="W35" s="31">
        <f t="shared" si="23"/>
        <v>0</v>
      </c>
      <c r="X35" s="31"/>
      <c r="Y35" s="31" t="str">
        <f t="shared" si="3"/>
        <v/>
      </c>
      <c r="Z35" s="31">
        <f>[1]RB!$G35</f>
        <v>0</v>
      </c>
      <c r="AA35" s="31">
        <f t="shared" si="24"/>
        <v>0</v>
      </c>
      <c r="AB35" s="31">
        <f t="shared" si="25"/>
        <v>0</v>
      </c>
      <c r="AC35" s="31">
        <f t="shared" si="26"/>
        <v>0</v>
      </c>
      <c r="AD35" s="31">
        <f t="shared" si="27"/>
        <v>0</v>
      </c>
      <c r="AE35" s="31"/>
      <c r="AF35" s="31" t="str">
        <f t="shared" si="4"/>
        <v/>
      </c>
      <c r="AG35" s="31">
        <f>[1]RB!$H35</f>
        <v>0</v>
      </c>
      <c r="AH35" s="31">
        <f t="shared" si="28"/>
        <v>0</v>
      </c>
      <c r="AI35" s="31">
        <f t="shared" si="29"/>
        <v>0</v>
      </c>
      <c r="AJ35" s="31">
        <f t="shared" si="30"/>
        <v>0</v>
      </c>
      <c r="AK35" s="31">
        <f t="shared" si="31"/>
        <v>0</v>
      </c>
      <c r="AL35" s="31"/>
      <c r="AM35" s="31" t="str">
        <f t="shared" si="5"/>
        <v/>
      </c>
      <c r="AN35" s="31">
        <f>[1]RB!$I35</f>
        <v>0</v>
      </c>
      <c r="AO35" s="31">
        <f t="shared" si="32"/>
        <v>0</v>
      </c>
      <c r="AP35" s="31">
        <f t="shared" si="33"/>
        <v>0</v>
      </c>
      <c r="AQ35" s="31">
        <f t="shared" si="34"/>
        <v>0</v>
      </c>
      <c r="AR35" s="31">
        <f t="shared" si="35"/>
        <v>0</v>
      </c>
      <c r="AS35" s="33"/>
      <c r="AT35" s="37" t="str">
        <f t="shared" si="6"/>
        <v/>
      </c>
      <c r="AU35" s="36">
        <f>[1]RB!$J35</f>
        <v>0</v>
      </c>
      <c r="AV35" s="31">
        <f t="shared" si="36"/>
        <v>0</v>
      </c>
      <c r="AW35" s="18">
        <f t="shared" si="37"/>
        <v>0</v>
      </c>
      <c r="AX35" s="31">
        <f t="shared" si="38"/>
        <v>0</v>
      </c>
      <c r="AY35" s="31">
        <f t="shared" si="39"/>
        <v>0</v>
      </c>
      <c r="AZ35" s="27"/>
      <c r="BA35" s="37" t="str">
        <f t="shared" si="7"/>
        <v/>
      </c>
      <c r="BB35" s="36">
        <f>[1]RB!$K35</f>
        <v>0</v>
      </c>
      <c r="BC35" s="31">
        <f t="shared" si="40"/>
        <v>0</v>
      </c>
      <c r="BD35" s="18">
        <f t="shared" si="41"/>
        <v>0</v>
      </c>
      <c r="BE35" s="31">
        <f t="shared" si="42"/>
        <v>0</v>
      </c>
      <c r="BF35" s="31">
        <f t="shared" si="43"/>
        <v>0</v>
      </c>
      <c r="BG35" s="27"/>
      <c r="BH35" s="37" t="str">
        <f t="shared" si="8"/>
        <v/>
      </c>
      <c r="BI35" s="36">
        <f>[1]RB!$L35</f>
        <v>0</v>
      </c>
      <c r="BJ35" s="31">
        <f t="shared" si="44"/>
        <v>0</v>
      </c>
      <c r="BK35" s="18">
        <f t="shared" si="45"/>
        <v>0</v>
      </c>
      <c r="BL35" s="31">
        <f t="shared" si="46"/>
        <v>0</v>
      </c>
      <c r="BM35" s="31">
        <f t="shared" si="47"/>
        <v>0</v>
      </c>
      <c r="BN35" s="33"/>
      <c r="BO35" s="37" t="str">
        <f t="shared" si="9"/>
        <v/>
      </c>
      <c r="BP35" s="36">
        <f>[1]RB!$M35</f>
        <v>0</v>
      </c>
      <c r="BQ35" s="31">
        <f t="shared" si="48"/>
        <v>0</v>
      </c>
      <c r="BR35" s="18">
        <f t="shared" si="49"/>
        <v>0</v>
      </c>
      <c r="BS35" s="31">
        <f t="shared" si="50"/>
        <v>0</v>
      </c>
      <c r="BT35" s="31">
        <f t="shared" si="51"/>
        <v>0</v>
      </c>
      <c r="BU35" s="33"/>
      <c r="BV35" s="37" t="str">
        <f t="shared" si="10"/>
        <v/>
      </c>
      <c r="BW35" s="36">
        <f>[1]RB!$N35</f>
        <v>0</v>
      </c>
      <c r="BX35" s="31">
        <f t="shared" si="52"/>
        <v>0</v>
      </c>
      <c r="BY35" s="18">
        <f t="shared" si="53"/>
        <v>0</v>
      </c>
      <c r="BZ35" s="31">
        <f t="shared" si="54"/>
        <v>0</v>
      </c>
      <c r="CA35" s="31">
        <f t="shared" si="55"/>
        <v>0</v>
      </c>
      <c r="CB35" s="33"/>
      <c r="CC35" s="37" t="str">
        <f t="shared" si="11"/>
        <v/>
      </c>
      <c r="CD35" s="36">
        <f>[1]RB!$O35</f>
        <v>0</v>
      </c>
      <c r="CE35" s="31">
        <f t="shared" si="56"/>
        <v>0</v>
      </c>
      <c r="CF35" s="18">
        <f t="shared" si="57"/>
        <v>0</v>
      </c>
      <c r="CG35" s="31">
        <f t="shared" si="58"/>
        <v>0</v>
      </c>
      <c r="CH35" s="31">
        <f t="shared" si="59"/>
        <v>0</v>
      </c>
      <c r="CI35" s="33"/>
      <c r="CJ35" s="37" t="str">
        <f t="shared" si="12"/>
        <v/>
      </c>
      <c r="CK35" s="36">
        <f>[1]RB!$P35</f>
        <v>0</v>
      </c>
      <c r="CL35" s="31">
        <f t="shared" si="60"/>
        <v>0</v>
      </c>
      <c r="CM35" s="18">
        <f t="shared" si="61"/>
        <v>0</v>
      </c>
      <c r="CN35" s="31">
        <f t="shared" si="62"/>
        <v>0</v>
      </c>
      <c r="CO35" s="31">
        <f t="shared" si="63"/>
        <v>0</v>
      </c>
      <c r="CP35" s="33"/>
      <c r="CQ35" s="37" t="str">
        <f t="shared" si="13"/>
        <v/>
      </c>
      <c r="CR35" s="180"/>
      <c r="CS35" s="27"/>
      <c r="CT35" s="27"/>
      <c r="CU35" s="27"/>
      <c r="CV35" s="27"/>
      <c r="CW35" s="27"/>
      <c r="CX35" s="27"/>
      <c r="CY35" s="27"/>
      <c r="CZ35" s="27"/>
      <c r="DA35" s="27"/>
      <c r="DB35" s="27"/>
      <c r="DC35" s="27"/>
      <c r="DD35" s="27"/>
    </row>
    <row r="36" spans="1:108" s="26" customFormat="1" ht="16" customHeight="1" thickBot="1" x14ac:dyDescent="0.25">
      <c r="A36" s="182" t="s">
        <v>60</v>
      </c>
      <c r="B36" s="30">
        <f t="shared" ref="B36:D54" si="65">+L36+S36+Z36+AG36+AN36+AU36+BB36+BI36+BP36+BW36+CD36+CK36</f>
        <v>199999.99999999997</v>
      </c>
      <c r="C36" s="31">
        <f t="shared" si="65"/>
        <v>194280.00000000003</v>
      </c>
      <c r="D36" s="32">
        <f t="shared" si="65"/>
        <v>5720.0000000000009</v>
      </c>
      <c r="E36" s="30">
        <f t="shared" si="14"/>
        <v>66666.666666666672</v>
      </c>
      <c r="F36" s="33">
        <f t="shared" si="14"/>
        <v>64760.000000000007</v>
      </c>
      <c r="G36" s="34">
        <f t="shared" si="14"/>
        <v>1906.6666666666667</v>
      </c>
      <c r="H36" s="31">
        <f t="shared" ref="H36:J54" si="66">+O36+V36+AC36+AJ36+AQ36+AX36+BE36+BL36+BS36+BZ36+CG36+CN36</f>
        <v>158895.79331400001</v>
      </c>
      <c r="I36" s="33">
        <f t="shared" si="66"/>
        <v>4678.2166860000016</v>
      </c>
      <c r="J36" s="33">
        <f t="shared" si="66"/>
        <v>163574.01</v>
      </c>
      <c r="K36" s="37">
        <f t="shared" si="15"/>
        <v>1.4536101499999998</v>
      </c>
      <c r="L36" s="36">
        <f>[1]RB!$E36</f>
        <v>16666.666666666668</v>
      </c>
      <c r="M36" s="31">
        <f t="shared" si="16"/>
        <v>16190.000000000002</v>
      </c>
      <c r="N36" s="31">
        <f t="shared" si="17"/>
        <v>476.66666666666669</v>
      </c>
      <c r="O36" s="31">
        <f t="shared" si="18"/>
        <v>33402.327264</v>
      </c>
      <c r="P36" s="31">
        <f t="shared" si="19"/>
        <v>983.43273600000009</v>
      </c>
      <c r="Q36" s="31">
        <f>266.67+420+296.66+146.67+310+400+77.24+712.5+179.41+537.4+434.86+624.16+109.55+1550.82+12.3+104.99+730.13+68.43+44.99+65.81+27.65+779.42+3544.88+812.06+794.41+240+160+3696+3696+270+180+104.54+74.99+405.24+409.67+64.89+665+2700+1150+288.75+1283.17+177.85+74.06+107.97+708.09+358.23+540+750+270+2960.3</f>
        <v>34385.760000000002</v>
      </c>
      <c r="R36" s="31">
        <f t="shared" si="2"/>
        <v>1.0631455999999999</v>
      </c>
      <c r="S36" s="31">
        <f>[1]RB!$F36</f>
        <v>16666.666666666668</v>
      </c>
      <c r="T36" s="31">
        <f t="shared" si="20"/>
        <v>16190.000000000002</v>
      </c>
      <c r="U36" s="31">
        <f t="shared" si="21"/>
        <v>476.66666666666669</v>
      </c>
      <c r="V36" s="31">
        <f t="shared" si="22"/>
        <v>19888.123037999998</v>
      </c>
      <c r="W36" s="31">
        <f t="shared" si="23"/>
        <v>585.54696200000001</v>
      </c>
      <c r="X36" s="31">
        <f>1630+776.66+46.2+83.42+57.41+396.55+177.98+1350+351.2+620.62+37.5+169.2+56+1836+490+345.7+46.87+730.13+648.65+95.93+308+146.3+75.57+608.3+222.11+97.3+207.97+3080+739.67+225+377.78+225+179.37+600+400.88+462.5+462.5+804.4+585+180+540</f>
        <v>20473.669999999998</v>
      </c>
      <c r="Y36" s="31">
        <f t="shared" si="3"/>
        <v>0.22842019999999974</v>
      </c>
      <c r="Z36" s="31">
        <f>[1]RB!$G36</f>
        <v>16666.666666666668</v>
      </c>
      <c r="AA36" s="31">
        <f t="shared" si="24"/>
        <v>16190.000000000002</v>
      </c>
      <c r="AB36" s="31">
        <f t="shared" si="25"/>
        <v>476.66666666666669</v>
      </c>
      <c r="AC36" s="31">
        <f t="shared" si="26"/>
        <v>24450.079716000007</v>
      </c>
      <c r="AD36" s="31">
        <f t="shared" si="27"/>
        <v>719.86028400000032</v>
      </c>
      <c r="AE36" s="31">
        <f>1006.66+206.67+320+656.66+560+288.91+68.92+123.94+708.4+59.74+955.9+22.33+26.13+6.17+112+897.82+107.19+83.57+8.89+6.75+45.93+69.37+977.97+36.09+33.75+9.06+937.61+311.73+4742.43+298.88+100+23.04+360+37.5+797+678.68+750+446.24+777.38+1108.34+206.21+908+830+1550+84.77+380+250+40.11+57.18+1200+78.47+72.21+574.93+62.83+56+51.58</f>
        <v>25169.94000000001</v>
      </c>
      <c r="AF36" s="31">
        <f t="shared" si="4"/>
        <v>0.51019640000000055</v>
      </c>
      <c r="AG36" s="31">
        <f>[1]RB!$H36</f>
        <v>16666.666666666668</v>
      </c>
      <c r="AH36" s="31">
        <f t="shared" si="28"/>
        <v>16190.000000000002</v>
      </c>
      <c r="AI36" s="31">
        <f t="shared" si="29"/>
        <v>476.66666666666669</v>
      </c>
      <c r="AJ36" s="31">
        <f t="shared" si="30"/>
        <v>26451.999120000008</v>
      </c>
      <c r="AK36" s="31">
        <f t="shared" si="31"/>
        <v>778.80088000000023</v>
      </c>
      <c r="AL36" s="31">
        <f>768+621+1450+38.5+837.27+97.84+1350+4.43+363+39.26+1946+194.69+590+66.45+53.2+2332.5+30.75+213.29+4008.9+325.88+174.7+270.6+844.96+11.25+14.91+73.8+261.38+576+66.42+118.07+803.32+73.8+57.97+1450+1350+452.4+612.5+3962.16+26.84+88.56+610.2</f>
        <v>27230.800000000007</v>
      </c>
      <c r="AM36" s="31">
        <f t="shared" si="5"/>
        <v>0.63384800000000019</v>
      </c>
      <c r="AN36" s="31">
        <f>[1]RB!$I36</f>
        <v>16666.666666666668</v>
      </c>
      <c r="AO36" s="31">
        <f t="shared" si="32"/>
        <v>16190.000000000002</v>
      </c>
      <c r="AP36" s="31">
        <f t="shared" si="33"/>
        <v>476.66666666666669</v>
      </c>
      <c r="AQ36" s="31">
        <f t="shared" si="34"/>
        <v>36166.708242000008</v>
      </c>
      <c r="AR36" s="31">
        <f t="shared" si="35"/>
        <v>1064.8217580000003</v>
      </c>
      <c r="AS36" s="33">
        <v>37231.530000000006</v>
      </c>
      <c r="AT36" s="37">
        <f t="shared" si="6"/>
        <v>1.2338918000000003</v>
      </c>
      <c r="AU36" s="36">
        <f>[1]RB!$J36</f>
        <v>16666.666666666668</v>
      </c>
      <c r="AV36" s="31">
        <f t="shared" si="36"/>
        <v>16190.000000000002</v>
      </c>
      <c r="AW36" s="18">
        <f t="shared" si="37"/>
        <v>476.66666666666669</v>
      </c>
      <c r="AX36" s="31">
        <f t="shared" si="38"/>
        <v>18536.555934</v>
      </c>
      <c r="AY36" s="31">
        <f t="shared" si="39"/>
        <v>545.75406600000008</v>
      </c>
      <c r="AZ36" s="27">
        <v>19082.310000000001</v>
      </c>
      <c r="BA36" s="37">
        <f t="shared" si="7"/>
        <v>0.14493859999999992</v>
      </c>
      <c r="BB36" s="36">
        <f>[1]RB!$K36</f>
        <v>16666.666666666668</v>
      </c>
      <c r="BC36" s="31">
        <f t="shared" si="40"/>
        <v>16190.000000000002</v>
      </c>
      <c r="BD36" s="18">
        <f t="shared" si="41"/>
        <v>476.66666666666669</v>
      </c>
      <c r="BE36" s="31">
        <f t="shared" si="42"/>
        <v>0</v>
      </c>
      <c r="BF36" s="31">
        <f t="shared" si="43"/>
        <v>0</v>
      </c>
      <c r="BG36" s="27"/>
      <c r="BH36" s="37">
        <f t="shared" si="8"/>
        <v>-1</v>
      </c>
      <c r="BI36" s="36">
        <f>[1]RB!$L36</f>
        <v>16666.666666666668</v>
      </c>
      <c r="BJ36" s="31">
        <f t="shared" si="44"/>
        <v>16190.000000000002</v>
      </c>
      <c r="BK36" s="18">
        <f t="shared" si="45"/>
        <v>476.66666666666669</v>
      </c>
      <c r="BL36" s="31">
        <f t="shared" si="46"/>
        <v>0</v>
      </c>
      <c r="BM36" s="31">
        <f t="shared" si="47"/>
        <v>0</v>
      </c>
      <c r="BN36" s="33"/>
      <c r="BO36" s="37">
        <f t="shared" si="9"/>
        <v>-1</v>
      </c>
      <c r="BP36" s="36">
        <f>[1]RB!$M36</f>
        <v>16666.666666666668</v>
      </c>
      <c r="BQ36" s="31">
        <f t="shared" si="48"/>
        <v>16190.000000000002</v>
      </c>
      <c r="BR36" s="18">
        <f t="shared" si="49"/>
        <v>476.66666666666669</v>
      </c>
      <c r="BS36" s="31">
        <f t="shared" si="50"/>
        <v>0</v>
      </c>
      <c r="BT36" s="31">
        <f t="shared" si="51"/>
        <v>0</v>
      </c>
      <c r="BU36" s="33"/>
      <c r="BV36" s="37">
        <f t="shared" si="10"/>
        <v>-1</v>
      </c>
      <c r="BW36" s="36">
        <f>[1]RB!$N36</f>
        <v>16666.666666666668</v>
      </c>
      <c r="BX36" s="31">
        <f t="shared" si="52"/>
        <v>16190.000000000002</v>
      </c>
      <c r="BY36" s="18">
        <f t="shared" si="53"/>
        <v>476.66666666666669</v>
      </c>
      <c r="BZ36" s="31">
        <f t="shared" si="54"/>
        <v>0</v>
      </c>
      <c r="CA36" s="31">
        <f t="shared" si="55"/>
        <v>0</v>
      </c>
      <c r="CB36" s="33"/>
      <c r="CC36" s="37">
        <f t="shared" si="11"/>
        <v>-1</v>
      </c>
      <c r="CD36" s="36">
        <f>[1]RB!$O36</f>
        <v>16666.666666666668</v>
      </c>
      <c r="CE36" s="31">
        <f t="shared" si="56"/>
        <v>16190.000000000002</v>
      </c>
      <c r="CF36" s="18">
        <f t="shared" si="57"/>
        <v>476.66666666666669</v>
      </c>
      <c r="CG36" s="31">
        <f t="shared" si="58"/>
        <v>0</v>
      </c>
      <c r="CH36" s="31">
        <f t="shared" si="59"/>
        <v>0</v>
      </c>
      <c r="CI36" s="33"/>
      <c r="CJ36" s="37">
        <f t="shared" si="12"/>
        <v>-1</v>
      </c>
      <c r="CK36" s="36">
        <f>[1]RB!$P36</f>
        <v>16666.666666666668</v>
      </c>
      <c r="CL36" s="31">
        <f t="shared" si="60"/>
        <v>16190.000000000002</v>
      </c>
      <c r="CM36" s="18">
        <f t="shared" si="61"/>
        <v>476.66666666666669</v>
      </c>
      <c r="CN36" s="31">
        <f t="shared" si="62"/>
        <v>0</v>
      </c>
      <c r="CO36" s="31">
        <f t="shared" si="63"/>
        <v>0</v>
      </c>
      <c r="CP36" s="33"/>
      <c r="CQ36" s="37">
        <f t="shared" si="13"/>
        <v>-1</v>
      </c>
      <c r="CR36" s="180"/>
      <c r="CS36" s="27">
        <f>7710+610+760+1018+580+350+1160+1150+1260+681.72+40+4380+718.6+493.3+537.47+47.3+47.3+25.37+320+550+445.04+691.26+1010+490+666.4+1800+8100+750+161.24+110.58+3682.84+1400+179.92+25.8+66.35+716+161.24+4883</f>
        <v>47778.729999999996</v>
      </c>
      <c r="CT36" s="27">
        <f>1705+70+70+70+390+1380+1355+1835+265+1395+21.26+1350+4677.75+60.2+200+718.59+164.47+150.05+2088.3+288+110.1+73.19+337.12+178.44+803.23+716+133.21+3156+42.43</f>
        <v>23803.339999999993</v>
      </c>
      <c r="CU36" s="27">
        <f>350+380+220+220+52+190+1821+279+280+2300+156.2+72.57+6.52+45.7+74+80.5+634.5+55.35+63.27+54.12+39.36+41.82+170+840+292.72+436.9+24.47+83.02+80+700+470+432.32+50+803.23+112.2+110.69+280+250+2783</f>
        <v>15334.46</v>
      </c>
      <c r="CV36" s="27"/>
      <c r="CW36" s="27"/>
      <c r="CX36" s="27"/>
      <c r="CY36" s="27"/>
      <c r="CZ36" s="27"/>
      <c r="DA36" s="27"/>
      <c r="DB36" s="27"/>
      <c r="DC36" s="27"/>
      <c r="DD36" s="27"/>
    </row>
    <row r="37" spans="1:108" s="26" customFormat="1" ht="16" customHeight="1" thickBot="1" x14ac:dyDescent="0.25">
      <c r="A37" s="182" t="s">
        <v>61</v>
      </c>
      <c r="B37" s="30">
        <f t="shared" si="65"/>
        <v>199999.99999999997</v>
      </c>
      <c r="C37" s="31">
        <f t="shared" si="65"/>
        <v>194280.00000000003</v>
      </c>
      <c r="D37" s="32">
        <f t="shared" si="65"/>
        <v>5720.0000000000009</v>
      </c>
      <c r="E37" s="30">
        <f t="shared" ref="E37:G54" si="67">+L37+S37+Z37+AG37</f>
        <v>66666.666666666672</v>
      </c>
      <c r="F37" s="33">
        <f t="shared" si="67"/>
        <v>64760.000000000007</v>
      </c>
      <c r="G37" s="34">
        <f t="shared" si="67"/>
        <v>1906.6666666666667</v>
      </c>
      <c r="H37" s="31">
        <f t="shared" si="66"/>
        <v>62406.359321999982</v>
      </c>
      <c r="I37" s="33">
        <f t="shared" si="66"/>
        <v>1837.3706779999993</v>
      </c>
      <c r="J37" s="33">
        <f t="shared" si="66"/>
        <v>64243.729999999981</v>
      </c>
      <c r="K37" s="37">
        <f t="shared" si="15"/>
        <v>-3.6344050000000294E-2</v>
      </c>
      <c r="L37" s="36">
        <f>[1]RB!$E37</f>
        <v>16666.666666666668</v>
      </c>
      <c r="M37" s="31">
        <f t="shared" si="16"/>
        <v>16190.000000000002</v>
      </c>
      <c r="N37" s="31">
        <f t="shared" si="17"/>
        <v>476.66666666666669</v>
      </c>
      <c r="O37" s="31">
        <f t="shared" si="18"/>
        <v>11097.361026000004</v>
      </c>
      <c r="P37" s="31">
        <f t="shared" si="19"/>
        <v>326.72897400000011</v>
      </c>
      <c r="Q37" s="31">
        <f>(42849.55+2960.3)-Q36</f>
        <v>11424.090000000004</v>
      </c>
      <c r="R37" s="31">
        <f t="shared" si="2"/>
        <v>-0.3145545999999998</v>
      </c>
      <c r="S37" s="31">
        <f>[1]RB!$F37</f>
        <v>16666.666666666668</v>
      </c>
      <c r="T37" s="31">
        <f t="shared" si="20"/>
        <v>16190.000000000002</v>
      </c>
      <c r="U37" s="31">
        <f t="shared" si="21"/>
        <v>476.66666666666669</v>
      </c>
      <c r="V37" s="31">
        <f t="shared" si="22"/>
        <v>7606.5477000000001</v>
      </c>
      <c r="W37" s="31">
        <f t="shared" si="23"/>
        <v>223.95230000000001</v>
      </c>
      <c r="X37" s="31">
        <f>28304.17-X36</f>
        <v>7830.5</v>
      </c>
      <c r="Y37" s="31">
        <f t="shared" si="3"/>
        <v>-0.53017000000000003</v>
      </c>
      <c r="Z37" s="31">
        <f>[1]RB!$G37</f>
        <v>16666.666666666668</v>
      </c>
      <c r="AA37" s="31">
        <f t="shared" si="24"/>
        <v>16190.000000000002</v>
      </c>
      <c r="AB37" s="31">
        <f t="shared" si="25"/>
        <v>476.66666666666669</v>
      </c>
      <c r="AC37" s="31">
        <f t="shared" si="26"/>
        <v>11010.576149999994</v>
      </c>
      <c r="AD37" s="31">
        <f t="shared" si="27"/>
        <v>324.17384999999979</v>
      </c>
      <c r="AE37" s="31">
        <f>36504.69-AE36</f>
        <v>11334.749999999993</v>
      </c>
      <c r="AF37" s="31">
        <f t="shared" si="4"/>
        <v>-0.3199150000000005</v>
      </c>
      <c r="AG37" s="31">
        <f>[1]RB!$H37</f>
        <v>16666.666666666668</v>
      </c>
      <c r="AH37" s="31">
        <f t="shared" si="28"/>
        <v>16190.000000000002</v>
      </c>
      <c r="AI37" s="31">
        <f t="shared" si="29"/>
        <v>476.66666666666669</v>
      </c>
      <c r="AJ37" s="31">
        <f t="shared" si="30"/>
        <v>11012.499521999993</v>
      </c>
      <c r="AK37" s="31">
        <f t="shared" si="31"/>
        <v>324.23047799999978</v>
      </c>
      <c r="AL37" s="31">
        <f>38567.53-AL36</f>
        <v>11336.729999999992</v>
      </c>
      <c r="AM37" s="31">
        <f t="shared" si="5"/>
        <v>-0.31979620000000053</v>
      </c>
      <c r="AN37" s="31">
        <f>[1]RB!$I37</f>
        <v>16666.666666666668</v>
      </c>
      <c r="AO37" s="31">
        <f t="shared" si="32"/>
        <v>16190.000000000002</v>
      </c>
      <c r="AP37" s="31">
        <f t="shared" si="33"/>
        <v>476.66666666666669</v>
      </c>
      <c r="AQ37" s="31">
        <f t="shared" si="34"/>
        <v>16532.752013999994</v>
      </c>
      <c r="AR37" s="31">
        <f t="shared" si="35"/>
        <v>486.75798599999985</v>
      </c>
      <c r="AS37" s="33">
        <v>17019.509999999995</v>
      </c>
      <c r="AT37" s="37">
        <f t="shared" si="6"/>
        <v>2.1170599999999595E-2</v>
      </c>
      <c r="AU37" s="36">
        <f>[1]RB!$J37</f>
        <v>16666.666666666668</v>
      </c>
      <c r="AV37" s="31">
        <f t="shared" si="36"/>
        <v>16190.000000000002</v>
      </c>
      <c r="AW37" s="18">
        <f t="shared" si="37"/>
        <v>476.66666666666669</v>
      </c>
      <c r="AX37" s="31">
        <f t="shared" si="38"/>
        <v>5146.6229099999982</v>
      </c>
      <c r="AY37" s="31">
        <f t="shared" si="39"/>
        <v>151.52708999999993</v>
      </c>
      <c r="AZ37" s="27">
        <v>5298.1499999999978</v>
      </c>
      <c r="BA37" s="37">
        <f t="shared" si="7"/>
        <v>-0.68211100000000013</v>
      </c>
      <c r="BB37" s="36">
        <f>[1]RB!$K37</f>
        <v>16666.666666666668</v>
      </c>
      <c r="BC37" s="31">
        <f t="shared" si="40"/>
        <v>16190.000000000002</v>
      </c>
      <c r="BD37" s="18">
        <f t="shared" si="41"/>
        <v>476.66666666666669</v>
      </c>
      <c r="BE37" s="31">
        <f t="shared" si="42"/>
        <v>0</v>
      </c>
      <c r="BF37" s="31">
        <f t="shared" si="43"/>
        <v>0</v>
      </c>
      <c r="BG37" s="27"/>
      <c r="BH37" s="37">
        <f t="shared" si="8"/>
        <v>-1</v>
      </c>
      <c r="BI37" s="36">
        <f>[1]RB!$L37</f>
        <v>16666.666666666668</v>
      </c>
      <c r="BJ37" s="31">
        <f t="shared" si="44"/>
        <v>16190.000000000002</v>
      </c>
      <c r="BK37" s="18">
        <f t="shared" si="45"/>
        <v>476.66666666666669</v>
      </c>
      <c r="BL37" s="31">
        <f t="shared" si="46"/>
        <v>0</v>
      </c>
      <c r="BM37" s="31">
        <f t="shared" si="47"/>
        <v>0</v>
      </c>
      <c r="BN37" s="33"/>
      <c r="BO37" s="37">
        <f t="shared" si="9"/>
        <v>-1</v>
      </c>
      <c r="BP37" s="36">
        <f>[1]RB!$M37</f>
        <v>16666.666666666668</v>
      </c>
      <c r="BQ37" s="31">
        <f t="shared" si="48"/>
        <v>16190.000000000002</v>
      </c>
      <c r="BR37" s="18">
        <f t="shared" si="49"/>
        <v>476.66666666666669</v>
      </c>
      <c r="BS37" s="31">
        <f t="shared" si="50"/>
        <v>0</v>
      </c>
      <c r="BT37" s="31">
        <f t="shared" si="51"/>
        <v>0</v>
      </c>
      <c r="BU37" s="33"/>
      <c r="BV37" s="37">
        <f t="shared" si="10"/>
        <v>-1</v>
      </c>
      <c r="BW37" s="36">
        <f>[1]RB!$N37</f>
        <v>16666.666666666668</v>
      </c>
      <c r="BX37" s="31">
        <f t="shared" si="52"/>
        <v>16190.000000000002</v>
      </c>
      <c r="BY37" s="18">
        <f t="shared" si="53"/>
        <v>476.66666666666669</v>
      </c>
      <c r="BZ37" s="31">
        <f t="shared" si="54"/>
        <v>0</v>
      </c>
      <c r="CA37" s="31">
        <f t="shared" si="55"/>
        <v>0</v>
      </c>
      <c r="CB37" s="33"/>
      <c r="CC37" s="37">
        <f t="shared" si="11"/>
        <v>-1</v>
      </c>
      <c r="CD37" s="36">
        <f>[1]RB!$O37</f>
        <v>16666.666666666668</v>
      </c>
      <c r="CE37" s="31">
        <f t="shared" si="56"/>
        <v>16190.000000000002</v>
      </c>
      <c r="CF37" s="18">
        <f t="shared" si="57"/>
        <v>476.66666666666669</v>
      </c>
      <c r="CG37" s="31">
        <f t="shared" si="58"/>
        <v>0</v>
      </c>
      <c r="CH37" s="31">
        <f t="shared" si="59"/>
        <v>0</v>
      </c>
      <c r="CI37" s="33"/>
      <c r="CJ37" s="37">
        <f t="shared" si="12"/>
        <v>-1</v>
      </c>
      <c r="CK37" s="36">
        <f>[1]RB!$P37</f>
        <v>16666.666666666668</v>
      </c>
      <c r="CL37" s="31">
        <f t="shared" si="60"/>
        <v>16190.000000000002</v>
      </c>
      <c r="CM37" s="18">
        <f t="shared" si="61"/>
        <v>476.66666666666669</v>
      </c>
      <c r="CN37" s="31">
        <f t="shared" si="62"/>
        <v>0</v>
      </c>
      <c r="CO37" s="31">
        <f t="shared" si="63"/>
        <v>0</v>
      </c>
      <c r="CP37" s="33"/>
      <c r="CQ37" s="37">
        <f t="shared" si="13"/>
        <v>-1</v>
      </c>
      <c r="CR37" s="180"/>
      <c r="CS37" s="27">
        <f>74421.02-CS36</f>
        <v>26642.290000000008</v>
      </c>
      <c r="CT37" s="27">
        <f>49875.5-CT36</f>
        <v>26072.160000000007</v>
      </c>
      <c r="CU37" s="27">
        <f>83101.26-CU36</f>
        <v>67766.799999999988</v>
      </c>
      <c r="CV37" s="27"/>
      <c r="CW37" s="27"/>
      <c r="CX37" s="27"/>
      <c r="CY37" s="27"/>
      <c r="CZ37" s="27"/>
      <c r="DA37" s="27"/>
      <c r="DB37" s="27"/>
      <c r="DC37" s="27"/>
      <c r="DD37" s="27"/>
    </row>
    <row r="38" spans="1:108" s="26" customFormat="1" ht="16" customHeight="1" thickBot="1" x14ac:dyDescent="0.25">
      <c r="A38" s="182" t="s">
        <v>62</v>
      </c>
      <c r="B38" s="30">
        <f t="shared" si="65"/>
        <v>70000.000000000015</v>
      </c>
      <c r="C38" s="31">
        <f t="shared" si="65"/>
        <v>67998</v>
      </c>
      <c r="D38" s="32">
        <f t="shared" si="65"/>
        <v>2001.9999999999993</v>
      </c>
      <c r="E38" s="30">
        <f t="shared" si="67"/>
        <v>23333.333333333332</v>
      </c>
      <c r="F38" s="33">
        <f t="shared" si="67"/>
        <v>22666</v>
      </c>
      <c r="G38" s="34">
        <f t="shared" si="67"/>
        <v>667.33333333333326</v>
      </c>
      <c r="H38" s="31">
        <f t="shared" si="66"/>
        <v>40217.854229999997</v>
      </c>
      <c r="I38" s="33">
        <f t="shared" si="66"/>
        <v>1184.0957699999999</v>
      </c>
      <c r="J38" s="33">
        <f t="shared" si="66"/>
        <v>41401.949999999997</v>
      </c>
      <c r="K38" s="37">
        <f t="shared" si="15"/>
        <v>0.77436928571428565</v>
      </c>
      <c r="L38" s="36">
        <f>[1]RB!$E38</f>
        <v>5833.333333333333</v>
      </c>
      <c r="M38" s="31">
        <f t="shared" si="16"/>
        <v>5666.5</v>
      </c>
      <c r="N38" s="31">
        <f t="shared" si="17"/>
        <v>166.83333333333331</v>
      </c>
      <c r="O38" s="31">
        <f t="shared" si="18"/>
        <v>2494.9146179999998</v>
      </c>
      <c r="P38" s="31">
        <f t="shared" si="19"/>
        <v>73.455382</v>
      </c>
      <c r="Q38" s="31">
        <f>2568.37</f>
        <v>2568.37</v>
      </c>
      <c r="R38" s="31">
        <f t="shared" si="2"/>
        <v>-0.55970799999999998</v>
      </c>
      <c r="S38" s="31">
        <f>[1]RB!$F38</f>
        <v>5833.333333333333</v>
      </c>
      <c r="T38" s="31">
        <f t="shared" si="20"/>
        <v>5666.5</v>
      </c>
      <c r="U38" s="31">
        <f t="shared" si="21"/>
        <v>166.83333333333331</v>
      </c>
      <c r="V38" s="31">
        <f t="shared" si="22"/>
        <v>4025.0250419999998</v>
      </c>
      <c r="W38" s="31">
        <f t="shared" si="23"/>
        <v>118.50495799999999</v>
      </c>
      <c r="X38" s="31">
        <f>4143.53</f>
        <v>4143.53</v>
      </c>
      <c r="Y38" s="31">
        <f t="shared" si="3"/>
        <v>-0.2896805714285714</v>
      </c>
      <c r="Z38" s="31">
        <f>[1]RB!$G38</f>
        <v>5833.333333333333</v>
      </c>
      <c r="AA38" s="31">
        <f t="shared" si="24"/>
        <v>5666.5</v>
      </c>
      <c r="AB38" s="31">
        <f t="shared" si="25"/>
        <v>166.83333333333331</v>
      </c>
      <c r="AC38" s="31">
        <f t="shared" si="26"/>
        <v>10697.34822</v>
      </c>
      <c r="AD38" s="31">
        <f t="shared" si="27"/>
        <v>314.95177999999999</v>
      </c>
      <c r="AE38" s="31">
        <f>9129.72+1882.58</f>
        <v>11012.3</v>
      </c>
      <c r="AF38" s="31">
        <f t="shared" si="4"/>
        <v>0.88782285714285702</v>
      </c>
      <c r="AG38" s="31">
        <f>[1]RB!$H38</f>
        <v>5833.333333333333</v>
      </c>
      <c r="AH38" s="31">
        <f t="shared" si="28"/>
        <v>5666.5</v>
      </c>
      <c r="AI38" s="31">
        <f t="shared" si="29"/>
        <v>166.83333333333331</v>
      </c>
      <c r="AJ38" s="31">
        <f t="shared" si="30"/>
        <v>15985.096121999999</v>
      </c>
      <c r="AK38" s="31">
        <f t="shared" si="31"/>
        <v>470.63387799999998</v>
      </c>
      <c r="AL38" s="31">
        <f>16455.73</f>
        <v>16455.73</v>
      </c>
      <c r="AM38" s="31">
        <f t="shared" si="5"/>
        <v>1.8209822857142859</v>
      </c>
      <c r="AN38" s="31">
        <f>[1]RB!$I38</f>
        <v>5833.333333333333</v>
      </c>
      <c r="AO38" s="31">
        <f t="shared" si="32"/>
        <v>5666.5</v>
      </c>
      <c r="AP38" s="31">
        <f t="shared" si="33"/>
        <v>166.83333333333331</v>
      </c>
      <c r="AQ38" s="31">
        <f t="shared" si="34"/>
        <v>2064.9244080000003</v>
      </c>
      <c r="AR38" s="31">
        <f t="shared" si="35"/>
        <v>60.795592000000006</v>
      </c>
      <c r="AS38" s="33">
        <v>2125.7200000000003</v>
      </c>
      <c r="AT38" s="37">
        <f t="shared" si="6"/>
        <v>-0.63559085714285701</v>
      </c>
      <c r="AU38" s="36">
        <f>[1]RB!$J38</f>
        <v>5833.333333333333</v>
      </c>
      <c r="AV38" s="31">
        <f t="shared" si="36"/>
        <v>5666.5</v>
      </c>
      <c r="AW38" s="18">
        <f t="shared" si="37"/>
        <v>166.83333333333331</v>
      </c>
      <c r="AX38" s="31">
        <f t="shared" si="38"/>
        <v>4950.5458200000003</v>
      </c>
      <c r="AY38" s="31">
        <f t="shared" si="39"/>
        <v>145.75418000000002</v>
      </c>
      <c r="AZ38" s="27">
        <v>5096.3</v>
      </c>
      <c r="BA38" s="37">
        <f t="shared" si="7"/>
        <v>-0.12634857142857137</v>
      </c>
      <c r="BB38" s="36">
        <f>[1]RB!$K38</f>
        <v>5833.333333333333</v>
      </c>
      <c r="BC38" s="31">
        <f t="shared" si="40"/>
        <v>5666.5</v>
      </c>
      <c r="BD38" s="18">
        <f t="shared" si="41"/>
        <v>166.83333333333331</v>
      </c>
      <c r="BE38" s="31">
        <f t="shared" si="42"/>
        <v>0</v>
      </c>
      <c r="BF38" s="31">
        <f t="shared" si="43"/>
        <v>0</v>
      </c>
      <c r="BG38" s="27"/>
      <c r="BH38" s="37">
        <f t="shared" si="8"/>
        <v>-1</v>
      </c>
      <c r="BI38" s="36">
        <f>[1]RB!$L38</f>
        <v>5833.333333333333</v>
      </c>
      <c r="BJ38" s="31">
        <f t="shared" si="44"/>
        <v>5666.5</v>
      </c>
      <c r="BK38" s="18">
        <f t="shared" si="45"/>
        <v>166.83333333333331</v>
      </c>
      <c r="BL38" s="31">
        <f t="shared" si="46"/>
        <v>0</v>
      </c>
      <c r="BM38" s="31">
        <f t="shared" si="47"/>
        <v>0</v>
      </c>
      <c r="BN38" s="33"/>
      <c r="BO38" s="37">
        <f t="shared" si="9"/>
        <v>-1</v>
      </c>
      <c r="BP38" s="36">
        <f>[1]RB!$M38</f>
        <v>5833.333333333333</v>
      </c>
      <c r="BQ38" s="31">
        <f t="shared" si="48"/>
        <v>5666.5</v>
      </c>
      <c r="BR38" s="18">
        <f t="shared" si="49"/>
        <v>166.83333333333331</v>
      </c>
      <c r="BS38" s="31">
        <f t="shared" si="50"/>
        <v>0</v>
      </c>
      <c r="BT38" s="31">
        <f t="shared" si="51"/>
        <v>0</v>
      </c>
      <c r="BU38" s="33"/>
      <c r="BV38" s="37">
        <f t="shared" si="10"/>
        <v>-1</v>
      </c>
      <c r="BW38" s="36">
        <f>[1]RB!$N38</f>
        <v>5833.333333333333</v>
      </c>
      <c r="BX38" s="31">
        <f t="shared" si="52"/>
        <v>5666.5</v>
      </c>
      <c r="BY38" s="18">
        <f t="shared" si="53"/>
        <v>166.83333333333331</v>
      </c>
      <c r="BZ38" s="31">
        <f t="shared" si="54"/>
        <v>0</v>
      </c>
      <c r="CA38" s="31">
        <f t="shared" si="55"/>
        <v>0</v>
      </c>
      <c r="CB38" s="33"/>
      <c r="CC38" s="37">
        <f t="shared" si="11"/>
        <v>-1</v>
      </c>
      <c r="CD38" s="36">
        <f>[1]RB!$O38</f>
        <v>5833.333333333333</v>
      </c>
      <c r="CE38" s="31">
        <f t="shared" si="56"/>
        <v>5666.5</v>
      </c>
      <c r="CF38" s="18">
        <f t="shared" si="57"/>
        <v>166.83333333333331</v>
      </c>
      <c r="CG38" s="31">
        <f t="shared" si="58"/>
        <v>0</v>
      </c>
      <c r="CH38" s="31">
        <f t="shared" si="59"/>
        <v>0</v>
      </c>
      <c r="CI38" s="33"/>
      <c r="CJ38" s="37">
        <f t="shared" si="12"/>
        <v>-1</v>
      </c>
      <c r="CK38" s="36">
        <f>[1]RB!$P38</f>
        <v>5833.333333333333</v>
      </c>
      <c r="CL38" s="31">
        <f t="shared" si="60"/>
        <v>5666.5</v>
      </c>
      <c r="CM38" s="18">
        <f t="shared" si="61"/>
        <v>166.83333333333331</v>
      </c>
      <c r="CN38" s="31">
        <f t="shared" si="62"/>
        <v>0</v>
      </c>
      <c r="CO38" s="31">
        <f t="shared" si="63"/>
        <v>0</v>
      </c>
      <c r="CP38" s="33"/>
      <c r="CQ38" s="37">
        <f t="shared" si="13"/>
        <v>-1</v>
      </c>
      <c r="CR38" s="180"/>
      <c r="CS38" s="27">
        <f>5576.72</f>
        <v>5576.72</v>
      </c>
      <c r="CT38" s="27">
        <f>7712.4</f>
        <v>7712.4</v>
      </c>
      <c r="CU38" s="27">
        <v>12204.61</v>
      </c>
      <c r="CV38" s="27"/>
      <c r="CW38" s="27"/>
      <c r="CX38" s="27"/>
      <c r="CY38" s="27"/>
      <c r="CZ38" s="27"/>
      <c r="DA38" s="27"/>
      <c r="DB38" s="27"/>
      <c r="DC38" s="27"/>
      <c r="DD38" s="27"/>
    </row>
    <row r="39" spans="1:108" s="26" customFormat="1" ht="16" customHeight="1" thickBot="1" x14ac:dyDescent="0.25">
      <c r="A39" s="182" t="s">
        <v>63</v>
      </c>
      <c r="B39" s="30">
        <f t="shared" si="65"/>
        <v>10000</v>
      </c>
      <c r="C39" s="31">
        <f t="shared" si="65"/>
        <v>9714</v>
      </c>
      <c r="D39" s="32">
        <f t="shared" si="65"/>
        <v>286.00000000000006</v>
      </c>
      <c r="E39" s="30">
        <f t="shared" si="67"/>
        <v>3333.3333333333335</v>
      </c>
      <c r="F39" s="33">
        <f t="shared" si="67"/>
        <v>3238</v>
      </c>
      <c r="G39" s="34">
        <f t="shared" si="67"/>
        <v>95.333333333333343</v>
      </c>
      <c r="H39" s="31">
        <f t="shared" si="66"/>
        <v>5108.9811600000003</v>
      </c>
      <c r="I39" s="33">
        <f t="shared" si="66"/>
        <v>150.41884000000002</v>
      </c>
      <c r="J39" s="33">
        <f t="shared" si="66"/>
        <v>5259.4</v>
      </c>
      <c r="K39" s="37">
        <f t="shared" si="15"/>
        <v>0.57781999999999978</v>
      </c>
      <c r="L39" s="36">
        <f>[1]RB!$E39</f>
        <v>833.33333333333337</v>
      </c>
      <c r="M39" s="31">
        <f t="shared" si="16"/>
        <v>809.5</v>
      </c>
      <c r="N39" s="31">
        <f t="shared" si="17"/>
        <v>23.833333333333336</v>
      </c>
      <c r="O39" s="31">
        <f t="shared" si="18"/>
        <v>3435.7640879999999</v>
      </c>
      <c r="P39" s="31">
        <f t="shared" si="19"/>
        <v>101.155912</v>
      </c>
      <c r="Q39" s="31">
        <v>3536.92</v>
      </c>
      <c r="R39" s="31">
        <f t="shared" si="2"/>
        <v>3.2443039999999996</v>
      </c>
      <c r="S39" s="31">
        <f>[1]RB!$F39</f>
        <v>833.33333333333337</v>
      </c>
      <c r="T39" s="31">
        <f t="shared" si="20"/>
        <v>809.5</v>
      </c>
      <c r="U39" s="31">
        <f t="shared" si="21"/>
        <v>23.833333333333336</v>
      </c>
      <c r="V39" s="31">
        <f t="shared" si="22"/>
        <v>0</v>
      </c>
      <c r="W39" s="31">
        <f t="shared" si="23"/>
        <v>0</v>
      </c>
      <c r="X39" s="31"/>
      <c r="Y39" s="31">
        <f t="shared" si="3"/>
        <v>-1</v>
      </c>
      <c r="Z39" s="31">
        <f>[1]RB!$G39</f>
        <v>833.33333333333337</v>
      </c>
      <c r="AA39" s="31">
        <f t="shared" si="24"/>
        <v>809.5</v>
      </c>
      <c r="AB39" s="31">
        <f t="shared" si="25"/>
        <v>23.833333333333336</v>
      </c>
      <c r="AC39" s="31">
        <f t="shared" si="26"/>
        <v>0</v>
      </c>
      <c r="AD39" s="31">
        <f t="shared" si="27"/>
        <v>0</v>
      </c>
      <c r="AE39" s="31"/>
      <c r="AF39" s="31">
        <f t="shared" si="4"/>
        <v>-1</v>
      </c>
      <c r="AG39" s="31">
        <f>[1]RB!$H39</f>
        <v>833.33333333333337</v>
      </c>
      <c r="AH39" s="31">
        <f t="shared" si="28"/>
        <v>809.5</v>
      </c>
      <c r="AI39" s="31">
        <f t="shared" si="29"/>
        <v>23.833333333333336</v>
      </c>
      <c r="AJ39" s="31">
        <f t="shared" si="30"/>
        <v>335.11357200000003</v>
      </c>
      <c r="AK39" s="31">
        <f t="shared" si="31"/>
        <v>9.8664280000000009</v>
      </c>
      <c r="AL39" s="31">
        <f>344.98</f>
        <v>344.98</v>
      </c>
      <c r="AM39" s="31">
        <f t="shared" si="5"/>
        <v>-0.58602399999999999</v>
      </c>
      <c r="AN39" s="31">
        <f>[1]RB!$I39</f>
        <v>833.33333333333337</v>
      </c>
      <c r="AO39" s="31">
        <f t="shared" si="32"/>
        <v>809.5</v>
      </c>
      <c r="AP39" s="31">
        <f t="shared" si="33"/>
        <v>23.833333333333336</v>
      </c>
      <c r="AQ39" s="31">
        <f t="shared" si="34"/>
        <v>777.12</v>
      </c>
      <c r="AR39" s="31">
        <f t="shared" si="35"/>
        <v>22.88</v>
      </c>
      <c r="AS39" s="33">
        <v>800</v>
      </c>
      <c r="AT39" s="37">
        <f t="shared" si="6"/>
        <v>-4.0000000000000036E-2</v>
      </c>
      <c r="AU39" s="36">
        <f>[1]RB!$J39</f>
        <v>833.33333333333337</v>
      </c>
      <c r="AV39" s="31">
        <f t="shared" si="36"/>
        <v>809.5</v>
      </c>
      <c r="AW39" s="18">
        <f t="shared" si="37"/>
        <v>23.833333333333336</v>
      </c>
      <c r="AX39" s="31">
        <f t="shared" si="38"/>
        <v>560.98350000000005</v>
      </c>
      <c r="AY39" s="31">
        <f t="shared" si="39"/>
        <v>16.516500000000001</v>
      </c>
      <c r="AZ39" s="27">
        <v>577.5</v>
      </c>
      <c r="BA39" s="37">
        <f t="shared" si="7"/>
        <v>-0.30700000000000005</v>
      </c>
      <c r="BB39" s="36">
        <f>[1]RB!$K39</f>
        <v>833.33333333333337</v>
      </c>
      <c r="BC39" s="31">
        <f t="shared" si="40"/>
        <v>809.5</v>
      </c>
      <c r="BD39" s="18">
        <f t="shared" si="41"/>
        <v>23.833333333333336</v>
      </c>
      <c r="BE39" s="31">
        <f t="shared" si="42"/>
        <v>0</v>
      </c>
      <c r="BF39" s="31">
        <f t="shared" si="43"/>
        <v>0</v>
      </c>
      <c r="BG39" s="27"/>
      <c r="BH39" s="37">
        <f t="shared" si="8"/>
        <v>-1</v>
      </c>
      <c r="BI39" s="36">
        <f>[1]RB!$L39</f>
        <v>833.33333333333337</v>
      </c>
      <c r="BJ39" s="31">
        <f t="shared" si="44"/>
        <v>809.5</v>
      </c>
      <c r="BK39" s="18">
        <f t="shared" si="45"/>
        <v>23.833333333333336</v>
      </c>
      <c r="BL39" s="31">
        <f t="shared" si="46"/>
        <v>0</v>
      </c>
      <c r="BM39" s="31">
        <f t="shared" si="47"/>
        <v>0</v>
      </c>
      <c r="BN39" s="33"/>
      <c r="BO39" s="37">
        <f t="shared" si="9"/>
        <v>-1</v>
      </c>
      <c r="BP39" s="36">
        <f>[1]RB!$M39</f>
        <v>833.33333333333337</v>
      </c>
      <c r="BQ39" s="31">
        <f t="shared" si="48"/>
        <v>809.5</v>
      </c>
      <c r="BR39" s="18">
        <f t="shared" si="49"/>
        <v>23.833333333333336</v>
      </c>
      <c r="BS39" s="31">
        <f t="shared" si="50"/>
        <v>0</v>
      </c>
      <c r="BT39" s="31">
        <f t="shared" si="51"/>
        <v>0</v>
      </c>
      <c r="BU39" s="33"/>
      <c r="BV39" s="37">
        <f t="shared" si="10"/>
        <v>-1</v>
      </c>
      <c r="BW39" s="36">
        <f>[1]RB!$N39</f>
        <v>833.33333333333337</v>
      </c>
      <c r="BX39" s="31">
        <f t="shared" si="52"/>
        <v>809.5</v>
      </c>
      <c r="BY39" s="18">
        <f t="shared" si="53"/>
        <v>23.833333333333336</v>
      </c>
      <c r="BZ39" s="31">
        <f t="shared" si="54"/>
        <v>0</v>
      </c>
      <c r="CA39" s="31">
        <f t="shared" si="55"/>
        <v>0</v>
      </c>
      <c r="CB39" s="33"/>
      <c r="CC39" s="37">
        <f t="shared" si="11"/>
        <v>-1</v>
      </c>
      <c r="CD39" s="36">
        <f>[1]RB!$O39</f>
        <v>833.33333333333337</v>
      </c>
      <c r="CE39" s="31">
        <f t="shared" si="56"/>
        <v>809.5</v>
      </c>
      <c r="CF39" s="18">
        <f t="shared" si="57"/>
        <v>23.833333333333336</v>
      </c>
      <c r="CG39" s="31">
        <f t="shared" si="58"/>
        <v>0</v>
      </c>
      <c r="CH39" s="31">
        <f t="shared" si="59"/>
        <v>0</v>
      </c>
      <c r="CI39" s="33"/>
      <c r="CJ39" s="37">
        <f t="shared" si="12"/>
        <v>-1</v>
      </c>
      <c r="CK39" s="36">
        <f>[1]RB!$P39</f>
        <v>833.33333333333337</v>
      </c>
      <c r="CL39" s="31">
        <f t="shared" si="60"/>
        <v>809.5</v>
      </c>
      <c r="CM39" s="18">
        <f t="shared" si="61"/>
        <v>23.833333333333336</v>
      </c>
      <c r="CN39" s="31">
        <f t="shared" si="62"/>
        <v>0</v>
      </c>
      <c r="CO39" s="31">
        <f t="shared" si="63"/>
        <v>0</v>
      </c>
      <c r="CP39" s="33"/>
      <c r="CQ39" s="37">
        <f t="shared" si="13"/>
        <v>-1</v>
      </c>
      <c r="CR39" s="180"/>
      <c r="CS39" s="27">
        <f>3437.17</f>
        <v>3437.17</v>
      </c>
      <c r="CT39" s="27">
        <f>1711.5</f>
        <v>1711.5</v>
      </c>
      <c r="CU39" s="27"/>
      <c r="CV39" s="27"/>
      <c r="CW39" s="27"/>
      <c r="CX39" s="27"/>
      <c r="CY39" s="27"/>
      <c r="CZ39" s="27"/>
      <c r="DA39" s="27"/>
      <c r="DB39" s="27"/>
      <c r="DC39" s="27"/>
      <c r="DD39" s="27"/>
    </row>
    <row r="40" spans="1:108" s="26" customFormat="1" ht="16" customHeight="1" thickBot="1" x14ac:dyDescent="0.25">
      <c r="A40" s="182" t="s">
        <v>64</v>
      </c>
      <c r="B40" s="30">
        <f t="shared" si="65"/>
        <v>49999.999999999993</v>
      </c>
      <c r="C40" s="31">
        <f t="shared" si="65"/>
        <v>48570.000000000007</v>
      </c>
      <c r="D40" s="32">
        <f t="shared" si="65"/>
        <v>1430.0000000000002</v>
      </c>
      <c r="E40" s="30">
        <f t="shared" si="67"/>
        <v>16666.666666666668</v>
      </c>
      <c r="F40" s="33">
        <f t="shared" si="67"/>
        <v>16190.000000000002</v>
      </c>
      <c r="G40" s="34">
        <f t="shared" si="67"/>
        <v>476.66666666666669</v>
      </c>
      <c r="H40" s="31">
        <f t="shared" si="66"/>
        <v>34697.854302</v>
      </c>
      <c r="I40" s="33">
        <f t="shared" si="66"/>
        <v>1021.575698</v>
      </c>
      <c r="J40" s="33">
        <f t="shared" si="66"/>
        <v>35719.43</v>
      </c>
      <c r="K40" s="37">
        <f t="shared" si="15"/>
        <v>1.1431657999999998</v>
      </c>
      <c r="L40" s="36">
        <f>[1]RB!$E40</f>
        <v>4166.666666666667</v>
      </c>
      <c r="M40" s="31">
        <f t="shared" si="16"/>
        <v>4047.5000000000005</v>
      </c>
      <c r="N40" s="31">
        <f t="shared" si="17"/>
        <v>119.16666666666667</v>
      </c>
      <c r="O40" s="31">
        <f t="shared" si="18"/>
        <v>4946.9516400000002</v>
      </c>
      <c r="P40" s="31">
        <f t="shared" si="19"/>
        <v>145.64836000000003</v>
      </c>
      <c r="Q40" s="31">
        <f>5092.6</f>
        <v>5092.6000000000004</v>
      </c>
      <c r="R40" s="31">
        <f t="shared" si="2"/>
        <v>0.22222399999999998</v>
      </c>
      <c r="S40" s="31">
        <f>[1]RB!$F40</f>
        <v>4166.666666666667</v>
      </c>
      <c r="T40" s="31">
        <f t="shared" si="20"/>
        <v>4047.5000000000005</v>
      </c>
      <c r="U40" s="31">
        <f t="shared" si="21"/>
        <v>119.16666666666667</v>
      </c>
      <c r="V40" s="31">
        <f t="shared" si="22"/>
        <v>6102.9176400000006</v>
      </c>
      <c r="W40" s="31">
        <f t="shared" si="23"/>
        <v>179.68236000000002</v>
      </c>
      <c r="X40" s="31">
        <f>6282.6</f>
        <v>6282.6</v>
      </c>
      <c r="Y40" s="31">
        <f t="shared" si="3"/>
        <v>0.50782400000000005</v>
      </c>
      <c r="Z40" s="31">
        <f>[1]RB!$G40</f>
        <v>4166.666666666667</v>
      </c>
      <c r="AA40" s="31">
        <f t="shared" si="24"/>
        <v>4047.5000000000005</v>
      </c>
      <c r="AB40" s="31">
        <f t="shared" si="25"/>
        <v>119.16666666666667</v>
      </c>
      <c r="AC40" s="31">
        <f t="shared" si="26"/>
        <v>8881.1216400000012</v>
      </c>
      <c r="AD40" s="31">
        <f t="shared" si="27"/>
        <v>261.47836000000001</v>
      </c>
      <c r="AE40" s="31">
        <f>9142.6</f>
        <v>9142.6</v>
      </c>
      <c r="AF40" s="31">
        <f t="shared" si="4"/>
        <v>1.1942239999999997</v>
      </c>
      <c r="AG40" s="31">
        <f>[1]RB!$H40</f>
        <v>4166.666666666667</v>
      </c>
      <c r="AH40" s="31">
        <f t="shared" si="28"/>
        <v>4047.5000000000005</v>
      </c>
      <c r="AI40" s="31">
        <f t="shared" si="29"/>
        <v>119.16666666666667</v>
      </c>
      <c r="AJ40" s="31">
        <f t="shared" si="30"/>
        <v>7197.1317419999996</v>
      </c>
      <c r="AK40" s="31">
        <f t="shared" si="31"/>
        <v>211.898258</v>
      </c>
      <c r="AL40" s="31">
        <f>7409.03</f>
        <v>7409.03</v>
      </c>
      <c r="AM40" s="31">
        <f t="shared" si="5"/>
        <v>0.77816719999999973</v>
      </c>
      <c r="AN40" s="31">
        <f>[1]RB!$I40</f>
        <v>4166.666666666667</v>
      </c>
      <c r="AO40" s="31">
        <f t="shared" si="32"/>
        <v>4047.5000000000005</v>
      </c>
      <c r="AP40" s="31">
        <f t="shared" si="33"/>
        <v>119.16666666666667</v>
      </c>
      <c r="AQ40" s="31">
        <f t="shared" si="34"/>
        <v>4364.1116400000001</v>
      </c>
      <c r="AR40" s="31">
        <f t="shared" si="35"/>
        <v>128.48836</v>
      </c>
      <c r="AS40" s="33">
        <v>4492.6000000000004</v>
      </c>
      <c r="AT40" s="37">
        <f t="shared" si="6"/>
        <v>7.8224000000000071E-2</v>
      </c>
      <c r="AU40" s="36">
        <f>[1]RB!$J40</f>
        <v>4166.666666666667</v>
      </c>
      <c r="AV40" s="31">
        <f t="shared" si="36"/>
        <v>4047.5000000000005</v>
      </c>
      <c r="AW40" s="18">
        <f t="shared" si="37"/>
        <v>119.16666666666667</v>
      </c>
      <c r="AX40" s="31">
        <f t="shared" si="38"/>
        <v>3205.62</v>
      </c>
      <c r="AY40" s="31">
        <f t="shared" si="39"/>
        <v>94.38</v>
      </c>
      <c r="AZ40" s="27">
        <v>3300</v>
      </c>
      <c r="BA40" s="37">
        <f t="shared" si="7"/>
        <v>-0.20800000000000007</v>
      </c>
      <c r="BB40" s="36">
        <f>[1]RB!$K40</f>
        <v>4166.666666666667</v>
      </c>
      <c r="BC40" s="31">
        <f t="shared" si="40"/>
        <v>4047.5000000000005</v>
      </c>
      <c r="BD40" s="18">
        <f t="shared" si="41"/>
        <v>119.16666666666667</v>
      </c>
      <c r="BE40" s="31">
        <f t="shared" si="42"/>
        <v>0</v>
      </c>
      <c r="BF40" s="31">
        <f t="shared" si="43"/>
        <v>0</v>
      </c>
      <c r="BG40" s="27"/>
      <c r="BH40" s="37">
        <f t="shared" si="8"/>
        <v>-1</v>
      </c>
      <c r="BI40" s="36">
        <f>[1]RB!$L40</f>
        <v>4166.666666666667</v>
      </c>
      <c r="BJ40" s="31">
        <f t="shared" si="44"/>
        <v>4047.5000000000005</v>
      </c>
      <c r="BK40" s="18">
        <f t="shared" si="45"/>
        <v>119.16666666666667</v>
      </c>
      <c r="BL40" s="31">
        <f t="shared" si="46"/>
        <v>0</v>
      </c>
      <c r="BM40" s="31">
        <f t="shared" si="47"/>
        <v>0</v>
      </c>
      <c r="BN40" s="33"/>
      <c r="BO40" s="37">
        <f t="shared" si="9"/>
        <v>-1</v>
      </c>
      <c r="BP40" s="36">
        <f>[1]RB!$M40</f>
        <v>4166.666666666667</v>
      </c>
      <c r="BQ40" s="31">
        <f t="shared" si="48"/>
        <v>4047.5000000000005</v>
      </c>
      <c r="BR40" s="18">
        <f t="shared" si="49"/>
        <v>119.16666666666667</v>
      </c>
      <c r="BS40" s="31">
        <f t="shared" si="50"/>
        <v>0</v>
      </c>
      <c r="BT40" s="31">
        <f t="shared" si="51"/>
        <v>0</v>
      </c>
      <c r="BU40" s="33"/>
      <c r="BV40" s="37">
        <f t="shared" si="10"/>
        <v>-1</v>
      </c>
      <c r="BW40" s="36">
        <f>[1]RB!$N40</f>
        <v>4166.666666666667</v>
      </c>
      <c r="BX40" s="31">
        <f t="shared" si="52"/>
        <v>4047.5000000000005</v>
      </c>
      <c r="BY40" s="18">
        <f t="shared" si="53"/>
        <v>119.16666666666667</v>
      </c>
      <c r="BZ40" s="31">
        <f t="shared" si="54"/>
        <v>0</v>
      </c>
      <c r="CA40" s="31">
        <f t="shared" si="55"/>
        <v>0</v>
      </c>
      <c r="CB40" s="33"/>
      <c r="CC40" s="37">
        <f t="shared" si="11"/>
        <v>-1</v>
      </c>
      <c r="CD40" s="36">
        <f>[1]RB!$O40</f>
        <v>4166.666666666667</v>
      </c>
      <c r="CE40" s="31">
        <f t="shared" si="56"/>
        <v>4047.5000000000005</v>
      </c>
      <c r="CF40" s="18">
        <f t="shared" si="57"/>
        <v>119.16666666666667</v>
      </c>
      <c r="CG40" s="31">
        <f t="shared" si="58"/>
        <v>0</v>
      </c>
      <c r="CH40" s="31">
        <f t="shared" si="59"/>
        <v>0</v>
      </c>
      <c r="CI40" s="33"/>
      <c r="CJ40" s="37">
        <f t="shared" si="12"/>
        <v>-1</v>
      </c>
      <c r="CK40" s="36">
        <f>[1]RB!$P40</f>
        <v>4166.666666666667</v>
      </c>
      <c r="CL40" s="31">
        <f t="shared" si="60"/>
        <v>4047.5000000000005</v>
      </c>
      <c r="CM40" s="18">
        <f t="shared" si="61"/>
        <v>119.16666666666667</v>
      </c>
      <c r="CN40" s="31">
        <f t="shared" si="62"/>
        <v>0</v>
      </c>
      <c r="CO40" s="31">
        <f t="shared" si="63"/>
        <v>0</v>
      </c>
      <c r="CP40" s="33"/>
      <c r="CQ40" s="37">
        <f t="shared" si="13"/>
        <v>-1</v>
      </c>
      <c r="CR40" s="180"/>
      <c r="CS40" s="27">
        <v>3289.6</v>
      </c>
      <c r="CT40" s="27">
        <f>6368.12</f>
        <v>6368.12</v>
      </c>
      <c r="CU40" s="27">
        <f>4898.52</f>
        <v>4898.5200000000004</v>
      </c>
      <c r="CV40" s="27"/>
      <c r="CW40" s="27"/>
      <c r="CX40" s="27"/>
      <c r="CY40" s="27"/>
      <c r="CZ40" s="27"/>
      <c r="DA40" s="27"/>
      <c r="DB40" s="27"/>
      <c r="DC40" s="27"/>
      <c r="DD40" s="27"/>
    </row>
    <row r="41" spans="1:108" s="26" customFormat="1" ht="16" customHeight="1" thickBot="1" x14ac:dyDescent="0.25">
      <c r="A41" s="181" t="s">
        <v>65</v>
      </c>
      <c r="B41" s="30">
        <f t="shared" si="65"/>
        <v>252000</v>
      </c>
      <c r="C41" s="31">
        <f t="shared" si="65"/>
        <v>244792.79999999996</v>
      </c>
      <c r="D41" s="32">
        <f t="shared" si="65"/>
        <v>7207.2000000000016</v>
      </c>
      <c r="E41" s="30">
        <f t="shared" si="67"/>
        <v>84000</v>
      </c>
      <c r="F41" s="33">
        <f t="shared" si="67"/>
        <v>81597.600000000006</v>
      </c>
      <c r="G41" s="34">
        <f t="shared" si="67"/>
        <v>2402.4</v>
      </c>
      <c r="H41" s="31">
        <f t="shared" si="66"/>
        <v>122396.4</v>
      </c>
      <c r="I41" s="33">
        <f t="shared" si="66"/>
        <v>3603.6</v>
      </c>
      <c r="J41" s="33">
        <f t="shared" si="66"/>
        <v>126000</v>
      </c>
      <c r="K41" s="37">
        <f t="shared" si="15"/>
        <v>0.5</v>
      </c>
      <c r="L41" s="46">
        <f>[1]RB!$E41</f>
        <v>21000</v>
      </c>
      <c r="M41" s="47">
        <f t="shared" si="16"/>
        <v>20399.400000000001</v>
      </c>
      <c r="N41" s="47">
        <f t="shared" si="17"/>
        <v>600.6</v>
      </c>
      <c r="O41" s="47">
        <f t="shared" si="18"/>
        <v>20399.400000000001</v>
      </c>
      <c r="P41" s="47">
        <f t="shared" si="19"/>
        <v>600.6</v>
      </c>
      <c r="Q41" s="47">
        <v>21000</v>
      </c>
      <c r="R41" s="47">
        <f t="shared" si="2"/>
        <v>0</v>
      </c>
      <c r="S41" s="47">
        <f>[1]RB!$F41</f>
        <v>21000</v>
      </c>
      <c r="T41" s="47">
        <f t="shared" si="20"/>
        <v>20399.400000000001</v>
      </c>
      <c r="U41" s="47">
        <f t="shared" si="21"/>
        <v>600.6</v>
      </c>
      <c r="V41" s="47">
        <f t="shared" si="22"/>
        <v>20399.400000000001</v>
      </c>
      <c r="W41" s="47">
        <f t="shared" si="23"/>
        <v>600.6</v>
      </c>
      <c r="X41" s="47">
        <f>[1]RB!$F41</f>
        <v>21000</v>
      </c>
      <c r="Y41" s="47">
        <f t="shared" si="3"/>
        <v>0</v>
      </c>
      <c r="Z41" s="47">
        <f>[1]RB!$G41</f>
        <v>21000</v>
      </c>
      <c r="AA41" s="47">
        <f t="shared" si="24"/>
        <v>20399.400000000001</v>
      </c>
      <c r="AB41" s="47">
        <f t="shared" si="25"/>
        <v>600.6</v>
      </c>
      <c r="AC41" s="47">
        <f t="shared" si="26"/>
        <v>20399.400000000001</v>
      </c>
      <c r="AD41" s="47">
        <f t="shared" si="27"/>
        <v>600.6</v>
      </c>
      <c r="AE41" s="47">
        <v>21000</v>
      </c>
      <c r="AF41" s="47">
        <f t="shared" si="4"/>
        <v>0</v>
      </c>
      <c r="AG41" s="47">
        <f>[1]RB!$H41</f>
        <v>21000</v>
      </c>
      <c r="AH41" s="47">
        <f t="shared" si="28"/>
        <v>20399.400000000001</v>
      </c>
      <c r="AI41" s="47">
        <f t="shared" si="29"/>
        <v>600.6</v>
      </c>
      <c r="AJ41" s="47">
        <f t="shared" si="30"/>
        <v>20399.400000000001</v>
      </c>
      <c r="AK41" s="47">
        <f t="shared" si="31"/>
        <v>600.6</v>
      </c>
      <c r="AL41" s="47">
        <f>[1]RB!$H41</f>
        <v>21000</v>
      </c>
      <c r="AM41" s="47">
        <f t="shared" si="5"/>
        <v>0</v>
      </c>
      <c r="AN41" s="47">
        <f>[1]RB!$I41</f>
        <v>21000</v>
      </c>
      <c r="AO41" s="47">
        <f t="shared" si="32"/>
        <v>20399.400000000001</v>
      </c>
      <c r="AP41" s="47">
        <f t="shared" si="33"/>
        <v>600.6</v>
      </c>
      <c r="AQ41" s="47">
        <f t="shared" si="34"/>
        <v>20399.400000000001</v>
      </c>
      <c r="AR41" s="47">
        <f t="shared" si="35"/>
        <v>600.6</v>
      </c>
      <c r="AS41" s="45">
        <v>21000</v>
      </c>
      <c r="AT41" s="37">
        <f t="shared" si="6"/>
        <v>0</v>
      </c>
      <c r="AU41" s="46">
        <f>[1]RB!$J41</f>
        <v>21000</v>
      </c>
      <c r="AV41" s="47">
        <f t="shared" si="36"/>
        <v>20399.400000000001</v>
      </c>
      <c r="AW41" s="18">
        <f t="shared" si="37"/>
        <v>600.6</v>
      </c>
      <c r="AX41" s="47">
        <f t="shared" si="38"/>
        <v>20399.400000000001</v>
      </c>
      <c r="AY41" s="47">
        <f t="shared" si="39"/>
        <v>600.6</v>
      </c>
      <c r="AZ41" s="48">
        <v>21000</v>
      </c>
      <c r="BA41" s="37">
        <f t="shared" si="7"/>
        <v>0</v>
      </c>
      <c r="BB41" s="46">
        <f>[1]RB!$K41</f>
        <v>21000</v>
      </c>
      <c r="BC41" s="47">
        <f t="shared" si="40"/>
        <v>20399.400000000001</v>
      </c>
      <c r="BD41" s="18">
        <f t="shared" si="41"/>
        <v>600.6</v>
      </c>
      <c r="BE41" s="47">
        <f t="shared" si="42"/>
        <v>0</v>
      </c>
      <c r="BF41" s="47">
        <f t="shared" si="43"/>
        <v>0</v>
      </c>
      <c r="BG41" s="48"/>
      <c r="BH41" s="37">
        <f t="shared" si="8"/>
        <v>-1</v>
      </c>
      <c r="BI41" s="46">
        <f>[1]RB!$L41</f>
        <v>21000</v>
      </c>
      <c r="BJ41" s="47">
        <f t="shared" si="44"/>
        <v>20399.400000000001</v>
      </c>
      <c r="BK41" s="18">
        <f t="shared" si="45"/>
        <v>600.6</v>
      </c>
      <c r="BL41" s="47">
        <f t="shared" si="46"/>
        <v>0</v>
      </c>
      <c r="BM41" s="47">
        <f t="shared" si="47"/>
        <v>0</v>
      </c>
      <c r="BN41" s="45"/>
      <c r="BO41" s="37">
        <f t="shared" si="9"/>
        <v>-1</v>
      </c>
      <c r="BP41" s="46">
        <f>[1]RB!$M41</f>
        <v>21000</v>
      </c>
      <c r="BQ41" s="47">
        <f t="shared" si="48"/>
        <v>20399.400000000001</v>
      </c>
      <c r="BR41" s="18">
        <f t="shared" si="49"/>
        <v>600.6</v>
      </c>
      <c r="BS41" s="47">
        <f t="shared" si="50"/>
        <v>0</v>
      </c>
      <c r="BT41" s="47">
        <f t="shared" si="51"/>
        <v>0</v>
      </c>
      <c r="BU41" s="46"/>
      <c r="BV41" s="37">
        <f t="shared" si="10"/>
        <v>-1</v>
      </c>
      <c r="BW41" s="43">
        <f>[1]RB!$N41</f>
        <v>21000</v>
      </c>
      <c r="BX41" s="44">
        <f t="shared" si="52"/>
        <v>20399.400000000001</v>
      </c>
      <c r="BY41" s="18">
        <f t="shared" si="53"/>
        <v>600.6</v>
      </c>
      <c r="BZ41" s="47">
        <f t="shared" si="54"/>
        <v>0</v>
      </c>
      <c r="CA41" s="47">
        <f t="shared" si="55"/>
        <v>0</v>
      </c>
      <c r="CB41" s="45"/>
      <c r="CC41" s="37">
        <f t="shared" si="11"/>
        <v>-1</v>
      </c>
      <c r="CD41" s="46">
        <f>[1]RB!$O41</f>
        <v>21000</v>
      </c>
      <c r="CE41" s="47">
        <f t="shared" si="56"/>
        <v>20399.400000000001</v>
      </c>
      <c r="CF41" s="18">
        <f t="shared" si="57"/>
        <v>600.6</v>
      </c>
      <c r="CG41" s="47">
        <f t="shared" si="58"/>
        <v>0</v>
      </c>
      <c r="CH41" s="47">
        <f t="shared" si="59"/>
        <v>0</v>
      </c>
      <c r="CI41" s="45"/>
      <c r="CJ41" s="37">
        <f t="shared" si="12"/>
        <v>-1</v>
      </c>
      <c r="CK41" s="46">
        <f>[1]RB!$P41</f>
        <v>21000</v>
      </c>
      <c r="CL41" s="47">
        <f t="shared" si="60"/>
        <v>20399.400000000001</v>
      </c>
      <c r="CM41" s="18">
        <f t="shared" si="61"/>
        <v>600.6</v>
      </c>
      <c r="CN41" s="47">
        <f t="shared" si="62"/>
        <v>0</v>
      </c>
      <c r="CO41" s="47">
        <f t="shared" si="63"/>
        <v>0</v>
      </c>
      <c r="CP41" s="45"/>
      <c r="CQ41" s="37">
        <f t="shared" si="13"/>
        <v>-1</v>
      </c>
      <c r="CR41" s="184"/>
      <c r="CS41" s="48"/>
      <c r="CT41" s="48"/>
      <c r="CU41" s="48"/>
      <c r="CV41" s="48"/>
      <c r="CW41" s="48"/>
      <c r="CX41" s="48"/>
      <c r="CY41" s="27"/>
      <c r="CZ41" s="27"/>
      <c r="DA41" s="27"/>
      <c r="DB41" s="27"/>
      <c r="DC41" s="27"/>
      <c r="DD41" s="27"/>
    </row>
    <row r="42" spans="1:108" s="26" customFormat="1" ht="16" customHeight="1" thickBot="1" x14ac:dyDescent="0.25">
      <c r="A42" s="181" t="s">
        <v>66</v>
      </c>
      <c r="B42" s="30">
        <f t="shared" si="65"/>
        <v>1835554.3737839998</v>
      </c>
      <c r="C42" s="31">
        <f t="shared" si="65"/>
        <v>1783057.5186937777</v>
      </c>
      <c r="D42" s="32">
        <f t="shared" si="65"/>
        <v>52496.855090222409</v>
      </c>
      <c r="E42" s="30">
        <f t="shared" si="67"/>
        <v>611851.4579279999</v>
      </c>
      <c r="F42" s="33">
        <f t="shared" si="67"/>
        <v>594352.50623125909</v>
      </c>
      <c r="G42" s="34">
        <f t="shared" si="67"/>
        <v>17498.951696740798</v>
      </c>
      <c r="H42" s="31">
        <f t="shared" si="66"/>
        <v>816210.53481599991</v>
      </c>
      <c r="I42" s="33">
        <f t="shared" si="66"/>
        <v>24030.905184000003</v>
      </c>
      <c r="J42" s="33">
        <f t="shared" si="66"/>
        <v>840241.44000000006</v>
      </c>
      <c r="K42" s="37">
        <f t="shared" si="15"/>
        <v>0.37327684540530437</v>
      </c>
      <c r="L42" s="36">
        <f>[1]RB!$E42</f>
        <v>152962.86448199998</v>
      </c>
      <c r="M42" s="31">
        <f t="shared" si="16"/>
        <v>148588.12655781477</v>
      </c>
      <c r="N42" s="31">
        <f t="shared" si="17"/>
        <v>4374.7379241851995</v>
      </c>
      <c r="O42" s="31">
        <f t="shared" si="18"/>
        <v>139673.95353599999</v>
      </c>
      <c r="P42" s="31">
        <f t="shared" si="19"/>
        <v>4112.2864639999998</v>
      </c>
      <c r="Q42" s="31">
        <v>143786.23999999999</v>
      </c>
      <c r="R42" s="31">
        <f t="shared" si="2"/>
        <v>-5.9992498918453818E-2</v>
      </c>
      <c r="S42" s="31">
        <f>[1]RB!$F42</f>
        <v>152962.86448199998</v>
      </c>
      <c r="T42" s="31">
        <f t="shared" si="20"/>
        <v>148588.12655781477</v>
      </c>
      <c r="U42" s="31">
        <f t="shared" si="21"/>
        <v>4374.7379241851995</v>
      </c>
      <c r="V42" s="31">
        <f t="shared" si="22"/>
        <v>131405.40645000001</v>
      </c>
      <c r="W42" s="31">
        <f t="shared" si="23"/>
        <v>3868.8435500000001</v>
      </c>
      <c r="X42" s="31">
        <f>135274.25</f>
        <v>135274.25</v>
      </c>
      <c r="Y42" s="31">
        <f t="shared" si="3"/>
        <v>-0.11563992699732362</v>
      </c>
      <c r="Z42" s="31">
        <f>[1]RB!$G42</f>
        <v>152962.86448199998</v>
      </c>
      <c r="AA42" s="31">
        <f t="shared" si="24"/>
        <v>148588.12655781477</v>
      </c>
      <c r="AB42" s="31">
        <f t="shared" si="25"/>
        <v>4374.7379241851995</v>
      </c>
      <c r="AC42" s="31">
        <f t="shared" si="26"/>
        <v>136562.986752</v>
      </c>
      <c r="AD42" s="31">
        <f t="shared" si="27"/>
        <v>4020.693248</v>
      </c>
      <c r="AE42" s="31">
        <f>140583.68</f>
        <v>140583.67999999999</v>
      </c>
      <c r="AF42" s="31">
        <f t="shared" si="4"/>
        <v>-8.0929345327844016E-2</v>
      </c>
      <c r="AG42" s="31">
        <f>[1]RB!$H42</f>
        <v>152962.86448199998</v>
      </c>
      <c r="AH42" s="31">
        <f t="shared" si="28"/>
        <v>148588.12655781477</v>
      </c>
      <c r="AI42" s="31">
        <f t="shared" si="29"/>
        <v>4374.7379241851995</v>
      </c>
      <c r="AJ42" s="31">
        <f t="shared" si="30"/>
        <v>136448.62383</v>
      </c>
      <c r="AK42" s="31">
        <f t="shared" si="31"/>
        <v>4017.3261700000003</v>
      </c>
      <c r="AL42" s="31">
        <f>140465.95</f>
        <v>140465.95000000001</v>
      </c>
      <c r="AM42" s="31">
        <f t="shared" si="5"/>
        <v>-8.169900926162732E-2</v>
      </c>
      <c r="AN42" s="31">
        <f>[1]RB!$I42</f>
        <v>152962.86448199998</v>
      </c>
      <c r="AO42" s="31">
        <f t="shared" si="32"/>
        <v>148588.12655781477</v>
      </c>
      <c r="AP42" s="31">
        <f t="shared" si="33"/>
        <v>4374.7379241851995</v>
      </c>
      <c r="AQ42" s="31">
        <f t="shared" si="34"/>
        <v>136002.595806</v>
      </c>
      <c r="AR42" s="31">
        <f t="shared" si="35"/>
        <v>4004.1941940000002</v>
      </c>
      <c r="AS42" s="33">
        <v>140006.79</v>
      </c>
      <c r="AT42" s="37">
        <f t="shared" si="6"/>
        <v>-8.470078359133093E-2</v>
      </c>
      <c r="AU42" s="36">
        <f>[1]RB!$J42</f>
        <v>152962.86448199998</v>
      </c>
      <c r="AV42" s="31">
        <f t="shared" si="36"/>
        <v>148588.12655781477</v>
      </c>
      <c r="AW42" s="18">
        <f t="shared" si="37"/>
        <v>4374.7379241851995</v>
      </c>
      <c r="AX42" s="31">
        <f t="shared" si="38"/>
        <v>136116.96844200001</v>
      </c>
      <c r="AY42" s="31">
        <f t="shared" si="39"/>
        <v>4007.5615579999999</v>
      </c>
      <c r="AZ42" s="27">
        <v>140124.53</v>
      </c>
      <c r="BA42" s="37">
        <f t="shared" si="7"/>
        <v>-8.3931054282202822E-2</v>
      </c>
      <c r="BB42" s="36">
        <f>[1]RB!$K42</f>
        <v>152962.86448199998</v>
      </c>
      <c r="BC42" s="31">
        <f t="shared" si="40"/>
        <v>148588.12655781477</v>
      </c>
      <c r="BD42" s="18">
        <f t="shared" si="41"/>
        <v>4374.7379241851995</v>
      </c>
      <c r="BE42" s="31">
        <f t="shared" si="42"/>
        <v>0</v>
      </c>
      <c r="BF42" s="31">
        <f t="shared" si="43"/>
        <v>0</v>
      </c>
      <c r="BG42" s="27"/>
      <c r="BH42" s="37">
        <f t="shared" si="8"/>
        <v>-1</v>
      </c>
      <c r="BI42" s="36">
        <f>[1]RB!$L42</f>
        <v>152962.86448199998</v>
      </c>
      <c r="BJ42" s="31">
        <f t="shared" si="44"/>
        <v>148588.12655781477</v>
      </c>
      <c r="BK42" s="18">
        <f t="shared" si="45"/>
        <v>4374.7379241851995</v>
      </c>
      <c r="BL42" s="31">
        <f t="shared" si="46"/>
        <v>0</v>
      </c>
      <c r="BM42" s="31">
        <f t="shared" si="47"/>
        <v>0</v>
      </c>
      <c r="BN42" s="33"/>
      <c r="BO42" s="37">
        <f t="shared" si="9"/>
        <v>-1</v>
      </c>
      <c r="BP42" s="36">
        <f>[1]RB!$M42</f>
        <v>152962.86448199998</v>
      </c>
      <c r="BQ42" s="31">
        <f t="shared" si="48"/>
        <v>148588.12655781477</v>
      </c>
      <c r="BR42" s="18">
        <f t="shared" si="49"/>
        <v>4374.7379241851995</v>
      </c>
      <c r="BS42" s="31">
        <f t="shared" si="50"/>
        <v>0</v>
      </c>
      <c r="BT42" s="31">
        <f t="shared" si="51"/>
        <v>0</v>
      </c>
      <c r="BU42" s="33"/>
      <c r="BV42" s="37">
        <f t="shared" si="10"/>
        <v>-1</v>
      </c>
      <c r="BW42" s="36">
        <f>[1]RB!$N42</f>
        <v>152962.86448199998</v>
      </c>
      <c r="BX42" s="31">
        <f t="shared" si="52"/>
        <v>148588.12655781477</v>
      </c>
      <c r="BY42" s="18">
        <f t="shared" si="53"/>
        <v>4374.7379241851995</v>
      </c>
      <c r="BZ42" s="31">
        <f t="shared" si="54"/>
        <v>0</v>
      </c>
      <c r="CA42" s="31">
        <f t="shared" si="55"/>
        <v>0</v>
      </c>
      <c r="CB42" s="33"/>
      <c r="CC42" s="37">
        <f t="shared" si="11"/>
        <v>-1</v>
      </c>
      <c r="CD42" s="36">
        <f>[1]RB!$O42</f>
        <v>152962.86448199998</v>
      </c>
      <c r="CE42" s="31">
        <f t="shared" si="56"/>
        <v>148588.12655781477</v>
      </c>
      <c r="CF42" s="18">
        <f t="shared" si="57"/>
        <v>4374.7379241851995</v>
      </c>
      <c r="CG42" s="31">
        <f t="shared" si="58"/>
        <v>0</v>
      </c>
      <c r="CH42" s="31">
        <f t="shared" si="59"/>
        <v>0</v>
      </c>
      <c r="CI42" s="33"/>
      <c r="CJ42" s="37">
        <f t="shared" si="12"/>
        <v>-1</v>
      </c>
      <c r="CK42" s="36">
        <f>[1]RB!$P42</f>
        <v>152962.86448199998</v>
      </c>
      <c r="CL42" s="31">
        <f t="shared" si="60"/>
        <v>148588.12655781477</v>
      </c>
      <c r="CM42" s="18">
        <f t="shared" si="61"/>
        <v>4374.7379241851995</v>
      </c>
      <c r="CN42" s="31">
        <f t="shared" si="62"/>
        <v>0</v>
      </c>
      <c r="CO42" s="31">
        <f t="shared" si="63"/>
        <v>0</v>
      </c>
      <c r="CP42" s="33"/>
      <c r="CQ42" s="37">
        <f t="shared" si="13"/>
        <v>-1</v>
      </c>
      <c r="CR42" s="180"/>
      <c r="CS42" s="27"/>
      <c r="CT42" s="27"/>
      <c r="CU42" s="27"/>
      <c r="CV42" s="27"/>
      <c r="CW42" s="27"/>
      <c r="CX42" s="27"/>
      <c r="CY42" s="27"/>
      <c r="CZ42" s="27"/>
      <c r="DA42" s="27"/>
      <c r="DB42" s="27"/>
      <c r="DC42" s="27"/>
      <c r="DD42" s="27"/>
    </row>
    <row r="43" spans="1:108" s="26" customFormat="1" ht="16" customHeight="1" thickBot="1" x14ac:dyDescent="0.25">
      <c r="A43" s="182" t="s">
        <v>67</v>
      </c>
      <c r="B43" s="30">
        <f t="shared" si="65"/>
        <v>79421.999999999985</v>
      </c>
      <c r="C43" s="31">
        <f t="shared" si="65"/>
        <v>77150.530799999993</v>
      </c>
      <c r="D43" s="32">
        <f t="shared" si="65"/>
        <v>2271.4692</v>
      </c>
      <c r="E43" s="30">
        <f t="shared" si="67"/>
        <v>26473.999999999996</v>
      </c>
      <c r="F43" s="33">
        <f t="shared" si="67"/>
        <v>25716.843599999997</v>
      </c>
      <c r="G43" s="34">
        <f t="shared" si="67"/>
        <v>757.15639999999996</v>
      </c>
      <c r="H43" s="31">
        <f t="shared" si="66"/>
        <v>64837.724952000004</v>
      </c>
      <c r="I43" s="33">
        <f t="shared" si="66"/>
        <v>1908.9550480000003</v>
      </c>
      <c r="J43" s="33">
        <f t="shared" si="66"/>
        <v>66746.679999999993</v>
      </c>
      <c r="K43" s="37">
        <f t="shared" si="15"/>
        <v>1.5212162876784769</v>
      </c>
      <c r="L43" s="36">
        <f>[1]RB!$E43</f>
        <v>6618.4999999999991</v>
      </c>
      <c r="M43" s="31">
        <f t="shared" si="16"/>
        <v>6429.2108999999991</v>
      </c>
      <c r="N43" s="31">
        <f t="shared" si="17"/>
        <v>189.28909999999999</v>
      </c>
      <c r="O43" s="31">
        <f t="shared" si="18"/>
        <v>7742.4659879999999</v>
      </c>
      <c r="P43" s="31">
        <f t="shared" si="19"/>
        <v>227.95401200000001</v>
      </c>
      <c r="Q43" s="31">
        <f>7970.42</f>
        <v>7970.42</v>
      </c>
      <c r="R43" s="31">
        <f t="shared" si="2"/>
        <v>0.20426380599833815</v>
      </c>
      <c r="S43" s="31">
        <f>[1]RB!$F43</f>
        <v>6618.4999999999991</v>
      </c>
      <c r="T43" s="31">
        <f t="shared" si="20"/>
        <v>6429.2108999999991</v>
      </c>
      <c r="U43" s="31">
        <f t="shared" si="21"/>
        <v>189.28909999999999</v>
      </c>
      <c r="V43" s="31">
        <f t="shared" si="22"/>
        <v>9942.8326980000002</v>
      </c>
      <c r="W43" s="31">
        <f t="shared" si="23"/>
        <v>292.737302</v>
      </c>
      <c r="X43" s="31">
        <f>10235.57</f>
        <v>10235.57</v>
      </c>
      <c r="Y43" s="31">
        <f t="shared" si="3"/>
        <v>0.54650902772531551</v>
      </c>
      <c r="Z43" s="31">
        <f>[1]RB!$G43</f>
        <v>6618.4999999999991</v>
      </c>
      <c r="AA43" s="31">
        <f t="shared" si="24"/>
        <v>6429.2108999999991</v>
      </c>
      <c r="AB43" s="31">
        <f t="shared" si="25"/>
        <v>189.28909999999999</v>
      </c>
      <c r="AC43" s="31">
        <f t="shared" si="26"/>
        <v>6923.1969419999996</v>
      </c>
      <c r="AD43" s="31">
        <f t="shared" si="27"/>
        <v>203.83305799999999</v>
      </c>
      <c r="AE43" s="31">
        <f>7127.03</f>
        <v>7127.03</v>
      </c>
      <c r="AF43" s="31">
        <f t="shared" si="4"/>
        <v>7.6834630203218346E-2</v>
      </c>
      <c r="AG43" s="31">
        <f>[1]RB!$H43</f>
        <v>6618.4999999999991</v>
      </c>
      <c r="AH43" s="31">
        <f t="shared" si="28"/>
        <v>6429.2108999999991</v>
      </c>
      <c r="AI43" s="31">
        <f t="shared" si="29"/>
        <v>189.28909999999999</v>
      </c>
      <c r="AJ43" s="31">
        <f t="shared" si="30"/>
        <v>7512.4870380000002</v>
      </c>
      <c r="AK43" s="31">
        <f t="shared" si="31"/>
        <v>221.182962</v>
      </c>
      <c r="AL43" s="31">
        <f>7733.67</f>
        <v>7733.67</v>
      </c>
      <c r="AM43" s="31">
        <f t="shared" si="5"/>
        <v>0.16849286092014815</v>
      </c>
      <c r="AN43" s="31">
        <f>[1]RB!$I43</f>
        <v>6618.4999999999991</v>
      </c>
      <c r="AO43" s="31">
        <f t="shared" si="32"/>
        <v>6429.2108999999991</v>
      </c>
      <c r="AP43" s="31">
        <f t="shared" si="33"/>
        <v>189.28909999999999</v>
      </c>
      <c r="AQ43" s="31">
        <f t="shared" si="34"/>
        <v>6420.5557260000005</v>
      </c>
      <c r="AR43" s="31">
        <f t="shared" si="35"/>
        <v>189.03427400000001</v>
      </c>
      <c r="AS43" s="33">
        <v>6609.59</v>
      </c>
      <c r="AT43" s="37">
        <f t="shared" si="6"/>
        <v>-1.346226486363844E-3</v>
      </c>
      <c r="AU43" s="36">
        <f>[1]RB!$J43</f>
        <v>6618.4999999999991</v>
      </c>
      <c r="AV43" s="31">
        <f t="shared" si="36"/>
        <v>6429.2108999999991</v>
      </c>
      <c r="AW43" s="18">
        <f t="shared" si="37"/>
        <v>189.28909999999999</v>
      </c>
      <c r="AX43" s="31">
        <f t="shared" si="38"/>
        <v>26296.186560000002</v>
      </c>
      <c r="AY43" s="31">
        <f t="shared" si="39"/>
        <v>774.21344000000011</v>
      </c>
      <c r="AZ43" s="27">
        <v>27070.400000000001</v>
      </c>
      <c r="BA43" s="37">
        <f t="shared" si="7"/>
        <v>3.0901110523532527</v>
      </c>
      <c r="BB43" s="36">
        <f>[1]RB!$K43</f>
        <v>6618.4999999999991</v>
      </c>
      <c r="BC43" s="31">
        <f t="shared" si="40"/>
        <v>6429.2108999999991</v>
      </c>
      <c r="BD43" s="18">
        <f t="shared" si="41"/>
        <v>189.28909999999999</v>
      </c>
      <c r="BE43" s="31">
        <f t="shared" si="42"/>
        <v>0</v>
      </c>
      <c r="BF43" s="31">
        <f t="shared" si="43"/>
        <v>0</v>
      </c>
      <c r="BG43" s="27"/>
      <c r="BH43" s="37">
        <f t="shared" si="8"/>
        <v>-1</v>
      </c>
      <c r="BI43" s="36">
        <f>[1]RB!$L43</f>
        <v>6618.4999999999991</v>
      </c>
      <c r="BJ43" s="31">
        <f t="shared" si="44"/>
        <v>6429.2108999999991</v>
      </c>
      <c r="BK43" s="18">
        <f t="shared" si="45"/>
        <v>189.28909999999999</v>
      </c>
      <c r="BL43" s="31">
        <f t="shared" si="46"/>
        <v>0</v>
      </c>
      <c r="BM43" s="31">
        <f t="shared" si="47"/>
        <v>0</v>
      </c>
      <c r="BN43" s="33"/>
      <c r="BO43" s="37">
        <f t="shared" si="9"/>
        <v>-1</v>
      </c>
      <c r="BP43" s="36">
        <f>[1]RB!$M43</f>
        <v>6618.4999999999991</v>
      </c>
      <c r="BQ43" s="31">
        <f t="shared" si="48"/>
        <v>6429.2108999999991</v>
      </c>
      <c r="BR43" s="18">
        <f t="shared" si="49"/>
        <v>189.28909999999999</v>
      </c>
      <c r="BS43" s="31">
        <f t="shared" si="50"/>
        <v>0</v>
      </c>
      <c r="BT43" s="31">
        <f t="shared" si="51"/>
        <v>0</v>
      </c>
      <c r="BU43" s="33"/>
      <c r="BV43" s="37">
        <f t="shared" si="10"/>
        <v>-1</v>
      </c>
      <c r="BW43" s="36">
        <f>[1]RB!$N43</f>
        <v>6618.4999999999991</v>
      </c>
      <c r="BX43" s="31">
        <f t="shared" si="52"/>
        <v>6429.2108999999991</v>
      </c>
      <c r="BY43" s="18">
        <f t="shared" si="53"/>
        <v>189.28909999999999</v>
      </c>
      <c r="BZ43" s="31">
        <f t="shared" si="54"/>
        <v>0</v>
      </c>
      <c r="CA43" s="31">
        <f t="shared" si="55"/>
        <v>0</v>
      </c>
      <c r="CB43" s="33"/>
      <c r="CC43" s="37">
        <f t="shared" si="11"/>
        <v>-1</v>
      </c>
      <c r="CD43" s="36">
        <f>[1]RB!$O43</f>
        <v>6618.4999999999991</v>
      </c>
      <c r="CE43" s="31">
        <f t="shared" si="56"/>
        <v>6429.2108999999991</v>
      </c>
      <c r="CF43" s="18">
        <f t="shared" si="57"/>
        <v>189.28909999999999</v>
      </c>
      <c r="CG43" s="31">
        <f t="shared" si="58"/>
        <v>0</v>
      </c>
      <c r="CH43" s="31">
        <f t="shared" si="59"/>
        <v>0</v>
      </c>
      <c r="CI43" s="33"/>
      <c r="CJ43" s="37">
        <f t="shared" si="12"/>
        <v>-1</v>
      </c>
      <c r="CK43" s="36">
        <f>[1]RB!$P43</f>
        <v>6618.4999999999991</v>
      </c>
      <c r="CL43" s="31">
        <f t="shared" si="60"/>
        <v>6429.2108999999991</v>
      </c>
      <c r="CM43" s="18">
        <f t="shared" si="61"/>
        <v>189.28909999999999</v>
      </c>
      <c r="CN43" s="31">
        <f t="shared" si="62"/>
        <v>0</v>
      </c>
      <c r="CO43" s="31">
        <f t="shared" si="63"/>
        <v>0</v>
      </c>
      <c r="CP43" s="33"/>
      <c r="CQ43" s="37">
        <f t="shared" si="13"/>
        <v>-1</v>
      </c>
      <c r="CR43" s="180"/>
      <c r="CS43" s="27">
        <f>7024.67</f>
        <v>7024.67</v>
      </c>
      <c r="CT43" s="27">
        <f>7715.59</f>
        <v>7715.59</v>
      </c>
      <c r="CU43" s="27">
        <f>5412.71</f>
        <v>5412.71</v>
      </c>
      <c r="CV43" s="27"/>
      <c r="CW43" s="27"/>
      <c r="CX43" s="27"/>
      <c r="CY43" s="27"/>
      <c r="CZ43" s="27"/>
      <c r="DA43" s="27"/>
      <c r="DB43" s="27"/>
      <c r="DC43" s="27"/>
      <c r="DD43" s="27"/>
    </row>
    <row r="44" spans="1:108" s="26" customFormat="1" ht="16" customHeight="1" thickBot="1" x14ac:dyDescent="0.25">
      <c r="A44" s="181" t="s">
        <v>68</v>
      </c>
      <c r="B44" s="30">
        <f t="shared" si="65"/>
        <v>0</v>
      </c>
      <c r="C44" s="31">
        <f t="shared" si="65"/>
        <v>0</v>
      </c>
      <c r="D44" s="32">
        <f t="shared" si="65"/>
        <v>0</v>
      </c>
      <c r="E44" s="30">
        <f t="shared" si="67"/>
        <v>0</v>
      </c>
      <c r="F44" s="33">
        <f t="shared" si="67"/>
        <v>0</v>
      </c>
      <c r="G44" s="34">
        <f t="shared" si="67"/>
        <v>0</v>
      </c>
      <c r="H44" s="31">
        <f t="shared" si="66"/>
        <v>0</v>
      </c>
      <c r="I44" s="33">
        <f t="shared" si="66"/>
        <v>0</v>
      </c>
      <c r="J44" s="33">
        <f t="shared" si="66"/>
        <v>0</v>
      </c>
      <c r="K44" s="37" t="str">
        <f t="shared" si="15"/>
        <v/>
      </c>
      <c r="L44" s="36">
        <f>[1]RB!$E44</f>
        <v>0</v>
      </c>
      <c r="M44" s="31">
        <f t="shared" si="16"/>
        <v>0</v>
      </c>
      <c r="N44" s="31">
        <f t="shared" si="17"/>
        <v>0</v>
      </c>
      <c r="O44" s="31">
        <f t="shared" si="18"/>
        <v>0</v>
      </c>
      <c r="P44" s="31">
        <f t="shared" si="19"/>
        <v>0</v>
      </c>
      <c r="Q44" s="31"/>
      <c r="R44" s="31" t="str">
        <f t="shared" si="2"/>
        <v/>
      </c>
      <c r="S44" s="31">
        <f>[1]RB!$F44</f>
        <v>0</v>
      </c>
      <c r="T44" s="31">
        <f t="shared" si="20"/>
        <v>0</v>
      </c>
      <c r="U44" s="31">
        <f t="shared" si="21"/>
        <v>0</v>
      </c>
      <c r="V44" s="31">
        <f t="shared" si="22"/>
        <v>0</v>
      </c>
      <c r="W44" s="31">
        <f t="shared" si="23"/>
        <v>0</v>
      </c>
      <c r="X44" s="31"/>
      <c r="Y44" s="31" t="str">
        <f t="shared" si="3"/>
        <v/>
      </c>
      <c r="Z44" s="31">
        <f>[1]RB!$G44</f>
        <v>0</v>
      </c>
      <c r="AA44" s="31">
        <f t="shared" si="24"/>
        <v>0</v>
      </c>
      <c r="AB44" s="31">
        <f t="shared" si="25"/>
        <v>0</v>
      </c>
      <c r="AC44" s="31">
        <f t="shared" si="26"/>
        <v>0</v>
      </c>
      <c r="AD44" s="31">
        <f t="shared" si="27"/>
        <v>0</v>
      </c>
      <c r="AE44" s="31"/>
      <c r="AF44" s="31" t="str">
        <f t="shared" si="4"/>
        <v/>
      </c>
      <c r="AG44" s="31">
        <f>[1]RB!$H44</f>
        <v>0</v>
      </c>
      <c r="AH44" s="31">
        <f t="shared" si="28"/>
        <v>0</v>
      </c>
      <c r="AI44" s="31">
        <f t="shared" si="29"/>
        <v>0</v>
      </c>
      <c r="AJ44" s="31">
        <f t="shared" si="30"/>
        <v>0</v>
      </c>
      <c r="AK44" s="31">
        <f t="shared" si="31"/>
        <v>0</v>
      </c>
      <c r="AL44" s="31"/>
      <c r="AM44" s="31" t="str">
        <f t="shared" si="5"/>
        <v/>
      </c>
      <c r="AN44" s="31">
        <f>[1]RB!$I44</f>
        <v>0</v>
      </c>
      <c r="AO44" s="31">
        <f t="shared" si="32"/>
        <v>0</v>
      </c>
      <c r="AP44" s="31">
        <f t="shared" si="33"/>
        <v>0</v>
      </c>
      <c r="AQ44" s="31">
        <f t="shared" si="34"/>
        <v>0</v>
      </c>
      <c r="AR44" s="31">
        <f t="shared" si="35"/>
        <v>0</v>
      </c>
      <c r="AS44" s="33"/>
      <c r="AT44" s="37" t="str">
        <f t="shared" si="6"/>
        <v/>
      </c>
      <c r="AU44" s="36">
        <f>[1]RB!$J44</f>
        <v>0</v>
      </c>
      <c r="AV44" s="31">
        <f t="shared" si="36"/>
        <v>0</v>
      </c>
      <c r="AW44" s="18">
        <f t="shared" si="37"/>
        <v>0</v>
      </c>
      <c r="AX44" s="31">
        <f t="shared" si="38"/>
        <v>0</v>
      </c>
      <c r="AY44" s="31">
        <f t="shared" si="39"/>
        <v>0</v>
      </c>
      <c r="AZ44" s="27"/>
      <c r="BA44" s="37" t="str">
        <f t="shared" si="7"/>
        <v/>
      </c>
      <c r="BB44" s="36">
        <f>[1]RB!$K44</f>
        <v>0</v>
      </c>
      <c r="BC44" s="31">
        <f t="shared" si="40"/>
        <v>0</v>
      </c>
      <c r="BD44" s="18">
        <f t="shared" si="41"/>
        <v>0</v>
      </c>
      <c r="BE44" s="31">
        <f t="shared" si="42"/>
        <v>0</v>
      </c>
      <c r="BF44" s="31">
        <f t="shared" si="43"/>
        <v>0</v>
      </c>
      <c r="BG44" s="27"/>
      <c r="BH44" s="37" t="str">
        <f t="shared" si="8"/>
        <v/>
      </c>
      <c r="BI44" s="36">
        <f>[1]RB!$L44</f>
        <v>0</v>
      </c>
      <c r="BJ44" s="31">
        <f t="shared" si="44"/>
        <v>0</v>
      </c>
      <c r="BK44" s="18">
        <f t="shared" si="45"/>
        <v>0</v>
      </c>
      <c r="BL44" s="31">
        <f t="shared" si="46"/>
        <v>0</v>
      </c>
      <c r="BM44" s="31">
        <f t="shared" si="47"/>
        <v>0</v>
      </c>
      <c r="BN44" s="33"/>
      <c r="BO44" s="37" t="str">
        <f t="shared" si="9"/>
        <v/>
      </c>
      <c r="BP44" s="36">
        <f>[1]RB!$M44</f>
        <v>0</v>
      </c>
      <c r="BQ44" s="31">
        <f t="shared" si="48"/>
        <v>0</v>
      </c>
      <c r="BR44" s="18">
        <f t="shared" si="49"/>
        <v>0</v>
      </c>
      <c r="BS44" s="31">
        <f t="shared" si="50"/>
        <v>0</v>
      </c>
      <c r="BT44" s="31">
        <f t="shared" si="51"/>
        <v>0</v>
      </c>
      <c r="BU44" s="33"/>
      <c r="BV44" s="37" t="str">
        <f t="shared" si="10"/>
        <v/>
      </c>
      <c r="BW44" s="36">
        <f>[1]RB!$N44</f>
        <v>0</v>
      </c>
      <c r="BX44" s="31">
        <f t="shared" si="52"/>
        <v>0</v>
      </c>
      <c r="BY44" s="18">
        <f t="shared" si="53"/>
        <v>0</v>
      </c>
      <c r="BZ44" s="31">
        <f t="shared" si="54"/>
        <v>0</v>
      </c>
      <c r="CA44" s="31">
        <f t="shared" si="55"/>
        <v>0</v>
      </c>
      <c r="CB44" s="33"/>
      <c r="CC44" s="37" t="str">
        <f t="shared" si="11"/>
        <v/>
      </c>
      <c r="CD44" s="36">
        <f>[1]RB!$O44</f>
        <v>0</v>
      </c>
      <c r="CE44" s="31">
        <f t="shared" si="56"/>
        <v>0</v>
      </c>
      <c r="CF44" s="18">
        <f t="shared" si="57"/>
        <v>0</v>
      </c>
      <c r="CG44" s="31">
        <f t="shared" si="58"/>
        <v>0</v>
      </c>
      <c r="CH44" s="31">
        <f t="shared" si="59"/>
        <v>0</v>
      </c>
      <c r="CI44" s="33"/>
      <c r="CJ44" s="37" t="str">
        <f t="shared" si="12"/>
        <v/>
      </c>
      <c r="CK44" s="36">
        <f>[1]RB!$P44</f>
        <v>0</v>
      </c>
      <c r="CL44" s="31">
        <f t="shared" si="60"/>
        <v>0</v>
      </c>
      <c r="CM44" s="18">
        <f t="shared" si="61"/>
        <v>0</v>
      </c>
      <c r="CN44" s="31">
        <f t="shared" si="62"/>
        <v>0</v>
      </c>
      <c r="CO44" s="31">
        <f t="shared" si="63"/>
        <v>0</v>
      </c>
      <c r="CP44" s="33"/>
      <c r="CQ44" s="37" t="str">
        <f t="shared" si="13"/>
        <v/>
      </c>
      <c r="CR44" s="180"/>
      <c r="CS44" s="27"/>
      <c r="CT44" s="27"/>
      <c r="CU44" s="27"/>
      <c r="CV44" s="27"/>
      <c r="CW44" s="27"/>
      <c r="CX44" s="27"/>
      <c r="CY44" s="27"/>
      <c r="CZ44" s="27"/>
      <c r="DA44" s="27"/>
      <c r="DB44" s="27"/>
      <c r="DC44" s="27"/>
      <c r="DD44" s="27"/>
    </row>
    <row r="45" spans="1:108" s="26" customFormat="1" ht="16" customHeight="1" thickBot="1" x14ac:dyDescent="0.25">
      <c r="A45" s="183" t="s">
        <v>69</v>
      </c>
      <c r="B45" s="30">
        <f t="shared" si="65"/>
        <v>0</v>
      </c>
      <c r="C45" s="31">
        <f t="shared" si="65"/>
        <v>0</v>
      </c>
      <c r="D45" s="32">
        <f t="shared" si="65"/>
        <v>0</v>
      </c>
      <c r="E45" s="30">
        <f t="shared" si="67"/>
        <v>0</v>
      </c>
      <c r="F45" s="33">
        <f t="shared" si="67"/>
        <v>0</v>
      </c>
      <c r="G45" s="34">
        <f t="shared" si="67"/>
        <v>0</v>
      </c>
      <c r="H45" s="31">
        <f t="shared" si="66"/>
        <v>0</v>
      </c>
      <c r="I45" s="33">
        <f t="shared" si="66"/>
        <v>0</v>
      </c>
      <c r="J45" s="33">
        <f t="shared" si="66"/>
        <v>0</v>
      </c>
      <c r="K45" s="37" t="str">
        <f t="shared" si="15"/>
        <v/>
      </c>
      <c r="L45" s="36">
        <f>[1]RB!$E45</f>
        <v>0</v>
      </c>
      <c r="M45" s="31">
        <f t="shared" si="16"/>
        <v>0</v>
      </c>
      <c r="N45" s="31">
        <f t="shared" si="17"/>
        <v>0</v>
      </c>
      <c r="O45" s="31">
        <f t="shared" si="18"/>
        <v>0</v>
      </c>
      <c r="P45" s="31">
        <f t="shared" si="19"/>
        <v>0</v>
      </c>
      <c r="Q45" s="31"/>
      <c r="R45" s="31" t="str">
        <f t="shared" si="2"/>
        <v/>
      </c>
      <c r="S45" s="31">
        <f>[1]RB!$F45</f>
        <v>0</v>
      </c>
      <c r="T45" s="31">
        <f t="shared" si="20"/>
        <v>0</v>
      </c>
      <c r="U45" s="31">
        <f t="shared" si="21"/>
        <v>0</v>
      </c>
      <c r="V45" s="31">
        <f t="shared" si="22"/>
        <v>0</v>
      </c>
      <c r="W45" s="31">
        <f t="shared" si="23"/>
        <v>0</v>
      </c>
      <c r="X45" s="31"/>
      <c r="Y45" s="31" t="str">
        <f t="shared" si="3"/>
        <v/>
      </c>
      <c r="Z45" s="31">
        <f>[1]RB!$G45</f>
        <v>0</v>
      </c>
      <c r="AA45" s="31">
        <f t="shared" si="24"/>
        <v>0</v>
      </c>
      <c r="AB45" s="31">
        <f t="shared" si="25"/>
        <v>0</v>
      </c>
      <c r="AC45" s="31">
        <f t="shared" si="26"/>
        <v>0</v>
      </c>
      <c r="AD45" s="31">
        <f t="shared" si="27"/>
        <v>0</v>
      </c>
      <c r="AE45" s="31"/>
      <c r="AF45" s="31" t="str">
        <f t="shared" si="4"/>
        <v/>
      </c>
      <c r="AG45" s="31">
        <f>[1]RB!$H45</f>
        <v>0</v>
      </c>
      <c r="AH45" s="31">
        <f t="shared" si="28"/>
        <v>0</v>
      </c>
      <c r="AI45" s="31">
        <f t="shared" si="29"/>
        <v>0</v>
      </c>
      <c r="AJ45" s="31">
        <f t="shared" si="30"/>
        <v>0</v>
      </c>
      <c r="AK45" s="31">
        <f t="shared" si="31"/>
        <v>0</v>
      </c>
      <c r="AL45" s="31"/>
      <c r="AM45" s="31" t="str">
        <f t="shared" si="5"/>
        <v/>
      </c>
      <c r="AN45" s="31">
        <f>[1]RB!$I45</f>
        <v>0</v>
      </c>
      <c r="AO45" s="31">
        <f t="shared" si="32"/>
        <v>0</v>
      </c>
      <c r="AP45" s="31">
        <f t="shared" si="33"/>
        <v>0</v>
      </c>
      <c r="AQ45" s="31">
        <f t="shared" si="34"/>
        <v>0</v>
      </c>
      <c r="AR45" s="31">
        <f t="shared" si="35"/>
        <v>0</v>
      </c>
      <c r="AS45" s="33"/>
      <c r="AT45" s="37" t="str">
        <f t="shared" si="6"/>
        <v/>
      </c>
      <c r="AU45" s="36">
        <f>[1]RB!$J45</f>
        <v>0</v>
      </c>
      <c r="AV45" s="31">
        <f t="shared" si="36"/>
        <v>0</v>
      </c>
      <c r="AW45" s="18">
        <f t="shared" si="37"/>
        <v>0</v>
      </c>
      <c r="AX45" s="31">
        <f t="shared" si="38"/>
        <v>0</v>
      </c>
      <c r="AY45" s="31">
        <f t="shared" si="39"/>
        <v>0</v>
      </c>
      <c r="AZ45" s="27"/>
      <c r="BA45" s="37" t="str">
        <f t="shared" si="7"/>
        <v/>
      </c>
      <c r="BB45" s="36">
        <f>[1]RB!$K45</f>
        <v>0</v>
      </c>
      <c r="BC45" s="31">
        <f t="shared" si="40"/>
        <v>0</v>
      </c>
      <c r="BD45" s="18">
        <f t="shared" si="41"/>
        <v>0</v>
      </c>
      <c r="BE45" s="31">
        <f t="shared" si="42"/>
        <v>0</v>
      </c>
      <c r="BF45" s="31">
        <f t="shared" si="43"/>
        <v>0</v>
      </c>
      <c r="BG45" s="27"/>
      <c r="BH45" s="37" t="str">
        <f t="shared" si="8"/>
        <v/>
      </c>
      <c r="BI45" s="36">
        <f>[1]RB!$L45</f>
        <v>0</v>
      </c>
      <c r="BJ45" s="31">
        <f t="shared" si="44"/>
        <v>0</v>
      </c>
      <c r="BK45" s="18">
        <f t="shared" si="45"/>
        <v>0</v>
      </c>
      <c r="BL45" s="31">
        <f t="shared" si="46"/>
        <v>0</v>
      </c>
      <c r="BM45" s="31">
        <f t="shared" si="47"/>
        <v>0</v>
      </c>
      <c r="BN45" s="33"/>
      <c r="BO45" s="37" t="str">
        <f t="shared" si="9"/>
        <v/>
      </c>
      <c r="BP45" s="36">
        <f>[1]RB!$M45</f>
        <v>0</v>
      </c>
      <c r="BQ45" s="31">
        <f t="shared" si="48"/>
        <v>0</v>
      </c>
      <c r="BR45" s="18">
        <f t="shared" si="49"/>
        <v>0</v>
      </c>
      <c r="BS45" s="31">
        <f t="shared" si="50"/>
        <v>0</v>
      </c>
      <c r="BT45" s="31">
        <f t="shared" si="51"/>
        <v>0</v>
      </c>
      <c r="BU45" s="33"/>
      <c r="BV45" s="37" t="str">
        <f t="shared" si="10"/>
        <v/>
      </c>
      <c r="BW45" s="36">
        <f>[1]RB!$N45</f>
        <v>0</v>
      </c>
      <c r="BX45" s="31">
        <f t="shared" si="52"/>
        <v>0</v>
      </c>
      <c r="BY45" s="18">
        <f t="shared" si="53"/>
        <v>0</v>
      </c>
      <c r="BZ45" s="31">
        <f t="shared" si="54"/>
        <v>0</v>
      </c>
      <c r="CA45" s="31">
        <f t="shared" si="55"/>
        <v>0</v>
      </c>
      <c r="CB45" s="33"/>
      <c r="CC45" s="37" t="str">
        <f t="shared" si="11"/>
        <v/>
      </c>
      <c r="CD45" s="36">
        <f>[1]RB!$O45</f>
        <v>0</v>
      </c>
      <c r="CE45" s="31">
        <f t="shared" si="56"/>
        <v>0</v>
      </c>
      <c r="CF45" s="18">
        <f t="shared" si="57"/>
        <v>0</v>
      </c>
      <c r="CG45" s="31">
        <f t="shared" si="58"/>
        <v>0</v>
      </c>
      <c r="CH45" s="31">
        <f t="shared" si="59"/>
        <v>0</v>
      </c>
      <c r="CI45" s="33"/>
      <c r="CJ45" s="37" t="str">
        <f t="shared" si="12"/>
        <v/>
      </c>
      <c r="CK45" s="36">
        <f>[1]RB!$P45</f>
        <v>0</v>
      </c>
      <c r="CL45" s="31">
        <f t="shared" si="60"/>
        <v>0</v>
      </c>
      <c r="CM45" s="18">
        <f t="shared" si="61"/>
        <v>0</v>
      </c>
      <c r="CN45" s="31">
        <f t="shared" si="62"/>
        <v>0</v>
      </c>
      <c r="CO45" s="31">
        <f t="shared" si="63"/>
        <v>0</v>
      </c>
      <c r="CP45" s="33"/>
      <c r="CQ45" s="37" t="str">
        <f t="shared" si="13"/>
        <v/>
      </c>
      <c r="CR45" s="180"/>
      <c r="CS45" s="27"/>
      <c r="CT45" s="27"/>
      <c r="CU45" s="27"/>
      <c r="CV45" s="27"/>
      <c r="CW45" s="27"/>
      <c r="CX45" s="27"/>
      <c r="CY45" s="27"/>
      <c r="CZ45" s="27"/>
      <c r="DA45" s="27"/>
      <c r="DB45" s="27"/>
      <c r="DC45" s="27"/>
      <c r="DD45" s="27"/>
    </row>
    <row r="46" spans="1:108" s="26" customFormat="1" ht="16" customHeight="1" thickBot="1" x14ac:dyDescent="0.25">
      <c r="A46" s="182" t="s">
        <v>70</v>
      </c>
      <c r="B46" s="30">
        <f t="shared" si="65"/>
        <v>0</v>
      </c>
      <c r="C46" s="31">
        <f t="shared" si="65"/>
        <v>0</v>
      </c>
      <c r="D46" s="32">
        <f t="shared" si="65"/>
        <v>0</v>
      </c>
      <c r="E46" s="30">
        <f t="shared" si="67"/>
        <v>0</v>
      </c>
      <c r="F46" s="33">
        <f t="shared" si="67"/>
        <v>0</v>
      </c>
      <c r="G46" s="34">
        <f t="shared" si="67"/>
        <v>0</v>
      </c>
      <c r="H46" s="31">
        <f t="shared" si="66"/>
        <v>0</v>
      </c>
      <c r="I46" s="33">
        <f t="shared" si="66"/>
        <v>0</v>
      </c>
      <c r="J46" s="33">
        <f t="shared" si="66"/>
        <v>0</v>
      </c>
      <c r="K46" s="37" t="str">
        <f t="shared" si="15"/>
        <v/>
      </c>
      <c r="L46" s="36">
        <f>[1]RB!$E46</f>
        <v>0</v>
      </c>
      <c r="M46" s="31">
        <f t="shared" si="16"/>
        <v>0</v>
      </c>
      <c r="N46" s="31">
        <f t="shared" si="17"/>
        <v>0</v>
      </c>
      <c r="O46" s="31">
        <f t="shared" si="18"/>
        <v>0</v>
      </c>
      <c r="P46" s="31">
        <f t="shared" si="19"/>
        <v>0</v>
      </c>
      <c r="Q46" s="31"/>
      <c r="R46" s="31" t="str">
        <f t="shared" si="2"/>
        <v/>
      </c>
      <c r="S46" s="31">
        <f>[1]RB!$F46</f>
        <v>0</v>
      </c>
      <c r="T46" s="31">
        <f t="shared" si="20"/>
        <v>0</v>
      </c>
      <c r="U46" s="31">
        <f t="shared" si="21"/>
        <v>0</v>
      </c>
      <c r="V46" s="31">
        <f t="shared" si="22"/>
        <v>0</v>
      </c>
      <c r="W46" s="31">
        <f t="shared" si="23"/>
        <v>0</v>
      </c>
      <c r="X46" s="31"/>
      <c r="Y46" s="31" t="str">
        <f t="shared" si="3"/>
        <v/>
      </c>
      <c r="Z46" s="31">
        <f>[1]RB!$G46</f>
        <v>0</v>
      </c>
      <c r="AA46" s="31">
        <f t="shared" si="24"/>
        <v>0</v>
      </c>
      <c r="AB46" s="31">
        <f t="shared" si="25"/>
        <v>0</v>
      </c>
      <c r="AC46" s="31">
        <f t="shared" si="26"/>
        <v>0</v>
      </c>
      <c r="AD46" s="31">
        <f t="shared" si="27"/>
        <v>0</v>
      </c>
      <c r="AE46" s="31"/>
      <c r="AF46" s="31" t="str">
        <f t="shared" si="4"/>
        <v/>
      </c>
      <c r="AG46" s="31">
        <f>[1]RB!$H46</f>
        <v>0</v>
      </c>
      <c r="AH46" s="31">
        <f t="shared" si="28"/>
        <v>0</v>
      </c>
      <c r="AI46" s="31">
        <f t="shared" si="29"/>
        <v>0</v>
      </c>
      <c r="AJ46" s="31">
        <f t="shared" si="30"/>
        <v>0</v>
      </c>
      <c r="AK46" s="31">
        <f t="shared" si="31"/>
        <v>0</v>
      </c>
      <c r="AL46" s="31"/>
      <c r="AM46" s="31" t="str">
        <f t="shared" si="5"/>
        <v/>
      </c>
      <c r="AN46" s="31">
        <f>[1]RB!$I46</f>
        <v>0</v>
      </c>
      <c r="AO46" s="31">
        <f t="shared" si="32"/>
        <v>0</v>
      </c>
      <c r="AP46" s="31">
        <f t="shared" si="33"/>
        <v>0</v>
      </c>
      <c r="AQ46" s="31">
        <f t="shared" si="34"/>
        <v>0</v>
      </c>
      <c r="AR46" s="31">
        <f t="shared" si="35"/>
        <v>0</v>
      </c>
      <c r="AS46" s="33"/>
      <c r="AT46" s="37" t="str">
        <f t="shared" si="6"/>
        <v/>
      </c>
      <c r="AU46" s="36">
        <f>[1]RB!$J46</f>
        <v>0</v>
      </c>
      <c r="AV46" s="31">
        <f t="shared" si="36"/>
        <v>0</v>
      </c>
      <c r="AW46" s="18">
        <f t="shared" si="37"/>
        <v>0</v>
      </c>
      <c r="AX46" s="31">
        <f t="shared" si="38"/>
        <v>0</v>
      </c>
      <c r="AY46" s="31">
        <f t="shared" si="39"/>
        <v>0</v>
      </c>
      <c r="AZ46" s="27"/>
      <c r="BA46" s="37" t="str">
        <f t="shared" si="7"/>
        <v/>
      </c>
      <c r="BB46" s="36">
        <f>[1]RB!$K46</f>
        <v>0</v>
      </c>
      <c r="BC46" s="31">
        <f t="shared" si="40"/>
        <v>0</v>
      </c>
      <c r="BD46" s="18">
        <f t="shared" si="41"/>
        <v>0</v>
      </c>
      <c r="BE46" s="31">
        <f t="shared" si="42"/>
        <v>0</v>
      </c>
      <c r="BF46" s="31">
        <f t="shared" si="43"/>
        <v>0</v>
      </c>
      <c r="BG46" s="27"/>
      <c r="BH46" s="37" t="str">
        <f t="shared" si="8"/>
        <v/>
      </c>
      <c r="BI46" s="36">
        <f>[1]RB!$L46</f>
        <v>0</v>
      </c>
      <c r="BJ46" s="31">
        <f t="shared" si="44"/>
        <v>0</v>
      </c>
      <c r="BK46" s="18">
        <f t="shared" si="45"/>
        <v>0</v>
      </c>
      <c r="BL46" s="31">
        <f t="shared" si="46"/>
        <v>0</v>
      </c>
      <c r="BM46" s="31">
        <f t="shared" si="47"/>
        <v>0</v>
      </c>
      <c r="BN46" s="33"/>
      <c r="BO46" s="37" t="str">
        <f t="shared" si="9"/>
        <v/>
      </c>
      <c r="BP46" s="36">
        <f>[1]RB!$M46</f>
        <v>0</v>
      </c>
      <c r="BQ46" s="31">
        <f t="shared" si="48"/>
        <v>0</v>
      </c>
      <c r="BR46" s="18">
        <f t="shared" si="49"/>
        <v>0</v>
      </c>
      <c r="BS46" s="31">
        <f t="shared" si="50"/>
        <v>0</v>
      </c>
      <c r="BT46" s="31">
        <f t="shared" si="51"/>
        <v>0</v>
      </c>
      <c r="BU46" s="33"/>
      <c r="BV46" s="37" t="str">
        <f t="shared" si="10"/>
        <v/>
      </c>
      <c r="BW46" s="36">
        <f>[1]RB!$N46</f>
        <v>0</v>
      </c>
      <c r="BX46" s="31">
        <f t="shared" si="52"/>
        <v>0</v>
      </c>
      <c r="BY46" s="18">
        <f t="shared" si="53"/>
        <v>0</v>
      </c>
      <c r="BZ46" s="31">
        <f t="shared" si="54"/>
        <v>0</v>
      </c>
      <c r="CA46" s="31">
        <f t="shared" si="55"/>
        <v>0</v>
      </c>
      <c r="CB46" s="33"/>
      <c r="CC46" s="37" t="str">
        <f t="shared" si="11"/>
        <v/>
      </c>
      <c r="CD46" s="36">
        <f>[1]RB!$O46</f>
        <v>0</v>
      </c>
      <c r="CE46" s="31">
        <f t="shared" si="56"/>
        <v>0</v>
      </c>
      <c r="CF46" s="18">
        <f t="shared" si="57"/>
        <v>0</v>
      </c>
      <c r="CG46" s="31">
        <f t="shared" si="58"/>
        <v>0</v>
      </c>
      <c r="CH46" s="31">
        <f t="shared" si="59"/>
        <v>0</v>
      </c>
      <c r="CI46" s="33"/>
      <c r="CJ46" s="37" t="str">
        <f t="shared" si="12"/>
        <v/>
      </c>
      <c r="CK46" s="36">
        <f>[1]RB!$P46</f>
        <v>0</v>
      </c>
      <c r="CL46" s="31">
        <f t="shared" si="60"/>
        <v>0</v>
      </c>
      <c r="CM46" s="18">
        <f t="shared" si="61"/>
        <v>0</v>
      </c>
      <c r="CN46" s="31">
        <f t="shared" si="62"/>
        <v>0</v>
      </c>
      <c r="CO46" s="31">
        <f t="shared" si="63"/>
        <v>0</v>
      </c>
      <c r="CP46" s="33"/>
      <c r="CQ46" s="37" t="str">
        <f t="shared" si="13"/>
        <v/>
      </c>
      <c r="CR46" s="180"/>
      <c r="CS46" s="27"/>
      <c r="CT46" s="27"/>
      <c r="CU46" s="27"/>
      <c r="CV46" s="27"/>
      <c r="CW46" s="27"/>
      <c r="CX46" s="27"/>
      <c r="CY46" s="27"/>
      <c r="CZ46" s="27"/>
      <c r="DA46" s="27"/>
      <c r="DB46" s="27"/>
      <c r="DC46" s="27"/>
      <c r="DD46" s="27"/>
    </row>
    <row r="47" spans="1:108" s="26" customFormat="1" ht="16" customHeight="1" thickBot="1" x14ac:dyDescent="0.25">
      <c r="A47" s="181" t="s">
        <v>71</v>
      </c>
      <c r="B47" s="30">
        <f t="shared" si="65"/>
        <v>0</v>
      </c>
      <c r="C47" s="31">
        <f t="shared" si="65"/>
        <v>0</v>
      </c>
      <c r="D47" s="32">
        <f t="shared" si="65"/>
        <v>0</v>
      </c>
      <c r="E47" s="30">
        <f t="shared" si="67"/>
        <v>0</v>
      </c>
      <c r="F47" s="33">
        <f t="shared" si="67"/>
        <v>0</v>
      </c>
      <c r="G47" s="34">
        <f t="shared" si="67"/>
        <v>0</v>
      </c>
      <c r="H47" s="31">
        <f t="shared" si="66"/>
        <v>0</v>
      </c>
      <c r="I47" s="33">
        <f t="shared" si="66"/>
        <v>0</v>
      </c>
      <c r="J47" s="33">
        <f t="shared" si="66"/>
        <v>0</v>
      </c>
      <c r="K47" s="37" t="str">
        <f t="shared" si="15"/>
        <v/>
      </c>
      <c r="L47" s="36">
        <f>[1]RB!$E47</f>
        <v>0</v>
      </c>
      <c r="M47" s="31">
        <f t="shared" si="16"/>
        <v>0</v>
      </c>
      <c r="N47" s="31">
        <f t="shared" si="17"/>
        <v>0</v>
      </c>
      <c r="O47" s="31">
        <f t="shared" si="18"/>
        <v>0</v>
      </c>
      <c r="P47" s="31">
        <f t="shared" si="19"/>
        <v>0</v>
      </c>
      <c r="Q47" s="31"/>
      <c r="R47" s="31" t="str">
        <f t="shared" si="2"/>
        <v/>
      </c>
      <c r="S47" s="31">
        <f>[1]RB!$F47</f>
        <v>0</v>
      </c>
      <c r="T47" s="31">
        <f t="shared" si="20"/>
        <v>0</v>
      </c>
      <c r="U47" s="31">
        <f t="shared" si="21"/>
        <v>0</v>
      </c>
      <c r="V47" s="31">
        <f t="shared" si="22"/>
        <v>0</v>
      </c>
      <c r="W47" s="31">
        <f t="shared" si="23"/>
        <v>0</v>
      </c>
      <c r="X47" s="31"/>
      <c r="Y47" s="31" t="str">
        <f t="shared" si="3"/>
        <v/>
      </c>
      <c r="Z47" s="31">
        <f>[1]RB!$G47</f>
        <v>0</v>
      </c>
      <c r="AA47" s="31">
        <f t="shared" si="24"/>
        <v>0</v>
      </c>
      <c r="AB47" s="31">
        <f t="shared" si="25"/>
        <v>0</v>
      </c>
      <c r="AC47" s="31">
        <f t="shared" si="26"/>
        <v>0</v>
      </c>
      <c r="AD47" s="31">
        <f t="shared" si="27"/>
        <v>0</v>
      </c>
      <c r="AE47" s="31"/>
      <c r="AF47" s="31" t="str">
        <f t="shared" si="4"/>
        <v/>
      </c>
      <c r="AG47" s="31">
        <f>[1]RB!$H47</f>
        <v>0</v>
      </c>
      <c r="AH47" s="31">
        <f t="shared" si="28"/>
        <v>0</v>
      </c>
      <c r="AI47" s="31">
        <f t="shared" si="29"/>
        <v>0</v>
      </c>
      <c r="AJ47" s="31">
        <f t="shared" si="30"/>
        <v>0</v>
      </c>
      <c r="AK47" s="31">
        <f t="shared" si="31"/>
        <v>0</v>
      </c>
      <c r="AL47" s="31"/>
      <c r="AM47" s="31" t="str">
        <f t="shared" si="5"/>
        <v/>
      </c>
      <c r="AN47" s="31">
        <f>[1]RB!$I47</f>
        <v>0</v>
      </c>
      <c r="AO47" s="31">
        <f t="shared" si="32"/>
        <v>0</v>
      </c>
      <c r="AP47" s="31">
        <f t="shared" si="33"/>
        <v>0</v>
      </c>
      <c r="AQ47" s="31">
        <f t="shared" si="34"/>
        <v>0</v>
      </c>
      <c r="AR47" s="31">
        <f t="shared" si="35"/>
        <v>0</v>
      </c>
      <c r="AS47" s="33"/>
      <c r="AT47" s="37" t="str">
        <f t="shared" si="6"/>
        <v/>
      </c>
      <c r="AU47" s="36">
        <f>[1]RB!$J47</f>
        <v>0</v>
      </c>
      <c r="AV47" s="31">
        <f t="shared" si="36"/>
        <v>0</v>
      </c>
      <c r="AW47" s="18">
        <f t="shared" si="37"/>
        <v>0</v>
      </c>
      <c r="AX47" s="31">
        <f t="shared" si="38"/>
        <v>0</v>
      </c>
      <c r="AY47" s="31">
        <f t="shared" si="39"/>
        <v>0</v>
      </c>
      <c r="AZ47" s="27"/>
      <c r="BA47" s="37" t="str">
        <f t="shared" si="7"/>
        <v/>
      </c>
      <c r="BB47" s="36">
        <f>[1]RB!$K47</f>
        <v>0</v>
      </c>
      <c r="BC47" s="31">
        <f t="shared" si="40"/>
        <v>0</v>
      </c>
      <c r="BD47" s="18">
        <f t="shared" si="41"/>
        <v>0</v>
      </c>
      <c r="BE47" s="31">
        <f t="shared" si="42"/>
        <v>0</v>
      </c>
      <c r="BF47" s="31">
        <f t="shared" si="43"/>
        <v>0</v>
      </c>
      <c r="BG47" s="27"/>
      <c r="BH47" s="37" t="str">
        <f t="shared" si="8"/>
        <v/>
      </c>
      <c r="BI47" s="36">
        <f>[1]RB!$L47</f>
        <v>0</v>
      </c>
      <c r="BJ47" s="31">
        <f t="shared" si="44"/>
        <v>0</v>
      </c>
      <c r="BK47" s="18">
        <f t="shared" si="45"/>
        <v>0</v>
      </c>
      <c r="BL47" s="31">
        <f t="shared" si="46"/>
        <v>0</v>
      </c>
      <c r="BM47" s="31">
        <f t="shared" si="47"/>
        <v>0</v>
      </c>
      <c r="BN47" s="33"/>
      <c r="BO47" s="37" t="str">
        <f t="shared" si="9"/>
        <v/>
      </c>
      <c r="BP47" s="36">
        <f>[1]RB!$M47</f>
        <v>0</v>
      </c>
      <c r="BQ47" s="31">
        <f t="shared" si="48"/>
        <v>0</v>
      </c>
      <c r="BR47" s="18">
        <f t="shared" si="49"/>
        <v>0</v>
      </c>
      <c r="BS47" s="31">
        <f t="shared" si="50"/>
        <v>0</v>
      </c>
      <c r="BT47" s="31">
        <f t="shared" si="51"/>
        <v>0</v>
      </c>
      <c r="BU47" s="33"/>
      <c r="BV47" s="37" t="str">
        <f t="shared" si="10"/>
        <v/>
      </c>
      <c r="BW47" s="36">
        <f>[1]RB!$N47</f>
        <v>0</v>
      </c>
      <c r="BX47" s="31">
        <f t="shared" si="52"/>
        <v>0</v>
      </c>
      <c r="BY47" s="18">
        <f t="shared" si="53"/>
        <v>0</v>
      </c>
      <c r="BZ47" s="31">
        <f t="shared" si="54"/>
        <v>0</v>
      </c>
      <c r="CA47" s="31">
        <f t="shared" si="55"/>
        <v>0</v>
      </c>
      <c r="CB47" s="33"/>
      <c r="CC47" s="37" t="str">
        <f t="shared" si="11"/>
        <v/>
      </c>
      <c r="CD47" s="36">
        <f>[1]RB!$O47</f>
        <v>0</v>
      </c>
      <c r="CE47" s="31">
        <f t="shared" si="56"/>
        <v>0</v>
      </c>
      <c r="CF47" s="18">
        <f t="shared" si="57"/>
        <v>0</v>
      </c>
      <c r="CG47" s="31">
        <f t="shared" si="58"/>
        <v>0</v>
      </c>
      <c r="CH47" s="31">
        <f t="shared" si="59"/>
        <v>0</v>
      </c>
      <c r="CI47" s="33"/>
      <c r="CJ47" s="37" t="str">
        <f t="shared" si="12"/>
        <v/>
      </c>
      <c r="CK47" s="36">
        <f>[1]RB!$P47</f>
        <v>0</v>
      </c>
      <c r="CL47" s="31">
        <f t="shared" si="60"/>
        <v>0</v>
      </c>
      <c r="CM47" s="18">
        <f t="shared" si="61"/>
        <v>0</v>
      </c>
      <c r="CN47" s="31">
        <f t="shared" si="62"/>
        <v>0</v>
      </c>
      <c r="CO47" s="31">
        <f t="shared" si="63"/>
        <v>0</v>
      </c>
      <c r="CP47" s="33"/>
      <c r="CQ47" s="37" t="str">
        <f t="shared" si="13"/>
        <v/>
      </c>
      <c r="CR47" s="180"/>
      <c r="CS47" s="27"/>
      <c r="CT47" s="27"/>
      <c r="CU47" s="27"/>
      <c r="CV47" s="27"/>
      <c r="CW47" s="27"/>
      <c r="CX47" s="27"/>
      <c r="CY47" s="27"/>
      <c r="CZ47" s="27"/>
      <c r="DA47" s="27"/>
      <c r="DB47" s="27"/>
      <c r="DC47" s="27"/>
      <c r="DD47" s="27"/>
    </row>
    <row r="48" spans="1:108" s="26" customFormat="1" ht="16" customHeight="1" thickBot="1" x14ac:dyDescent="0.25">
      <c r="A48" s="182" t="s">
        <v>72</v>
      </c>
      <c r="B48" s="30">
        <f t="shared" si="65"/>
        <v>49999.999999999993</v>
      </c>
      <c r="C48" s="31">
        <f t="shared" si="65"/>
        <v>48570.000000000007</v>
      </c>
      <c r="D48" s="32">
        <f t="shared" si="65"/>
        <v>1430.0000000000002</v>
      </c>
      <c r="E48" s="30">
        <f t="shared" si="67"/>
        <v>16666.666666666668</v>
      </c>
      <c r="F48" s="33">
        <f t="shared" si="67"/>
        <v>16190.000000000002</v>
      </c>
      <c r="G48" s="34">
        <f t="shared" si="67"/>
        <v>476.66666666666669</v>
      </c>
      <c r="H48" s="31">
        <f t="shared" si="66"/>
        <v>10891.579649999998</v>
      </c>
      <c r="I48" s="33">
        <f t="shared" si="66"/>
        <v>320.67035000000004</v>
      </c>
      <c r="J48" s="33">
        <f t="shared" si="66"/>
        <v>11212.25</v>
      </c>
      <c r="K48" s="37">
        <f t="shared" si="15"/>
        <v>-0.32726500000000003</v>
      </c>
      <c r="L48" s="36">
        <f>[1]RB!$E48</f>
        <v>4166.666666666667</v>
      </c>
      <c r="M48" s="31">
        <f t="shared" si="16"/>
        <v>4047.5000000000005</v>
      </c>
      <c r="N48" s="31">
        <f t="shared" si="17"/>
        <v>119.16666666666667</v>
      </c>
      <c r="O48" s="31">
        <f t="shared" si="18"/>
        <v>620.82173999999998</v>
      </c>
      <c r="P48" s="31">
        <f t="shared" si="19"/>
        <v>18.27826</v>
      </c>
      <c r="Q48" s="31">
        <f>639.1</f>
        <v>639.1</v>
      </c>
      <c r="R48" s="31">
        <f t="shared" si="2"/>
        <v>-0.84661600000000004</v>
      </c>
      <c r="S48" s="31">
        <f>[1]RB!$F48</f>
        <v>4166.666666666667</v>
      </c>
      <c r="T48" s="31">
        <f t="shared" si="20"/>
        <v>4047.5000000000005</v>
      </c>
      <c r="U48" s="31">
        <f t="shared" si="21"/>
        <v>119.16666666666667</v>
      </c>
      <c r="V48" s="31">
        <f t="shared" si="22"/>
        <v>590.36834999999996</v>
      </c>
      <c r="W48" s="31">
        <f t="shared" si="23"/>
        <v>17.38165</v>
      </c>
      <c r="X48" s="31">
        <f>607.75</f>
        <v>607.75</v>
      </c>
      <c r="Y48" s="31">
        <f t="shared" si="3"/>
        <v>-0.85414000000000001</v>
      </c>
      <c r="Z48" s="31">
        <f>[1]RB!$G48</f>
        <v>4166.666666666667</v>
      </c>
      <c r="AA48" s="31">
        <f t="shared" si="24"/>
        <v>4047.5000000000005</v>
      </c>
      <c r="AB48" s="31">
        <f t="shared" si="25"/>
        <v>119.16666666666667</v>
      </c>
      <c r="AC48" s="31">
        <f t="shared" si="26"/>
        <v>2905.2631200000001</v>
      </c>
      <c r="AD48" s="31">
        <f t="shared" si="27"/>
        <v>85.536880000000011</v>
      </c>
      <c r="AE48" s="31">
        <f>2990.8</f>
        <v>2990.8</v>
      </c>
      <c r="AF48" s="31">
        <f t="shared" si="4"/>
        <v>-0.28220800000000001</v>
      </c>
      <c r="AG48" s="31">
        <f>[1]RB!$H48</f>
        <v>4166.666666666667</v>
      </c>
      <c r="AH48" s="31">
        <f t="shared" si="28"/>
        <v>4047.5000000000005</v>
      </c>
      <c r="AI48" s="31">
        <f t="shared" si="29"/>
        <v>119.16666666666667</v>
      </c>
      <c r="AJ48" s="31">
        <f t="shared" si="30"/>
        <v>483.36864000000003</v>
      </c>
      <c r="AK48" s="31">
        <f t="shared" si="31"/>
        <v>14.23136</v>
      </c>
      <c r="AL48" s="31">
        <f>497.6</f>
        <v>497.6</v>
      </c>
      <c r="AM48" s="31">
        <f t="shared" si="5"/>
        <v>-0.88057600000000003</v>
      </c>
      <c r="AN48" s="31">
        <f>[1]RB!$I48</f>
        <v>4166.666666666667</v>
      </c>
      <c r="AO48" s="31">
        <f t="shared" si="32"/>
        <v>4047.5000000000005</v>
      </c>
      <c r="AP48" s="31">
        <f t="shared" si="33"/>
        <v>119.16666666666667</v>
      </c>
      <c r="AQ48" s="31">
        <f t="shared" si="34"/>
        <v>5071.4462640000002</v>
      </c>
      <c r="AR48" s="31">
        <f t="shared" si="35"/>
        <v>149.31373600000001</v>
      </c>
      <c r="AS48" s="33">
        <v>5220.76</v>
      </c>
      <c r="AT48" s="37">
        <f t="shared" si="6"/>
        <v>0.25298240000000005</v>
      </c>
      <c r="AU48" s="36">
        <f>[1]RB!$J48</f>
        <v>4166.666666666667</v>
      </c>
      <c r="AV48" s="31">
        <f t="shared" si="36"/>
        <v>4047.5000000000005</v>
      </c>
      <c r="AW48" s="18">
        <f t="shared" si="37"/>
        <v>119.16666666666667</v>
      </c>
      <c r="AX48" s="31">
        <f t="shared" si="38"/>
        <v>1220.3115359999999</v>
      </c>
      <c r="AY48" s="31">
        <f t="shared" si="39"/>
        <v>35.928463999999998</v>
      </c>
      <c r="AZ48" s="27">
        <v>1256.24</v>
      </c>
      <c r="BA48" s="37">
        <f t="shared" si="7"/>
        <v>-0.69850239999999997</v>
      </c>
      <c r="BB48" s="36">
        <f>[1]RB!$K48</f>
        <v>4166.666666666667</v>
      </c>
      <c r="BC48" s="31">
        <f t="shared" si="40"/>
        <v>4047.5000000000005</v>
      </c>
      <c r="BD48" s="18">
        <f t="shared" si="41"/>
        <v>119.16666666666667</v>
      </c>
      <c r="BE48" s="31">
        <f t="shared" si="42"/>
        <v>0</v>
      </c>
      <c r="BF48" s="31">
        <f t="shared" si="43"/>
        <v>0</v>
      </c>
      <c r="BG48" s="27"/>
      <c r="BH48" s="37">
        <f t="shared" si="8"/>
        <v>-1</v>
      </c>
      <c r="BI48" s="36">
        <f>[1]RB!$L48</f>
        <v>4166.666666666667</v>
      </c>
      <c r="BJ48" s="31">
        <f t="shared" si="44"/>
        <v>4047.5000000000005</v>
      </c>
      <c r="BK48" s="18">
        <f t="shared" si="45"/>
        <v>119.16666666666667</v>
      </c>
      <c r="BL48" s="31">
        <f t="shared" si="46"/>
        <v>0</v>
      </c>
      <c r="BM48" s="31">
        <f t="shared" si="47"/>
        <v>0</v>
      </c>
      <c r="BN48" s="33"/>
      <c r="BO48" s="37">
        <f t="shared" si="9"/>
        <v>-1</v>
      </c>
      <c r="BP48" s="36">
        <f>[1]RB!$M48</f>
        <v>4166.666666666667</v>
      </c>
      <c r="BQ48" s="31">
        <f t="shared" si="48"/>
        <v>4047.5000000000005</v>
      </c>
      <c r="BR48" s="18">
        <f t="shared" si="49"/>
        <v>119.16666666666667</v>
      </c>
      <c r="BS48" s="31">
        <f t="shared" si="50"/>
        <v>0</v>
      </c>
      <c r="BT48" s="31">
        <f t="shared" si="51"/>
        <v>0</v>
      </c>
      <c r="BU48" s="33"/>
      <c r="BV48" s="37">
        <f t="shared" si="10"/>
        <v>-1</v>
      </c>
      <c r="BW48" s="36">
        <f>[1]RB!$N48</f>
        <v>4166.666666666667</v>
      </c>
      <c r="BX48" s="31">
        <f t="shared" si="52"/>
        <v>4047.5000000000005</v>
      </c>
      <c r="BY48" s="18">
        <f t="shared" si="53"/>
        <v>119.16666666666667</v>
      </c>
      <c r="BZ48" s="31">
        <f t="shared" si="54"/>
        <v>0</v>
      </c>
      <c r="CA48" s="31">
        <f t="shared" si="55"/>
        <v>0</v>
      </c>
      <c r="CB48" s="33"/>
      <c r="CC48" s="37">
        <f t="shared" si="11"/>
        <v>-1</v>
      </c>
      <c r="CD48" s="36">
        <f>[1]RB!$O48</f>
        <v>4166.666666666667</v>
      </c>
      <c r="CE48" s="31">
        <f t="shared" si="56"/>
        <v>4047.5000000000005</v>
      </c>
      <c r="CF48" s="18">
        <f t="shared" si="57"/>
        <v>119.16666666666667</v>
      </c>
      <c r="CG48" s="31">
        <f t="shared" si="58"/>
        <v>0</v>
      </c>
      <c r="CH48" s="31">
        <f t="shared" si="59"/>
        <v>0</v>
      </c>
      <c r="CI48" s="33"/>
      <c r="CJ48" s="37">
        <f t="shared" si="12"/>
        <v>-1</v>
      </c>
      <c r="CK48" s="36">
        <f>[1]RB!$P48</f>
        <v>4166.666666666667</v>
      </c>
      <c r="CL48" s="31">
        <f t="shared" si="60"/>
        <v>4047.5000000000005</v>
      </c>
      <c r="CM48" s="18">
        <f t="shared" si="61"/>
        <v>119.16666666666667</v>
      </c>
      <c r="CN48" s="31">
        <f t="shared" si="62"/>
        <v>0</v>
      </c>
      <c r="CO48" s="31">
        <f t="shared" si="63"/>
        <v>0</v>
      </c>
      <c r="CP48" s="33"/>
      <c r="CQ48" s="37">
        <f t="shared" si="13"/>
        <v>-1</v>
      </c>
      <c r="CR48" s="180"/>
      <c r="CS48" s="27">
        <f>3399.98</f>
        <v>3399.98</v>
      </c>
      <c r="CT48" s="27">
        <v>632.29999999999995</v>
      </c>
      <c r="CU48" s="27">
        <v>1454.4</v>
      </c>
      <c r="CV48" s="27"/>
      <c r="CW48" s="27"/>
      <c r="CX48" s="27"/>
      <c r="CY48" s="27"/>
      <c r="CZ48" s="27"/>
      <c r="DA48" s="27"/>
      <c r="DB48" s="27"/>
      <c r="DC48" s="27"/>
      <c r="DD48" s="27"/>
    </row>
    <row r="49" spans="1:108" s="26" customFormat="1" ht="16" customHeight="1" thickBot="1" x14ac:dyDescent="0.25">
      <c r="A49" s="181" t="s">
        <v>73</v>
      </c>
      <c r="B49" s="30">
        <f t="shared" si="65"/>
        <v>139500</v>
      </c>
      <c r="C49" s="31">
        <f t="shared" si="65"/>
        <v>135510.29999999996</v>
      </c>
      <c r="D49" s="32">
        <f t="shared" si="65"/>
        <v>3989.6999999999994</v>
      </c>
      <c r="E49" s="30">
        <f t="shared" si="67"/>
        <v>46500</v>
      </c>
      <c r="F49" s="33">
        <f t="shared" si="67"/>
        <v>45170.1</v>
      </c>
      <c r="G49" s="34">
        <f t="shared" si="67"/>
        <v>1329.9</v>
      </c>
      <c r="H49" s="31">
        <f t="shared" si="66"/>
        <v>53990.654849999999</v>
      </c>
      <c r="I49" s="33">
        <f t="shared" si="66"/>
        <v>1589.5951500000001</v>
      </c>
      <c r="J49" s="33">
        <f t="shared" si="66"/>
        <v>55580.25</v>
      </c>
      <c r="K49" s="37">
        <f t="shared" si="15"/>
        <v>0.19527419354838704</v>
      </c>
      <c r="L49" s="36">
        <f>[1]RB!$E49</f>
        <v>11625</v>
      </c>
      <c r="M49" s="31">
        <f t="shared" si="16"/>
        <v>11292.525</v>
      </c>
      <c r="N49" s="31">
        <f t="shared" si="17"/>
        <v>332.47500000000002</v>
      </c>
      <c r="O49" s="31">
        <f t="shared" si="18"/>
        <v>11376.580242</v>
      </c>
      <c r="P49" s="31">
        <f t="shared" si="19"/>
        <v>334.94975800000003</v>
      </c>
      <c r="Q49" s="31">
        <f>R80</f>
        <v>11711.53</v>
      </c>
      <c r="R49" s="31">
        <f t="shared" si="2"/>
        <v>7.4434408602150892E-3</v>
      </c>
      <c r="S49" s="31">
        <f>[1]RB!$F49</f>
        <v>11625</v>
      </c>
      <c r="T49" s="31">
        <f t="shared" si="20"/>
        <v>11292.525</v>
      </c>
      <c r="U49" s="31">
        <f t="shared" si="21"/>
        <v>332.47500000000002</v>
      </c>
      <c r="V49" s="31">
        <f t="shared" si="22"/>
        <v>6835.7515140000005</v>
      </c>
      <c r="W49" s="31">
        <f t="shared" si="23"/>
        <v>201.258486</v>
      </c>
      <c r="X49" s="31">
        <f>Y80</f>
        <v>7037.01</v>
      </c>
      <c r="Y49" s="31">
        <f t="shared" si="3"/>
        <v>-0.39466580645161287</v>
      </c>
      <c r="Z49" s="31">
        <f>[1]RB!$G49</f>
        <v>11625</v>
      </c>
      <c r="AA49" s="31">
        <f t="shared" si="24"/>
        <v>11292.525</v>
      </c>
      <c r="AB49" s="31">
        <f t="shared" si="25"/>
        <v>332.47500000000002</v>
      </c>
      <c r="AC49" s="31">
        <f t="shared" si="26"/>
        <v>9521.215956</v>
      </c>
      <c r="AD49" s="31">
        <f t="shared" si="27"/>
        <v>280.32404400000001</v>
      </c>
      <c r="AE49" s="31">
        <f>AF80</f>
        <v>9801.5400000000009</v>
      </c>
      <c r="AF49" s="31">
        <f t="shared" si="4"/>
        <v>-0.15685677419354827</v>
      </c>
      <c r="AG49" s="31">
        <f>[1]RB!$H49</f>
        <v>11625</v>
      </c>
      <c r="AH49" s="31">
        <f t="shared" si="28"/>
        <v>11292.525</v>
      </c>
      <c r="AI49" s="31">
        <f t="shared" si="29"/>
        <v>332.47500000000002</v>
      </c>
      <c r="AJ49" s="31">
        <f t="shared" si="30"/>
        <v>9458.9977859999999</v>
      </c>
      <c r="AK49" s="31">
        <f t="shared" si="31"/>
        <v>278.49221399999999</v>
      </c>
      <c r="AL49" s="31">
        <f>AM80</f>
        <v>9737.49</v>
      </c>
      <c r="AM49" s="31">
        <f t="shared" si="5"/>
        <v>-0.1623664516129032</v>
      </c>
      <c r="AN49" s="31">
        <f>[1]RB!$I49</f>
        <v>11625</v>
      </c>
      <c r="AO49" s="31">
        <f t="shared" si="32"/>
        <v>11292.525</v>
      </c>
      <c r="AP49" s="31">
        <f t="shared" si="33"/>
        <v>332.47500000000002</v>
      </c>
      <c r="AQ49" s="31">
        <f t="shared" si="34"/>
        <v>8154.7378620000018</v>
      </c>
      <c r="AR49" s="31">
        <f t="shared" si="35"/>
        <v>240.09213800000006</v>
      </c>
      <c r="AS49" s="33">
        <v>8394.8300000000017</v>
      </c>
      <c r="AT49" s="37">
        <f t="shared" si="6"/>
        <v>-0.27786408602150525</v>
      </c>
      <c r="AU49" s="36">
        <f>[1]RB!$J49</f>
        <v>11625</v>
      </c>
      <c r="AV49" s="31">
        <f t="shared" si="36"/>
        <v>11292.525</v>
      </c>
      <c r="AW49" s="18">
        <f t="shared" si="37"/>
        <v>332.47500000000002</v>
      </c>
      <c r="AX49" s="31">
        <f t="shared" si="38"/>
        <v>8643.3714899999977</v>
      </c>
      <c r="AY49" s="31">
        <f t="shared" si="39"/>
        <v>254.47850999999997</v>
      </c>
      <c r="AZ49" s="27">
        <v>8897.8499999999985</v>
      </c>
      <c r="BA49" s="37">
        <f t="shared" si="7"/>
        <v>-0.2345935483870969</v>
      </c>
      <c r="BB49" s="36">
        <f>[1]RB!$K49</f>
        <v>11625</v>
      </c>
      <c r="BC49" s="31">
        <f t="shared" si="40"/>
        <v>11292.525</v>
      </c>
      <c r="BD49" s="18">
        <f t="shared" si="41"/>
        <v>332.47500000000002</v>
      </c>
      <c r="BE49" s="31">
        <f t="shared" si="42"/>
        <v>0</v>
      </c>
      <c r="BF49" s="31">
        <f t="shared" si="43"/>
        <v>0</v>
      </c>
      <c r="BG49" s="27"/>
      <c r="BH49" s="37">
        <f t="shared" si="8"/>
        <v>-1</v>
      </c>
      <c r="BI49" s="36">
        <f>[1]RB!$L49</f>
        <v>11625</v>
      </c>
      <c r="BJ49" s="31">
        <f t="shared" si="44"/>
        <v>11292.525</v>
      </c>
      <c r="BK49" s="18">
        <f t="shared" si="45"/>
        <v>332.47500000000002</v>
      </c>
      <c r="BL49" s="31">
        <f t="shared" si="46"/>
        <v>0</v>
      </c>
      <c r="BM49" s="31">
        <f t="shared" si="47"/>
        <v>0</v>
      </c>
      <c r="BN49" s="33"/>
      <c r="BO49" s="37">
        <f t="shared" si="9"/>
        <v>-1</v>
      </c>
      <c r="BP49" s="36">
        <f>[1]RB!$M49</f>
        <v>11625</v>
      </c>
      <c r="BQ49" s="31">
        <f t="shared" si="48"/>
        <v>11292.525</v>
      </c>
      <c r="BR49" s="18">
        <f t="shared" si="49"/>
        <v>332.47500000000002</v>
      </c>
      <c r="BS49" s="31">
        <f t="shared" si="50"/>
        <v>0</v>
      </c>
      <c r="BT49" s="31">
        <f t="shared" si="51"/>
        <v>0</v>
      </c>
      <c r="BU49" s="33"/>
      <c r="BV49" s="37">
        <f t="shared" si="10"/>
        <v>-1</v>
      </c>
      <c r="BW49" s="36">
        <f>[1]RB!$N49</f>
        <v>11625</v>
      </c>
      <c r="BX49" s="31">
        <f t="shared" si="52"/>
        <v>11292.525</v>
      </c>
      <c r="BY49" s="18">
        <f t="shared" si="53"/>
        <v>332.47500000000002</v>
      </c>
      <c r="BZ49" s="31">
        <f t="shared" si="54"/>
        <v>0</v>
      </c>
      <c r="CA49" s="31">
        <f t="shared" si="55"/>
        <v>0</v>
      </c>
      <c r="CB49" s="33"/>
      <c r="CC49" s="37">
        <f t="shared" si="11"/>
        <v>-1</v>
      </c>
      <c r="CD49" s="36">
        <f>[1]RB!$O49</f>
        <v>11625</v>
      </c>
      <c r="CE49" s="31">
        <f t="shared" si="56"/>
        <v>11292.525</v>
      </c>
      <c r="CF49" s="18">
        <f t="shared" si="57"/>
        <v>332.47500000000002</v>
      </c>
      <c r="CG49" s="31">
        <f t="shared" si="58"/>
        <v>0</v>
      </c>
      <c r="CH49" s="31">
        <f t="shared" si="59"/>
        <v>0</v>
      </c>
      <c r="CI49" s="33"/>
      <c r="CJ49" s="37">
        <f t="shared" si="12"/>
        <v>-1</v>
      </c>
      <c r="CK49" s="36">
        <f>[1]RB!$P49</f>
        <v>11625</v>
      </c>
      <c r="CL49" s="31">
        <f t="shared" si="60"/>
        <v>11292.525</v>
      </c>
      <c r="CM49" s="18">
        <f t="shared" si="61"/>
        <v>332.47500000000002</v>
      </c>
      <c r="CN49" s="31">
        <f t="shared" si="62"/>
        <v>0</v>
      </c>
      <c r="CO49" s="31">
        <f t="shared" si="63"/>
        <v>0</v>
      </c>
      <c r="CP49" s="33"/>
      <c r="CQ49" s="37">
        <f t="shared" si="13"/>
        <v>-1</v>
      </c>
      <c r="CR49" s="180"/>
      <c r="CS49" s="27">
        <f>R77</f>
        <v>0</v>
      </c>
      <c r="CT49" s="27">
        <f>Y77</f>
        <v>0</v>
      </c>
      <c r="CU49" s="27">
        <f>AF77</f>
        <v>0</v>
      </c>
      <c r="CV49" s="27">
        <f>AM77</f>
        <v>0</v>
      </c>
      <c r="CW49" s="27">
        <f>AT77</f>
        <v>0</v>
      </c>
      <c r="CX49" s="27">
        <f>BA80</f>
        <v>0</v>
      </c>
      <c r="CY49" s="27">
        <f>BH80</f>
        <v>0</v>
      </c>
      <c r="CZ49" s="27">
        <f>BO80</f>
        <v>0</v>
      </c>
      <c r="DA49" s="27">
        <f>BV77</f>
        <v>0</v>
      </c>
      <c r="DB49" s="27">
        <f>CC77</f>
        <v>0</v>
      </c>
      <c r="DC49" s="27">
        <f>CJ77</f>
        <v>0</v>
      </c>
      <c r="DD49" s="27">
        <f>CQ77</f>
        <v>0</v>
      </c>
    </row>
    <row r="50" spans="1:108" s="26" customFormat="1" ht="16" customHeight="1" thickBot="1" x14ac:dyDescent="0.25">
      <c r="A50" s="181" t="s">
        <v>74</v>
      </c>
      <c r="B50" s="30">
        <f t="shared" si="65"/>
        <v>9455.2000000000007</v>
      </c>
      <c r="C50" s="31">
        <f t="shared" si="65"/>
        <v>9184.7812800000011</v>
      </c>
      <c r="D50" s="32">
        <f t="shared" si="65"/>
        <v>270.41872000000006</v>
      </c>
      <c r="E50" s="30">
        <f t="shared" si="67"/>
        <v>3151.7333333333336</v>
      </c>
      <c r="F50" s="33">
        <f t="shared" si="67"/>
        <v>3061.5937600000002</v>
      </c>
      <c r="G50" s="34">
        <f t="shared" si="67"/>
        <v>90.139573333333345</v>
      </c>
      <c r="H50" s="31">
        <f t="shared" si="66"/>
        <v>5420.110866</v>
      </c>
      <c r="I50" s="33">
        <f t="shared" si="66"/>
        <v>159.57913400000001</v>
      </c>
      <c r="J50" s="33">
        <f t="shared" si="66"/>
        <v>5579.6900000000005</v>
      </c>
      <c r="K50" s="37">
        <f t="shared" si="15"/>
        <v>0.77035599458499027</v>
      </c>
      <c r="L50" s="36">
        <f>[1]RB!$E50</f>
        <v>787.93333333333339</v>
      </c>
      <c r="M50" s="28">
        <f t="shared" si="16"/>
        <v>765.39844000000005</v>
      </c>
      <c r="N50" s="28">
        <f t="shared" si="17"/>
        <v>22.534893333333336</v>
      </c>
      <c r="O50" s="28">
        <f t="shared" si="18"/>
        <v>715.58181000000002</v>
      </c>
      <c r="P50" s="28">
        <f t="shared" si="19"/>
        <v>21.068190000000001</v>
      </c>
      <c r="Q50" s="28">
        <f>736.65</f>
        <v>736.65</v>
      </c>
      <c r="R50" s="28">
        <f t="shared" si="2"/>
        <v>-6.5085878669938313E-2</v>
      </c>
      <c r="S50" s="28">
        <f>[1]RB!$F50</f>
        <v>787.93333333333339</v>
      </c>
      <c r="T50" s="28">
        <f t="shared" si="20"/>
        <v>765.39844000000005</v>
      </c>
      <c r="U50" s="28">
        <f t="shared" si="21"/>
        <v>22.534893333333336</v>
      </c>
      <c r="V50" s="28">
        <f t="shared" si="22"/>
        <v>828.71105399999999</v>
      </c>
      <c r="W50" s="28">
        <f t="shared" si="23"/>
        <v>24.398946000000002</v>
      </c>
      <c r="X50" s="28">
        <f>853.11</f>
        <v>853.11</v>
      </c>
      <c r="Y50" s="28">
        <f t="shared" si="3"/>
        <v>8.2718504103562074E-2</v>
      </c>
      <c r="Z50" s="28">
        <f>[1]RB!$G50</f>
        <v>787.93333333333339</v>
      </c>
      <c r="AA50" s="28">
        <f t="shared" si="24"/>
        <v>765.39844000000005</v>
      </c>
      <c r="AB50" s="28">
        <f t="shared" si="25"/>
        <v>22.534893333333336</v>
      </c>
      <c r="AC50" s="28">
        <f t="shared" si="26"/>
        <v>2476.0500299999999</v>
      </c>
      <c r="AD50" s="28">
        <f t="shared" si="27"/>
        <v>72.899969999999996</v>
      </c>
      <c r="AE50" s="28">
        <f>2548.95</f>
        <v>2548.9499999999998</v>
      </c>
      <c r="AF50" s="28">
        <f t="shared" si="4"/>
        <v>2.2349818089516873</v>
      </c>
      <c r="AG50" s="28">
        <f>[1]RB!$H50</f>
        <v>787.93333333333339</v>
      </c>
      <c r="AH50" s="28">
        <f t="shared" si="28"/>
        <v>765.39844000000005</v>
      </c>
      <c r="AI50" s="28">
        <f t="shared" si="29"/>
        <v>22.534893333333336</v>
      </c>
      <c r="AJ50" s="28">
        <f t="shared" si="30"/>
        <v>676.754952</v>
      </c>
      <c r="AK50" s="28">
        <f t="shared" si="31"/>
        <v>19.925048</v>
      </c>
      <c r="AL50" s="28">
        <f>696.68</f>
        <v>696.68</v>
      </c>
      <c r="AM50" s="28">
        <f t="shared" si="5"/>
        <v>-0.11581352060242001</v>
      </c>
      <c r="AN50" s="28">
        <f>[1]RB!$I50</f>
        <v>787.93333333333339</v>
      </c>
      <c r="AO50" s="28">
        <f t="shared" si="32"/>
        <v>765.39844000000005</v>
      </c>
      <c r="AP50" s="28">
        <f t="shared" si="33"/>
        <v>22.534893333333336</v>
      </c>
      <c r="AQ50" s="28">
        <f t="shared" si="34"/>
        <v>580.73206200000004</v>
      </c>
      <c r="AR50" s="28">
        <f t="shared" si="35"/>
        <v>17.097938000000003</v>
      </c>
      <c r="AS50" s="150">
        <v>597.83000000000004</v>
      </c>
      <c r="AT50" s="37">
        <f t="shared" si="6"/>
        <v>-0.24126829681022088</v>
      </c>
      <c r="AU50" s="36">
        <f>[1]RB!$J50</f>
        <v>787.93333333333339</v>
      </c>
      <c r="AV50" s="28">
        <f t="shared" si="36"/>
        <v>765.39844000000005</v>
      </c>
      <c r="AW50" s="18">
        <f t="shared" si="37"/>
        <v>22.534893333333336</v>
      </c>
      <c r="AX50" s="28">
        <f t="shared" si="38"/>
        <v>142.28095800000003</v>
      </c>
      <c r="AY50" s="28">
        <f t="shared" si="39"/>
        <v>4.1890420000000006</v>
      </c>
      <c r="AZ50" s="152">
        <v>146.47000000000003</v>
      </c>
      <c r="BA50" s="37">
        <f t="shared" si="7"/>
        <v>-0.81410863863270999</v>
      </c>
      <c r="BB50" s="36">
        <f>[1]RB!$K50</f>
        <v>787.93333333333339</v>
      </c>
      <c r="BC50" s="28">
        <f t="shared" si="40"/>
        <v>765.39844000000005</v>
      </c>
      <c r="BD50" s="18">
        <f t="shared" si="41"/>
        <v>22.534893333333336</v>
      </c>
      <c r="BE50" s="28">
        <f t="shared" si="42"/>
        <v>0</v>
      </c>
      <c r="BF50" s="28">
        <f t="shared" si="43"/>
        <v>0</v>
      </c>
      <c r="BG50" s="152"/>
      <c r="BH50" s="37">
        <f t="shared" si="8"/>
        <v>-1</v>
      </c>
      <c r="BI50" s="36">
        <f>[1]RB!$L50</f>
        <v>787.93333333333339</v>
      </c>
      <c r="BJ50" s="28">
        <f t="shared" si="44"/>
        <v>765.39844000000005</v>
      </c>
      <c r="BK50" s="18">
        <f t="shared" si="45"/>
        <v>22.534893333333336</v>
      </c>
      <c r="BL50" s="28">
        <f t="shared" si="46"/>
        <v>0</v>
      </c>
      <c r="BM50" s="28">
        <f t="shared" si="47"/>
        <v>0</v>
      </c>
      <c r="BN50" s="150"/>
      <c r="BO50" s="37">
        <f t="shared" si="9"/>
        <v>-1</v>
      </c>
      <c r="BP50" s="36">
        <f>[1]RB!$M50</f>
        <v>787.93333333333339</v>
      </c>
      <c r="BQ50" s="28">
        <f t="shared" si="48"/>
        <v>765.39844000000005</v>
      </c>
      <c r="BR50" s="18">
        <f t="shared" si="49"/>
        <v>22.534893333333336</v>
      </c>
      <c r="BS50" s="28">
        <f t="shared" si="50"/>
        <v>0</v>
      </c>
      <c r="BT50" s="28">
        <f t="shared" si="51"/>
        <v>0</v>
      </c>
      <c r="BU50" s="150"/>
      <c r="BV50" s="37">
        <f t="shared" si="10"/>
        <v>-1</v>
      </c>
      <c r="BW50" s="36">
        <f>[1]RB!$N50</f>
        <v>787.93333333333339</v>
      </c>
      <c r="BX50" s="28">
        <f t="shared" si="52"/>
        <v>765.39844000000005</v>
      </c>
      <c r="BY50" s="18">
        <f t="shared" si="53"/>
        <v>22.534893333333336</v>
      </c>
      <c r="BZ50" s="28">
        <f t="shared" si="54"/>
        <v>0</v>
      </c>
      <c r="CA50" s="28">
        <f t="shared" si="55"/>
        <v>0</v>
      </c>
      <c r="CB50" s="150"/>
      <c r="CC50" s="37">
        <f t="shared" si="11"/>
        <v>-1</v>
      </c>
      <c r="CD50" s="36">
        <f>[1]RB!$O50</f>
        <v>787.93333333333339</v>
      </c>
      <c r="CE50" s="28">
        <f t="shared" si="56"/>
        <v>765.39844000000005</v>
      </c>
      <c r="CF50" s="18">
        <f t="shared" si="57"/>
        <v>22.534893333333336</v>
      </c>
      <c r="CG50" s="28">
        <f t="shared" si="58"/>
        <v>0</v>
      </c>
      <c r="CH50" s="28">
        <f t="shared" si="59"/>
        <v>0</v>
      </c>
      <c r="CI50" s="150"/>
      <c r="CJ50" s="37">
        <f t="shared" si="12"/>
        <v>-1</v>
      </c>
      <c r="CK50" s="36">
        <f>[1]RB!$P50</f>
        <v>787.93333333333339</v>
      </c>
      <c r="CL50" s="28">
        <f t="shared" si="60"/>
        <v>765.39844000000005</v>
      </c>
      <c r="CM50" s="18">
        <f t="shared" si="61"/>
        <v>22.534893333333336</v>
      </c>
      <c r="CN50" s="28">
        <f t="shared" si="62"/>
        <v>0</v>
      </c>
      <c r="CO50" s="28">
        <f t="shared" si="63"/>
        <v>0</v>
      </c>
      <c r="CP50" s="150"/>
      <c r="CQ50" s="37">
        <f t="shared" si="13"/>
        <v>-1</v>
      </c>
      <c r="CR50" s="180"/>
      <c r="CS50" s="27">
        <v>2605.2600000000002</v>
      </c>
      <c r="CT50" s="27">
        <f>972.08</f>
        <v>972.08</v>
      </c>
      <c r="CU50" s="27">
        <f>1012.08</f>
        <v>1012.08</v>
      </c>
      <c r="CV50" s="27"/>
      <c r="CW50" s="27"/>
      <c r="CX50" s="27"/>
      <c r="CY50" s="27"/>
      <c r="CZ50" s="27"/>
      <c r="DA50" s="27"/>
      <c r="DB50" s="27"/>
      <c r="DC50" s="27"/>
      <c r="DD50" s="27"/>
    </row>
    <row r="51" spans="1:108" s="26" customFormat="1" ht="16" customHeight="1" thickBot="1" x14ac:dyDescent="0.25">
      <c r="A51" s="181" t="s">
        <v>75</v>
      </c>
      <c r="B51" s="30">
        <f t="shared" si="65"/>
        <v>7106.6531999999979</v>
      </c>
      <c r="C51" s="31">
        <f t="shared" si="65"/>
        <v>6903.4029184799983</v>
      </c>
      <c r="D51" s="32">
        <f t="shared" si="65"/>
        <v>203.25028151999996</v>
      </c>
      <c r="E51" s="30">
        <f t="shared" si="67"/>
        <v>2368.8843999999999</v>
      </c>
      <c r="F51" s="33">
        <f t="shared" si="67"/>
        <v>2301.1343061600001</v>
      </c>
      <c r="G51" s="34">
        <f t="shared" si="67"/>
        <v>67.750093840000005</v>
      </c>
      <c r="H51" s="31">
        <f t="shared" si="66"/>
        <v>3403.9118819999994</v>
      </c>
      <c r="I51" s="33">
        <f t="shared" si="66"/>
        <v>100.218118</v>
      </c>
      <c r="J51" s="33">
        <f t="shared" si="66"/>
        <v>3504.13</v>
      </c>
      <c r="K51" s="37">
        <f t="shared" si="15"/>
        <v>0.47923216514913114</v>
      </c>
      <c r="L51" s="36">
        <f>[1]RB!$E51</f>
        <v>592.22109999999998</v>
      </c>
      <c r="M51" s="31">
        <f t="shared" si="16"/>
        <v>575.28357654000001</v>
      </c>
      <c r="N51" s="31">
        <f t="shared" si="17"/>
        <v>16.937523460000001</v>
      </c>
      <c r="O51" s="31">
        <f t="shared" si="18"/>
        <v>569.78438399999993</v>
      </c>
      <c r="P51" s="31">
        <f t="shared" si="19"/>
        <v>16.775615999999999</v>
      </c>
      <c r="Q51" s="31">
        <f>586.56</f>
        <v>586.55999999999995</v>
      </c>
      <c r="R51" s="31">
        <f t="shared" si="2"/>
        <v>-9.5590987892867352E-3</v>
      </c>
      <c r="S51" s="31">
        <f>[1]RB!$F51</f>
        <v>592.22109999999998</v>
      </c>
      <c r="T51" s="31">
        <f t="shared" si="20"/>
        <v>575.28357654000001</v>
      </c>
      <c r="U51" s="31">
        <f t="shared" si="21"/>
        <v>16.937523460000001</v>
      </c>
      <c r="V51" s="31">
        <f t="shared" si="22"/>
        <v>554.94139199999995</v>
      </c>
      <c r="W51" s="31">
        <f t="shared" si="23"/>
        <v>16.338608000000001</v>
      </c>
      <c r="X51" s="31">
        <f>571.28</f>
        <v>571.28</v>
      </c>
      <c r="Y51" s="31">
        <f t="shared" si="3"/>
        <v>-3.5360273384382968E-2</v>
      </c>
      <c r="Z51" s="31">
        <f>[1]RB!$G51</f>
        <v>592.22109999999998</v>
      </c>
      <c r="AA51" s="31">
        <f t="shared" si="24"/>
        <v>575.28357654000001</v>
      </c>
      <c r="AB51" s="31">
        <f t="shared" si="25"/>
        <v>16.937523460000001</v>
      </c>
      <c r="AC51" s="31">
        <f t="shared" si="26"/>
        <v>516.15339000000006</v>
      </c>
      <c r="AD51" s="31">
        <f t="shared" si="27"/>
        <v>15.196610000000002</v>
      </c>
      <c r="AE51" s="31">
        <f>531.35</f>
        <v>531.35</v>
      </c>
      <c r="AF51" s="31">
        <f t="shared" si="4"/>
        <v>-0.10278441615808687</v>
      </c>
      <c r="AG51" s="31">
        <f>[1]RB!$H51</f>
        <v>592.22109999999998</v>
      </c>
      <c r="AH51" s="31">
        <f t="shared" si="28"/>
        <v>575.28357654000001</v>
      </c>
      <c r="AI51" s="31">
        <f t="shared" si="29"/>
        <v>16.937523460000001</v>
      </c>
      <c r="AJ51" s="31">
        <f t="shared" si="30"/>
        <v>688.34375399999999</v>
      </c>
      <c r="AK51" s="31">
        <f t="shared" si="31"/>
        <v>20.266246000000002</v>
      </c>
      <c r="AL51" s="31">
        <f>708.61</f>
        <v>708.61</v>
      </c>
      <c r="AM51" s="31">
        <f t="shared" si="5"/>
        <v>0.19652947184759206</v>
      </c>
      <c r="AN51" s="31">
        <f>[1]RB!$I51</f>
        <v>592.22109999999998</v>
      </c>
      <c r="AO51" s="31">
        <f t="shared" si="32"/>
        <v>575.28357654000001</v>
      </c>
      <c r="AP51" s="31">
        <f t="shared" si="33"/>
        <v>16.937523460000001</v>
      </c>
      <c r="AQ51" s="31">
        <f t="shared" si="34"/>
        <v>565.34508600000004</v>
      </c>
      <c r="AR51" s="31">
        <f t="shared" si="35"/>
        <v>16.644914</v>
      </c>
      <c r="AS51" s="45">
        <v>581.99</v>
      </c>
      <c r="AT51" s="37">
        <f t="shared" si="6"/>
        <v>-1.7275811348160253E-2</v>
      </c>
      <c r="AU51" s="36">
        <f>[1]RB!$J51</f>
        <v>592.22109999999998</v>
      </c>
      <c r="AV51" s="31">
        <f t="shared" si="36"/>
        <v>575.28357654000001</v>
      </c>
      <c r="AW51" s="18">
        <f t="shared" si="37"/>
        <v>16.937523460000001</v>
      </c>
      <c r="AX51" s="31">
        <f t="shared" si="38"/>
        <v>509.34387600000002</v>
      </c>
      <c r="AY51" s="31">
        <f t="shared" si="39"/>
        <v>14.996124000000002</v>
      </c>
      <c r="AZ51" s="48">
        <v>524.34</v>
      </c>
      <c r="BA51" s="37">
        <f t="shared" si="7"/>
        <v>-0.11462121157115135</v>
      </c>
      <c r="BB51" s="36">
        <f>[1]RB!$K51</f>
        <v>592.22109999999998</v>
      </c>
      <c r="BC51" s="31">
        <f t="shared" si="40"/>
        <v>575.28357654000001</v>
      </c>
      <c r="BD51" s="18">
        <f t="shared" si="41"/>
        <v>16.937523460000001</v>
      </c>
      <c r="BE51" s="31">
        <f t="shared" si="42"/>
        <v>0</v>
      </c>
      <c r="BF51" s="31">
        <f t="shared" si="43"/>
        <v>0</v>
      </c>
      <c r="BG51" s="48"/>
      <c r="BH51" s="37">
        <f t="shared" si="8"/>
        <v>-1</v>
      </c>
      <c r="BI51" s="36">
        <f>[1]RB!$L51</f>
        <v>592.22109999999998</v>
      </c>
      <c r="BJ51" s="31">
        <f t="shared" si="44"/>
        <v>575.28357654000001</v>
      </c>
      <c r="BK51" s="18">
        <f t="shared" si="45"/>
        <v>16.937523460000001</v>
      </c>
      <c r="BL51" s="31">
        <f t="shared" si="46"/>
        <v>0</v>
      </c>
      <c r="BM51" s="31">
        <f t="shared" si="47"/>
        <v>0</v>
      </c>
      <c r="BN51" s="45"/>
      <c r="BO51" s="37">
        <f t="shared" si="9"/>
        <v>-1</v>
      </c>
      <c r="BP51" s="36">
        <f>[1]RB!$M51</f>
        <v>592.22109999999998</v>
      </c>
      <c r="BQ51" s="31">
        <f t="shared" si="48"/>
        <v>575.28357654000001</v>
      </c>
      <c r="BR51" s="18">
        <f t="shared" si="49"/>
        <v>16.937523460000001</v>
      </c>
      <c r="BS51" s="31">
        <f t="shared" si="50"/>
        <v>0</v>
      </c>
      <c r="BT51" s="31">
        <f t="shared" si="51"/>
        <v>0</v>
      </c>
      <c r="BU51" s="45"/>
      <c r="BV51" s="37">
        <f t="shared" si="10"/>
        <v>-1</v>
      </c>
      <c r="BW51" s="36">
        <f>[1]RB!$N51</f>
        <v>592.22109999999998</v>
      </c>
      <c r="BX51" s="31">
        <f t="shared" si="52"/>
        <v>575.28357654000001</v>
      </c>
      <c r="BY51" s="18">
        <f t="shared" si="53"/>
        <v>16.937523460000001</v>
      </c>
      <c r="BZ51" s="31">
        <f t="shared" si="54"/>
        <v>0</v>
      </c>
      <c r="CA51" s="31">
        <f t="shared" si="55"/>
        <v>0</v>
      </c>
      <c r="CB51" s="45"/>
      <c r="CC51" s="37">
        <f t="shared" si="11"/>
        <v>-1</v>
      </c>
      <c r="CD51" s="36">
        <f>[1]RB!$O51</f>
        <v>592.22109999999998</v>
      </c>
      <c r="CE51" s="31">
        <f t="shared" si="56"/>
        <v>575.28357654000001</v>
      </c>
      <c r="CF51" s="18">
        <f t="shared" si="57"/>
        <v>16.937523460000001</v>
      </c>
      <c r="CG51" s="31">
        <f t="shared" si="58"/>
        <v>0</v>
      </c>
      <c r="CH51" s="31">
        <f t="shared" si="59"/>
        <v>0</v>
      </c>
      <c r="CI51" s="45"/>
      <c r="CJ51" s="37">
        <f t="shared" si="12"/>
        <v>-1</v>
      </c>
      <c r="CK51" s="36">
        <f>[1]RB!$P51</f>
        <v>592.22109999999998</v>
      </c>
      <c r="CL51" s="31">
        <f t="shared" si="60"/>
        <v>575.28357654000001</v>
      </c>
      <c r="CM51" s="18">
        <f t="shared" si="61"/>
        <v>16.937523460000001</v>
      </c>
      <c r="CN51" s="31">
        <f t="shared" si="62"/>
        <v>0</v>
      </c>
      <c r="CO51" s="31">
        <f t="shared" si="63"/>
        <v>0</v>
      </c>
      <c r="CP51" s="45"/>
      <c r="CQ51" s="37">
        <f t="shared" si="13"/>
        <v>-1</v>
      </c>
      <c r="CR51" s="180"/>
      <c r="CS51" s="27">
        <f>1178.9</f>
        <v>1178.9000000000001</v>
      </c>
      <c r="CT51" s="27">
        <v>677.64</v>
      </c>
      <c r="CU51" s="27">
        <f>824.85</f>
        <v>824.85</v>
      </c>
      <c r="CV51" s="27"/>
      <c r="CW51" s="27"/>
      <c r="CX51" s="27"/>
      <c r="CY51" s="27"/>
      <c r="CZ51" s="27"/>
      <c r="DA51" s="27"/>
      <c r="DB51" s="27"/>
      <c r="DC51" s="27"/>
      <c r="DD51" s="27"/>
    </row>
    <row r="52" spans="1:108" s="26" customFormat="1" ht="16" customHeight="1" thickBot="1" x14ac:dyDescent="0.25">
      <c r="A52" s="181" t="s">
        <v>76</v>
      </c>
      <c r="B52" s="30">
        <f t="shared" si="65"/>
        <v>30000</v>
      </c>
      <c r="C52" s="31">
        <f t="shared" si="65"/>
        <v>29142</v>
      </c>
      <c r="D52" s="32">
        <f t="shared" si="65"/>
        <v>858</v>
      </c>
      <c r="E52" s="30">
        <f t="shared" si="67"/>
        <v>10000</v>
      </c>
      <c r="F52" s="33">
        <f t="shared" si="67"/>
        <v>9714</v>
      </c>
      <c r="G52" s="34">
        <f t="shared" si="67"/>
        <v>286</v>
      </c>
      <c r="H52" s="31">
        <f t="shared" si="66"/>
        <v>4671.3751739999998</v>
      </c>
      <c r="I52" s="33">
        <f t="shared" si="66"/>
        <v>137.53482600000001</v>
      </c>
      <c r="J52" s="33">
        <f t="shared" si="66"/>
        <v>4808.91</v>
      </c>
      <c r="K52" s="37">
        <f t="shared" si="15"/>
        <v>-0.51910900000000004</v>
      </c>
      <c r="L52" s="36">
        <f>[1]RB!$E52</f>
        <v>2500</v>
      </c>
      <c r="M52" s="31">
        <f t="shared" si="16"/>
        <v>2428.5</v>
      </c>
      <c r="N52" s="31">
        <f t="shared" si="17"/>
        <v>71.5</v>
      </c>
      <c r="O52" s="31">
        <f t="shared" si="18"/>
        <v>2602.0017539999999</v>
      </c>
      <c r="P52" s="31">
        <f t="shared" si="19"/>
        <v>76.608246000000008</v>
      </c>
      <c r="Q52" s="31">
        <f>2678.61</f>
        <v>2678.61</v>
      </c>
      <c r="R52" s="31">
        <f t="shared" si="2"/>
        <v>7.1444000000000063E-2</v>
      </c>
      <c r="S52" s="31">
        <f>[1]RB!$F52</f>
        <v>2500</v>
      </c>
      <c r="T52" s="31">
        <f t="shared" si="20"/>
        <v>2428.5</v>
      </c>
      <c r="U52" s="31">
        <f t="shared" si="21"/>
        <v>71.5</v>
      </c>
      <c r="V52" s="31">
        <f t="shared" si="22"/>
        <v>951.97199999999998</v>
      </c>
      <c r="W52" s="31">
        <f t="shared" si="23"/>
        <v>28.027999999999999</v>
      </c>
      <c r="X52" s="31">
        <f>980</f>
        <v>980</v>
      </c>
      <c r="Y52" s="31">
        <f t="shared" si="3"/>
        <v>-0.60799999999999998</v>
      </c>
      <c r="Z52" s="31">
        <f>[1]RB!$G52</f>
        <v>2500</v>
      </c>
      <c r="AA52" s="31">
        <f t="shared" si="24"/>
        <v>2428.5</v>
      </c>
      <c r="AB52" s="31">
        <f t="shared" si="25"/>
        <v>71.5</v>
      </c>
      <c r="AC52" s="31">
        <f t="shared" si="26"/>
        <v>0</v>
      </c>
      <c r="AD52" s="31">
        <f t="shared" si="27"/>
        <v>0</v>
      </c>
      <c r="AE52" s="31"/>
      <c r="AF52" s="31">
        <f t="shared" si="4"/>
        <v>-1</v>
      </c>
      <c r="AG52" s="31">
        <f>[1]RB!$H52</f>
        <v>2500</v>
      </c>
      <c r="AH52" s="31">
        <f t="shared" si="28"/>
        <v>2428.5</v>
      </c>
      <c r="AI52" s="31">
        <f t="shared" si="29"/>
        <v>71.5</v>
      </c>
      <c r="AJ52" s="31">
        <f t="shared" si="30"/>
        <v>0</v>
      </c>
      <c r="AK52" s="31">
        <f t="shared" si="31"/>
        <v>0</v>
      </c>
      <c r="AL52" s="31"/>
      <c r="AM52" s="31">
        <f t="shared" si="5"/>
        <v>-1</v>
      </c>
      <c r="AN52" s="31">
        <f>[1]RB!$I52</f>
        <v>2500</v>
      </c>
      <c r="AO52" s="31">
        <f t="shared" si="32"/>
        <v>2428.5</v>
      </c>
      <c r="AP52" s="31">
        <f t="shared" si="33"/>
        <v>71.5</v>
      </c>
      <c r="AQ52" s="31">
        <f t="shared" si="34"/>
        <v>341.93279999999999</v>
      </c>
      <c r="AR52" s="31">
        <f t="shared" si="35"/>
        <v>10.0672</v>
      </c>
      <c r="AS52" s="33">
        <v>352</v>
      </c>
      <c r="AT52" s="37">
        <f t="shared" si="6"/>
        <v>-0.85919999999999996</v>
      </c>
      <c r="AU52" s="36">
        <f>[1]RB!$J52</f>
        <v>2500</v>
      </c>
      <c r="AV52" s="31">
        <f t="shared" si="36"/>
        <v>2428.5</v>
      </c>
      <c r="AW52" s="18">
        <f t="shared" si="37"/>
        <v>71.5</v>
      </c>
      <c r="AX52" s="31">
        <f t="shared" si="38"/>
        <v>775.46861999999999</v>
      </c>
      <c r="AY52" s="31">
        <f t="shared" si="39"/>
        <v>22.831379999999999</v>
      </c>
      <c r="AZ52" s="27">
        <v>798.3</v>
      </c>
      <c r="BA52" s="37">
        <f t="shared" si="7"/>
        <v>-0.68067999999999995</v>
      </c>
      <c r="BB52" s="36">
        <f>[1]RB!$K52</f>
        <v>2500</v>
      </c>
      <c r="BC52" s="31">
        <f t="shared" si="40"/>
        <v>2428.5</v>
      </c>
      <c r="BD52" s="18">
        <f t="shared" si="41"/>
        <v>71.5</v>
      </c>
      <c r="BE52" s="31">
        <f t="shared" si="42"/>
        <v>0</v>
      </c>
      <c r="BF52" s="31">
        <f t="shared" si="43"/>
        <v>0</v>
      </c>
      <c r="BG52" s="27"/>
      <c r="BH52" s="37">
        <f t="shared" si="8"/>
        <v>-1</v>
      </c>
      <c r="BI52" s="36">
        <f>[1]RB!$L52</f>
        <v>2500</v>
      </c>
      <c r="BJ52" s="31">
        <f t="shared" si="44"/>
        <v>2428.5</v>
      </c>
      <c r="BK52" s="18">
        <f t="shared" si="45"/>
        <v>71.5</v>
      </c>
      <c r="BL52" s="31">
        <f t="shared" si="46"/>
        <v>0</v>
      </c>
      <c r="BM52" s="31">
        <f t="shared" si="47"/>
        <v>0</v>
      </c>
      <c r="BN52" s="33"/>
      <c r="BO52" s="37">
        <f t="shared" si="9"/>
        <v>-1</v>
      </c>
      <c r="BP52" s="36">
        <f>[1]RB!$M52</f>
        <v>2500</v>
      </c>
      <c r="BQ52" s="31">
        <f t="shared" si="48"/>
        <v>2428.5</v>
      </c>
      <c r="BR52" s="18">
        <f t="shared" si="49"/>
        <v>71.5</v>
      </c>
      <c r="BS52" s="31">
        <f t="shared" si="50"/>
        <v>0</v>
      </c>
      <c r="BT52" s="31">
        <f t="shared" si="51"/>
        <v>0</v>
      </c>
      <c r="BU52" s="33"/>
      <c r="BV52" s="37">
        <f t="shared" si="10"/>
        <v>-1</v>
      </c>
      <c r="BW52" s="36">
        <f>[1]RB!$N52</f>
        <v>2500</v>
      </c>
      <c r="BX52" s="31">
        <f t="shared" si="52"/>
        <v>2428.5</v>
      </c>
      <c r="BY52" s="18">
        <f t="shared" si="53"/>
        <v>71.5</v>
      </c>
      <c r="BZ52" s="31">
        <f t="shared" si="54"/>
        <v>0</v>
      </c>
      <c r="CA52" s="31">
        <f t="shared" si="55"/>
        <v>0</v>
      </c>
      <c r="CB52" s="33"/>
      <c r="CC52" s="37">
        <f t="shared" si="11"/>
        <v>-1</v>
      </c>
      <c r="CD52" s="36">
        <f>[1]RB!$O52</f>
        <v>2500</v>
      </c>
      <c r="CE52" s="31">
        <f t="shared" si="56"/>
        <v>2428.5</v>
      </c>
      <c r="CF52" s="18">
        <f t="shared" si="57"/>
        <v>71.5</v>
      </c>
      <c r="CG52" s="31">
        <f t="shared" si="58"/>
        <v>0</v>
      </c>
      <c r="CH52" s="31">
        <f t="shared" si="59"/>
        <v>0</v>
      </c>
      <c r="CI52" s="33"/>
      <c r="CJ52" s="37">
        <f t="shared" si="12"/>
        <v>-1</v>
      </c>
      <c r="CK52" s="36">
        <f>[1]RB!$P52</f>
        <v>2500</v>
      </c>
      <c r="CL52" s="31">
        <f t="shared" si="60"/>
        <v>2428.5</v>
      </c>
      <c r="CM52" s="18">
        <f t="shared" si="61"/>
        <v>71.5</v>
      </c>
      <c r="CN52" s="31">
        <f t="shared" si="62"/>
        <v>0</v>
      </c>
      <c r="CO52" s="31">
        <f t="shared" si="63"/>
        <v>0</v>
      </c>
      <c r="CP52" s="33"/>
      <c r="CQ52" s="37">
        <f t="shared" si="13"/>
        <v>-1</v>
      </c>
      <c r="CR52" s="180"/>
      <c r="CS52" s="27">
        <f>9453.3</f>
        <v>9453.2999999999993</v>
      </c>
      <c r="CT52" s="27">
        <f>12686.82</f>
        <v>12686.82</v>
      </c>
      <c r="CU52" s="27">
        <v>6490.53</v>
      </c>
      <c r="CV52" s="27"/>
      <c r="CW52" s="27"/>
      <c r="CX52" s="27"/>
      <c r="CY52" s="27"/>
      <c r="CZ52" s="27"/>
      <c r="DA52" s="27"/>
      <c r="DB52" s="27"/>
      <c r="DC52" s="27"/>
      <c r="DD52" s="27"/>
    </row>
    <row r="53" spans="1:108" s="26" customFormat="1" ht="16" customHeight="1" thickBot="1" x14ac:dyDescent="0.25">
      <c r="A53" s="182" t="s">
        <v>77</v>
      </c>
      <c r="B53" s="30">
        <f t="shared" si="65"/>
        <v>5000</v>
      </c>
      <c r="C53" s="31">
        <f t="shared" si="65"/>
        <v>4857</v>
      </c>
      <c r="D53" s="32">
        <f t="shared" si="65"/>
        <v>143.00000000000003</v>
      </c>
      <c r="E53" s="30">
        <f t="shared" si="67"/>
        <v>1666.6666666666667</v>
      </c>
      <c r="F53" s="33">
        <f t="shared" si="67"/>
        <v>1619</v>
      </c>
      <c r="G53" s="34">
        <f t="shared" si="67"/>
        <v>47.666666666666671</v>
      </c>
      <c r="H53" s="31">
        <f t="shared" si="66"/>
        <v>301.22142599999995</v>
      </c>
      <c r="I53" s="33">
        <f t="shared" si="66"/>
        <v>8.8685739999999988</v>
      </c>
      <c r="J53" s="33">
        <f t="shared" si="66"/>
        <v>310.08999999999997</v>
      </c>
      <c r="K53" s="37">
        <f t="shared" si="15"/>
        <v>-0.81394600000000006</v>
      </c>
      <c r="L53" s="36">
        <f>[1]RB!$E53</f>
        <v>416.66666666666669</v>
      </c>
      <c r="M53" s="31">
        <f t="shared" si="16"/>
        <v>404.75</v>
      </c>
      <c r="N53" s="31">
        <f t="shared" si="17"/>
        <v>11.916666666666668</v>
      </c>
      <c r="O53" s="31">
        <f t="shared" si="18"/>
        <v>0</v>
      </c>
      <c r="P53" s="31">
        <f t="shared" si="19"/>
        <v>0</v>
      </c>
      <c r="Q53" s="31"/>
      <c r="R53" s="31">
        <f t="shared" si="2"/>
        <v>-1</v>
      </c>
      <c r="S53" s="31">
        <f>[1]RB!$F53</f>
        <v>416.66666666666669</v>
      </c>
      <c r="T53" s="31">
        <f t="shared" si="20"/>
        <v>404.75</v>
      </c>
      <c r="U53" s="31">
        <f t="shared" si="21"/>
        <v>11.916666666666668</v>
      </c>
      <c r="V53" s="31">
        <f t="shared" si="22"/>
        <v>0</v>
      </c>
      <c r="W53" s="31">
        <f t="shared" si="23"/>
        <v>0</v>
      </c>
      <c r="X53" s="31"/>
      <c r="Y53" s="31">
        <f t="shared" si="3"/>
        <v>-1</v>
      </c>
      <c r="Z53" s="31">
        <f>[1]RB!$G53</f>
        <v>416.66666666666669</v>
      </c>
      <c r="AA53" s="31">
        <f t="shared" si="24"/>
        <v>404.75</v>
      </c>
      <c r="AB53" s="31">
        <f t="shared" si="25"/>
        <v>11.916666666666668</v>
      </c>
      <c r="AC53" s="31">
        <f t="shared" si="26"/>
        <v>301.22142599999995</v>
      </c>
      <c r="AD53" s="31">
        <f t="shared" si="27"/>
        <v>8.8685739999999988</v>
      </c>
      <c r="AE53" s="31">
        <f>310.09</f>
        <v>310.08999999999997</v>
      </c>
      <c r="AF53" s="31">
        <f t="shared" si="4"/>
        <v>-0.25578400000000012</v>
      </c>
      <c r="AG53" s="31">
        <f>[1]RB!$H53</f>
        <v>416.66666666666669</v>
      </c>
      <c r="AH53" s="31">
        <f t="shared" si="28"/>
        <v>404.75</v>
      </c>
      <c r="AI53" s="31">
        <f t="shared" si="29"/>
        <v>11.916666666666668</v>
      </c>
      <c r="AJ53" s="31">
        <f t="shared" si="30"/>
        <v>0</v>
      </c>
      <c r="AK53" s="31">
        <f t="shared" si="31"/>
        <v>0</v>
      </c>
      <c r="AL53" s="31"/>
      <c r="AM53" s="31">
        <f t="shared" si="5"/>
        <v>-1</v>
      </c>
      <c r="AN53" s="31">
        <f>[1]RB!$I53</f>
        <v>416.66666666666669</v>
      </c>
      <c r="AO53" s="31">
        <f t="shared" si="32"/>
        <v>404.75</v>
      </c>
      <c r="AP53" s="31">
        <f t="shared" si="33"/>
        <v>11.916666666666668</v>
      </c>
      <c r="AQ53" s="31">
        <f t="shared" si="34"/>
        <v>0</v>
      </c>
      <c r="AR53" s="31">
        <f t="shared" si="35"/>
        <v>0</v>
      </c>
      <c r="AS53" s="33"/>
      <c r="AT53" s="37">
        <f t="shared" si="6"/>
        <v>-1</v>
      </c>
      <c r="AU53" s="36">
        <f>[1]RB!$J53</f>
        <v>416.66666666666669</v>
      </c>
      <c r="AV53" s="31">
        <f t="shared" si="36"/>
        <v>404.75</v>
      </c>
      <c r="AW53" s="18">
        <f t="shared" si="37"/>
        <v>11.916666666666668</v>
      </c>
      <c r="AX53" s="31">
        <f t="shared" si="38"/>
        <v>0</v>
      </c>
      <c r="AY53" s="31">
        <f t="shared" si="39"/>
        <v>0</v>
      </c>
      <c r="AZ53" s="27"/>
      <c r="BA53" s="37">
        <f t="shared" si="7"/>
        <v>-1</v>
      </c>
      <c r="BB53" s="36">
        <f>[1]RB!$K53</f>
        <v>416.66666666666669</v>
      </c>
      <c r="BC53" s="31">
        <f t="shared" si="40"/>
        <v>404.75</v>
      </c>
      <c r="BD53" s="18">
        <f t="shared" si="41"/>
        <v>11.916666666666668</v>
      </c>
      <c r="BE53" s="31">
        <f t="shared" si="42"/>
        <v>0</v>
      </c>
      <c r="BF53" s="31">
        <f t="shared" si="43"/>
        <v>0</v>
      </c>
      <c r="BG53" s="27"/>
      <c r="BH53" s="37">
        <f t="shared" si="8"/>
        <v>-1</v>
      </c>
      <c r="BI53" s="36">
        <f>[1]RB!$L53</f>
        <v>416.66666666666669</v>
      </c>
      <c r="BJ53" s="31">
        <f t="shared" si="44"/>
        <v>404.75</v>
      </c>
      <c r="BK53" s="18">
        <f t="shared" si="45"/>
        <v>11.916666666666668</v>
      </c>
      <c r="BL53" s="31">
        <f t="shared" si="46"/>
        <v>0</v>
      </c>
      <c r="BM53" s="31">
        <f t="shared" si="47"/>
        <v>0</v>
      </c>
      <c r="BN53" s="33"/>
      <c r="BO53" s="37">
        <f t="shared" si="9"/>
        <v>-1</v>
      </c>
      <c r="BP53" s="36">
        <f>[1]RB!$M53</f>
        <v>416.66666666666669</v>
      </c>
      <c r="BQ53" s="31">
        <f t="shared" si="48"/>
        <v>404.75</v>
      </c>
      <c r="BR53" s="18">
        <f t="shared" si="49"/>
        <v>11.916666666666668</v>
      </c>
      <c r="BS53" s="31">
        <f t="shared" si="50"/>
        <v>0</v>
      </c>
      <c r="BT53" s="31">
        <f t="shared" si="51"/>
        <v>0</v>
      </c>
      <c r="BU53" s="33"/>
      <c r="BV53" s="37">
        <f t="shared" si="10"/>
        <v>-1</v>
      </c>
      <c r="BW53" s="36">
        <f>[1]RB!$N53</f>
        <v>416.66666666666669</v>
      </c>
      <c r="BX53" s="31">
        <f t="shared" si="52"/>
        <v>404.75</v>
      </c>
      <c r="BY53" s="18">
        <f t="shared" si="53"/>
        <v>11.916666666666668</v>
      </c>
      <c r="BZ53" s="31">
        <f t="shared" si="54"/>
        <v>0</v>
      </c>
      <c r="CA53" s="31">
        <f t="shared" si="55"/>
        <v>0</v>
      </c>
      <c r="CB53" s="33"/>
      <c r="CC53" s="37">
        <f t="shared" si="11"/>
        <v>-1</v>
      </c>
      <c r="CD53" s="36">
        <f>[1]RB!$O53</f>
        <v>416.66666666666669</v>
      </c>
      <c r="CE53" s="31">
        <f t="shared" si="56"/>
        <v>404.75</v>
      </c>
      <c r="CF53" s="18">
        <f t="shared" si="57"/>
        <v>11.916666666666668</v>
      </c>
      <c r="CG53" s="31">
        <f t="shared" si="58"/>
        <v>0</v>
      </c>
      <c r="CH53" s="31">
        <f t="shared" si="59"/>
        <v>0</v>
      </c>
      <c r="CI53" s="33"/>
      <c r="CJ53" s="37">
        <f t="shared" si="12"/>
        <v>-1</v>
      </c>
      <c r="CK53" s="36">
        <f>[1]RB!$P53</f>
        <v>416.66666666666669</v>
      </c>
      <c r="CL53" s="31">
        <f t="shared" si="60"/>
        <v>404.75</v>
      </c>
      <c r="CM53" s="18">
        <f t="shared" si="61"/>
        <v>11.916666666666668</v>
      </c>
      <c r="CN53" s="31">
        <f t="shared" si="62"/>
        <v>0</v>
      </c>
      <c r="CO53" s="31">
        <f t="shared" si="63"/>
        <v>0</v>
      </c>
      <c r="CP53" s="33"/>
      <c r="CQ53" s="37">
        <f t="shared" si="13"/>
        <v>-1</v>
      </c>
      <c r="CR53" s="180"/>
      <c r="CS53" s="27"/>
      <c r="CT53" s="27">
        <f>215</f>
        <v>215</v>
      </c>
      <c r="CU53" s="27"/>
      <c r="CV53" s="27"/>
      <c r="CW53" s="27"/>
      <c r="CX53" s="27"/>
      <c r="CY53" s="27"/>
      <c r="CZ53" s="27"/>
      <c r="DA53" s="27"/>
      <c r="DB53" s="27"/>
      <c r="DC53" s="27"/>
      <c r="DD53" s="27"/>
    </row>
    <row r="54" spans="1:108" s="26" customFormat="1" ht="16" customHeight="1" thickBot="1" x14ac:dyDescent="0.25">
      <c r="A54" s="183" t="s">
        <v>78</v>
      </c>
      <c r="B54" s="50">
        <f t="shared" si="65"/>
        <v>254149.99999999994</v>
      </c>
      <c r="C54" s="40">
        <f t="shared" si="65"/>
        <v>246881.30999999997</v>
      </c>
      <c r="D54" s="51">
        <f t="shared" si="65"/>
        <v>7268.6899999999987</v>
      </c>
      <c r="E54" s="52">
        <f t="shared" si="67"/>
        <v>145228.57142857142</v>
      </c>
      <c r="F54" s="53">
        <f t="shared" si="67"/>
        <v>141075.03428571427</v>
      </c>
      <c r="G54" s="54">
        <f t="shared" si="67"/>
        <v>4153.5371428571425</v>
      </c>
      <c r="H54" s="40">
        <f t="shared" si="66"/>
        <v>66994.699224000171</v>
      </c>
      <c r="I54" s="53">
        <f t="shared" si="66"/>
        <v>1972.4607760000049</v>
      </c>
      <c r="J54" s="53">
        <f t="shared" si="66"/>
        <v>68967.160000000178</v>
      </c>
      <c r="K54" s="60">
        <f t="shared" si="15"/>
        <v>-0.52511300413141715</v>
      </c>
      <c r="L54" s="87">
        <f>[1]RB!$E54</f>
        <v>36307.142857142855</v>
      </c>
      <c r="M54" s="40">
        <f t="shared" si="16"/>
        <v>35268.758571428567</v>
      </c>
      <c r="N54" s="40">
        <f t="shared" si="17"/>
        <v>1038.3842857142856</v>
      </c>
      <c r="O54" s="40">
        <f t="shared" si="18"/>
        <v>0</v>
      </c>
      <c r="P54" s="40">
        <f t="shared" si="19"/>
        <v>0</v>
      </c>
      <c r="Q54" s="40"/>
      <c r="R54" s="40">
        <f t="shared" si="2"/>
        <v>-1</v>
      </c>
      <c r="S54" s="40">
        <f>[1]RB!$F54</f>
        <v>36307.142857142855</v>
      </c>
      <c r="T54" s="40">
        <f t="shared" si="20"/>
        <v>35268.758571428567</v>
      </c>
      <c r="U54" s="40">
        <f t="shared" si="21"/>
        <v>1038.3842857142856</v>
      </c>
      <c r="V54" s="40">
        <f t="shared" si="22"/>
        <v>48340.594175999999</v>
      </c>
      <c r="W54" s="40">
        <f t="shared" si="23"/>
        <v>1423.2458239999999</v>
      </c>
      <c r="X54" s="40">
        <v>49763.839999999997</v>
      </c>
      <c r="Y54" s="40">
        <f t="shared" si="3"/>
        <v>0.37063497934290779</v>
      </c>
      <c r="Z54" s="40">
        <f>[1]RB!$G54</f>
        <v>36307.142857142855</v>
      </c>
      <c r="AA54" s="40">
        <f t="shared" si="24"/>
        <v>35268.758571428567</v>
      </c>
      <c r="AB54" s="40">
        <f t="shared" si="25"/>
        <v>1038.3842857142856</v>
      </c>
      <c r="AC54" s="40">
        <f t="shared" si="26"/>
        <v>13983.001866000172</v>
      </c>
      <c r="AD54" s="40">
        <f t="shared" si="27"/>
        <v>411.68813400000505</v>
      </c>
      <c r="AE54" s="40">
        <v>14394.690000000177</v>
      </c>
      <c r="AF54" s="40">
        <f t="shared" si="4"/>
        <v>-0.60353008066102198</v>
      </c>
      <c r="AG54" s="40">
        <f>[1]RB!$H54</f>
        <v>36307.142857142855</v>
      </c>
      <c r="AH54" s="40">
        <f t="shared" si="28"/>
        <v>35268.758571428567</v>
      </c>
      <c r="AI54" s="40">
        <f t="shared" si="29"/>
        <v>1038.3842857142856</v>
      </c>
      <c r="AJ54" s="40">
        <f t="shared" si="30"/>
        <v>4671.1031820000044</v>
      </c>
      <c r="AK54" s="40">
        <f t="shared" si="31"/>
        <v>137.52681800000013</v>
      </c>
      <c r="AL54" s="40">
        <v>4808.6300000000047</v>
      </c>
      <c r="AM54" s="40">
        <f t="shared" si="5"/>
        <v>-0.8675569152075544</v>
      </c>
      <c r="AN54" s="40">
        <f>[1]RB!$I54</f>
        <v>36307.142857142855</v>
      </c>
      <c r="AO54" s="40">
        <f t="shared" si="32"/>
        <v>35268.758571428567</v>
      </c>
      <c r="AP54" s="40">
        <f t="shared" si="33"/>
        <v>1038.3842857142856</v>
      </c>
      <c r="AQ54" s="40">
        <f t="shared" si="34"/>
        <v>0</v>
      </c>
      <c r="AR54" s="40">
        <f t="shared" si="35"/>
        <v>0</v>
      </c>
      <c r="AS54" s="58"/>
      <c r="AT54" s="60">
        <f t="shared" si="6"/>
        <v>-1</v>
      </c>
      <c r="AU54" s="56">
        <f>[1]RB!$J54</f>
        <v>36307.142857142855</v>
      </c>
      <c r="AV54" s="40">
        <f t="shared" si="36"/>
        <v>35268.758571428567</v>
      </c>
      <c r="AW54" s="18">
        <f t="shared" si="37"/>
        <v>1038.3842857142856</v>
      </c>
      <c r="AX54" s="40">
        <f t="shared" si="38"/>
        <v>0</v>
      </c>
      <c r="AY54" s="40">
        <f t="shared" si="39"/>
        <v>0</v>
      </c>
      <c r="AZ54" s="59"/>
      <c r="BA54" s="60">
        <f t="shared" si="7"/>
        <v>-1</v>
      </c>
      <c r="BB54" s="56">
        <f>[1]RB!$K54</f>
        <v>36307.142857142855</v>
      </c>
      <c r="BC54" s="40">
        <f t="shared" si="40"/>
        <v>35268.758571428567</v>
      </c>
      <c r="BD54" s="18">
        <f t="shared" si="41"/>
        <v>1038.3842857142856</v>
      </c>
      <c r="BE54" s="40">
        <f t="shared" si="42"/>
        <v>0</v>
      </c>
      <c r="BF54" s="40">
        <f t="shared" si="43"/>
        <v>0</v>
      </c>
      <c r="BG54" s="59"/>
      <c r="BH54" s="60">
        <f t="shared" si="8"/>
        <v>-1</v>
      </c>
      <c r="BI54" s="56">
        <f>[1]RB!$L54</f>
        <v>0</v>
      </c>
      <c r="BJ54" s="40">
        <f t="shared" si="44"/>
        <v>0</v>
      </c>
      <c r="BK54" s="18">
        <f t="shared" si="45"/>
        <v>0</v>
      </c>
      <c r="BL54" s="40">
        <f t="shared" si="46"/>
        <v>0</v>
      </c>
      <c r="BM54" s="40">
        <f t="shared" si="47"/>
        <v>0</v>
      </c>
      <c r="BN54" s="58"/>
      <c r="BO54" s="60" t="str">
        <f t="shared" si="9"/>
        <v/>
      </c>
      <c r="BP54" s="56">
        <f>[1]RB!$M54</f>
        <v>0</v>
      </c>
      <c r="BQ54" s="40">
        <f t="shared" si="48"/>
        <v>0</v>
      </c>
      <c r="BR54" s="18">
        <f t="shared" si="49"/>
        <v>0</v>
      </c>
      <c r="BS54" s="40">
        <f t="shared" si="50"/>
        <v>0</v>
      </c>
      <c r="BT54" s="40">
        <f t="shared" si="51"/>
        <v>0</v>
      </c>
      <c r="BU54" s="58"/>
      <c r="BV54" s="60" t="str">
        <f t="shared" si="10"/>
        <v/>
      </c>
      <c r="BW54" s="87">
        <f>[1]RB!$N54</f>
        <v>0</v>
      </c>
      <c r="BX54" s="40">
        <f t="shared" si="52"/>
        <v>0</v>
      </c>
      <c r="BY54" s="18">
        <f t="shared" si="53"/>
        <v>0</v>
      </c>
      <c r="BZ54" s="40">
        <f t="shared" si="54"/>
        <v>0</v>
      </c>
      <c r="CA54" s="40">
        <f t="shared" si="55"/>
        <v>0</v>
      </c>
      <c r="CB54" s="53"/>
      <c r="CC54" s="60" t="str">
        <f t="shared" si="11"/>
        <v/>
      </c>
      <c r="CD54" s="87">
        <f>[1]RB!$O54</f>
        <v>0</v>
      </c>
      <c r="CE54" s="40">
        <f t="shared" si="56"/>
        <v>0</v>
      </c>
      <c r="CF54" s="18">
        <f t="shared" si="57"/>
        <v>0</v>
      </c>
      <c r="CG54" s="40">
        <f t="shared" si="58"/>
        <v>0</v>
      </c>
      <c r="CH54" s="40">
        <f t="shared" si="59"/>
        <v>0</v>
      </c>
      <c r="CI54" s="53"/>
      <c r="CJ54" s="60" t="str">
        <f t="shared" si="12"/>
        <v/>
      </c>
      <c r="CK54" s="87">
        <f>[1]RB!$P54</f>
        <v>0</v>
      </c>
      <c r="CL54" s="40">
        <f t="shared" si="60"/>
        <v>0</v>
      </c>
      <c r="CM54" s="18">
        <f t="shared" si="61"/>
        <v>0</v>
      </c>
      <c r="CN54" s="40">
        <f t="shared" si="62"/>
        <v>0</v>
      </c>
      <c r="CO54" s="40">
        <f t="shared" si="63"/>
        <v>0</v>
      </c>
      <c r="CP54" s="53"/>
      <c r="CQ54" s="60" t="str">
        <f t="shared" si="13"/>
        <v/>
      </c>
      <c r="CR54" s="180"/>
      <c r="CS54" s="27"/>
      <c r="CT54" s="27"/>
      <c r="CU54" s="27"/>
      <c r="CV54" s="27"/>
      <c r="CW54" s="27"/>
      <c r="CX54" s="27"/>
      <c r="CY54" s="27"/>
      <c r="CZ54" s="27"/>
      <c r="DA54" s="27"/>
      <c r="DB54" s="27"/>
      <c r="DC54" s="27"/>
      <c r="DD54" s="27"/>
    </row>
    <row r="55" spans="1:108" s="26" customFormat="1" ht="16" customHeight="1" thickBot="1" x14ac:dyDescent="0.25">
      <c r="A55" s="119" t="s">
        <v>79</v>
      </c>
      <c r="B55" s="63">
        <f t="shared" ref="B55:J55" si="68">SUM(B4:B54)</f>
        <v>16754635.466540018</v>
      </c>
      <c r="C55" s="64">
        <f t="shared" si="68"/>
        <v>16275452.892196978</v>
      </c>
      <c r="D55" s="65">
        <f t="shared" si="68"/>
        <v>479182.57434304449</v>
      </c>
      <c r="E55" s="63">
        <f t="shared" si="68"/>
        <v>6402670.6319888514</v>
      </c>
      <c r="F55" s="66">
        <f t="shared" si="68"/>
        <v>6219554.2519139666</v>
      </c>
      <c r="G55" s="67">
        <f t="shared" si="68"/>
        <v>183116.38007488108</v>
      </c>
      <c r="H55" s="64">
        <f t="shared" si="68"/>
        <v>7321489.5345959999</v>
      </c>
      <c r="I55" s="66">
        <f t="shared" si="68"/>
        <v>215559.605404</v>
      </c>
      <c r="J55" s="66">
        <f t="shared" si="68"/>
        <v>7537049.1400000006</v>
      </c>
      <c r="K55" s="120">
        <f>+J55/E55-1</f>
        <v>0.17717271014123348</v>
      </c>
      <c r="L55" s="121">
        <f t="shared" ref="L55:X55" si="69">SUM(L4:L54)</f>
        <v>1368225.5514708913</v>
      </c>
      <c r="M55" s="121">
        <f t="shared" si="69"/>
        <v>1329094.3006988233</v>
      </c>
      <c r="N55" s="121">
        <f t="shared" si="17"/>
        <v>39131.250772067491</v>
      </c>
      <c r="O55" s="121">
        <f t="shared" si="69"/>
        <v>1257555.5754119998</v>
      </c>
      <c r="P55" s="121">
        <f t="shared" si="69"/>
        <v>37025.004588000003</v>
      </c>
      <c r="Q55" s="121">
        <f t="shared" si="69"/>
        <v>1294580.5800000003</v>
      </c>
      <c r="R55" s="121">
        <f>+Q55/L55-1</f>
        <v>-5.3825168950923374E-2</v>
      </c>
      <c r="S55" s="121">
        <f t="shared" si="69"/>
        <v>1415557.1784792121</v>
      </c>
      <c r="T55" s="121">
        <f t="shared" si="69"/>
        <v>1375072.2431747061</v>
      </c>
      <c r="U55" s="121">
        <f t="shared" si="21"/>
        <v>40484.935304505467</v>
      </c>
      <c r="V55" s="121">
        <f t="shared" si="69"/>
        <v>1044997.5673019999</v>
      </c>
      <c r="W55" s="121">
        <f t="shared" si="69"/>
        <v>30766.862698000001</v>
      </c>
      <c r="X55" s="121">
        <f t="shared" si="69"/>
        <v>1075764.4300000002</v>
      </c>
      <c r="Y55" s="121">
        <f>+X55/S55-1</f>
        <v>-0.24004169781701401</v>
      </c>
      <c r="Z55" s="121">
        <f t="shared" ref="Z55:AE55" si="70">SUM(Z4:Z54)</f>
        <v>1958851.4082809037</v>
      </c>
      <c r="AA55" s="121">
        <f t="shared" si="70"/>
        <v>1902828.2580040689</v>
      </c>
      <c r="AB55" s="121">
        <f t="shared" si="25"/>
        <v>56023.150276833847</v>
      </c>
      <c r="AC55" s="121">
        <f t="shared" si="70"/>
        <v>1434321.8259660003</v>
      </c>
      <c r="AD55" s="121">
        <f t="shared" si="70"/>
        <v>42229.364034000013</v>
      </c>
      <c r="AE55" s="121">
        <f t="shared" si="70"/>
        <v>1476551.1900000004</v>
      </c>
      <c r="AF55" s="121">
        <f>+AE55/Z55-1</f>
        <v>-0.2462158263980686</v>
      </c>
      <c r="AG55" s="121">
        <f t="shared" ref="AG55:AL55" si="71">SUM(AG4:AG54)</f>
        <v>1660036.493757844</v>
      </c>
      <c r="AH55" s="121">
        <f t="shared" si="71"/>
        <v>1612559.4500363693</v>
      </c>
      <c r="AI55" s="121">
        <f t="shared" si="29"/>
        <v>47477.043721474336</v>
      </c>
      <c r="AJ55" s="121">
        <f t="shared" si="71"/>
        <v>1134480.4776600001</v>
      </c>
      <c r="AK55" s="121">
        <f t="shared" si="71"/>
        <v>33401.422339999997</v>
      </c>
      <c r="AL55" s="121">
        <f t="shared" si="71"/>
        <v>1167881.9000000004</v>
      </c>
      <c r="AM55" s="121">
        <f>+AL55/AG55-1</f>
        <v>-0.29647215323787701</v>
      </c>
      <c r="AN55" s="121">
        <f t="shared" ref="AN55:AS55" si="72">SUM(AN4:AN54)</f>
        <v>1790191.8531481933</v>
      </c>
      <c r="AO55" s="121">
        <f t="shared" si="72"/>
        <v>1738992.3661481543</v>
      </c>
      <c r="AP55" s="121">
        <f t="shared" si="33"/>
        <v>51199.487000038331</v>
      </c>
      <c r="AQ55" s="121">
        <f t="shared" si="72"/>
        <v>1323198.9503820001</v>
      </c>
      <c r="AR55" s="121">
        <f t="shared" si="72"/>
        <v>38957.679617999987</v>
      </c>
      <c r="AS55" s="123">
        <f t="shared" si="72"/>
        <v>1362156.6300000004</v>
      </c>
      <c r="AT55" s="120">
        <f>+AS55/AN55-1</f>
        <v>-0.23910019610214361</v>
      </c>
      <c r="AU55" s="121">
        <f t="shared" ref="AU55:AZ55" si="73">SUM(AU4:AU54)</f>
        <v>1729301.7396026254</v>
      </c>
      <c r="AV55" s="121">
        <f t="shared" si="73"/>
        <v>1679843.7098499895</v>
      </c>
      <c r="AW55" s="18">
        <f t="shared" si="37"/>
        <v>49458.029752635084</v>
      </c>
      <c r="AX55" s="122">
        <f t="shared" si="73"/>
        <v>1126935.1378740002</v>
      </c>
      <c r="AY55" s="122">
        <f t="shared" si="73"/>
        <v>33179.272126000003</v>
      </c>
      <c r="AZ55" s="123">
        <f t="shared" si="73"/>
        <v>1160114.4100000001</v>
      </c>
      <c r="BA55" s="120">
        <f>+AZ55/AU55-1</f>
        <v>-0.32914286533558812</v>
      </c>
      <c r="BB55" s="121">
        <f t="shared" ref="BB55:BG55" si="74">SUM(BB4:BB54)</f>
        <v>1915068.9284868091</v>
      </c>
      <c r="BC55" s="121">
        <f t="shared" si="74"/>
        <v>1860297.9571320862</v>
      </c>
      <c r="BD55" s="18">
        <f t="shared" si="41"/>
        <v>54770.971354722744</v>
      </c>
      <c r="BE55" s="122">
        <f t="shared" si="74"/>
        <v>0</v>
      </c>
      <c r="BF55" s="122">
        <f t="shared" si="74"/>
        <v>0</v>
      </c>
      <c r="BG55" s="123">
        <f t="shared" si="74"/>
        <v>0</v>
      </c>
      <c r="BH55" s="120">
        <f>+BG55/BB55-1</f>
        <v>-1</v>
      </c>
      <c r="BI55" s="121">
        <f t="shared" ref="BI55:BN55" si="75">SUM(BI4:BI54)</f>
        <v>1226565.6509903804</v>
      </c>
      <c r="BJ55" s="121">
        <f t="shared" si="75"/>
        <v>1191485.8733720554</v>
      </c>
      <c r="BK55" s="18">
        <f t="shared" si="45"/>
        <v>35079.777618324879</v>
      </c>
      <c r="BL55" s="122">
        <f t="shared" si="75"/>
        <v>0</v>
      </c>
      <c r="BM55" s="122">
        <f t="shared" si="75"/>
        <v>0</v>
      </c>
      <c r="BN55" s="123">
        <f t="shared" si="75"/>
        <v>0</v>
      </c>
      <c r="BO55" s="120">
        <f>+BN55/BI55-1</f>
        <v>-1</v>
      </c>
      <c r="BP55" s="121">
        <f t="shared" ref="BP55:BU55" si="76">SUM(BP4:BP54)</f>
        <v>1140133.7873470066</v>
      </c>
      <c r="BQ55" s="121">
        <f t="shared" si="76"/>
        <v>1107525.9610288823</v>
      </c>
      <c r="BR55" s="18">
        <f t="shared" si="49"/>
        <v>32607.826318124389</v>
      </c>
      <c r="BS55" s="122">
        <f t="shared" si="76"/>
        <v>0</v>
      </c>
      <c r="BT55" s="122">
        <f t="shared" si="76"/>
        <v>0</v>
      </c>
      <c r="BU55" s="123">
        <f t="shared" si="76"/>
        <v>0</v>
      </c>
      <c r="BV55" s="120">
        <f>+BU55/BP55-1</f>
        <v>-1</v>
      </c>
      <c r="BW55" s="121">
        <f t="shared" ref="BW55:CB55" si="77">SUM(BW4:BW54)</f>
        <v>923664.24820633384</v>
      </c>
      <c r="BX55" s="121">
        <f t="shared" si="77"/>
        <v>897247.4507076327</v>
      </c>
      <c r="BY55" s="18">
        <f t="shared" si="53"/>
        <v>26416.797498701148</v>
      </c>
      <c r="BZ55" s="122">
        <f t="shared" si="77"/>
        <v>0</v>
      </c>
      <c r="CA55" s="122">
        <f t="shared" si="77"/>
        <v>0</v>
      </c>
      <c r="CB55" s="123">
        <f t="shared" si="77"/>
        <v>0</v>
      </c>
      <c r="CC55" s="120">
        <f>+CB55/BW55-1</f>
        <v>-1</v>
      </c>
      <c r="CD55" s="121">
        <f t="shared" ref="CD55:CI55" si="78">SUM(CD4:CD54)</f>
        <v>810741.88419324555</v>
      </c>
      <c r="CE55" s="121">
        <f t="shared" si="78"/>
        <v>787554.66630531906</v>
      </c>
      <c r="CF55" s="18">
        <f t="shared" si="57"/>
        <v>23187.217887926825</v>
      </c>
      <c r="CG55" s="122">
        <f t="shared" si="78"/>
        <v>0</v>
      </c>
      <c r="CH55" s="122">
        <f t="shared" si="78"/>
        <v>0</v>
      </c>
      <c r="CI55" s="123">
        <f t="shared" si="78"/>
        <v>0</v>
      </c>
      <c r="CJ55" s="120">
        <f>+CI55/CD55-1</f>
        <v>-1</v>
      </c>
      <c r="CK55" s="121">
        <f t="shared" ref="CK55:CP55" si="79">SUM(CK4:CK54)</f>
        <v>816296.74257657363</v>
      </c>
      <c r="CL55" s="121">
        <f t="shared" si="79"/>
        <v>792950.65573888377</v>
      </c>
      <c r="CM55" s="18">
        <f t="shared" si="61"/>
        <v>23346.086837690007</v>
      </c>
      <c r="CN55" s="122">
        <f t="shared" si="79"/>
        <v>0</v>
      </c>
      <c r="CO55" s="122">
        <f t="shared" si="79"/>
        <v>0</v>
      </c>
      <c r="CP55" s="123">
        <f t="shared" si="79"/>
        <v>0</v>
      </c>
      <c r="CQ55" s="120">
        <f>+CP55/CK55-1</f>
        <v>-1</v>
      </c>
      <c r="CR55" s="185"/>
      <c r="CS55" s="186"/>
      <c r="CT55" s="186"/>
      <c r="CU55" s="186"/>
      <c r="CV55" s="186"/>
      <c r="CW55" s="186"/>
      <c r="CX55" s="186"/>
      <c r="CY55" s="187"/>
      <c r="CZ55" s="187"/>
      <c r="DA55" s="187"/>
      <c r="DB55" s="187"/>
      <c r="DC55" s="187"/>
      <c r="DD55" s="187"/>
    </row>
    <row r="56" spans="1:108" s="26" customFormat="1" ht="16" customHeight="1" thickBot="1" x14ac:dyDescent="0.25">
      <c r="A56" s="188" t="s">
        <v>80</v>
      </c>
      <c r="B56" s="75">
        <f>+L56+S56+Z56+AG56+AN56+AU56+BB56+BI56+BP56+BW56+CD56+CK56</f>
        <v>-238754.32525951564</v>
      </c>
      <c r="C56" s="76">
        <f t="shared" ref="C56:D57" si="80">+M56+T56+AA56+AH56+AO56+AV56+BC56+BJ56+BQ56+BX56+CE56+CL56</f>
        <v>-231925.95155709339</v>
      </c>
      <c r="D56" s="77">
        <f t="shared" si="80"/>
        <v>-6828.3737024221473</v>
      </c>
      <c r="E56" s="75">
        <f>+L56+S56+Z56+AG56</f>
        <v>-79584.775086505193</v>
      </c>
      <c r="F56" s="78">
        <f t="shared" ref="F56:G57" si="81">+M56+T56+AA56+AH56</f>
        <v>-77308.650519031144</v>
      </c>
      <c r="G56" s="79">
        <f t="shared" si="81"/>
        <v>-2276.1245674740485</v>
      </c>
      <c r="H56" s="76">
        <f t="shared" ref="H56:J57" si="82">+O56+V56+AC56+AJ56+AQ56+AX56+BE56+BL56+BS56+BZ56+CG56+CN56</f>
        <v>-124581.37002</v>
      </c>
      <c r="I56" s="78">
        <f t="shared" si="82"/>
        <v>-3667.9299799999999</v>
      </c>
      <c r="J56" s="78">
        <f t="shared" si="82"/>
        <v>-128249.3</v>
      </c>
      <c r="K56" s="25">
        <f t="shared" ref="K56:K57" si="83">IF(E56=0,"",(+J56/E56-1))</f>
        <v>0.61148033478260877</v>
      </c>
      <c r="L56" s="23">
        <f>[1]RB!$E56</f>
        <v>-19896.193771626298</v>
      </c>
      <c r="M56" s="18">
        <f t="shared" ref="M56:M57" si="84">L56-N56</f>
        <v>-19327.162629757786</v>
      </c>
      <c r="N56" s="18">
        <f t="shared" si="17"/>
        <v>-569.03114186851212</v>
      </c>
      <c r="O56" s="18">
        <f t="shared" ref="O56:O57" si="85">+Q56-P56</f>
        <v>0</v>
      </c>
      <c r="P56" s="18">
        <f t="shared" ref="P56:P57" si="86">+Q56*2.86%</f>
        <v>0</v>
      </c>
      <c r="Q56" s="18"/>
      <c r="R56" s="18">
        <f t="shared" ref="R56:R57" si="87">IF(L56=0,"",(+Q56/L56-1))</f>
        <v>-1</v>
      </c>
      <c r="S56" s="18">
        <f>[1]RB!$F56</f>
        <v>-19896.193771626298</v>
      </c>
      <c r="T56" s="18">
        <f t="shared" ref="T56:T57" si="88">S56-U56</f>
        <v>-19327.162629757786</v>
      </c>
      <c r="U56" s="18">
        <f t="shared" si="21"/>
        <v>-569.03114186851212</v>
      </c>
      <c r="V56" s="18">
        <f t="shared" ref="V56:V57" si="89">+X56-W56</f>
        <v>-12310.348206000001</v>
      </c>
      <c r="W56" s="18">
        <f t="shared" ref="W56:W57" si="90">+X56*2.86%</f>
        <v>-362.44179400000002</v>
      </c>
      <c r="X56" s="18">
        <v>-12672.79</v>
      </c>
      <c r="Y56" s="18">
        <f>IF(S56=0,"",(+X56/S56-1))</f>
        <v>-0.36305455478260862</v>
      </c>
      <c r="Z56" s="18">
        <f>[1]RB!$G56</f>
        <v>-19896.193771626298</v>
      </c>
      <c r="AA56" s="18">
        <f t="shared" ref="AA56:AA57" si="91">Z56-AB56</f>
        <v>-19327.162629757786</v>
      </c>
      <c r="AB56" s="18">
        <f t="shared" si="25"/>
        <v>-569.03114186851212</v>
      </c>
      <c r="AC56" s="18">
        <f t="shared" ref="AC56:AC57" si="92">+AE56-AD56</f>
        <v>2379.0848820000001</v>
      </c>
      <c r="AD56" s="18">
        <f t="shared" ref="AD56:AD57" si="93">+AE56*2.86%</f>
        <v>70.045118000000002</v>
      </c>
      <c r="AE56" s="18">
        <f>2449.13</f>
        <v>2449.13</v>
      </c>
      <c r="AF56" s="18">
        <f t="shared" ref="AF56:AF57" si="94">IF(Z56=0,"",(+AE56/Z56-1))</f>
        <v>-1.1230954034782608</v>
      </c>
      <c r="AG56" s="18">
        <f>[1]RB!$H56</f>
        <v>-19896.193771626298</v>
      </c>
      <c r="AH56" s="18">
        <f t="shared" ref="AH56:AH57" si="95">AG56-AI56</f>
        <v>-19327.162629757786</v>
      </c>
      <c r="AI56" s="18">
        <f t="shared" si="29"/>
        <v>-569.03114186851212</v>
      </c>
      <c r="AJ56" s="18">
        <f t="shared" ref="AJ56:AJ57" si="96">+AL56-AK56</f>
        <v>-26031.18864</v>
      </c>
      <c r="AK56" s="18">
        <f t="shared" ref="AK56:AK57" si="97">+AL56*2.86%</f>
        <v>-766.41135999999995</v>
      </c>
      <c r="AL56" s="18">
        <f>-29680+2882.4</f>
        <v>-26797.599999999999</v>
      </c>
      <c r="AM56" s="18">
        <f t="shared" ref="AM56:AM57" si="98">IF(AG56=0,"",(+AL56/AG56-1))</f>
        <v>0.34687067826086948</v>
      </c>
      <c r="AN56" s="18">
        <f>[1]RB!$I56</f>
        <v>-19896.193771626298</v>
      </c>
      <c r="AO56" s="18">
        <f t="shared" ref="AO56:AO57" si="99">AN56-AP56</f>
        <v>-19327.162629757786</v>
      </c>
      <c r="AP56" s="18">
        <f t="shared" si="33"/>
        <v>-569.03114186851212</v>
      </c>
      <c r="AQ56" s="18">
        <f t="shared" ref="AQ56:AQ57" si="100">+AS56-AR56</f>
        <v>-57586.466802000003</v>
      </c>
      <c r="AR56" s="18">
        <f t="shared" ref="AR56:AR57" si="101">+AS56*2.86%</f>
        <v>-1695.4631979999999</v>
      </c>
      <c r="AS56" s="20">
        <v>-59281.93</v>
      </c>
      <c r="AT56" s="25">
        <f t="shared" ref="AT56:AT57" si="102">IF(AN56=0,"",(+AS56/AN56-1))</f>
        <v>1.9795613513043477</v>
      </c>
      <c r="AU56" s="23">
        <f>[1]RB!$J56</f>
        <v>-19896.193771626298</v>
      </c>
      <c r="AV56" s="18">
        <f t="shared" ref="AV56:AV57" si="103">AU56-AW56</f>
        <v>-19327.162629757786</v>
      </c>
      <c r="AW56" s="18">
        <f t="shared" si="37"/>
        <v>-569.03114186851212</v>
      </c>
      <c r="AX56" s="18">
        <f t="shared" ref="AX56:AX57" si="104">+AZ56-AY56</f>
        <v>-31032.451254</v>
      </c>
      <c r="AY56" s="18">
        <f t="shared" ref="AY56:AY57" si="105">+AZ56*2.86%</f>
        <v>-913.65874600000006</v>
      </c>
      <c r="AZ56" s="20">
        <v>-31946.11</v>
      </c>
      <c r="BA56" s="25">
        <f t="shared" ref="BA56:BA57" si="106">IF(AU56=0,"",(+AZ56/AU56-1))</f>
        <v>0.6056392678260869</v>
      </c>
      <c r="BB56" s="23">
        <f>[1]RB!$K56</f>
        <v>-19896.193771626298</v>
      </c>
      <c r="BC56" s="18">
        <f t="shared" ref="BC56:BC57" si="107">BB56-BD56</f>
        <v>-19327.162629757786</v>
      </c>
      <c r="BD56" s="18">
        <f t="shared" si="41"/>
        <v>-569.03114186851212</v>
      </c>
      <c r="BE56" s="18">
        <f t="shared" ref="BE56:BE57" si="108">+BG56-BF56</f>
        <v>0</v>
      </c>
      <c r="BF56" s="18">
        <f t="shared" ref="BF56:BF57" si="109">+BG56*2.86%</f>
        <v>0</v>
      </c>
      <c r="BG56" s="20"/>
      <c r="BH56" s="25">
        <f t="shared" ref="BH56:BH57" si="110">IF(BB56=0,"",(+BG56/BB56-1))</f>
        <v>-1</v>
      </c>
      <c r="BI56" s="23">
        <f>[1]RB!$L56</f>
        <v>-19896.193771626298</v>
      </c>
      <c r="BJ56" s="18">
        <f t="shared" ref="BJ56:BJ57" si="111">BI56-BK56</f>
        <v>-19327.162629757786</v>
      </c>
      <c r="BK56" s="18">
        <f t="shared" si="45"/>
        <v>-569.03114186851212</v>
      </c>
      <c r="BL56" s="18">
        <f t="shared" ref="BL56:BL57" si="112">+BN56-BM56</f>
        <v>0</v>
      </c>
      <c r="BM56" s="18">
        <f t="shared" ref="BM56:BM57" si="113">+BN56*2.86%</f>
        <v>0</v>
      </c>
      <c r="BN56" s="20"/>
      <c r="BO56" s="25">
        <f t="shared" ref="BO56:BO57" si="114">IF(BI56=0,"",(+BN56/BI56-1))</f>
        <v>-1</v>
      </c>
      <c r="BP56" s="23">
        <f>[1]RB!$M56</f>
        <v>-19896.193771626298</v>
      </c>
      <c r="BQ56" s="18">
        <f t="shared" ref="BQ56:BQ57" si="115">BP56-BR56</f>
        <v>-19327.162629757786</v>
      </c>
      <c r="BR56" s="18">
        <f t="shared" si="49"/>
        <v>-569.03114186851212</v>
      </c>
      <c r="BS56" s="18">
        <f t="shared" ref="BS56:BS57" si="116">+BU56-BT56</f>
        <v>0</v>
      </c>
      <c r="BT56" s="18">
        <f t="shared" ref="BT56:BT57" si="117">+BU56*2.86%</f>
        <v>0</v>
      </c>
      <c r="BU56" s="20"/>
      <c r="BV56" s="25">
        <f t="shared" ref="BV56:BV57" si="118">IF(BP56=0,"",(+BU56/BP56-1))</f>
        <v>-1</v>
      </c>
      <c r="BW56" s="23">
        <f>[1]RB!$N56</f>
        <v>-19896.193771626298</v>
      </c>
      <c r="BX56" s="18">
        <f t="shared" ref="BX56:BX57" si="119">BW56-BY56</f>
        <v>-19327.162629757786</v>
      </c>
      <c r="BY56" s="18">
        <f t="shared" si="53"/>
        <v>-569.03114186851212</v>
      </c>
      <c r="BZ56" s="18">
        <f t="shared" ref="BZ56:BZ57" si="120">+CB56-CA56</f>
        <v>0</v>
      </c>
      <c r="CA56" s="18">
        <f t="shared" ref="CA56:CA57" si="121">+CB56*2.86%</f>
        <v>0</v>
      </c>
      <c r="CB56" s="20"/>
      <c r="CC56" s="25">
        <f t="shared" ref="CC56:CC57" si="122">IF(BW56=0,"",(+CB56/BW56-1))</f>
        <v>-1</v>
      </c>
      <c r="CD56" s="23">
        <f>[1]RB!$O56</f>
        <v>-19896.193771626298</v>
      </c>
      <c r="CE56" s="18">
        <f t="shared" ref="CE56:CE57" si="123">CD56-CF56</f>
        <v>-19327.162629757786</v>
      </c>
      <c r="CF56" s="18">
        <f t="shared" si="57"/>
        <v>-569.03114186851212</v>
      </c>
      <c r="CG56" s="18">
        <f t="shared" ref="CG56:CG57" si="124">+CI56-CH56</f>
        <v>0</v>
      </c>
      <c r="CH56" s="18">
        <f t="shared" ref="CH56:CH57" si="125">+CI56*2.86%</f>
        <v>0</v>
      </c>
      <c r="CI56" s="20"/>
      <c r="CJ56" s="25">
        <f t="shared" ref="CJ56:CJ57" si="126">IF(CD56=0,"",(+CI56/CD56-1))</f>
        <v>-1</v>
      </c>
      <c r="CK56" s="23">
        <f>[1]RB!$P56</f>
        <v>-19896.193771626298</v>
      </c>
      <c r="CL56" s="18">
        <f t="shared" ref="CL56:CL57" si="127">CK56-CM56</f>
        <v>-19327.162629757786</v>
      </c>
      <c r="CM56" s="18">
        <f t="shared" si="61"/>
        <v>-569.03114186851212</v>
      </c>
      <c r="CN56" s="18">
        <f t="shared" ref="CN56:CN57" si="128">+CP56-CO56</f>
        <v>0</v>
      </c>
      <c r="CO56" s="18">
        <f t="shared" ref="CO56:CO57" si="129">+CP56*2.86%</f>
        <v>0</v>
      </c>
      <c r="CP56" s="20"/>
      <c r="CQ56" s="25">
        <f t="shared" ref="CQ56:CQ57" si="130">IF(CK56=0,"",(+CP56/CK56-1))</f>
        <v>-1</v>
      </c>
      <c r="CR56" s="180"/>
      <c r="CS56" s="27">
        <v>-79525.5</v>
      </c>
      <c r="CT56" s="27"/>
      <c r="CU56" s="27">
        <v>-72133.52</v>
      </c>
      <c r="CV56" s="27"/>
      <c r="CW56" s="27"/>
      <c r="CX56" s="27"/>
      <c r="CY56" s="27"/>
      <c r="CZ56" s="27"/>
      <c r="DA56" s="27"/>
      <c r="DB56" s="27"/>
      <c r="DC56" s="27"/>
      <c r="DD56" s="27"/>
    </row>
    <row r="57" spans="1:108" s="26" customFormat="1" ht="16" customHeight="1" thickBot="1" x14ac:dyDescent="0.25">
      <c r="A57" s="189" t="s">
        <v>81</v>
      </c>
      <c r="B57" s="52">
        <f>+L57+S57+Z57+AG57+AN57+AU57+BB57+BI57+BP57+BW57+CD57+CK57</f>
        <v>-79584.775086505178</v>
      </c>
      <c r="C57" s="40">
        <f t="shared" si="80"/>
        <v>-77308.650519031144</v>
      </c>
      <c r="D57" s="51">
        <f t="shared" si="80"/>
        <v>-2276.1245674740489</v>
      </c>
      <c r="E57" s="50">
        <f>+L57+S57+Z57+AG57</f>
        <v>-26528.258362168399</v>
      </c>
      <c r="F57" s="58">
        <f t="shared" si="81"/>
        <v>-25769.550173010382</v>
      </c>
      <c r="G57" s="85">
        <f t="shared" si="81"/>
        <v>-758.70818915801624</v>
      </c>
      <c r="H57" s="57">
        <f t="shared" si="82"/>
        <v>-39996.326460000011</v>
      </c>
      <c r="I57" s="58">
        <f t="shared" si="82"/>
        <v>-1177.5735400000001</v>
      </c>
      <c r="J57" s="58">
        <f t="shared" si="82"/>
        <v>-41173.9</v>
      </c>
      <c r="K57" s="127">
        <f t="shared" si="83"/>
        <v>0.55207701304347823</v>
      </c>
      <c r="L57" s="56">
        <f>[1]RB!$E57</f>
        <v>-6632.0645905420997</v>
      </c>
      <c r="M57" s="57">
        <f t="shared" si="84"/>
        <v>-6442.3875432525956</v>
      </c>
      <c r="N57" s="57">
        <f t="shared" si="17"/>
        <v>-189.67704728950406</v>
      </c>
      <c r="O57" s="57">
        <f t="shared" si="85"/>
        <v>-25401.702012000002</v>
      </c>
      <c r="P57" s="57">
        <f t="shared" si="86"/>
        <v>-747.87798800000007</v>
      </c>
      <c r="Q57" s="57">
        <v>-26149.58</v>
      </c>
      <c r="R57" s="57">
        <f t="shared" si="87"/>
        <v>2.9429018886956522</v>
      </c>
      <c r="S57" s="57">
        <f>[1]RB!$F57</f>
        <v>-6632.0645905420997</v>
      </c>
      <c r="T57" s="57">
        <f t="shared" si="88"/>
        <v>-6442.3875432525956</v>
      </c>
      <c r="U57" s="57">
        <f t="shared" si="21"/>
        <v>-189.67704728950406</v>
      </c>
      <c r="V57" s="57">
        <f t="shared" si="89"/>
        <v>-3753.1301819999999</v>
      </c>
      <c r="W57" s="57">
        <f t="shared" si="90"/>
        <v>-110.499818</v>
      </c>
      <c r="X57" s="57">
        <v>-3863.63</v>
      </c>
      <c r="Y57" s="57">
        <f>IF(S57=0,"",(+X57/S57-1))</f>
        <v>-0.41743178956521743</v>
      </c>
      <c r="Z57" s="57">
        <f>[1]RB!$G57</f>
        <v>-6632.0645905420997</v>
      </c>
      <c r="AA57" s="57">
        <f t="shared" si="91"/>
        <v>-6442.3875432525956</v>
      </c>
      <c r="AB57" s="57">
        <f t="shared" si="25"/>
        <v>-189.67704728950406</v>
      </c>
      <c r="AC57" s="57">
        <f t="shared" si="92"/>
        <v>-16501.298082000001</v>
      </c>
      <c r="AD57" s="57">
        <f t="shared" si="93"/>
        <v>-485.83191800000003</v>
      </c>
      <c r="AE57" s="57">
        <f>-16987.13</f>
        <v>-16987.13</v>
      </c>
      <c r="AF57" s="57">
        <f t="shared" si="94"/>
        <v>1.5613637756521737</v>
      </c>
      <c r="AG57" s="57">
        <f>[1]RB!$H57</f>
        <v>-6632.0645905420997</v>
      </c>
      <c r="AH57" s="57">
        <f t="shared" si="95"/>
        <v>-6442.3875432525956</v>
      </c>
      <c r="AI57" s="57">
        <f t="shared" si="29"/>
        <v>-189.67704728950406</v>
      </c>
      <c r="AJ57" s="57">
        <f t="shared" si="96"/>
        <v>0</v>
      </c>
      <c r="AK57" s="57">
        <f t="shared" si="97"/>
        <v>0</v>
      </c>
      <c r="AL57" s="57"/>
      <c r="AM57" s="57">
        <f t="shared" si="98"/>
        <v>-1</v>
      </c>
      <c r="AN57" s="57">
        <f>[1]RB!$I57</f>
        <v>-6632.0645905420997</v>
      </c>
      <c r="AO57" s="57">
        <f t="shared" si="99"/>
        <v>-6442.3875432525956</v>
      </c>
      <c r="AP57" s="57">
        <f t="shared" si="33"/>
        <v>-189.67704728950406</v>
      </c>
      <c r="AQ57" s="57">
        <f t="shared" si="100"/>
        <v>2390.2074119999997</v>
      </c>
      <c r="AR57" s="57">
        <f t="shared" si="101"/>
        <v>70.372587999999993</v>
      </c>
      <c r="AS57" s="58">
        <v>2460.58</v>
      </c>
      <c r="AT57" s="127">
        <f t="shared" si="102"/>
        <v>-1.3710126713043478</v>
      </c>
      <c r="AU57" s="56">
        <f>[1]RB!$J57</f>
        <v>-6632.0645905420997</v>
      </c>
      <c r="AV57" s="57">
        <f t="shared" si="103"/>
        <v>-6442.3875432525956</v>
      </c>
      <c r="AW57" s="18">
        <f t="shared" si="37"/>
        <v>-189.67704728950406</v>
      </c>
      <c r="AX57" s="57">
        <f t="shared" si="104"/>
        <v>3269.5964039999999</v>
      </c>
      <c r="AY57" s="57">
        <f t="shared" si="105"/>
        <v>96.263596000000007</v>
      </c>
      <c r="AZ57" s="58">
        <v>3365.86</v>
      </c>
      <c r="BA57" s="127">
        <f t="shared" si="106"/>
        <v>-1.5075131513043478</v>
      </c>
      <c r="BB57" s="56">
        <f>[1]RB!$K57</f>
        <v>-6632.0645905420997</v>
      </c>
      <c r="BC57" s="57">
        <f t="shared" si="107"/>
        <v>-6442.3875432525956</v>
      </c>
      <c r="BD57" s="18">
        <f t="shared" si="41"/>
        <v>-189.67704728950406</v>
      </c>
      <c r="BE57" s="57">
        <f t="shared" si="108"/>
        <v>0</v>
      </c>
      <c r="BF57" s="57">
        <f t="shared" si="109"/>
        <v>0</v>
      </c>
      <c r="BG57" s="58"/>
      <c r="BH57" s="127">
        <f t="shared" si="110"/>
        <v>-1</v>
      </c>
      <c r="BI57" s="56">
        <f>[1]RB!$L57</f>
        <v>-6632.0645905420997</v>
      </c>
      <c r="BJ57" s="57">
        <f t="shared" si="111"/>
        <v>-6442.3875432525956</v>
      </c>
      <c r="BK57" s="18">
        <f t="shared" si="45"/>
        <v>-189.67704728950406</v>
      </c>
      <c r="BL57" s="57">
        <f t="shared" si="112"/>
        <v>0</v>
      </c>
      <c r="BM57" s="57">
        <f t="shared" si="113"/>
        <v>0</v>
      </c>
      <c r="BN57" s="58"/>
      <c r="BO57" s="127">
        <f t="shared" si="114"/>
        <v>-1</v>
      </c>
      <c r="BP57" s="56">
        <f>[1]RB!$M57</f>
        <v>-6632.0645905420997</v>
      </c>
      <c r="BQ57" s="57">
        <f t="shared" si="115"/>
        <v>-6442.3875432525956</v>
      </c>
      <c r="BR57" s="18">
        <f t="shared" si="49"/>
        <v>-189.67704728950406</v>
      </c>
      <c r="BS57" s="57">
        <f t="shared" si="116"/>
        <v>0</v>
      </c>
      <c r="BT57" s="57">
        <f t="shared" si="117"/>
        <v>0</v>
      </c>
      <c r="BU57" s="58"/>
      <c r="BV57" s="127">
        <f t="shared" si="118"/>
        <v>-1</v>
      </c>
      <c r="BW57" s="56">
        <f>[1]RB!$N57</f>
        <v>-6632.0645905420997</v>
      </c>
      <c r="BX57" s="57">
        <f t="shared" si="119"/>
        <v>-6442.3875432525956</v>
      </c>
      <c r="BY57" s="18">
        <f t="shared" si="53"/>
        <v>-189.67704728950406</v>
      </c>
      <c r="BZ57" s="57">
        <f t="shared" si="120"/>
        <v>0</v>
      </c>
      <c r="CA57" s="57">
        <f t="shared" si="121"/>
        <v>0</v>
      </c>
      <c r="CB57" s="58"/>
      <c r="CC57" s="127">
        <f t="shared" si="122"/>
        <v>-1</v>
      </c>
      <c r="CD57" s="56">
        <f>[1]RB!$O57</f>
        <v>-6632.0645905420997</v>
      </c>
      <c r="CE57" s="57">
        <f t="shared" si="123"/>
        <v>-6442.3875432525956</v>
      </c>
      <c r="CF57" s="18">
        <f t="shared" si="57"/>
        <v>-189.67704728950406</v>
      </c>
      <c r="CG57" s="57">
        <f t="shared" si="124"/>
        <v>0</v>
      </c>
      <c r="CH57" s="57">
        <f t="shared" si="125"/>
        <v>0</v>
      </c>
      <c r="CI57" s="58"/>
      <c r="CJ57" s="127">
        <f t="shared" si="126"/>
        <v>-1</v>
      </c>
      <c r="CK57" s="56">
        <f>[1]RB!$P57</f>
        <v>-6632.0645905420997</v>
      </c>
      <c r="CL57" s="57">
        <f t="shared" si="127"/>
        <v>-6442.3875432525956</v>
      </c>
      <c r="CM57" s="18">
        <f t="shared" si="61"/>
        <v>-189.67704728950406</v>
      </c>
      <c r="CN57" s="57">
        <f t="shared" si="128"/>
        <v>0</v>
      </c>
      <c r="CO57" s="57">
        <f t="shared" si="129"/>
        <v>0</v>
      </c>
      <c r="CP57" s="58"/>
      <c r="CQ57" s="127">
        <f t="shared" si="130"/>
        <v>-1</v>
      </c>
      <c r="CR57" s="180"/>
      <c r="CS57" s="27"/>
      <c r="CT57" s="27"/>
      <c r="CU57" s="27"/>
      <c r="CV57" s="27"/>
      <c r="CW57" s="27"/>
      <c r="CX57" s="27"/>
      <c r="CY57" s="27"/>
      <c r="CZ57" s="27"/>
      <c r="DA57" s="27"/>
      <c r="DB57" s="27"/>
      <c r="DC57" s="27"/>
      <c r="DD57" s="27"/>
    </row>
    <row r="58" spans="1:108" s="26" customFormat="1" ht="16" customHeight="1" thickBot="1" x14ac:dyDescent="0.25">
      <c r="A58" s="190" t="s">
        <v>82</v>
      </c>
      <c r="B58" s="89">
        <f>+B55+B56+B57</f>
        <v>16436296.366193997</v>
      </c>
      <c r="C58" s="90">
        <f t="shared" ref="C58:D58" si="131">+C55+C56+C57</f>
        <v>15966218.290120851</v>
      </c>
      <c r="D58" s="91">
        <f t="shared" si="131"/>
        <v>470078.07607314829</v>
      </c>
      <c r="E58" s="92">
        <f t="shared" ref="E58:J58" si="132">SUM(E55:E57)</f>
        <v>6296557.5985401776</v>
      </c>
      <c r="F58" s="93">
        <f t="shared" si="132"/>
        <v>6116476.0512219248</v>
      </c>
      <c r="G58" s="94">
        <f t="shared" si="132"/>
        <v>180081.54731824904</v>
      </c>
      <c r="H58" s="95">
        <f t="shared" si="132"/>
        <v>7156911.8381159995</v>
      </c>
      <c r="I58" s="96">
        <f t="shared" si="132"/>
        <v>210714.101884</v>
      </c>
      <c r="J58" s="96">
        <f t="shared" si="132"/>
        <v>7367625.9400000004</v>
      </c>
      <c r="K58" s="132">
        <f>+J58/E55-1</f>
        <v>0.15071137709162574</v>
      </c>
      <c r="L58" s="133">
        <f t="shared" ref="L58:Q58" si="133">SUM(L55:L57)</f>
        <v>1341697.2931087229</v>
      </c>
      <c r="M58" s="133">
        <f t="shared" si="133"/>
        <v>1303324.7505258129</v>
      </c>
      <c r="N58" s="133">
        <f t="shared" si="17"/>
        <v>38372.542582909475</v>
      </c>
      <c r="O58" s="133">
        <f t="shared" si="133"/>
        <v>1232153.8733999999</v>
      </c>
      <c r="P58" s="133">
        <f t="shared" si="133"/>
        <v>36277.126600000003</v>
      </c>
      <c r="Q58" s="133">
        <f t="shared" si="133"/>
        <v>1268431.0000000002</v>
      </c>
      <c r="R58" s="133">
        <f>+Q58/L55-1</f>
        <v>-7.2937207877464605E-2</v>
      </c>
      <c r="S58" s="133">
        <f t="shared" ref="S58:X58" si="134">SUM(S55:S57)</f>
        <v>1389028.9201170437</v>
      </c>
      <c r="T58" s="133">
        <f t="shared" si="134"/>
        <v>1349302.6930016957</v>
      </c>
      <c r="U58" s="133">
        <f t="shared" si="21"/>
        <v>39726.22711534745</v>
      </c>
      <c r="V58" s="133">
        <f t="shared" si="134"/>
        <v>1028934.0889139998</v>
      </c>
      <c r="W58" s="133">
        <f t="shared" si="134"/>
        <v>30293.921086000002</v>
      </c>
      <c r="X58" s="133">
        <f t="shared" si="134"/>
        <v>1059228.0100000002</v>
      </c>
      <c r="Y58" s="133">
        <f>+X58/S55-1</f>
        <v>-0.25172361378014418</v>
      </c>
      <c r="Z58" s="133">
        <f t="shared" ref="Z58:AE58" si="135">SUM(Z55:Z57)</f>
        <v>1932323.1499187353</v>
      </c>
      <c r="AA58" s="133">
        <f t="shared" si="135"/>
        <v>1877058.7078310584</v>
      </c>
      <c r="AB58" s="133">
        <f t="shared" si="25"/>
        <v>55264.44208767583</v>
      </c>
      <c r="AC58" s="133">
        <f t="shared" si="135"/>
        <v>1420199.6127660002</v>
      </c>
      <c r="AD58" s="133">
        <f t="shared" si="135"/>
        <v>41813.577234000011</v>
      </c>
      <c r="AE58" s="133">
        <f t="shared" si="135"/>
        <v>1462013.1900000004</v>
      </c>
      <c r="AF58" s="133">
        <f>+AE58/Z55-1</f>
        <v>-0.25363752257090832</v>
      </c>
      <c r="AG58" s="133">
        <f t="shared" ref="AG58:AL58" si="136">SUM(AG55:AG57)</f>
        <v>1633508.2353956755</v>
      </c>
      <c r="AH58" s="133">
        <f t="shared" si="136"/>
        <v>1586789.8998633588</v>
      </c>
      <c r="AI58" s="133">
        <f t="shared" si="29"/>
        <v>46718.33553231632</v>
      </c>
      <c r="AJ58" s="133">
        <f t="shared" si="136"/>
        <v>1108449.28902</v>
      </c>
      <c r="AK58" s="133">
        <f t="shared" si="136"/>
        <v>32635.010979999999</v>
      </c>
      <c r="AL58" s="133">
        <f t="shared" si="136"/>
        <v>1141084.3000000003</v>
      </c>
      <c r="AM58" s="133">
        <f>+AL58/AG55-1</f>
        <v>-0.31261493088208292</v>
      </c>
      <c r="AN58" s="133">
        <f t="shared" ref="AN58:AS58" si="137">SUM(AN55:AN57)</f>
        <v>1763663.5947860249</v>
      </c>
      <c r="AO58" s="133">
        <f t="shared" si="137"/>
        <v>1713222.8159751438</v>
      </c>
      <c r="AP58" s="133">
        <f t="shared" si="33"/>
        <v>50440.778810880314</v>
      </c>
      <c r="AQ58" s="133">
        <f t="shared" si="137"/>
        <v>1268002.690992</v>
      </c>
      <c r="AR58" s="133">
        <f t="shared" si="137"/>
        <v>37332.589007999988</v>
      </c>
      <c r="AS58" s="96">
        <f t="shared" si="137"/>
        <v>1305335.2800000005</v>
      </c>
      <c r="AT58" s="132">
        <f>+AS58/AN55-1</f>
        <v>-0.27084056510230137</v>
      </c>
      <c r="AU58" s="133">
        <f t="shared" ref="AU58:AZ58" si="138">SUM(AU55:AU57)</f>
        <v>1702773.4812404569</v>
      </c>
      <c r="AV58" s="133">
        <f t="shared" si="138"/>
        <v>1654074.1596769791</v>
      </c>
      <c r="AW58" s="18">
        <f t="shared" si="37"/>
        <v>48699.321563477068</v>
      </c>
      <c r="AX58" s="95">
        <f t="shared" si="138"/>
        <v>1099172.2830240002</v>
      </c>
      <c r="AY58" s="95">
        <f t="shared" si="138"/>
        <v>32361.876976000003</v>
      </c>
      <c r="AZ58" s="96">
        <f t="shared" si="138"/>
        <v>1131534.1600000001</v>
      </c>
      <c r="BA58" s="132">
        <f>+AZ58/AU55-1</f>
        <v>-0.34566991168353634</v>
      </c>
      <c r="BB58" s="133">
        <f t="shared" ref="BB58:BG58" si="139">SUM(BB55:BB57)</f>
        <v>1888540.6701246407</v>
      </c>
      <c r="BC58" s="133">
        <f t="shared" si="139"/>
        <v>1834528.4069590757</v>
      </c>
      <c r="BD58" s="18">
        <f t="shared" si="41"/>
        <v>54012.263165564727</v>
      </c>
      <c r="BE58" s="95">
        <f t="shared" si="139"/>
        <v>0</v>
      </c>
      <c r="BF58" s="95">
        <f t="shared" si="139"/>
        <v>0</v>
      </c>
      <c r="BG58" s="96">
        <f t="shared" si="139"/>
        <v>0</v>
      </c>
      <c r="BH58" s="132">
        <f>+BG58/BB55-1</f>
        <v>-1</v>
      </c>
      <c r="BI58" s="133">
        <f t="shared" ref="BI58:BN58" si="140">SUM(BI55:BI57)</f>
        <v>1200037.392628212</v>
      </c>
      <c r="BJ58" s="133">
        <f t="shared" si="140"/>
        <v>1165716.3231990449</v>
      </c>
      <c r="BK58" s="18">
        <f t="shared" si="45"/>
        <v>34321.069429166862</v>
      </c>
      <c r="BL58" s="95">
        <f t="shared" si="140"/>
        <v>0</v>
      </c>
      <c r="BM58" s="95">
        <f t="shared" si="140"/>
        <v>0</v>
      </c>
      <c r="BN58" s="96">
        <f t="shared" si="140"/>
        <v>0</v>
      </c>
      <c r="BO58" s="132">
        <f>+BN58/BI55-1</f>
        <v>-1</v>
      </c>
      <c r="BP58" s="133">
        <f t="shared" ref="BP58:BU58" si="141">SUM(BP55:BP57)</f>
        <v>1113605.5289848382</v>
      </c>
      <c r="BQ58" s="133">
        <f t="shared" si="141"/>
        <v>1081756.4108558719</v>
      </c>
      <c r="BR58" s="18">
        <f t="shared" si="49"/>
        <v>31849.118128966373</v>
      </c>
      <c r="BS58" s="95">
        <f t="shared" si="141"/>
        <v>0</v>
      </c>
      <c r="BT58" s="95">
        <f t="shared" si="141"/>
        <v>0</v>
      </c>
      <c r="BU58" s="96">
        <f t="shared" si="141"/>
        <v>0</v>
      </c>
      <c r="BV58" s="132">
        <f>+BU58/BP55-1</f>
        <v>-1</v>
      </c>
      <c r="BW58" s="133">
        <f t="shared" ref="BW58:CB58" si="142">SUM(BW55:BW57)</f>
        <v>897135.98984416539</v>
      </c>
      <c r="BX58" s="133">
        <f t="shared" si="142"/>
        <v>871477.90053462237</v>
      </c>
      <c r="BY58" s="18">
        <f t="shared" si="53"/>
        <v>25658.089309543131</v>
      </c>
      <c r="BZ58" s="95">
        <f t="shared" si="142"/>
        <v>0</v>
      </c>
      <c r="CA58" s="95">
        <f t="shared" si="142"/>
        <v>0</v>
      </c>
      <c r="CB58" s="96">
        <f t="shared" si="142"/>
        <v>0</v>
      </c>
      <c r="CC58" s="132">
        <f>+CB58/BW55-1</f>
        <v>-1</v>
      </c>
      <c r="CD58" s="133">
        <f t="shared" ref="CD58:CI58" si="143">SUM(CD55:CD57)</f>
        <v>784213.62583107711</v>
      </c>
      <c r="CE58" s="133">
        <f t="shared" si="143"/>
        <v>761785.11613230873</v>
      </c>
      <c r="CF58" s="18">
        <f t="shared" si="57"/>
        <v>22428.509698768805</v>
      </c>
      <c r="CG58" s="95">
        <f t="shared" si="143"/>
        <v>0</v>
      </c>
      <c r="CH58" s="95">
        <f t="shared" si="143"/>
        <v>0</v>
      </c>
      <c r="CI58" s="96">
        <f t="shared" si="143"/>
        <v>0</v>
      </c>
      <c r="CJ58" s="132">
        <f>+CI58/CD55-1</f>
        <v>-1</v>
      </c>
      <c r="CK58" s="133">
        <f t="shared" ref="CK58:CP58" si="144">SUM(CK55:CK57)</f>
        <v>789768.48421440518</v>
      </c>
      <c r="CL58" s="133">
        <f t="shared" si="144"/>
        <v>767181.10556587344</v>
      </c>
      <c r="CM58" s="18">
        <f t="shared" si="61"/>
        <v>22587.378648531987</v>
      </c>
      <c r="CN58" s="95">
        <f t="shared" si="144"/>
        <v>0</v>
      </c>
      <c r="CO58" s="95">
        <f t="shared" si="144"/>
        <v>0</v>
      </c>
      <c r="CP58" s="96">
        <f t="shared" si="144"/>
        <v>0</v>
      </c>
      <c r="CQ58" s="132">
        <f>+CP58/CK55-1</f>
        <v>-1</v>
      </c>
      <c r="CR58" s="191"/>
      <c r="CS58" s="192"/>
      <c r="CT58" s="192"/>
      <c r="CU58" s="192"/>
      <c r="CV58" s="192"/>
      <c r="CW58" s="192"/>
      <c r="CX58" s="192"/>
      <c r="CY58" s="27"/>
      <c r="CZ58" s="27"/>
      <c r="DA58" s="27"/>
      <c r="DB58" s="27"/>
      <c r="DC58" s="27"/>
      <c r="DD58" s="27"/>
    </row>
    <row r="59" spans="1:108" s="105" customFormat="1" ht="14.25" customHeight="1" x14ac:dyDescent="0.2">
      <c r="B59" s="104"/>
      <c r="C59" s="104"/>
      <c r="D59" s="104"/>
      <c r="J59" s="104">
        <f>+J58-'[2]RUBIÃO I'!$N$48</f>
        <v>2436869.4400000004</v>
      </c>
      <c r="K59" s="104"/>
      <c r="L59" s="104"/>
      <c r="M59" s="104"/>
      <c r="N59" s="104"/>
      <c r="O59" s="104"/>
      <c r="P59" s="104"/>
      <c r="Q59" s="104">
        <f>+Q58-'[2]RUBIÃO I'!$N$109</f>
        <v>0</v>
      </c>
      <c r="R59" s="104"/>
      <c r="S59" s="104"/>
      <c r="T59" s="104"/>
      <c r="U59" s="104"/>
      <c r="V59" s="104"/>
      <c r="W59" s="104"/>
      <c r="X59" s="104">
        <f>+X58-'[2]RUBIÃO I'!$N$163</f>
        <v>0</v>
      </c>
      <c r="AE59" s="104">
        <f>AE58-'[2]RUBIÃO I'!$N$218</f>
        <v>0</v>
      </c>
      <c r="AL59" s="104">
        <f>AL58-'[2]RUBIÃO I'!$N$274</f>
        <v>0</v>
      </c>
      <c r="AS59" s="104">
        <f>AS58-'[3]RUBIÃO I'!$N$326</f>
        <v>1305335.2800000005</v>
      </c>
      <c r="AZ59" s="104">
        <f>AZ58-'[3]RUBIÃO I'!$N$381</f>
        <v>1131534.1600000001</v>
      </c>
      <c r="BA59" s="104"/>
      <c r="BB59" s="104"/>
      <c r="BC59" s="104"/>
      <c r="BD59" s="104"/>
      <c r="BE59" s="104"/>
      <c r="BF59" s="104"/>
      <c r="BG59" s="104">
        <f>BG58-'[3]RUBIÃO I'!$N$436</f>
        <v>0</v>
      </c>
      <c r="BH59" s="104"/>
      <c r="BI59" s="104"/>
      <c r="BJ59" s="104"/>
      <c r="BK59" s="104"/>
      <c r="BL59" s="104"/>
      <c r="BM59" s="104"/>
      <c r="BN59" s="104">
        <f>BN58-'[3]RUBIÃO I'!$N$491</f>
        <v>0</v>
      </c>
      <c r="BO59" s="104"/>
      <c r="BP59" s="104"/>
      <c r="BQ59" s="104"/>
      <c r="BR59" s="104"/>
      <c r="BS59" s="104"/>
      <c r="BT59" s="104"/>
      <c r="BU59" s="104">
        <f>BU58-'[3]RUBIÃO I'!$N$546</f>
        <v>0</v>
      </c>
      <c r="BV59" s="104"/>
      <c r="BW59" s="104"/>
      <c r="BX59" s="104"/>
      <c r="BY59" s="104"/>
      <c r="BZ59" s="104"/>
      <c r="CA59" s="104"/>
      <c r="CB59" s="104">
        <f>CB58-'[3]RUBIÃO I'!$N$601</f>
        <v>0</v>
      </c>
      <c r="CC59" s="104"/>
      <c r="CD59" s="104"/>
      <c r="CE59" s="104"/>
      <c r="CF59" s="104"/>
      <c r="CG59" s="104"/>
      <c r="CH59" s="104"/>
      <c r="CI59" s="104">
        <f>CI58-'[3]RUBIÃO I'!$N$656</f>
        <v>0</v>
      </c>
      <c r="CP59" s="104">
        <f>CP58-'[3]RUBIÃO I'!$N$711</f>
        <v>0</v>
      </c>
    </row>
    <row r="60" spans="1:108" ht="14.25" customHeight="1" x14ac:dyDescent="0.2">
      <c r="L60" s="241" t="s">
        <v>83</v>
      </c>
      <c r="M60" s="242"/>
      <c r="N60" s="242"/>
      <c r="O60" s="242"/>
      <c r="P60" s="242"/>
      <c r="Q60" s="243"/>
      <c r="R60" s="244"/>
      <c r="S60" s="241" t="s">
        <v>83</v>
      </c>
      <c r="T60" s="242"/>
      <c r="U60" s="242"/>
      <c r="V60" s="242"/>
      <c r="W60" s="242"/>
      <c r="X60" s="243"/>
      <c r="Y60" s="244"/>
      <c r="Z60" s="241" t="s">
        <v>83</v>
      </c>
      <c r="AA60" s="242"/>
      <c r="AB60" s="242"/>
      <c r="AC60" s="242"/>
      <c r="AD60" s="242"/>
      <c r="AE60" s="243"/>
      <c r="AF60" s="244"/>
      <c r="AG60" s="241" t="s">
        <v>83</v>
      </c>
      <c r="AH60" s="242"/>
      <c r="AI60" s="242"/>
      <c r="AJ60" s="242"/>
      <c r="AK60" s="242"/>
      <c r="AL60" s="243"/>
      <c r="AM60" s="244"/>
      <c r="AN60" s="241" t="s">
        <v>83</v>
      </c>
      <c r="AO60" s="242"/>
      <c r="AP60" s="242"/>
      <c r="AQ60" s="242"/>
      <c r="AR60" s="242"/>
      <c r="AS60" s="243"/>
      <c r="AT60" s="244"/>
      <c r="AU60" s="241" t="s">
        <v>83</v>
      </c>
      <c r="AV60" s="242"/>
      <c r="AW60" s="242"/>
      <c r="AX60" s="242"/>
      <c r="AY60" s="242"/>
      <c r="AZ60" s="243"/>
      <c r="BA60" s="244"/>
      <c r="BB60" s="241" t="s">
        <v>83</v>
      </c>
      <c r="BC60" s="242"/>
      <c r="BD60" s="242"/>
      <c r="BE60" s="242"/>
      <c r="BF60" s="242"/>
      <c r="BG60" s="243"/>
      <c r="BH60" s="244"/>
      <c r="BI60" s="241" t="s">
        <v>83</v>
      </c>
      <c r="BJ60" s="242"/>
      <c r="BK60" s="242"/>
      <c r="BL60" s="242"/>
      <c r="BM60" s="242"/>
      <c r="BN60" s="243"/>
      <c r="BO60" s="244"/>
      <c r="BP60" s="241" t="s">
        <v>83</v>
      </c>
      <c r="BQ60" s="242"/>
      <c r="BR60" s="242"/>
      <c r="BS60" s="242"/>
      <c r="BT60" s="242"/>
      <c r="BU60" s="243"/>
      <c r="BV60" s="244"/>
      <c r="BW60" s="241" t="s">
        <v>83</v>
      </c>
      <c r="BX60" s="242"/>
      <c r="BY60" s="242"/>
      <c r="BZ60" s="242"/>
      <c r="CA60" s="242"/>
      <c r="CB60" s="243"/>
      <c r="CC60" s="244"/>
      <c r="CD60" s="241" t="s">
        <v>83</v>
      </c>
      <c r="CE60" s="242"/>
      <c r="CF60" s="242"/>
      <c r="CG60" s="242"/>
      <c r="CH60" s="242"/>
      <c r="CI60" s="243"/>
      <c r="CJ60" s="244"/>
      <c r="CK60" s="241" t="s">
        <v>83</v>
      </c>
      <c r="CL60" s="242"/>
      <c r="CM60" s="242"/>
      <c r="CN60" s="242"/>
      <c r="CO60" s="242"/>
      <c r="CP60" s="243"/>
      <c r="CQ60" s="244"/>
      <c r="CR60" s="144"/>
      <c r="CS60" s="144"/>
      <c r="CT60" s="144"/>
      <c r="CU60" s="144"/>
      <c r="CV60" s="144"/>
      <c r="CW60" s="144"/>
      <c r="CX60" s="144"/>
    </row>
    <row r="61" spans="1:108" ht="14.25" customHeight="1" x14ac:dyDescent="0.2">
      <c r="A61" s="155"/>
      <c r="L61" s="107" t="s">
        <v>84</v>
      </c>
      <c r="M61" s="108"/>
      <c r="N61" s="108"/>
      <c r="O61" s="108"/>
      <c r="P61" s="108"/>
      <c r="Q61" s="109"/>
      <c r="R61" s="165">
        <f>19.05+1184.85+68.66+5.94+110.78+4.5+1069.6+314.82+167.9+562.17+66.71+11.24+9.59+61.2+697.79+84.78+1.6+1184.85+9.85+5.67</f>
        <v>5641.5500000000011</v>
      </c>
      <c r="S61" s="107" t="s">
        <v>84</v>
      </c>
      <c r="T61" s="108"/>
      <c r="U61" s="108"/>
      <c r="V61" s="108"/>
      <c r="W61" s="108"/>
      <c r="X61" s="109"/>
      <c r="Y61" s="167">
        <f>26.98+20.72+32.98+110.79+25.11+22.49+1151.49+72.29+566.21+108.98+7.52+40.48+1184.85+134.92+5.94+39.39+4.5+11.99+562.17+11.24</f>
        <v>4141.0399999999991</v>
      </c>
      <c r="Z61" s="107" t="s">
        <v>84</v>
      </c>
      <c r="AA61" s="108"/>
      <c r="AB61" s="108"/>
      <c r="AC61" s="108"/>
      <c r="AD61" s="108"/>
      <c r="AE61" s="109"/>
      <c r="AF61" s="167">
        <f>27.73+5.94+29.92+4.5+179.9+562.17+11.24+58.64+1184.85+16.49+61.37+485.86+84.86</f>
        <v>2713.47</v>
      </c>
      <c r="AG61" s="107" t="s">
        <v>84</v>
      </c>
      <c r="AH61" s="108"/>
      <c r="AI61" s="108"/>
      <c r="AJ61" s="108"/>
      <c r="AK61" s="108"/>
      <c r="AL61" s="109"/>
      <c r="AM61" s="167">
        <f>18.14+5.94+314.82+43.41+7.81+4.5+1093.25+562.17+11.24+251.85+49.47+55.6+637.07+75.23+1184.85+27.73</f>
        <v>4343.079999999999</v>
      </c>
      <c r="AN61" s="107"/>
      <c r="AO61" s="108"/>
      <c r="AP61" s="108"/>
      <c r="AQ61" s="108"/>
      <c r="AR61" s="108"/>
      <c r="AS61" s="109"/>
      <c r="AT61" s="167"/>
      <c r="AU61" s="107"/>
      <c r="AV61" s="108"/>
      <c r="AW61" s="108"/>
      <c r="AX61" s="108"/>
      <c r="AY61" s="108"/>
      <c r="AZ61" s="109"/>
      <c r="BA61" s="167"/>
      <c r="BB61" s="107"/>
      <c r="BC61" s="108"/>
      <c r="BD61" s="108"/>
      <c r="BE61" s="108"/>
      <c r="BF61" s="108"/>
      <c r="BG61" s="109"/>
      <c r="BH61" s="167"/>
      <c r="BI61" s="107"/>
      <c r="BJ61" s="108"/>
      <c r="BK61" s="108"/>
      <c r="BL61" s="108"/>
      <c r="BM61" s="108"/>
      <c r="BN61" s="109"/>
      <c r="BO61" s="167"/>
      <c r="BP61" s="107"/>
      <c r="BQ61" s="108"/>
      <c r="BR61" s="108"/>
      <c r="BS61" s="108"/>
      <c r="BT61" s="108"/>
      <c r="BU61" s="109"/>
      <c r="BV61" s="167"/>
      <c r="BW61" s="107"/>
      <c r="BX61" s="108"/>
      <c r="BY61" s="108"/>
      <c r="BZ61" s="108"/>
      <c r="CA61" s="108"/>
      <c r="CB61" s="109"/>
      <c r="CC61" s="167"/>
      <c r="CD61" s="107"/>
      <c r="CE61" s="108"/>
      <c r="CF61" s="108"/>
      <c r="CG61" s="108"/>
      <c r="CH61" s="108"/>
      <c r="CI61" s="109"/>
      <c r="CJ61" s="167"/>
      <c r="CK61" s="107"/>
      <c r="CL61" s="108"/>
      <c r="CM61" s="108"/>
      <c r="CN61" s="108"/>
      <c r="CO61" s="108"/>
      <c r="CP61" s="109"/>
      <c r="CQ61" s="167"/>
      <c r="CR61" s="139"/>
      <c r="CS61" s="139"/>
      <c r="CT61" s="139"/>
      <c r="CU61" s="139"/>
      <c r="CV61" s="139"/>
      <c r="CW61" s="139"/>
      <c r="CX61" s="139"/>
    </row>
    <row r="62" spans="1:108" ht="14.25" customHeight="1" x14ac:dyDescent="0.2">
      <c r="A62" s="155"/>
      <c r="L62" s="107" t="s">
        <v>86</v>
      </c>
      <c r="M62" s="108"/>
      <c r="N62" s="108"/>
      <c r="O62" s="108"/>
      <c r="P62" s="108"/>
      <c r="Q62" s="109"/>
      <c r="R62" s="165">
        <f>672.07</f>
        <v>672.07</v>
      </c>
      <c r="S62" s="107" t="s">
        <v>86</v>
      </c>
      <c r="T62" s="108"/>
      <c r="U62" s="108"/>
      <c r="V62" s="108"/>
      <c r="W62" s="108"/>
      <c r="X62" s="109"/>
      <c r="Y62" s="167">
        <f>530.35</f>
        <v>530.35</v>
      </c>
      <c r="Z62" s="107" t="s">
        <v>86</v>
      </c>
      <c r="AA62" s="108"/>
      <c r="AB62" s="108"/>
      <c r="AC62" s="108"/>
      <c r="AD62" s="108"/>
      <c r="AE62" s="109"/>
      <c r="AF62" s="167">
        <f>867.16</f>
        <v>867.16</v>
      </c>
      <c r="AG62" s="107" t="s">
        <v>86</v>
      </c>
      <c r="AH62" s="108"/>
      <c r="AI62" s="108"/>
      <c r="AJ62" s="108"/>
      <c r="AK62" s="108"/>
      <c r="AL62" s="109"/>
      <c r="AM62" s="167">
        <f>641.3</f>
        <v>641.29999999999995</v>
      </c>
      <c r="AN62" s="107"/>
      <c r="AO62" s="108"/>
      <c r="AP62" s="108"/>
      <c r="AQ62" s="108"/>
      <c r="AR62" s="108"/>
      <c r="AS62" s="109"/>
      <c r="AT62" s="167"/>
      <c r="AU62" s="107"/>
      <c r="AV62" s="108"/>
      <c r="AW62" s="108"/>
      <c r="AX62" s="108"/>
      <c r="AY62" s="108"/>
      <c r="AZ62" s="109"/>
      <c r="BA62" s="167"/>
      <c r="BB62" s="107"/>
      <c r="BC62" s="108"/>
      <c r="BD62" s="108"/>
      <c r="BE62" s="108"/>
      <c r="BF62" s="108"/>
      <c r="BG62" s="109"/>
      <c r="BH62" s="167"/>
      <c r="BI62" s="107"/>
      <c r="BJ62" s="108"/>
      <c r="BK62" s="108"/>
      <c r="BL62" s="108"/>
      <c r="BM62" s="108"/>
      <c r="BN62" s="109"/>
      <c r="BO62" s="167"/>
      <c r="BP62" s="107"/>
      <c r="BQ62" s="108"/>
      <c r="BR62" s="108"/>
      <c r="BS62" s="108"/>
      <c r="BT62" s="108"/>
      <c r="BU62" s="109"/>
      <c r="BV62" s="167"/>
      <c r="BW62" s="107"/>
      <c r="BX62" s="108"/>
      <c r="BY62" s="108"/>
      <c r="BZ62" s="108"/>
      <c r="CA62" s="108"/>
      <c r="CB62" s="109"/>
      <c r="CC62" s="167"/>
      <c r="CD62" s="107"/>
      <c r="CE62" s="108"/>
      <c r="CF62" s="108"/>
      <c r="CG62" s="108"/>
      <c r="CH62" s="108"/>
      <c r="CI62" s="109"/>
      <c r="CJ62" s="167"/>
      <c r="CK62" s="107"/>
      <c r="CL62" s="108"/>
      <c r="CM62" s="108"/>
      <c r="CN62" s="108"/>
      <c r="CO62" s="108"/>
      <c r="CP62" s="109"/>
      <c r="CQ62" s="167"/>
      <c r="CR62" s="139"/>
      <c r="CS62" s="139"/>
      <c r="CT62" s="139"/>
      <c r="CU62" s="139"/>
      <c r="CV62" s="139"/>
      <c r="CW62" s="139"/>
      <c r="CX62" s="139"/>
    </row>
    <row r="63" spans="1:108" ht="14.25" customHeight="1" x14ac:dyDescent="0.2">
      <c r="A63" s="139"/>
      <c r="L63" s="107" t="s">
        <v>87</v>
      </c>
      <c r="M63" s="108"/>
      <c r="N63" s="108"/>
      <c r="O63" s="108"/>
      <c r="P63" s="108"/>
      <c r="Q63" s="109"/>
      <c r="R63" s="165">
        <f>643.18</f>
        <v>643.17999999999995</v>
      </c>
      <c r="S63" s="107" t="s">
        <v>87</v>
      </c>
      <c r="T63" s="108"/>
      <c r="U63" s="108"/>
      <c r="V63" s="108"/>
      <c r="W63" s="108"/>
      <c r="X63" s="109"/>
      <c r="Y63" s="167">
        <f>210</f>
        <v>210</v>
      </c>
      <c r="Z63" s="107" t="s">
        <v>87</v>
      </c>
      <c r="AA63" s="108"/>
      <c r="AB63" s="108"/>
      <c r="AC63" s="108"/>
      <c r="AD63" s="108"/>
      <c r="AE63" s="109"/>
      <c r="AF63" s="167">
        <f>625.34</f>
        <v>625.34</v>
      </c>
      <c r="AG63" s="107" t="s">
        <v>87</v>
      </c>
      <c r="AH63" s="108"/>
      <c r="AI63" s="108"/>
      <c r="AJ63" s="108"/>
      <c r="AK63" s="108"/>
      <c r="AL63" s="109"/>
      <c r="AM63" s="167">
        <f>694.71+120</f>
        <v>814.71</v>
      </c>
      <c r="AN63" s="107"/>
      <c r="AO63" s="108"/>
      <c r="AP63" s="108"/>
      <c r="AQ63" s="108"/>
      <c r="AR63" s="108"/>
      <c r="AS63" s="109"/>
      <c r="AT63" s="167"/>
      <c r="AU63" s="107"/>
      <c r="AV63" s="108"/>
      <c r="AW63" s="108"/>
      <c r="AX63" s="108"/>
      <c r="AY63" s="108"/>
      <c r="AZ63" s="109"/>
      <c r="BA63" s="167"/>
      <c r="BB63" s="107"/>
      <c r="BC63" s="108"/>
      <c r="BD63" s="108"/>
      <c r="BE63" s="108"/>
      <c r="BF63" s="108"/>
      <c r="BG63" s="109"/>
      <c r="BH63" s="167"/>
      <c r="BI63" s="107"/>
      <c r="BJ63" s="108"/>
      <c r="BK63" s="108"/>
      <c r="BL63" s="108"/>
      <c r="BM63" s="108"/>
      <c r="BN63" s="109"/>
      <c r="BO63" s="167"/>
      <c r="BP63" s="107"/>
      <c r="BQ63" s="108"/>
      <c r="BR63" s="108"/>
      <c r="BS63" s="108"/>
      <c r="BT63" s="108"/>
      <c r="BU63" s="109"/>
      <c r="BV63" s="167"/>
      <c r="BW63" s="107"/>
      <c r="BX63" s="108"/>
      <c r="BY63" s="108"/>
      <c r="BZ63" s="108"/>
      <c r="CA63" s="108"/>
      <c r="CB63" s="109"/>
      <c r="CC63" s="167"/>
      <c r="CD63" s="107"/>
      <c r="CE63" s="108"/>
      <c r="CF63" s="108"/>
      <c r="CG63" s="108"/>
      <c r="CH63" s="108"/>
      <c r="CI63" s="109"/>
      <c r="CJ63" s="167"/>
      <c r="CK63" s="107"/>
      <c r="CL63" s="108"/>
      <c r="CM63" s="108"/>
      <c r="CN63" s="108"/>
      <c r="CO63" s="108"/>
      <c r="CP63" s="109"/>
      <c r="CQ63" s="167"/>
      <c r="CR63" s="139"/>
      <c r="CS63" s="139"/>
      <c r="CT63" s="139"/>
      <c r="CU63" s="139"/>
      <c r="CV63" s="139"/>
      <c r="CW63" s="139"/>
      <c r="CX63" s="139"/>
    </row>
    <row r="64" spans="1:108" ht="14.25" customHeight="1" x14ac:dyDescent="0.2">
      <c r="A64" s="139"/>
      <c r="L64" s="107" t="s">
        <v>89</v>
      </c>
      <c r="M64" s="108"/>
      <c r="N64" s="108"/>
      <c r="O64" s="108"/>
      <c r="P64" s="108"/>
      <c r="Q64" s="109"/>
      <c r="R64" s="165">
        <f>516.35+78+190.2</f>
        <v>784.55</v>
      </c>
      <c r="S64" s="107" t="s">
        <v>89</v>
      </c>
      <c r="T64" s="108"/>
      <c r="U64" s="108"/>
      <c r="V64" s="108"/>
      <c r="W64" s="108"/>
      <c r="X64" s="109"/>
      <c r="Y64" s="167">
        <f>361.98+290.04</f>
        <v>652.02</v>
      </c>
      <c r="Z64" s="107" t="s">
        <v>89</v>
      </c>
      <c r="AA64" s="108"/>
      <c r="AB64" s="108"/>
      <c r="AC64" s="108"/>
      <c r="AD64" s="108"/>
      <c r="AE64" s="109"/>
      <c r="AF64" s="167">
        <f>364.18</f>
        <v>364.18</v>
      </c>
      <c r="AG64" s="107" t="s">
        <v>89</v>
      </c>
      <c r="AH64" s="108"/>
      <c r="AI64" s="108"/>
      <c r="AJ64" s="108"/>
      <c r="AK64" s="108"/>
      <c r="AL64" s="109"/>
      <c r="AM64" s="167">
        <f>1063.81</f>
        <v>1063.81</v>
      </c>
      <c r="AN64" s="107"/>
      <c r="AO64" s="108"/>
      <c r="AP64" s="108"/>
      <c r="AQ64" s="108"/>
      <c r="AR64" s="108"/>
      <c r="AS64" s="109"/>
      <c r="AT64" s="167"/>
      <c r="AU64" s="107"/>
      <c r="AV64" s="108"/>
      <c r="AW64" s="108"/>
      <c r="AX64" s="108"/>
      <c r="AY64" s="108"/>
      <c r="AZ64" s="109"/>
      <c r="BA64" s="167"/>
      <c r="BB64" s="107"/>
      <c r="BC64" s="108"/>
      <c r="BD64" s="108"/>
      <c r="BE64" s="108"/>
      <c r="BF64" s="108"/>
      <c r="BG64" s="109"/>
      <c r="BH64" s="167"/>
      <c r="BI64" s="107"/>
      <c r="BJ64" s="108"/>
      <c r="BK64" s="108"/>
      <c r="BL64" s="108"/>
      <c r="BM64" s="108"/>
      <c r="BN64" s="109"/>
      <c r="BO64" s="167"/>
      <c r="BP64" s="107"/>
      <c r="BQ64" s="108"/>
      <c r="BR64" s="108"/>
      <c r="BS64" s="108"/>
      <c r="BT64" s="108"/>
      <c r="BU64" s="109"/>
      <c r="BV64" s="167"/>
      <c r="BW64" s="107"/>
      <c r="BX64" s="108"/>
      <c r="BY64" s="108"/>
      <c r="BZ64" s="108"/>
      <c r="CA64" s="108"/>
      <c r="CB64" s="109"/>
      <c r="CC64" s="167"/>
      <c r="CD64" s="107"/>
      <c r="CE64" s="108"/>
      <c r="CF64" s="108"/>
      <c r="CG64" s="108"/>
      <c r="CH64" s="108"/>
      <c r="CI64" s="109"/>
      <c r="CJ64" s="167"/>
      <c r="CK64" s="107"/>
      <c r="CL64" s="108"/>
      <c r="CM64" s="108"/>
      <c r="CN64" s="108"/>
      <c r="CO64" s="108"/>
      <c r="CP64" s="109"/>
      <c r="CQ64" s="167"/>
      <c r="CR64" s="139"/>
      <c r="CS64" s="139"/>
      <c r="CT64" s="139"/>
      <c r="CU64" s="139"/>
      <c r="CV64" s="139"/>
      <c r="CW64" s="139"/>
      <c r="CX64" s="139"/>
    </row>
    <row r="65" spans="1:105" ht="14.25" customHeight="1" x14ac:dyDescent="0.2">
      <c r="A65" s="139"/>
      <c r="L65" s="107" t="s">
        <v>159</v>
      </c>
      <c r="M65" s="108"/>
      <c r="N65" s="108"/>
      <c r="O65" s="108"/>
      <c r="P65" s="108"/>
      <c r="Q65" s="109"/>
      <c r="R65" s="165">
        <f>151.05+657.5+409.98</f>
        <v>1218.53</v>
      </c>
      <c r="S65" s="107" t="s">
        <v>159</v>
      </c>
      <c r="T65" s="108"/>
      <c r="U65" s="108"/>
      <c r="V65" s="108"/>
      <c r="W65" s="108"/>
      <c r="X65" s="109"/>
      <c r="Y65" s="167">
        <f>751.51</f>
        <v>751.51</v>
      </c>
      <c r="Z65" s="107" t="s">
        <v>159</v>
      </c>
      <c r="AA65" s="108"/>
      <c r="AB65" s="108"/>
      <c r="AC65" s="108"/>
      <c r="AD65" s="108"/>
      <c r="AE65" s="109"/>
      <c r="AF65" s="167"/>
      <c r="AG65" s="107" t="s">
        <v>159</v>
      </c>
      <c r="AH65" s="108"/>
      <c r="AI65" s="108"/>
      <c r="AJ65" s="108"/>
      <c r="AK65" s="108"/>
      <c r="AL65" s="109"/>
      <c r="AM65" s="167">
        <f>760+320</f>
        <v>1080</v>
      </c>
      <c r="AN65" s="107"/>
      <c r="AO65" s="108"/>
      <c r="AP65" s="108"/>
      <c r="AQ65" s="108"/>
      <c r="AR65" s="108"/>
      <c r="AS65" s="109"/>
      <c r="AT65" s="167"/>
      <c r="AU65" s="107"/>
      <c r="AV65" s="108"/>
      <c r="AW65" s="108"/>
      <c r="AX65" s="108"/>
      <c r="AY65" s="108"/>
      <c r="AZ65" s="109"/>
      <c r="BA65" s="167"/>
      <c r="BB65" s="107"/>
      <c r="BC65" s="108"/>
      <c r="BD65" s="108"/>
      <c r="BE65" s="108"/>
      <c r="BF65" s="108"/>
      <c r="BG65" s="109"/>
      <c r="BH65" s="167"/>
      <c r="BI65" s="107"/>
      <c r="BJ65" s="108"/>
      <c r="BK65" s="108"/>
      <c r="BL65" s="108"/>
      <c r="BM65" s="108"/>
      <c r="BN65" s="109"/>
      <c r="BO65" s="167"/>
      <c r="BP65" s="107"/>
      <c r="BQ65" s="108"/>
      <c r="BR65" s="108"/>
      <c r="BS65" s="108"/>
      <c r="BT65" s="108"/>
      <c r="BU65" s="109"/>
      <c r="BV65" s="167"/>
      <c r="BW65" s="107"/>
      <c r="BX65" s="108"/>
      <c r="BY65" s="108"/>
      <c r="BZ65" s="108"/>
      <c r="CA65" s="108"/>
      <c r="CB65" s="109"/>
      <c r="CC65" s="167"/>
      <c r="CD65" s="107"/>
      <c r="CE65" s="108"/>
      <c r="CF65" s="108"/>
      <c r="CG65" s="108"/>
      <c r="CH65" s="108"/>
      <c r="CI65" s="109"/>
      <c r="CJ65" s="167"/>
      <c r="CK65" s="107"/>
      <c r="CL65" s="108"/>
      <c r="CM65" s="108"/>
      <c r="CN65" s="108"/>
      <c r="CO65" s="108"/>
      <c r="CP65" s="109"/>
      <c r="CQ65" s="167"/>
      <c r="CR65" s="139"/>
      <c r="CS65" s="139"/>
      <c r="CT65" s="139"/>
      <c r="CU65" s="139"/>
      <c r="CV65" s="139"/>
      <c r="CW65" s="139"/>
      <c r="CX65" s="139"/>
    </row>
    <row r="66" spans="1:105" ht="14.25" customHeight="1" x14ac:dyDescent="0.2">
      <c r="A66" s="139"/>
      <c r="L66" s="107" t="s">
        <v>94</v>
      </c>
      <c r="M66" s="108"/>
      <c r="N66" s="108"/>
      <c r="O66" s="108"/>
      <c r="P66" s="108"/>
      <c r="Q66" s="109"/>
      <c r="R66" s="165">
        <f>177.1</f>
        <v>177.1</v>
      </c>
      <c r="S66" s="107" t="s">
        <v>94</v>
      </c>
      <c r="T66" s="108"/>
      <c r="U66" s="108"/>
      <c r="V66" s="108"/>
      <c r="W66" s="108"/>
      <c r="X66" s="109"/>
      <c r="Y66" s="167"/>
      <c r="Z66" s="107" t="s">
        <v>94</v>
      </c>
      <c r="AA66" s="108"/>
      <c r="AB66" s="108"/>
      <c r="AC66" s="108"/>
      <c r="AD66" s="108"/>
      <c r="AE66" s="109"/>
      <c r="AF66" s="167"/>
      <c r="AG66" s="107" t="s">
        <v>94</v>
      </c>
      <c r="AH66" s="108"/>
      <c r="AI66" s="108"/>
      <c r="AJ66" s="108"/>
      <c r="AK66" s="108"/>
      <c r="AL66" s="109"/>
      <c r="AM66" s="167"/>
      <c r="AN66" s="107"/>
      <c r="AO66" s="108"/>
      <c r="AP66" s="108"/>
      <c r="AQ66" s="108"/>
      <c r="AR66" s="108"/>
      <c r="AS66" s="109"/>
      <c r="AT66" s="167"/>
      <c r="AU66" s="107"/>
      <c r="AV66" s="108"/>
      <c r="AW66" s="108"/>
      <c r="AX66" s="108"/>
      <c r="AY66" s="108"/>
      <c r="AZ66" s="109"/>
      <c r="BA66" s="167"/>
      <c r="BB66" s="107"/>
      <c r="BC66" s="108"/>
      <c r="BD66" s="108"/>
      <c r="BE66" s="108"/>
      <c r="BF66" s="108"/>
      <c r="BG66" s="109"/>
      <c r="BH66" s="167"/>
      <c r="BI66" s="107"/>
      <c r="BJ66" s="108"/>
      <c r="BK66" s="108"/>
      <c r="BL66" s="108"/>
      <c r="BM66" s="108"/>
      <c r="BN66" s="109"/>
      <c r="BO66" s="167"/>
      <c r="BP66" s="107"/>
      <c r="BQ66" s="108"/>
      <c r="BR66" s="108"/>
      <c r="BS66" s="108"/>
      <c r="BT66" s="108"/>
      <c r="BU66" s="109"/>
      <c r="BV66" s="167"/>
      <c r="BW66" s="107"/>
      <c r="BX66" s="108"/>
      <c r="BY66" s="108"/>
      <c r="BZ66" s="108"/>
      <c r="CA66" s="108"/>
      <c r="CB66" s="109"/>
      <c r="CC66" s="167"/>
      <c r="CD66" s="107"/>
      <c r="CE66" s="108"/>
      <c r="CF66" s="108"/>
      <c r="CG66" s="108"/>
      <c r="CH66" s="108"/>
      <c r="CI66" s="109"/>
      <c r="CJ66" s="167"/>
      <c r="CK66" s="107"/>
      <c r="CL66" s="108"/>
      <c r="CM66" s="108"/>
      <c r="CN66" s="108"/>
      <c r="CO66" s="108"/>
      <c r="CP66" s="109"/>
      <c r="CQ66" s="167"/>
      <c r="CR66" s="139"/>
      <c r="CS66" s="139"/>
      <c r="CT66" s="139"/>
      <c r="CU66" s="139"/>
      <c r="CV66" s="139"/>
      <c r="CW66" s="139"/>
      <c r="CX66" s="139"/>
    </row>
    <row r="67" spans="1:105" ht="14.25" customHeight="1" x14ac:dyDescent="0.2">
      <c r="A67" s="139"/>
      <c r="L67" s="107" t="s">
        <v>95</v>
      </c>
      <c r="M67" s="108"/>
      <c r="N67" s="108"/>
      <c r="O67" s="108"/>
      <c r="P67" s="108"/>
      <c r="Q67" s="109"/>
      <c r="R67" s="165">
        <f>675</f>
        <v>675</v>
      </c>
      <c r="S67" s="107" t="s">
        <v>95</v>
      </c>
      <c r="T67" s="108"/>
      <c r="U67" s="108"/>
      <c r="V67" s="108"/>
      <c r="W67" s="108"/>
      <c r="X67" s="109"/>
      <c r="Y67" s="167"/>
      <c r="Z67" s="107" t="s">
        <v>95</v>
      </c>
      <c r="AA67" s="108"/>
      <c r="AB67" s="108"/>
      <c r="AC67" s="108"/>
      <c r="AD67" s="108"/>
      <c r="AE67" s="109"/>
      <c r="AF67" s="167">
        <f>675</f>
        <v>675</v>
      </c>
      <c r="AG67" s="107" t="s">
        <v>95</v>
      </c>
      <c r="AH67" s="108"/>
      <c r="AI67" s="108"/>
      <c r="AJ67" s="108"/>
      <c r="AK67" s="108"/>
      <c r="AL67" s="109"/>
      <c r="AM67" s="167">
        <f>725</f>
        <v>725</v>
      </c>
      <c r="AN67" s="107"/>
      <c r="AO67" s="108"/>
      <c r="AP67" s="108"/>
      <c r="AQ67" s="108"/>
      <c r="AR67" s="108"/>
      <c r="AS67" s="109"/>
      <c r="AT67" s="167"/>
      <c r="AU67" s="107"/>
      <c r="AV67" s="108"/>
      <c r="AW67" s="108"/>
      <c r="AX67" s="108"/>
      <c r="AY67" s="108"/>
      <c r="AZ67" s="109"/>
      <c r="BA67" s="167"/>
      <c r="BB67" s="107"/>
      <c r="BC67" s="108"/>
      <c r="BD67" s="108"/>
      <c r="BE67" s="108"/>
      <c r="BF67" s="108"/>
      <c r="BG67" s="109"/>
      <c r="BH67" s="167"/>
      <c r="BI67" s="107"/>
      <c r="BJ67" s="108"/>
      <c r="BK67" s="108"/>
      <c r="BL67" s="108"/>
      <c r="BM67" s="108"/>
      <c r="BN67" s="109"/>
      <c r="BO67" s="167"/>
      <c r="BP67" s="107"/>
      <c r="BQ67" s="108"/>
      <c r="BR67" s="108"/>
      <c r="BS67" s="108"/>
      <c r="BT67" s="108"/>
      <c r="BU67" s="109"/>
      <c r="BV67" s="167"/>
      <c r="BW67" s="107"/>
      <c r="BX67" s="108"/>
      <c r="BY67" s="108"/>
      <c r="BZ67" s="108"/>
      <c r="CA67" s="108"/>
      <c r="CB67" s="109"/>
      <c r="CC67" s="167"/>
      <c r="CD67" s="107"/>
      <c r="CE67" s="108"/>
      <c r="CF67" s="108"/>
      <c r="CG67" s="108"/>
      <c r="CH67" s="108"/>
      <c r="CI67" s="109"/>
      <c r="CJ67" s="167"/>
      <c r="CK67" s="107"/>
      <c r="CL67" s="108"/>
      <c r="CM67" s="108"/>
      <c r="CN67" s="108"/>
      <c r="CO67" s="108"/>
      <c r="CP67" s="109"/>
      <c r="CQ67" s="167"/>
      <c r="CR67" s="139"/>
      <c r="CS67" s="139"/>
      <c r="CT67" s="139"/>
      <c r="CU67" s="139"/>
      <c r="CV67" s="139"/>
      <c r="CW67" s="139"/>
      <c r="CX67" s="139"/>
    </row>
    <row r="68" spans="1:105" ht="14.25" customHeight="1" x14ac:dyDescent="0.2">
      <c r="A68" s="139"/>
      <c r="L68" s="107" t="s">
        <v>90</v>
      </c>
      <c r="M68" s="108"/>
      <c r="N68" s="108"/>
      <c r="O68" s="108"/>
      <c r="P68" s="108"/>
      <c r="Q68" s="109"/>
      <c r="R68" s="165">
        <f>635</f>
        <v>635</v>
      </c>
      <c r="S68" s="107" t="s">
        <v>90</v>
      </c>
      <c r="T68" s="108"/>
      <c r="U68" s="108"/>
      <c r="V68" s="108"/>
      <c r="W68" s="108"/>
      <c r="X68" s="109"/>
      <c r="Y68" s="167">
        <f>66</f>
        <v>66</v>
      </c>
      <c r="Z68" s="107" t="s">
        <v>90</v>
      </c>
      <c r="AA68" s="108"/>
      <c r="AB68" s="108"/>
      <c r="AC68" s="108"/>
      <c r="AD68" s="108"/>
      <c r="AE68" s="109"/>
      <c r="AF68" s="167">
        <f>4276</f>
        <v>4276</v>
      </c>
      <c r="AG68" s="107" t="s">
        <v>90</v>
      </c>
      <c r="AH68" s="108"/>
      <c r="AI68" s="108"/>
      <c r="AJ68" s="108"/>
      <c r="AK68" s="108"/>
      <c r="AL68" s="109"/>
      <c r="AM68" s="167">
        <f>678.5</f>
        <v>678.5</v>
      </c>
      <c r="AN68" s="107"/>
      <c r="AO68" s="108"/>
      <c r="AP68" s="108"/>
      <c r="AQ68" s="108"/>
      <c r="AR68" s="108"/>
      <c r="AS68" s="109"/>
      <c r="AT68" s="167"/>
      <c r="AU68" s="107"/>
      <c r="AV68" s="108"/>
      <c r="AW68" s="108"/>
      <c r="AX68" s="108"/>
      <c r="AY68" s="108"/>
      <c r="AZ68" s="109"/>
      <c r="BA68" s="167"/>
      <c r="BB68" s="107"/>
      <c r="BC68" s="108"/>
      <c r="BD68" s="108"/>
      <c r="BE68" s="108"/>
      <c r="BF68" s="108"/>
      <c r="BG68" s="109"/>
      <c r="BH68" s="167"/>
      <c r="BI68" s="107"/>
      <c r="BJ68" s="108"/>
      <c r="BK68" s="108"/>
      <c r="BL68" s="108"/>
      <c r="BM68" s="108"/>
      <c r="BN68" s="109"/>
      <c r="BO68" s="167"/>
      <c r="BP68" s="107"/>
      <c r="BQ68" s="108"/>
      <c r="BR68" s="108"/>
      <c r="BS68" s="108"/>
      <c r="BT68" s="108"/>
      <c r="BU68" s="109"/>
      <c r="BV68" s="167"/>
      <c r="BW68" s="107"/>
      <c r="BX68" s="108"/>
      <c r="BY68" s="108"/>
      <c r="BZ68" s="108"/>
      <c r="CA68" s="108"/>
      <c r="CB68" s="109"/>
      <c r="CC68" s="167"/>
      <c r="CD68" s="107"/>
      <c r="CE68" s="108"/>
      <c r="CF68" s="108"/>
      <c r="CG68" s="108"/>
      <c r="CH68" s="108"/>
      <c r="CI68" s="109"/>
      <c r="CJ68" s="167"/>
      <c r="CK68" s="107"/>
      <c r="CL68" s="108"/>
      <c r="CM68" s="108"/>
      <c r="CN68" s="108"/>
      <c r="CO68" s="108"/>
      <c r="CP68" s="109"/>
      <c r="CQ68" s="167"/>
      <c r="CR68" s="139"/>
      <c r="CS68" s="139"/>
      <c r="CT68" s="139"/>
      <c r="CU68" s="139"/>
      <c r="CV68" s="139"/>
      <c r="CW68" s="139"/>
      <c r="CX68" s="139"/>
    </row>
    <row r="69" spans="1:105" ht="14.25" customHeight="1" x14ac:dyDescent="0.2">
      <c r="A69" s="139"/>
      <c r="L69" s="107" t="s">
        <v>188</v>
      </c>
      <c r="M69" s="108"/>
      <c r="N69" s="108"/>
      <c r="O69" s="108"/>
      <c r="P69" s="108"/>
      <c r="Q69" s="109"/>
      <c r="R69" s="165">
        <f>1069.98</f>
        <v>1069.98</v>
      </c>
      <c r="S69" s="107" t="s">
        <v>188</v>
      </c>
      <c r="T69" s="108"/>
      <c r="U69" s="108"/>
      <c r="V69" s="108"/>
      <c r="W69" s="108"/>
      <c r="X69" s="109"/>
      <c r="Y69" s="167"/>
      <c r="Z69" s="107" t="s">
        <v>188</v>
      </c>
      <c r="AA69" s="108"/>
      <c r="AB69" s="108"/>
      <c r="AC69" s="108"/>
      <c r="AD69" s="108"/>
      <c r="AE69" s="109"/>
      <c r="AF69" s="167"/>
      <c r="AG69" s="107" t="s">
        <v>188</v>
      </c>
      <c r="AH69" s="108"/>
      <c r="AI69" s="108"/>
      <c r="AJ69" s="108"/>
      <c r="AK69" s="108"/>
      <c r="AL69" s="109"/>
      <c r="AM69" s="167"/>
      <c r="AN69" s="107"/>
      <c r="AO69" s="108"/>
      <c r="AP69" s="108"/>
      <c r="AQ69" s="108"/>
      <c r="AR69" s="108"/>
      <c r="AS69" s="109"/>
      <c r="AT69" s="167"/>
      <c r="AU69" s="107"/>
      <c r="AV69" s="108"/>
      <c r="AW69" s="108"/>
      <c r="AX69" s="108"/>
      <c r="AY69" s="108"/>
      <c r="AZ69" s="109"/>
      <c r="BA69" s="167"/>
      <c r="BB69" s="107"/>
      <c r="BC69" s="108"/>
      <c r="BD69" s="108"/>
      <c r="BE69" s="108"/>
      <c r="BF69" s="108"/>
      <c r="BG69" s="109"/>
      <c r="BH69" s="167"/>
      <c r="BI69" s="107"/>
      <c r="BJ69" s="108"/>
      <c r="BK69" s="108"/>
      <c r="BL69" s="108"/>
      <c r="BM69" s="108"/>
      <c r="BN69" s="109"/>
      <c r="BO69" s="167"/>
      <c r="BP69" s="107"/>
      <c r="BQ69" s="108"/>
      <c r="BR69" s="108"/>
      <c r="BS69" s="108"/>
      <c r="BT69" s="108"/>
      <c r="BU69" s="109"/>
      <c r="BV69" s="167"/>
      <c r="BW69" s="107"/>
      <c r="BX69" s="108"/>
      <c r="BY69" s="108"/>
      <c r="BZ69" s="108"/>
      <c r="CA69" s="108"/>
      <c r="CB69" s="109"/>
      <c r="CC69" s="167"/>
      <c r="CD69" s="107"/>
      <c r="CE69" s="108"/>
      <c r="CF69" s="108"/>
      <c r="CG69" s="108"/>
      <c r="CH69" s="108"/>
      <c r="CI69" s="109"/>
      <c r="CJ69" s="167"/>
      <c r="CK69" s="107"/>
      <c r="CL69" s="108"/>
      <c r="CM69" s="108"/>
      <c r="CN69" s="108"/>
      <c r="CO69" s="108"/>
      <c r="CP69" s="109"/>
      <c r="CQ69" s="167"/>
      <c r="CR69" s="139"/>
      <c r="CS69" s="139"/>
      <c r="CT69" s="139"/>
      <c r="CU69" s="139"/>
      <c r="CV69" s="139"/>
      <c r="CW69" s="139"/>
      <c r="CX69" s="139"/>
    </row>
    <row r="70" spans="1:105" ht="14.25" customHeight="1" x14ac:dyDescent="0.2">
      <c r="A70" s="139"/>
      <c r="L70" s="107" t="s">
        <v>98</v>
      </c>
      <c r="M70" s="108"/>
      <c r="N70" s="108"/>
      <c r="O70" s="108"/>
      <c r="P70" s="108"/>
      <c r="Q70" s="109"/>
      <c r="R70" s="165">
        <f>194.57</f>
        <v>194.57</v>
      </c>
      <c r="S70" s="107" t="s">
        <v>98</v>
      </c>
      <c r="T70" s="108"/>
      <c r="U70" s="108"/>
      <c r="V70" s="108"/>
      <c r="W70" s="108"/>
      <c r="X70" s="109"/>
      <c r="Y70" s="167">
        <f>102.35</f>
        <v>102.35</v>
      </c>
      <c r="Z70" s="107" t="s">
        <v>98</v>
      </c>
      <c r="AA70" s="108"/>
      <c r="AB70" s="108"/>
      <c r="AC70" s="108"/>
      <c r="AD70" s="108"/>
      <c r="AE70" s="109"/>
      <c r="AF70" s="167">
        <f>102.35</f>
        <v>102.35</v>
      </c>
      <c r="AG70" s="107" t="s">
        <v>98</v>
      </c>
      <c r="AH70" s="108"/>
      <c r="AI70" s="108"/>
      <c r="AJ70" s="108"/>
      <c r="AK70" s="108"/>
      <c r="AL70" s="109"/>
      <c r="AM70" s="167">
        <f>102.35</f>
        <v>102.35</v>
      </c>
      <c r="AN70" s="107"/>
      <c r="AO70" s="108"/>
      <c r="AP70" s="108"/>
      <c r="AQ70" s="108"/>
      <c r="AR70" s="108"/>
      <c r="AS70" s="109"/>
      <c r="AT70" s="167"/>
      <c r="AU70" s="107"/>
      <c r="AV70" s="108"/>
      <c r="AW70" s="108"/>
      <c r="AX70" s="108"/>
      <c r="AY70" s="108"/>
      <c r="AZ70" s="109"/>
      <c r="BA70" s="167"/>
      <c r="BB70" s="107"/>
      <c r="BC70" s="108"/>
      <c r="BD70" s="108"/>
      <c r="BE70" s="108"/>
      <c r="BF70" s="108"/>
      <c r="BG70" s="109"/>
      <c r="BH70" s="167"/>
      <c r="BI70" s="107"/>
      <c r="BJ70" s="108"/>
      <c r="BK70" s="108"/>
      <c r="BL70" s="108"/>
      <c r="BM70" s="108"/>
      <c r="BN70" s="109"/>
      <c r="BO70" s="167"/>
      <c r="BP70" s="107"/>
      <c r="BQ70" s="108"/>
      <c r="BR70" s="108"/>
      <c r="BS70" s="108"/>
      <c r="BT70" s="108"/>
      <c r="BU70" s="109"/>
      <c r="BV70" s="167"/>
      <c r="BW70" s="107"/>
      <c r="BX70" s="108"/>
      <c r="BY70" s="108"/>
      <c r="BZ70" s="108"/>
      <c r="CA70" s="108"/>
      <c r="CB70" s="109"/>
      <c r="CC70" s="167"/>
      <c r="CD70" s="107"/>
      <c r="CE70" s="108"/>
      <c r="CF70" s="108"/>
      <c r="CG70" s="108"/>
      <c r="CH70" s="108"/>
      <c r="CI70" s="109"/>
      <c r="CJ70" s="167"/>
      <c r="CK70" s="107"/>
      <c r="CL70" s="108"/>
      <c r="CM70" s="108"/>
      <c r="CN70" s="108"/>
      <c r="CO70" s="108"/>
      <c r="CP70" s="109"/>
      <c r="CQ70" s="167"/>
      <c r="CR70" s="139"/>
      <c r="CS70" s="139"/>
      <c r="CT70" s="139"/>
      <c r="CU70" s="139"/>
      <c r="CV70" s="139"/>
      <c r="CW70" s="139"/>
      <c r="CX70" s="139"/>
    </row>
    <row r="71" spans="1:105" ht="14.25" customHeight="1" x14ac:dyDescent="0.2">
      <c r="A71" s="139"/>
      <c r="L71" s="107"/>
      <c r="M71" s="108"/>
      <c r="N71" s="108"/>
      <c r="O71" s="108"/>
      <c r="P71" s="108"/>
      <c r="Q71" s="109"/>
      <c r="R71" s="167"/>
      <c r="S71" s="107" t="s">
        <v>109</v>
      </c>
      <c r="T71" s="108"/>
      <c r="U71" s="108"/>
      <c r="V71" s="108"/>
      <c r="W71" s="108"/>
      <c r="X71" s="109"/>
      <c r="Y71" s="167">
        <f>125</f>
        <v>125</v>
      </c>
      <c r="Z71" s="107" t="s">
        <v>109</v>
      </c>
      <c r="AA71" s="108"/>
      <c r="AB71" s="108"/>
      <c r="AC71" s="108"/>
      <c r="AD71" s="108"/>
      <c r="AE71" s="109"/>
      <c r="AF71" s="167">
        <f>100</f>
        <v>100</v>
      </c>
      <c r="AG71" s="107" t="s">
        <v>109</v>
      </c>
      <c r="AH71" s="108"/>
      <c r="AI71" s="108"/>
      <c r="AJ71" s="108"/>
      <c r="AK71" s="108"/>
      <c r="AL71" s="109"/>
      <c r="AM71" s="167">
        <f>50</f>
        <v>50</v>
      </c>
      <c r="AN71" s="107"/>
      <c r="AO71" s="108"/>
      <c r="AP71" s="108"/>
      <c r="AQ71" s="108"/>
      <c r="AR71" s="108"/>
      <c r="AS71" s="109"/>
      <c r="AT71" s="167"/>
      <c r="AU71" s="107"/>
      <c r="AV71" s="108"/>
      <c r="AW71" s="108"/>
      <c r="AX71" s="108"/>
      <c r="AY71" s="108"/>
      <c r="AZ71" s="109"/>
      <c r="BA71" s="167"/>
      <c r="BB71" s="107"/>
      <c r="BC71" s="108"/>
      <c r="BD71" s="108"/>
      <c r="BE71" s="108"/>
      <c r="BF71" s="108"/>
      <c r="BG71" s="109"/>
      <c r="BH71" s="167"/>
      <c r="BI71" s="107"/>
      <c r="BJ71" s="108"/>
      <c r="BK71" s="108"/>
      <c r="BL71" s="108"/>
      <c r="BM71" s="108"/>
      <c r="BN71" s="109"/>
      <c r="BO71" s="167"/>
      <c r="BP71" s="107"/>
      <c r="BQ71" s="108"/>
      <c r="BR71" s="108"/>
      <c r="BS71" s="108"/>
      <c r="BT71" s="108"/>
      <c r="BU71" s="109"/>
      <c r="BV71" s="167"/>
      <c r="BW71" s="107"/>
      <c r="BX71" s="108"/>
      <c r="BY71" s="108"/>
      <c r="BZ71" s="108"/>
      <c r="CA71" s="108"/>
      <c r="CB71" s="109"/>
      <c r="CC71" s="167"/>
      <c r="CD71" s="107"/>
      <c r="CE71" s="108"/>
      <c r="CF71" s="108"/>
      <c r="CG71" s="108"/>
      <c r="CH71" s="108"/>
      <c r="CI71" s="109"/>
      <c r="CJ71" s="167"/>
      <c r="CK71" s="107"/>
      <c r="CL71" s="108"/>
      <c r="CM71" s="108"/>
      <c r="CN71" s="108"/>
      <c r="CO71" s="108"/>
      <c r="CP71" s="109"/>
      <c r="CQ71" s="167"/>
      <c r="CR71" s="139"/>
      <c r="CS71" s="139"/>
      <c r="CT71" s="139"/>
      <c r="CU71" s="139"/>
      <c r="CV71" s="139"/>
      <c r="CW71" s="139"/>
      <c r="CX71" s="139"/>
    </row>
    <row r="72" spans="1:105" ht="14.25" customHeight="1" x14ac:dyDescent="0.2">
      <c r="A72" s="139"/>
      <c r="L72" s="107"/>
      <c r="M72" s="108"/>
      <c r="N72" s="108"/>
      <c r="O72" s="108"/>
      <c r="P72" s="108"/>
      <c r="Q72" s="109"/>
      <c r="R72" s="167"/>
      <c r="S72" s="107" t="s">
        <v>189</v>
      </c>
      <c r="T72" s="108"/>
      <c r="U72" s="108"/>
      <c r="V72" s="108"/>
      <c r="W72" s="108"/>
      <c r="X72" s="109"/>
      <c r="Y72" s="167">
        <v>220</v>
      </c>
      <c r="Z72" s="107" t="s">
        <v>189</v>
      </c>
      <c r="AA72" s="108"/>
      <c r="AB72" s="108"/>
      <c r="AC72" s="108"/>
      <c r="AD72" s="108"/>
      <c r="AE72" s="109"/>
      <c r="AF72" s="167"/>
      <c r="AG72" s="107" t="s">
        <v>189</v>
      </c>
      <c r="AH72" s="108"/>
      <c r="AI72" s="108"/>
      <c r="AJ72" s="108"/>
      <c r="AK72" s="108"/>
      <c r="AL72" s="109"/>
      <c r="AM72" s="167"/>
      <c r="AN72" s="107"/>
      <c r="AO72" s="108"/>
      <c r="AP72" s="108"/>
      <c r="AQ72" s="108"/>
      <c r="AR72" s="108"/>
      <c r="AS72" s="109"/>
      <c r="AT72" s="167"/>
      <c r="AU72" s="107"/>
      <c r="AV72" s="108"/>
      <c r="AW72" s="108"/>
      <c r="AX72" s="108"/>
      <c r="AY72" s="108"/>
      <c r="AZ72" s="109"/>
      <c r="BA72" s="167"/>
      <c r="BB72" s="107"/>
      <c r="BC72" s="108"/>
      <c r="BD72" s="108"/>
      <c r="BE72" s="108"/>
      <c r="BF72" s="108"/>
      <c r="BG72" s="109"/>
      <c r="BH72" s="167"/>
      <c r="BI72" s="107"/>
      <c r="BJ72" s="108"/>
      <c r="BK72" s="108"/>
      <c r="BL72" s="108"/>
      <c r="BM72" s="108"/>
      <c r="BN72" s="109"/>
      <c r="BO72" s="167"/>
      <c r="BP72" s="107"/>
      <c r="BQ72" s="108"/>
      <c r="BR72" s="108"/>
      <c r="BS72" s="108"/>
      <c r="BT72" s="108"/>
      <c r="BU72" s="109"/>
      <c r="BV72" s="167"/>
      <c r="BW72" s="107"/>
      <c r="BX72" s="108"/>
      <c r="BY72" s="108"/>
      <c r="BZ72" s="108"/>
      <c r="CA72" s="108"/>
      <c r="CB72" s="109"/>
      <c r="CC72" s="167"/>
      <c r="CD72" s="107"/>
      <c r="CE72" s="108"/>
      <c r="CF72" s="108"/>
      <c r="CG72" s="108"/>
      <c r="CH72" s="108"/>
      <c r="CI72" s="109"/>
      <c r="CJ72" s="167"/>
      <c r="CK72" s="107"/>
      <c r="CL72" s="108"/>
      <c r="CM72" s="108"/>
      <c r="CN72" s="108"/>
      <c r="CO72" s="108"/>
      <c r="CP72" s="109"/>
      <c r="CQ72" s="167"/>
      <c r="CR72" s="139"/>
      <c r="CS72" s="139"/>
      <c r="CT72" s="139"/>
      <c r="CU72" s="139"/>
      <c r="CV72" s="139"/>
      <c r="CW72" s="139"/>
      <c r="CX72" s="139"/>
    </row>
    <row r="73" spans="1:105" ht="14.25" customHeight="1" x14ac:dyDescent="0.2">
      <c r="A73" s="139"/>
      <c r="L73" s="107"/>
      <c r="M73" s="108"/>
      <c r="N73" s="108"/>
      <c r="O73" s="108"/>
      <c r="P73" s="108"/>
      <c r="Q73" s="109"/>
      <c r="R73" s="167"/>
      <c r="S73" s="107" t="s">
        <v>129</v>
      </c>
      <c r="T73" s="108"/>
      <c r="U73" s="108"/>
      <c r="V73" s="108"/>
      <c r="W73" s="108"/>
      <c r="X73" s="109"/>
      <c r="Y73" s="167">
        <v>238.74</v>
      </c>
      <c r="Z73" s="107" t="s">
        <v>129</v>
      </c>
      <c r="AA73" s="108"/>
      <c r="AB73" s="108"/>
      <c r="AC73" s="108"/>
      <c r="AD73" s="108"/>
      <c r="AE73" s="109"/>
      <c r="AF73" s="167"/>
      <c r="AG73" s="107" t="s">
        <v>129</v>
      </c>
      <c r="AH73" s="108"/>
      <c r="AI73" s="108"/>
      <c r="AJ73" s="108"/>
      <c r="AK73" s="108"/>
      <c r="AL73" s="109"/>
      <c r="AM73" s="167">
        <f>238.74</f>
        <v>238.74</v>
      </c>
      <c r="AN73" s="107"/>
      <c r="AO73" s="108"/>
      <c r="AP73" s="108"/>
      <c r="AQ73" s="108"/>
      <c r="AR73" s="108"/>
      <c r="AS73" s="109"/>
      <c r="AT73" s="167"/>
      <c r="AU73" s="107"/>
      <c r="AV73" s="108"/>
      <c r="AW73" s="108"/>
      <c r="AX73" s="108"/>
      <c r="AY73" s="108"/>
      <c r="AZ73" s="109"/>
      <c r="BA73" s="167"/>
      <c r="BB73" s="107"/>
      <c r="BC73" s="108"/>
      <c r="BD73" s="108"/>
      <c r="BE73" s="108"/>
      <c r="BF73" s="108"/>
      <c r="BG73" s="109"/>
      <c r="BH73" s="167"/>
      <c r="BI73" s="107"/>
      <c r="BJ73" s="108"/>
      <c r="BK73" s="108"/>
      <c r="BL73" s="108"/>
      <c r="BM73" s="108"/>
      <c r="BN73" s="109"/>
      <c r="BO73" s="167"/>
      <c r="BP73" s="107"/>
      <c r="BQ73" s="108"/>
      <c r="BR73" s="108"/>
      <c r="BS73" s="108"/>
      <c r="BT73" s="108"/>
      <c r="BU73" s="109"/>
      <c r="BV73" s="167"/>
      <c r="BW73" s="107"/>
      <c r="BX73" s="108"/>
      <c r="BY73" s="108"/>
      <c r="BZ73" s="108"/>
      <c r="CA73" s="108"/>
      <c r="CB73" s="109"/>
      <c r="CC73" s="167"/>
      <c r="CD73" s="107"/>
      <c r="CE73" s="108"/>
      <c r="CF73" s="108"/>
      <c r="CG73" s="108"/>
      <c r="CH73" s="108"/>
      <c r="CI73" s="109"/>
      <c r="CJ73" s="167"/>
      <c r="CK73" s="107"/>
      <c r="CL73" s="108"/>
      <c r="CM73" s="108"/>
      <c r="CN73" s="108"/>
      <c r="CO73" s="108"/>
      <c r="CP73" s="109"/>
      <c r="CQ73" s="167"/>
      <c r="CR73" s="139"/>
      <c r="CS73" s="139"/>
      <c r="CT73" s="139"/>
      <c r="CU73" s="139"/>
      <c r="CV73" s="139"/>
      <c r="CW73" s="139"/>
      <c r="CX73" s="139"/>
    </row>
    <row r="74" spans="1:105" ht="14.25" customHeight="1" x14ac:dyDescent="0.2">
      <c r="A74" s="139"/>
      <c r="L74" s="107"/>
      <c r="M74" s="108"/>
      <c r="N74" s="108"/>
      <c r="O74" s="108"/>
      <c r="P74" s="108"/>
      <c r="Q74" s="109"/>
      <c r="R74" s="167"/>
      <c r="S74" s="107"/>
      <c r="T74" s="108"/>
      <c r="U74" s="108"/>
      <c r="V74" s="108"/>
      <c r="W74" s="108"/>
      <c r="X74" s="109"/>
      <c r="Y74" s="167"/>
      <c r="Z74" s="107" t="s">
        <v>122</v>
      </c>
      <c r="AA74" s="108"/>
      <c r="AB74" s="108"/>
      <c r="AC74" s="108"/>
      <c r="AD74" s="108"/>
      <c r="AE74" s="109"/>
      <c r="AF74" s="167">
        <v>78.040000000000006</v>
      </c>
      <c r="AG74" s="107" t="s">
        <v>122</v>
      </c>
      <c r="AH74" s="108"/>
      <c r="AI74" s="108"/>
      <c r="AJ74" s="108"/>
      <c r="AK74" s="108"/>
      <c r="AL74" s="109"/>
      <c r="AM74" s="167"/>
      <c r="AN74" s="107"/>
      <c r="AO74" s="108"/>
      <c r="AP74" s="108"/>
      <c r="AQ74" s="108"/>
      <c r="AR74" s="108"/>
      <c r="AS74" s="109"/>
      <c r="AT74" s="167"/>
      <c r="AU74" s="107"/>
      <c r="AV74" s="108"/>
      <c r="AW74" s="108"/>
      <c r="AX74" s="108"/>
      <c r="AY74" s="108"/>
      <c r="AZ74" s="109"/>
      <c r="BA74" s="167"/>
      <c r="BB74" s="107"/>
      <c r="BC74" s="108"/>
      <c r="BD74" s="108"/>
      <c r="BE74" s="108"/>
      <c r="BF74" s="108"/>
      <c r="BG74" s="109"/>
      <c r="BH74" s="167"/>
      <c r="BI74" s="107"/>
      <c r="BJ74" s="108"/>
      <c r="BK74" s="108"/>
      <c r="BL74" s="108"/>
      <c r="BM74" s="108"/>
      <c r="BN74" s="109"/>
      <c r="BO74" s="167"/>
      <c r="BP74" s="107"/>
      <c r="BQ74" s="108"/>
      <c r="BR74" s="108"/>
      <c r="BS74" s="108"/>
      <c r="BT74" s="108"/>
      <c r="BU74" s="109"/>
      <c r="BV74" s="167"/>
      <c r="BW74" s="107"/>
      <c r="BX74" s="108"/>
      <c r="BY74" s="108"/>
      <c r="BZ74" s="108"/>
      <c r="CA74" s="108"/>
      <c r="CB74" s="109"/>
      <c r="CC74" s="167"/>
      <c r="CD74" s="107"/>
      <c r="CE74" s="108"/>
      <c r="CF74" s="108"/>
      <c r="CG74" s="108"/>
      <c r="CH74" s="108"/>
      <c r="CI74" s="109"/>
      <c r="CJ74" s="167"/>
      <c r="CK74" s="107"/>
      <c r="CL74" s="108"/>
      <c r="CM74" s="108"/>
      <c r="CN74" s="108"/>
      <c r="CO74" s="108"/>
      <c r="CP74" s="109"/>
      <c r="CQ74" s="167"/>
      <c r="CR74" s="139"/>
      <c r="CS74" s="139"/>
      <c r="CT74" s="139"/>
      <c r="CU74" s="139"/>
      <c r="CV74" s="139"/>
      <c r="CW74" s="139"/>
      <c r="CX74" s="139"/>
    </row>
    <row r="75" spans="1:105" ht="14.25" customHeight="1" x14ac:dyDescent="0.2">
      <c r="A75" s="139"/>
      <c r="L75" s="107"/>
      <c r="M75" s="108"/>
      <c r="N75" s="108"/>
      <c r="O75" s="108"/>
      <c r="P75" s="108"/>
      <c r="Q75" s="109"/>
      <c r="R75" s="167"/>
      <c r="S75" s="107"/>
      <c r="T75" s="108"/>
      <c r="U75" s="108"/>
      <c r="V75" s="108"/>
      <c r="W75" s="108"/>
      <c r="X75" s="109"/>
      <c r="Y75" s="167"/>
      <c r="Z75" s="107"/>
      <c r="AA75" s="108"/>
      <c r="AB75" s="108"/>
      <c r="AC75" s="108"/>
      <c r="AD75" s="108"/>
      <c r="AE75" s="109"/>
      <c r="AF75" s="167"/>
      <c r="AG75" s="107"/>
      <c r="AH75" s="108"/>
      <c r="AI75" s="108"/>
      <c r="AJ75" s="108"/>
      <c r="AK75" s="108"/>
      <c r="AL75" s="109"/>
      <c r="AM75" s="167"/>
      <c r="AN75" s="107"/>
      <c r="AO75" s="108"/>
      <c r="AP75" s="108"/>
      <c r="AQ75" s="108"/>
      <c r="AR75" s="108"/>
      <c r="AS75" s="109"/>
      <c r="AT75" s="167"/>
      <c r="AU75" s="107"/>
      <c r="AV75" s="108"/>
      <c r="AW75" s="108"/>
      <c r="AX75" s="108"/>
      <c r="AY75" s="108"/>
      <c r="AZ75" s="109"/>
      <c r="BA75" s="167"/>
      <c r="BB75" s="107"/>
      <c r="BC75" s="108"/>
      <c r="BD75" s="108"/>
      <c r="BE75" s="108"/>
      <c r="BF75" s="108"/>
      <c r="BG75" s="109"/>
      <c r="BH75" s="167"/>
      <c r="BI75" s="107"/>
      <c r="BJ75" s="108"/>
      <c r="BK75" s="108"/>
      <c r="BL75" s="108"/>
      <c r="BM75" s="108"/>
      <c r="BN75" s="109"/>
      <c r="BO75" s="167"/>
      <c r="BP75" s="107"/>
      <c r="BQ75" s="108"/>
      <c r="BR75" s="108"/>
      <c r="BS75" s="108"/>
      <c r="BT75" s="108"/>
      <c r="BU75" s="109"/>
      <c r="BV75" s="167"/>
      <c r="BW75" s="107"/>
      <c r="BX75" s="108"/>
      <c r="BY75" s="108"/>
      <c r="BZ75" s="108"/>
      <c r="CA75" s="108"/>
      <c r="CB75" s="109"/>
      <c r="CC75" s="167"/>
      <c r="CD75" s="107"/>
      <c r="CE75" s="108"/>
      <c r="CF75" s="108"/>
      <c r="CG75" s="108"/>
      <c r="CH75" s="108"/>
      <c r="CI75" s="109"/>
      <c r="CJ75" s="167"/>
      <c r="CK75" s="107"/>
      <c r="CL75" s="108"/>
      <c r="CM75" s="108"/>
      <c r="CN75" s="108"/>
      <c r="CO75" s="108"/>
      <c r="CP75" s="109"/>
      <c r="CQ75" s="167"/>
      <c r="CR75" s="139"/>
      <c r="CS75" s="139"/>
      <c r="CT75" s="139"/>
      <c r="CU75" s="139"/>
      <c r="CV75" s="139"/>
      <c r="CW75" s="139"/>
      <c r="CX75" s="139"/>
    </row>
    <row r="76" spans="1:105" ht="14.25" customHeight="1" x14ac:dyDescent="0.2">
      <c r="A76" s="155"/>
      <c r="L76" s="107"/>
      <c r="M76" s="108"/>
      <c r="N76" s="108"/>
      <c r="O76" s="108"/>
      <c r="P76" s="108"/>
      <c r="Q76" s="109"/>
      <c r="R76" s="167"/>
      <c r="S76" s="107"/>
      <c r="T76" s="108"/>
      <c r="U76" s="108"/>
      <c r="V76" s="108"/>
      <c r="W76" s="108"/>
      <c r="X76" s="109"/>
      <c r="Y76" s="167"/>
      <c r="Z76" s="107"/>
      <c r="AA76" s="108"/>
      <c r="AB76" s="108"/>
      <c r="AC76" s="108"/>
      <c r="AD76" s="108"/>
      <c r="AE76" s="109"/>
      <c r="AF76" s="167"/>
      <c r="AG76" s="107"/>
      <c r="AH76" s="108"/>
      <c r="AI76" s="108"/>
      <c r="AJ76" s="108"/>
      <c r="AK76" s="108"/>
      <c r="AL76" s="109"/>
      <c r="AM76" s="167"/>
      <c r="AN76" s="107"/>
      <c r="AO76" s="108"/>
      <c r="AP76" s="108"/>
      <c r="AQ76" s="108"/>
      <c r="AR76" s="108"/>
      <c r="AS76" s="109"/>
      <c r="AT76" s="167"/>
      <c r="AU76" s="107"/>
      <c r="AV76" s="108"/>
      <c r="AW76" s="108"/>
      <c r="AX76" s="108"/>
      <c r="AY76" s="108"/>
      <c r="AZ76" s="109"/>
      <c r="BA76" s="167"/>
      <c r="BB76" s="107"/>
      <c r="BC76" s="108"/>
      <c r="BD76" s="108"/>
      <c r="BE76" s="108"/>
      <c r="BF76" s="108"/>
      <c r="BG76" s="109"/>
      <c r="BH76" s="167"/>
      <c r="BI76" s="107"/>
      <c r="BJ76" s="108"/>
      <c r="BK76" s="108"/>
      <c r="BL76" s="108"/>
      <c r="BM76" s="108"/>
      <c r="BN76" s="109"/>
      <c r="BO76" s="167"/>
      <c r="BP76" s="107"/>
      <c r="BQ76" s="108"/>
      <c r="BR76" s="108"/>
      <c r="BS76" s="108"/>
      <c r="BT76" s="108"/>
      <c r="BU76" s="109"/>
      <c r="BV76" s="167"/>
      <c r="BW76" s="107"/>
      <c r="BX76" s="108"/>
      <c r="BY76" s="108"/>
      <c r="BZ76" s="108"/>
      <c r="CA76" s="108"/>
      <c r="CB76" s="109"/>
      <c r="CC76" s="167"/>
      <c r="CD76" s="107"/>
      <c r="CE76" s="108"/>
      <c r="CF76" s="108"/>
      <c r="CG76" s="108"/>
      <c r="CH76" s="108"/>
      <c r="CI76" s="109"/>
      <c r="CJ76" s="167"/>
      <c r="CK76" s="107"/>
      <c r="CL76" s="108"/>
      <c r="CM76" s="108"/>
      <c r="CN76" s="108"/>
      <c r="CO76" s="108"/>
      <c r="CP76" s="109"/>
      <c r="CQ76" s="167"/>
      <c r="CR76" s="139"/>
      <c r="CS76" s="139"/>
      <c r="CT76" s="139"/>
      <c r="CU76" s="139"/>
      <c r="CV76" s="139"/>
      <c r="CW76" s="139"/>
      <c r="CX76" s="139"/>
    </row>
    <row r="77" spans="1:105" ht="14.25" customHeight="1" x14ac:dyDescent="0.2">
      <c r="L77" s="107"/>
      <c r="M77" s="108"/>
      <c r="N77" s="108"/>
      <c r="O77" s="108"/>
      <c r="P77" s="108"/>
      <c r="Q77" s="109"/>
      <c r="R77" s="167"/>
      <c r="S77" s="107"/>
      <c r="T77" s="108"/>
      <c r="U77" s="108"/>
      <c r="V77" s="108"/>
      <c r="W77" s="108"/>
      <c r="X77" s="109"/>
      <c r="Y77" s="167"/>
      <c r="Z77" s="107"/>
      <c r="AA77" s="108"/>
      <c r="AB77" s="108"/>
      <c r="AC77" s="108"/>
      <c r="AD77" s="108"/>
      <c r="AE77" s="109"/>
      <c r="AF77" s="167"/>
      <c r="AG77" s="107"/>
      <c r="AH77" s="108"/>
      <c r="AI77" s="108"/>
      <c r="AJ77" s="108"/>
      <c r="AK77" s="108"/>
      <c r="AL77" s="109"/>
      <c r="AM77" s="167"/>
      <c r="AN77" s="107"/>
      <c r="AO77" s="108"/>
      <c r="AP77" s="108"/>
      <c r="AQ77" s="108"/>
      <c r="AR77" s="108"/>
      <c r="AS77" s="109"/>
      <c r="AT77" s="167"/>
      <c r="AU77" s="107"/>
      <c r="AV77" s="108"/>
      <c r="AW77" s="108"/>
      <c r="AX77" s="108"/>
      <c r="AY77" s="108"/>
      <c r="AZ77" s="109"/>
      <c r="BA77" s="167"/>
      <c r="BB77" s="107"/>
      <c r="BC77" s="108"/>
      <c r="BD77" s="108"/>
      <c r="BE77" s="108"/>
      <c r="BF77" s="108"/>
      <c r="BG77" s="109"/>
      <c r="BH77" s="167"/>
      <c r="BI77" s="107"/>
      <c r="BJ77" s="108"/>
      <c r="BK77" s="108"/>
      <c r="BL77" s="108"/>
      <c r="BM77" s="108"/>
      <c r="BN77" s="109"/>
      <c r="BO77" s="167"/>
      <c r="BP77" s="107"/>
      <c r="BQ77" s="108"/>
      <c r="BR77" s="108"/>
      <c r="BS77" s="108"/>
      <c r="BT77" s="108"/>
      <c r="BU77" s="109"/>
      <c r="BV77" s="167"/>
      <c r="BW77" s="107"/>
      <c r="BX77" s="108"/>
      <c r="BY77" s="108"/>
      <c r="BZ77" s="108"/>
      <c r="CA77" s="108"/>
      <c r="CB77" s="109"/>
      <c r="CC77" s="167"/>
      <c r="CD77" s="107"/>
      <c r="CE77" s="108"/>
      <c r="CF77" s="108"/>
      <c r="CG77" s="108"/>
      <c r="CH77" s="108"/>
      <c r="CI77" s="109"/>
      <c r="CJ77" s="167"/>
      <c r="CK77" s="107"/>
      <c r="CL77" s="108"/>
      <c r="CM77" s="108"/>
      <c r="CN77" s="108"/>
      <c r="CO77" s="108"/>
      <c r="CP77" s="109"/>
      <c r="CQ77" s="167"/>
      <c r="CR77" s="140"/>
      <c r="CS77" s="140"/>
      <c r="CT77" s="140"/>
      <c r="CU77" s="140"/>
      <c r="CV77" s="140"/>
      <c r="CW77" s="140"/>
      <c r="CX77" s="140"/>
    </row>
    <row r="78" spans="1:105" ht="14.25" customHeight="1" x14ac:dyDescent="0.2">
      <c r="L78" s="107"/>
      <c r="M78" s="108"/>
      <c r="N78" s="108"/>
      <c r="O78" s="108"/>
      <c r="P78" s="108"/>
      <c r="Q78" s="109"/>
      <c r="R78" s="167"/>
      <c r="S78" s="107"/>
      <c r="T78" s="108"/>
      <c r="U78" s="108"/>
      <c r="V78" s="108"/>
      <c r="W78" s="108"/>
      <c r="X78" s="109"/>
      <c r="Y78" s="167"/>
      <c r="Z78" s="107"/>
      <c r="AA78" s="108"/>
      <c r="AB78" s="108"/>
      <c r="AC78" s="108"/>
      <c r="AD78" s="108"/>
      <c r="AE78" s="109"/>
      <c r="AF78" s="167"/>
      <c r="AG78" s="107"/>
      <c r="AH78" s="108"/>
      <c r="AI78" s="108"/>
      <c r="AJ78" s="108"/>
      <c r="AK78" s="108"/>
      <c r="AL78" s="109"/>
      <c r="AM78" s="167"/>
      <c r="AN78" s="107"/>
      <c r="AO78" s="108"/>
      <c r="AP78" s="108"/>
      <c r="AQ78" s="108"/>
      <c r="AR78" s="108"/>
      <c r="AS78" s="109"/>
      <c r="AT78" s="167"/>
      <c r="AU78" s="107"/>
      <c r="AV78" s="108"/>
      <c r="AW78" s="108"/>
      <c r="AX78" s="108"/>
      <c r="AY78" s="108"/>
      <c r="AZ78" s="109"/>
      <c r="BA78" s="167"/>
      <c r="BB78" s="107"/>
      <c r="BC78" s="108"/>
      <c r="BD78" s="108"/>
      <c r="BE78" s="108"/>
      <c r="BF78" s="108"/>
      <c r="BG78" s="109"/>
      <c r="BH78" s="167"/>
      <c r="BI78" s="107"/>
      <c r="BJ78" s="108"/>
      <c r="BK78" s="108"/>
      <c r="BL78" s="108"/>
      <c r="BM78" s="108"/>
      <c r="BN78" s="109"/>
      <c r="BO78" s="167"/>
      <c r="BP78" s="107"/>
      <c r="BQ78" s="108"/>
      <c r="BR78" s="108"/>
      <c r="BS78" s="108"/>
      <c r="BT78" s="108"/>
      <c r="BU78" s="109"/>
      <c r="BV78" s="167"/>
      <c r="BW78" s="107"/>
      <c r="BX78" s="108"/>
      <c r="BY78" s="108"/>
      <c r="BZ78" s="108"/>
      <c r="CA78" s="108"/>
      <c r="CB78" s="109"/>
      <c r="CC78" s="167"/>
      <c r="CD78" s="107"/>
      <c r="CE78" s="108"/>
      <c r="CF78" s="108"/>
      <c r="CG78" s="108"/>
      <c r="CH78" s="108"/>
      <c r="CI78" s="109"/>
      <c r="CJ78" s="167"/>
      <c r="CK78" s="107"/>
      <c r="CL78" s="108"/>
      <c r="CM78" s="108"/>
      <c r="CN78" s="108"/>
      <c r="CO78" s="108"/>
      <c r="CP78" s="109"/>
      <c r="CQ78" s="167"/>
    </row>
    <row r="79" spans="1:105" ht="14.25" customHeight="1" x14ac:dyDescent="0.2">
      <c r="L79" s="107"/>
      <c r="M79" s="108"/>
      <c r="N79" s="108"/>
      <c r="O79" s="108"/>
      <c r="P79" s="108"/>
      <c r="Q79" s="109"/>
      <c r="R79" s="167"/>
      <c r="S79" s="107"/>
      <c r="T79" s="108"/>
      <c r="U79" s="108"/>
      <c r="V79" s="108"/>
      <c r="W79" s="108"/>
      <c r="X79" s="109"/>
      <c r="Y79" s="167"/>
      <c r="Z79" s="107"/>
      <c r="AA79" s="108"/>
      <c r="AB79" s="108"/>
      <c r="AC79" s="108"/>
      <c r="AD79" s="108"/>
      <c r="AE79" s="109"/>
      <c r="AF79" s="167"/>
      <c r="AG79" s="107"/>
      <c r="AH79" s="108"/>
      <c r="AI79" s="108"/>
      <c r="AJ79" s="108"/>
      <c r="AK79" s="108"/>
      <c r="AL79" s="109"/>
      <c r="AM79" s="167"/>
      <c r="AN79" s="107"/>
      <c r="AO79" s="108"/>
      <c r="AP79" s="108"/>
      <c r="AQ79" s="108"/>
      <c r="AR79" s="108"/>
      <c r="AS79" s="109"/>
      <c r="AT79" s="167"/>
      <c r="AU79" s="107"/>
      <c r="AV79" s="108"/>
      <c r="AW79" s="108"/>
      <c r="AX79" s="108"/>
      <c r="AY79" s="108"/>
      <c r="AZ79" s="109"/>
      <c r="BA79" s="167"/>
      <c r="BB79" s="107"/>
      <c r="BC79" s="108"/>
      <c r="BD79" s="108"/>
      <c r="BE79" s="108"/>
      <c r="BF79" s="108"/>
      <c r="BG79" s="109"/>
      <c r="BH79" s="167"/>
      <c r="BI79" s="107"/>
      <c r="BJ79" s="108"/>
      <c r="BK79" s="108"/>
      <c r="BL79" s="108"/>
      <c r="BM79" s="108"/>
      <c r="BN79" s="109"/>
      <c r="BO79" s="167"/>
      <c r="BP79" s="107"/>
      <c r="BQ79" s="108"/>
      <c r="BR79" s="108"/>
      <c r="BS79" s="108"/>
      <c r="BT79" s="108"/>
      <c r="BU79" s="109"/>
      <c r="BV79" s="167"/>
      <c r="BW79" s="107"/>
      <c r="BX79" s="108"/>
      <c r="BY79" s="108"/>
      <c r="BZ79" s="108"/>
      <c r="CA79" s="108"/>
      <c r="CB79" s="109"/>
      <c r="CC79" s="167"/>
      <c r="CD79" s="107"/>
      <c r="CE79" s="108"/>
      <c r="CF79" s="108"/>
      <c r="CG79" s="108"/>
      <c r="CH79" s="108"/>
      <c r="CI79" s="109"/>
      <c r="CJ79" s="167"/>
      <c r="CK79" s="107"/>
      <c r="CL79" s="108"/>
      <c r="CM79" s="108"/>
      <c r="CN79" s="108"/>
      <c r="CO79" s="108"/>
      <c r="CP79" s="109"/>
      <c r="CQ79" s="167"/>
    </row>
    <row r="80" spans="1:105" ht="14.25" customHeight="1" x14ac:dyDescent="0.2">
      <c r="L80" s="107" t="s">
        <v>82</v>
      </c>
      <c r="M80" s="108"/>
      <c r="N80" s="108"/>
      <c r="O80" s="108"/>
      <c r="P80" s="108"/>
      <c r="Q80" s="109"/>
      <c r="R80" s="193">
        <f>SUM(R61:R79)</f>
        <v>11711.53</v>
      </c>
      <c r="S80" s="107" t="s">
        <v>82</v>
      </c>
      <c r="T80" s="108"/>
      <c r="U80" s="108"/>
      <c r="V80" s="108"/>
      <c r="W80" s="108"/>
      <c r="X80" s="109"/>
      <c r="Y80" s="176">
        <f>SUM(Y61:Y79)</f>
        <v>7037.01</v>
      </c>
      <c r="Z80" s="107" t="s">
        <v>82</v>
      </c>
      <c r="AA80" s="108"/>
      <c r="AB80" s="108"/>
      <c r="AC80" s="108"/>
      <c r="AD80" s="108"/>
      <c r="AE80" s="109"/>
      <c r="AF80" s="176">
        <f>SUM(AF61:AF79)</f>
        <v>9801.5400000000009</v>
      </c>
      <c r="AG80" s="107" t="s">
        <v>82</v>
      </c>
      <c r="AH80" s="108"/>
      <c r="AI80" s="108"/>
      <c r="AJ80" s="108"/>
      <c r="AK80" s="108"/>
      <c r="AL80" s="109"/>
      <c r="AM80" s="176">
        <f>SUM(AM61:AM79)</f>
        <v>9737.49</v>
      </c>
      <c r="AN80" s="107" t="s">
        <v>82</v>
      </c>
      <c r="AO80" s="108"/>
      <c r="AP80" s="108"/>
      <c r="AQ80" s="108"/>
      <c r="AR80" s="108"/>
      <c r="AS80" s="109"/>
      <c r="AT80" s="176">
        <f>SUM(AT61:AT79)</f>
        <v>0</v>
      </c>
      <c r="AU80" s="107" t="s">
        <v>82</v>
      </c>
      <c r="AV80" s="108"/>
      <c r="AW80" s="108"/>
      <c r="AX80" s="108"/>
      <c r="AY80" s="108"/>
      <c r="AZ80" s="109"/>
      <c r="BA80" s="176">
        <f>SUM(BA61:BA79)</f>
        <v>0</v>
      </c>
      <c r="BB80" s="107" t="s">
        <v>82</v>
      </c>
      <c r="BC80" s="108"/>
      <c r="BD80" s="108"/>
      <c r="BE80" s="108"/>
      <c r="BF80" s="108"/>
      <c r="BG80" s="109"/>
      <c r="BH80" s="176">
        <f>SUM(BH61:BH79)</f>
        <v>0</v>
      </c>
      <c r="BI80" s="107" t="s">
        <v>82</v>
      </c>
      <c r="BJ80" s="108"/>
      <c r="BK80" s="108"/>
      <c r="BL80" s="108"/>
      <c r="BM80" s="108"/>
      <c r="BN80" s="109"/>
      <c r="BO80" s="176">
        <f>SUM(BO61:BO79)</f>
        <v>0</v>
      </c>
      <c r="BP80" s="107" t="s">
        <v>82</v>
      </c>
      <c r="BQ80" s="108"/>
      <c r="BR80" s="108"/>
      <c r="BS80" s="108"/>
      <c r="BT80" s="108"/>
      <c r="BU80" s="109"/>
      <c r="BV80" s="176">
        <f>SUM(BV61:BV79)</f>
        <v>0</v>
      </c>
      <c r="BW80" s="107" t="s">
        <v>82</v>
      </c>
      <c r="BX80" s="108"/>
      <c r="BY80" s="108"/>
      <c r="BZ80" s="108"/>
      <c r="CA80" s="108"/>
      <c r="CB80" s="109"/>
      <c r="CC80" s="176">
        <f>SUM(CC61:CC79)</f>
        <v>0</v>
      </c>
      <c r="CD80" s="107" t="s">
        <v>82</v>
      </c>
      <c r="CE80" s="108"/>
      <c r="CF80" s="108"/>
      <c r="CG80" s="108"/>
      <c r="CH80" s="108"/>
      <c r="CI80" s="109"/>
      <c r="CJ80" s="176">
        <f>SUM(CJ61:CJ79)</f>
        <v>0</v>
      </c>
      <c r="CK80" s="107" t="s">
        <v>82</v>
      </c>
      <c r="CL80" s="108"/>
      <c r="CM80" s="108"/>
      <c r="CN80" s="108"/>
      <c r="CO80" s="108"/>
      <c r="CP80" s="109"/>
      <c r="CQ80" s="176">
        <f>SUM(CQ61:CQ79)</f>
        <v>0</v>
      </c>
      <c r="DA80" s="154"/>
    </row>
    <row r="81" spans="105:105" ht="14.25" customHeight="1" x14ac:dyDescent="0.2">
      <c r="DA81" s="154"/>
    </row>
    <row r="82" spans="105:105" ht="14.25" customHeight="1" x14ac:dyDescent="0.2">
      <c r="DA82" s="154"/>
    </row>
    <row r="83" spans="105:105" ht="14.25" customHeight="1" x14ac:dyDescent="0.2">
      <c r="DA83" s="154"/>
    </row>
    <row r="84" spans="105:105" ht="14.25" customHeight="1" x14ac:dyDescent="0.2">
      <c r="DA84" s="154"/>
    </row>
    <row r="85" spans="105:105" ht="14.25" customHeight="1" x14ac:dyDescent="0.2"/>
    <row r="86" spans="105:105" ht="14.25" customHeight="1" x14ac:dyDescent="0.2"/>
    <row r="87" spans="105:105" ht="14.25" customHeight="1" x14ac:dyDescent="0.2"/>
    <row r="88" spans="105:105" ht="14.25" customHeight="1" x14ac:dyDescent="0.2"/>
    <row r="89" spans="105:105" ht="14.25" customHeight="1" x14ac:dyDescent="0.2"/>
    <row r="90" spans="105:105" ht="14.25" customHeight="1" x14ac:dyDescent="0.2"/>
    <row r="91" spans="105:105" ht="14.25" customHeight="1" x14ac:dyDescent="0.2"/>
    <row r="92" spans="105:105" ht="14.25" customHeight="1" x14ac:dyDescent="0.2"/>
    <row r="93" spans="105:105" ht="14.25" customHeight="1" x14ac:dyDescent="0.2"/>
    <row r="94" spans="105:105" ht="14.25" customHeight="1" x14ac:dyDescent="0.2"/>
    <row r="95" spans="105:105" ht="14.25" customHeight="1" x14ac:dyDescent="0.2"/>
    <row r="96" spans="105:105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spans="105:105" ht="14.25" customHeight="1" x14ac:dyDescent="0.2"/>
    <row r="194" spans="105:105" ht="14.25" customHeight="1" x14ac:dyDescent="0.2"/>
    <row r="195" spans="105:105" ht="14.25" customHeight="1" x14ac:dyDescent="0.2"/>
    <row r="196" spans="105:105" ht="14.25" customHeight="1" x14ac:dyDescent="0.2"/>
    <row r="197" spans="105:105" ht="14.25" customHeight="1" x14ac:dyDescent="0.2"/>
    <row r="198" spans="105:105" ht="14.25" customHeight="1" x14ac:dyDescent="0.2"/>
    <row r="199" spans="105:105" ht="14.25" customHeight="1" x14ac:dyDescent="0.2"/>
    <row r="200" spans="105:105" ht="14.25" customHeight="1" x14ac:dyDescent="0.2"/>
    <row r="201" spans="105:105" ht="14.25" customHeight="1" x14ac:dyDescent="0.2"/>
    <row r="202" spans="105:105" ht="14.25" customHeight="1" x14ac:dyDescent="0.2"/>
    <row r="203" spans="105:105" ht="14.25" customHeight="1" x14ac:dyDescent="0.2"/>
    <row r="204" spans="105:105" ht="14.25" customHeight="1" x14ac:dyDescent="0.2"/>
    <row r="205" spans="105:105" ht="14.25" customHeight="1" x14ac:dyDescent="0.2">
      <c r="DA205" s="154"/>
    </row>
    <row r="206" spans="105:105" ht="14.25" customHeight="1" x14ac:dyDescent="0.2">
      <c r="DA206" s="154"/>
    </row>
    <row r="207" spans="105:105" ht="14.25" customHeight="1" x14ac:dyDescent="0.2">
      <c r="DA207" s="154"/>
    </row>
    <row r="208" spans="105:105" ht="14.25" customHeight="1" x14ac:dyDescent="0.2">
      <c r="DA208" s="154"/>
    </row>
    <row r="209" spans="105:105" ht="14.25" customHeight="1" x14ac:dyDescent="0.2">
      <c r="DA209" s="154"/>
    </row>
    <row r="210" spans="105:105" ht="14.25" customHeight="1" x14ac:dyDescent="0.2">
      <c r="DA210" s="154"/>
    </row>
    <row r="211" spans="105:105" ht="14.25" customHeight="1" x14ac:dyDescent="0.2">
      <c r="DA211" s="154"/>
    </row>
    <row r="212" spans="105:105" ht="14.25" customHeight="1" x14ac:dyDescent="0.2">
      <c r="DA212" s="154"/>
    </row>
    <row r="213" spans="105:105" ht="14.25" customHeight="1" x14ac:dyDescent="0.2">
      <c r="DA213" s="154"/>
    </row>
    <row r="214" spans="105:105" ht="14.25" customHeight="1" x14ac:dyDescent="0.2">
      <c r="DA214" s="154"/>
    </row>
    <row r="215" spans="105:105" ht="14.25" customHeight="1" x14ac:dyDescent="0.2">
      <c r="DA215" s="154"/>
    </row>
    <row r="216" spans="105:105" ht="14.25" customHeight="1" x14ac:dyDescent="0.2">
      <c r="DA216" s="154"/>
    </row>
    <row r="217" spans="105:105" ht="14.25" customHeight="1" x14ac:dyDescent="0.2">
      <c r="DA217" s="154"/>
    </row>
    <row r="218" spans="105:105" ht="14.25" customHeight="1" x14ac:dyDescent="0.2">
      <c r="DA218" s="154"/>
    </row>
    <row r="219" spans="105:105" ht="14.25" customHeight="1" x14ac:dyDescent="0.2">
      <c r="DA219" s="154"/>
    </row>
    <row r="220" spans="105:105" ht="14.25" customHeight="1" x14ac:dyDescent="0.2">
      <c r="DA220" s="154"/>
    </row>
    <row r="221" spans="105:105" ht="14.25" customHeight="1" x14ac:dyDescent="0.2">
      <c r="DA221" s="154"/>
    </row>
    <row r="222" spans="105:105" ht="14.25" customHeight="1" x14ac:dyDescent="0.2">
      <c r="DA222" s="154"/>
    </row>
    <row r="223" spans="105:105" ht="14.25" customHeight="1" x14ac:dyDescent="0.2">
      <c r="DA223" s="154"/>
    </row>
    <row r="224" spans="105:105" ht="14.25" customHeight="1" x14ac:dyDescent="0.2">
      <c r="DA224" s="154"/>
    </row>
    <row r="225" spans="105:105" ht="14.25" customHeight="1" x14ac:dyDescent="0.2">
      <c r="DA225" s="154"/>
    </row>
    <row r="226" spans="105:105" ht="14.25" customHeight="1" x14ac:dyDescent="0.2">
      <c r="DA226" s="154"/>
    </row>
    <row r="227" spans="105:105" ht="14.25" customHeight="1" x14ac:dyDescent="0.2">
      <c r="DA227" s="154"/>
    </row>
    <row r="228" spans="105:105" ht="14.25" customHeight="1" x14ac:dyDescent="0.2">
      <c r="DA228" s="154"/>
    </row>
    <row r="229" spans="105:105" ht="14.25" customHeight="1" x14ac:dyDescent="0.2">
      <c r="DA229" s="154"/>
    </row>
    <row r="230" spans="105:105" ht="14.25" customHeight="1" x14ac:dyDescent="0.2">
      <c r="DA230" s="154"/>
    </row>
    <row r="231" spans="105:105" ht="14.25" customHeight="1" x14ac:dyDescent="0.2">
      <c r="DA231" s="154"/>
    </row>
    <row r="232" spans="105:105" ht="14.25" customHeight="1" x14ac:dyDescent="0.2">
      <c r="DA232" s="154"/>
    </row>
    <row r="233" spans="105:105" ht="14.25" customHeight="1" x14ac:dyDescent="0.2">
      <c r="DA233" s="154"/>
    </row>
    <row r="234" spans="105:105" ht="14.25" customHeight="1" x14ac:dyDescent="0.2">
      <c r="DA234" s="154"/>
    </row>
    <row r="235" spans="105:105" ht="14.25" customHeight="1" x14ac:dyDescent="0.2">
      <c r="DA235" s="154"/>
    </row>
    <row r="236" spans="105:105" ht="14.25" customHeight="1" x14ac:dyDescent="0.2">
      <c r="DA236" s="154"/>
    </row>
    <row r="237" spans="105:105" ht="14.25" customHeight="1" x14ac:dyDescent="0.2">
      <c r="DA237" s="154"/>
    </row>
    <row r="238" spans="105:105" ht="14.25" customHeight="1" x14ac:dyDescent="0.2">
      <c r="DA238" s="154"/>
    </row>
    <row r="239" spans="105:105" ht="14.25" customHeight="1" x14ac:dyDescent="0.2">
      <c r="DA239" s="154"/>
    </row>
    <row r="240" spans="105:105" ht="14.25" customHeight="1" x14ac:dyDescent="0.2">
      <c r="DA240" s="154"/>
    </row>
    <row r="241" spans="105:105" ht="14.25" customHeight="1" x14ac:dyDescent="0.2">
      <c r="DA241" s="154"/>
    </row>
    <row r="242" spans="105:105" ht="14.25" customHeight="1" x14ac:dyDescent="0.2">
      <c r="DA242" s="154"/>
    </row>
    <row r="243" spans="105:105" ht="14.25" customHeight="1" x14ac:dyDescent="0.2">
      <c r="DA243" s="154"/>
    </row>
    <row r="244" spans="105:105" ht="14.25" customHeight="1" x14ac:dyDescent="0.2">
      <c r="DA244" s="154"/>
    </row>
    <row r="245" spans="105:105" ht="14.25" customHeight="1" x14ac:dyDescent="0.2">
      <c r="DA245" s="154"/>
    </row>
    <row r="246" spans="105:105" ht="14.25" customHeight="1" x14ac:dyDescent="0.2">
      <c r="DA246" s="154"/>
    </row>
    <row r="247" spans="105:105" ht="14.25" customHeight="1" x14ac:dyDescent="0.2">
      <c r="DA247" s="154"/>
    </row>
    <row r="248" spans="105:105" ht="14.25" customHeight="1" x14ac:dyDescent="0.2">
      <c r="DA248" s="154"/>
    </row>
    <row r="249" spans="105:105" ht="14.25" customHeight="1" x14ac:dyDescent="0.2">
      <c r="DA249" s="154"/>
    </row>
    <row r="250" spans="105:105" ht="14.25" customHeight="1" x14ac:dyDescent="0.2">
      <c r="DA250" s="154"/>
    </row>
    <row r="251" spans="105:105" ht="14.25" customHeight="1" x14ac:dyDescent="0.2">
      <c r="DA251" s="154"/>
    </row>
    <row r="252" spans="105:105" ht="14.25" customHeight="1" x14ac:dyDescent="0.2">
      <c r="DA252" s="154"/>
    </row>
    <row r="253" spans="105:105" ht="14.25" customHeight="1" x14ac:dyDescent="0.2">
      <c r="DA253" s="154"/>
    </row>
    <row r="254" spans="105:105" ht="14.25" customHeight="1" x14ac:dyDescent="0.2">
      <c r="DA254" s="154"/>
    </row>
    <row r="255" spans="105:105" ht="14.25" customHeight="1" x14ac:dyDescent="0.2">
      <c r="DA255" s="154"/>
    </row>
    <row r="256" spans="105:105" ht="14.25" customHeight="1" x14ac:dyDescent="0.2">
      <c r="DA256" s="154"/>
    </row>
    <row r="257" spans="105:105" ht="14.25" customHeight="1" x14ac:dyDescent="0.2">
      <c r="DA257" s="154"/>
    </row>
    <row r="258" spans="105:105" ht="14.25" customHeight="1" x14ac:dyDescent="0.2">
      <c r="DA258" s="154"/>
    </row>
    <row r="259" spans="105:105" ht="14.25" customHeight="1" x14ac:dyDescent="0.2">
      <c r="DA259" s="154"/>
    </row>
    <row r="260" spans="105:105" ht="14.25" customHeight="1" x14ac:dyDescent="0.2">
      <c r="DA260" s="154"/>
    </row>
    <row r="261" spans="105:105" ht="14.25" customHeight="1" x14ac:dyDescent="0.2">
      <c r="DA261" s="154"/>
    </row>
    <row r="262" spans="105:105" ht="14.25" customHeight="1" x14ac:dyDescent="0.2">
      <c r="DA262" s="154"/>
    </row>
    <row r="263" spans="105:105" ht="14.25" customHeight="1" x14ac:dyDescent="0.2">
      <c r="DA263" s="154"/>
    </row>
    <row r="264" spans="105:105" ht="14.25" customHeight="1" x14ac:dyDescent="0.2">
      <c r="DA264" s="154"/>
    </row>
    <row r="265" spans="105:105" ht="14.25" customHeight="1" x14ac:dyDescent="0.2">
      <c r="DA265" s="154"/>
    </row>
    <row r="266" spans="105:105" ht="14.25" customHeight="1" x14ac:dyDescent="0.2">
      <c r="DA266" s="154"/>
    </row>
    <row r="267" spans="105:105" ht="14.25" customHeight="1" x14ac:dyDescent="0.2">
      <c r="DA267" s="154"/>
    </row>
    <row r="268" spans="105:105" ht="14.25" customHeight="1" x14ac:dyDescent="0.2">
      <c r="DA268" s="154"/>
    </row>
    <row r="269" spans="105:105" ht="14.25" customHeight="1" x14ac:dyDescent="0.2">
      <c r="DA269" s="154"/>
    </row>
    <row r="270" spans="105:105" ht="14.25" customHeight="1" x14ac:dyDescent="0.2">
      <c r="DA270" s="154"/>
    </row>
    <row r="271" spans="105:105" ht="14.25" customHeight="1" x14ac:dyDescent="0.2">
      <c r="DA271" s="154"/>
    </row>
    <row r="272" spans="105:105" ht="14.25" customHeight="1" x14ac:dyDescent="0.2">
      <c r="DA272" s="154"/>
    </row>
    <row r="273" spans="105:105" ht="14.25" customHeight="1" x14ac:dyDescent="0.2">
      <c r="DA273" s="154"/>
    </row>
    <row r="274" spans="105:105" ht="14.25" customHeight="1" x14ac:dyDescent="0.2">
      <c r="DA274" s="154"/>
    </row>
    <row r="275" spans="105:105" ht="14.25" customHeight="1" x14ac:dyDescent="0.2">
      <c r="DA275" s="154"/>
    </row>
    <row r="276" spans="105:105" ht="14.25" customHeight="1" x14ac:dyDescent="0.2">
      <c r="DA276" s="154"/>
    </row>
    <row r="277" spans="105:105" ht="14.25" customHeight="1" x14ac:dyDescent="0.2">
      <c r="DA277" s="154"/>
    </row>
    <row r="278" spans="105:105" ht="14.25" customHeight="1" x14ac:dyDescent="0.2">
      <c r="DA278" s="154"/>
    </row>
    <row r="279" spans="105:105" ht="14.25" customHeight="1" x14ac:dyDescent="0.2">
      <c r="DA279" s="154"/>
    </row>
    <row r="280" spans="105:105" ht="14.25" customHeight="1" x14ac:dyDescent="0.2">
      <c r="DA280" s="154"/>
    </row>
    <row r="281" spans="105:105" ht="14.25" customHeight="1" x14ac:dyDescent="0.2">
      <c r="DA281" s="154"/>
    </row>
    <row r="282" spans="105:105" ht="14.25" customHeight="1" x14ac:dyDescent="0.2">
      <c r="DA282" s="154"/>
    </row>
    <row r="283" spans="105:105" ht="14.25" customHeight="1" x14ac:dyDescent="0.2">
      <c r="DA283" s="154"/>
    </row>
    <row r="284" spans="105:105" ht="14.25" customHeight="1" x14ac:dyDescent="0.2">
      <c r="DA284" s="154"/>
    </row>
    <row r="285" spans="105:105" ht="14.25" customHeight="1" x14ac:dyDescent="0.2">
      <c r="DA285" s="154"/>
    </row>
    <row r="286" spans="105:105" ht="14.25" customHeight="1" x14ac:dyDescent="0.2">
      <c r="DA286" s="154"/>
    </row>
    <row r="287" spans="105:105" ht="14.25" customHeight="1" x14ac:dyDescent="0.2">
      <c r="DA287" s="154"/>
    </row>
    <row r="288" spans="105:105" ht="14.25" customHeight="1" x14ac:dyDescent="0.2">
      <c r="DA288" s="154"/>
    </row>
    <row r="289" spans="105:105" ht="14.25" customHeight="1" x14ac:dyDescent="0.2">
      <c r="DA289" s="154"/>
    </row>
    <row r="290" spans="105:105" ht="14.25" customHeight="1" x14ac:dyDescent="0.2">
      <c r="DA290" s="154"/>
    </row>
    <row r="291" spans="105:105" ht="14.25" customHeight="1" x14ac:dyDescent="0.2">
      <c r="DA291" s="154"/>
    </row>
    <row r="292" spans="105:105" ht="14.25" customHeight="1" x14ac:dyDescent="0.2">
      <c r="DA292" s="154"/>
    </row>
    <row r="293" spans="105:105" ht="14.25" customHeight="1" x14ac:dyDescent="0.2">
      <c r="DA293" s="154"/>
    </row>
    <row r="294" spans="105:105" ht="14.25" customHeight="1" x14ac:dyDescent="0.2">
      <c r="DA294" s="154"/>
    </row>
    <row r="295" spans="105:105" ht="14.25" customHeight="1" x14ac:dyDescent="0.2">
      <c r="DA295" s="154"/>
    </row>
    <row r="296" spans="105:105" ht="14.25" customHeight="1" x14ac:dyDescent="0.2">
      <c r="DA296" s="154"/>
    </row>
    <row r="297" spans="105:105" ht="14.25" customHeight="1" x14ac:dyDescent="0.2">
      <c r="DA297" s="154"/>
    </row>
    <row r="298" spans="105:105" ht="14.25" customHeight="1" x14ac:dyDescent="0.2">
      <c r="DA298" s="154"/>
    </row>
    <row r="299" spans="105:105" ht="14.25" customHeight="1" x14ac:dyDescent="0.2">
      <c r="DA299" s="154"/>
    </row>
    <row r="300" spans="105:105" ht="14.25" customHeight="1" x14ac:dyDescent="0.2">
      <c r="DA300" s="154"/>
    </row>
    <row r="301" spans="105:105" ht="14.25" customHeight="1" x14ac:dyDescent="0.2">
      <c r="DA301" s="154"/>
    </row>
    <row r="302" spans="105:105" ht="14.25" customHeight="1" x14ac:dyDescent="0.2">
      <c r="DA302" s="154"/>
    </row>
    <row r="303" spans="105:105" ht="14.25" customHeight="1" x14ac:dyDescent="0.2">
      <c r="DA303" s="154"/>
    </row>
    <row r="304" spans="105:105" ht="14.25" customHeight="1" x14ac:dyDescent="0.2">
      <c r="DA304" s="154"/>
    </row>
    <row r="305" spans="105:105" ht="14.25" customHeight="1" x14ac:dyDescent="0.2">
      <c r="DA305" s="154"/>
    </row>
    <row r="306" spans="105:105" ht="14.25" customHeight="1" x14ac:dyDescent="0.2">
      <c r="DA306" s="154"/>
    </row>
    <row r="307" spans="105:105" ht="14.25" customHeight="1" x14ac:dyDescent="0.2">
      <c r="DA307" s="154"/>
    </row>
    <row r="308" spans="105:105" ht="14.25" customHeight="1" x14ac:dyDescent="0.2">
      <c r="DA308" s="154"/>
    </row>
    <row r="309" spans="105:105" ht="14.25" customHeight="1" x14ac:dyDescent="0.2">
      <c r="DA309" s="154"/>
    </row>
    <row r="310" spans="105:105" ht="14.25" customHeight="1" x14ac:dyDescent="0.2">
      <c r="DA310" s="154"/>
    </row>
    <row r="311" spans="105:105" ht="14.25" customHeight="1" x14ac:dyDescent="0.2">
      <c r="DA311" s="154"/>
    </row>
    <row r="312" spans="105:105" ht="14.25" customHeight="1" x14ac:dyDescent="0.2">
      <c r="DA312" s="154"/>
    </row>
    <row r="313" spans="105:105" ht="14.25" customHeight="1" x14ac:dyDescent="0.2">
      <c r="DA313" s="154"/>
    </row>
    <row r="314" spans="105:105" ht="14.25" customHeight="1" x14ac:dyDescent="0.2">
      <c r="DA314" s="154"/>
    </row>
    <row r="315" spans="105:105" ht="14.25" customHeight="1" x14ac:dyDescent="0.2">
      <c r="DA315" s="154"/>
    </row>
    <row r="316" spans="105:105" ht="14.25" customHeight="1" x14ac:dyDescent="0.2">
      <c r="DA316" s="154"/>
    </row>
    <row r="317" spans="105:105" ht="14.25" customHeight="1" x14ac:dyDescent="0.2">
      <c r="DA317" s="154"/>
    </row>
    <row r="318" spans="105:105" ht="14.25" customHeight="1" x14ac:dyDescent="0.2">
      <c r="DA318" s="154"/>
    </row>
    <row r="319" spans="105:105" ht="14.25" customHeight="1" x14ac:dyDescent="0.2">
      <c r="DA319" s="154"/>
    </row>
    <row r="320" spans="105:105" ht="14.25" customHeight="1" x14ac:dyDescent="0.2">
      <c r="DA320" s="154"/>
    </row>
    <row r="321" spans="105:105" ht="14.25" customHeight="1" x14ac:dyDescent="0.2">
      <c r="DA321" s="154"/>
    </row>
    <row r="322" spans="105:105" ht="14.25" customHeight="1" x14ac:dyDescent="0.2">
      <c r="DA322" s="154"/>
    </row>
    <row r="323" spans="105:105" ht="14.25" customHeight="1" x14ac:dyDescent="0.2">
      <c r="DA323" s="154"/>
    </row>
    <row r="324" spans="105:105" ht="14.25" customHeight="1" x14ac:dyDescent="0.2">
      <c r="DA324" s="154"/>
    </row>
    <row r="325" spans="105:105" ht="14.25" customHeight="1" x14ac:dyDescent="0.2">
      <c r="DA325" s="154"/>
    </row>
    <row r="326" spans="105:105" ht="14.25" customHeight="1" x14ac:dyDescent="0.2">
      <c r="DA326" s="154"/>
    </row>
    <row r="327" spans="105:105" ht="14.25" customHeight="1" x14ac:dyDescent="0.2">
      <c r="DA327" s="154"/>
    </row>
    <row r="328" spans="105:105" ht="14.25" customHeight="1" x14ac:dyDescent="0.2">
      <c r="DA328" s="154"/>
    </row>
    <row r="329" spans="105:105" ht="14.25" customHeight="1" x14ac:dyDescent="0.2">
      <c r="DA329" s="154"/>
    </row>
    <row r="330" spans="105:105" ht="14.25" customHeight="1" x14ac:dyDescent="0.2">
      <c r="DA330" s="154"/>
    </row>
    <row r="331" spans="105:105" ht="14.25" customHeight="1" x14ac:dyDescent="0.2">
      <c r="DA331" s="154"/>
    </row>
    <row r="332" spans="105:105" ht="14.25" customHeight="1" x14ac:dyDescent="0.2">
      <c r="DA332" s="154"/>
    </row>
    <row r="333" spans="105:105" ht="14.25" customHeight="1" x14ac:dyDescent="0.2">
      <c r="DA333" s="154"/>
    </row>
    <row r="334" spans="105:105" ht="14.25" customHeight="1" x14ac:dyDescent="0.2">
      <c r="DA334" s="154"/>
    </row>
    <row r="335" spans="105:105" ht="14.25" customHeight="1" x14ac:dyDescent="0.2">
      <c r="DA335" s="154"/>
    </row>
    <row r="336" spans="105:105" ht="14.25" customHeight="1" x14ac:dyDescent="0.2">
      <c r="DA336" s="154"/>
    </row>
    <row r="337" spans="105:105" ht="14.25" customHeight="1" x14ac:dyDescent="0.2">
      <c r="DA337" s="154"/>
    </row>
    <row r="338" spans="105:105" ht="14.25" customHeight="1" x14ac:dyDescent="0.2">
      <c r="DA338" s="154"/>
    </row>
    <row r="339" spans="105:105" ht="14.25" customHeight="1" x14ac:dyDescent="0.2">
      <c r="DA339" s="154"/>
    </row>
    <row r="340" spans="105:105" ht="14.25" customHeight="1" x14ac:dyDescent="0.2">
      <c r="DA340" s="154"/>
    </row>
    <row r="341" spans="105:105" ht="14.25" customHeight="1" x14ac:dyDescent="0.2">
      <c r="DA341" s="154"/>
    </row>
    <row r="342" spans="105:105" ht="14.25" customHeight="1" x14ac:dyDescent="0.2">
      <c r="DA342" s="154"/>
    </row>
    <row r="343" spans="105:105" ht="14.25" customHeight="1" x14ac:dyDescent="0.2">
      <c r="DA343" s="154"/>
    </row>
    <row r="344" spans="105:105" ht="14.25" customHeight="1" x14ac:dyDescent="0.2">
      <c r="DA344" s="154"/>
    </row>
    <row r="345" spans="105:105" ht="14.25" customHeight="1" x14ac:dyDescent="0.2">
      <c r="DA345" s="154"/>
    </row>
    <row r="346" spans="105:105" ht="14.25" customHeight="1" x14ac:dyDescent="0.2">
      <c r="DA346" s="154"/>
    </row>
    <row r="347" spans="105:105" ht="14.25" customHeight="1" x14ac:dyDescent="0.2">
      <c r="DA347" s="154"/>
    </row>
    <row r="348" spans="105:105" ht="14.25" customHeight="1" x14ac:dyDescent="0.2">
      <c r="DA348" s="154"/>
    </row>
    <row r="349" spans="105:105" ht="14.25" customHeight="1" x14ac:dyDescent="0.2">
      <c r="DA349" s="154"/>
    </row>
    <row r="350" spans="105:105" ht="14.25" customHeight="1" x14ac:dyDescent="0.2">
      <c r="DA350" s="154"/>
    </row>
    <row r="351" spans="105:105" ht="14.25" customHeight="1" x14ac:dyDescent="0.2">
      <c r="DA351" s="154"/>
    </row>
    <row r="352" spans="105:105" ht="14.25" customHeight="1" x14ac:dyDescent="0.2">
      <c r="DA352" s="154"/>
    </row>
    <row r="353" spans="105:105" ht="14.25" customHeight="1" x14ac:dyDescent="0.2">
      <c r="DA353" s="154"/>
    </row>
    <row r="354" spans="105:105" ht="14.25" customHeight="1" x14ac:dyDescent="0.2">
      <c r="DA354" s="154"/>
    </row>
    <row r="355" spans="105:105" ht="14.25" customHeight="1" x14ac:dyDescent="0.2">
      <c r="DA355" s="154"/>
    </row>
    <row r="356" spans="105:105" ht="14.25" customHeight="1" x14ac:dyDescent="0.2">
      <c r="DA356" s="154"/>
    </row>
    <row r="357" spans="105:105" ht="14.25" customHeight="1" x14ac:dyDescent="0.2">
      <c r="DA357" s="154"/>
    </row>
    <row r="358" spans="105:105" ht="14.25" customHeight="1" x14ac:dyDescent="0.2">
      <c r="DA358" s="154"/>
    </row>
    <row r="359" spans="105:105" ht="14.25" customHeight="1" x14ac:dyDescent="0.2">
      <c r="DA359" s="154"/>
    </row>
    <row r="360" spans="105:105" ht="14.25" customHeight="1" x14ac:dyDescent="0.2">
      <c r="DA360" s="154"/>
    </row>
    <row r="361" spans="105:105" ht="14.25" customHeight="1" x14ac:dyDescent="0.2">
      <c r="DA361" s="154"/>
    </row>
    <row r="362" spans="105:105" ht="14.25" customHeight="1" x14ac:dyDescent="0.2">
      <c r="DA362" s="154"/>
    </row>
    <row r="363" spans="105:105" ht="14.25" customHeight="1" x14ac:dyDescent="0.2">
      <c r="DA363" s="154"/>
    </row>
    <row r="364" spans="105:105" ht="14.25" customHeight="1" x14ac:dyDescent="0.2">
      <c r="DA364" s="154"/>
    </row>
    <row r="365" spans="105:105" ht="14.25" customHeight="1" x14ac:dyDescent="0.2">
      <c r="DA365" s="154"/>
    </row>
    <row r="366" spans="105:105" ht="14.25" customHeight="1" x14ac:dyDescent="0.2">
      <c r="DA366" s="154"/>
    </row>
    <row r="367" spans="105:105" ht="14.25" customHeight="1" x14ac:dyDescent="0.2">
      <c r="DA367" s="154"/>
    </row>
    <row r="368" spans="105:105" ht="14.25" customHeight="1" x14ac:dyDescent="0.2">
      <c r="DA368" s="154"/>
    </row>
    <row r="369" spans="105:105" ht="14.25" customHeight="1" x14ac:dyDescent="0.2">
      <c r="DA369" s="154"/>
    </row>
    <row r="370" spans="105:105" ht="14.25" customHeight="1" x14ac:dyDescent="0.2">
      <c r="DA370" s="154"/>
    </row>
    <row r="371" spans="105:105" ht="14.25" customHeight="1" x14ac:dyDescent="0.2">
      <c r="DA371" s="154"/>
    </row>
    <row r="372" spans="105:105" ht="14.25" customHeight="1" x14ac:dyDescent="0.2">
      <c r="DA372" s="154"/>
    </row>
    <row r="373" spans="105:105" ht="14.25" customHeight="1" x14ac:dyDescent="0.2">
      <c r="DA373" s="154"/>
    </row>
    <row r="374" spans="105:105" ht="14.25" customHeight="1" x14ac:dyDescent="0.2">
      <c r="DA374" s="154"/>
    </row>
    <row r="375" spans="105:105" ht="14.25" customHeight="1" x14ac:dyDescent="0.2">
      <c r="DA375" s="154"/>
    </row>
    <row r="376" spans="105:105" ht="14.25" customHeight="1" x14ac:dyDescent="0.2">
      <c r="DA376" s="154"/>
    </row>
    <row r="377" spans="105:105" ht="14.25" customHeight="1" x14ac:dyDescent="0.2">
      <c r="DA377" s="154"/>
    </row>
    <row r="378" spans="105:105" ht="14.25" customHeight="1" x14ac:dyDescent="0.2">
      <c r="DA378" s="154"/>
    </row>
    <row r="379" spans="105:105" ht="14.25" customHeight="1" x14ac:dyDescent="0.2">
      <c r="DA379" s="154"/>
    </row>
    <row r="380" spans="105:105" ht="14.25" customHeight="1" x14ac:dyDescent="0.2">
      <c r="DA380" s="154"/>
    </row>
    <row r="381" spans="105:105" ht="14.25" customHeight="1" x14ac:dyDescent="0.2">
      <c r="DA381" s="154"/>
    </row>
    <row r="382" spans="105:105" ht="14.25" customHeight="1" x14ac:dyDescent="0.2">
      <c r="DA382" s="154"/>
    </row>
    <row r="383" spans="105:105" ht="14.25" customHeight="1" x14ac:dyDescent="0.2">
      <c r="DA383" s="154"/>
    </row>
    <row r="384" spans="105:105" ht="14.25" customHeight="1" x14ac:dyDescent="0.2">
      <c r="DA384" s="154"/>
    </row>
    <row r="385" spans="105:105" ht="14.25" customHeight="1" x14ac:dyDescent="0.2">
      <c r="DA385" s="154"/>
    </row>
    <row r="386" spans="105:105" ht="14.25" customHeight="1" x14ac:dyDescent="0.2">
      <c r="DA386" s="154"/>
    </row>
    <row r="387" spans="105:105" ht="14.25" customHeight="1" x14ac:dyDescent="0.2">
      <c r="DA387" s="154"/>
    </row>
    <row r="388" spans="105:105" ht="14.25" customHeight="1" x14ac:dyDescent="0.2">
      <c r="DA388" s="154"/>
    </row>
    <row r="389" spans="105:105" ht="14.25" customHeight="1" x14ac:dyDescent="0.2">
      <c r="DA389" s="154"/>
    </row>
    <row r="390" spans="105:105" ht="14.25" customHeight="1" x14ac:dyDescent="0.2">
      <c r="DA390" s="154"/>
    </row>
    <row r="391" spans="105:105" ht="14.25" customHeight="1" x14ac:dyDescent="0.2">
      <c r="DA391" s="154"/>
    </row>
    <row r="392" spans="105:105" ht="14.25" customHeight="1" x14ac:dyDescent="0.2">
      <c r="DA392" s="154"/>
    </row>
    <row r="393" spans="105:105" ht="14.25" customHeight="1" x14ac:dyDescent="0.2">
      <c r="DA393" s="154"/>
    </row>
    <row r="394" spans="105:105" ht="14.25" customHeight="1" x14ac:dyDescent="0.2">
      <c r="DA394" s="154"/>
    </row>
    <row r="395" spans="105:105" ht="14.25" customHeight="1" x14ac:dyDescent="0.2">
      <c r="DA395" s="154"/>
    </row>
    <row r="396" spans="105:105" ht="14.25" customHeight="1" x14ac:dyDescent="0.2">
      <c r="DA396" s="154"/>
    </row>
    <row r="397" spans="105:105" ht="14.25" customHeight="1" x14ac:dyDescent="0.2">
      <c r="DA397" s="154"/>
    </row>
    <row r="398" spans="105:105" ht="14.25" customHeight="1" x14ac:dyDescent="0.2">
      <c r="DA398" s="154"/>
    </row>
    <row r="399" spans="105:105" ht="14.25" customHeight="1" x14ac:dyDescent="0.2">
      <c r="DA399" s="154"/>
    </row>
    <row r="400" spans="105:105" ht="14.25" customHeight="1" x14ac:dyDescent="0.2">
      <c r="DA400" s="154"/>
    </row>
    <row r="401" spans="105:105" ht="14.25" customHeight="1" x14ac:dyDescent="0.2">
      <c r="DA401" s="154"/>
    </row>
    <row r="402" spans="105:105" ht="14.25" customHeight="1" x14ac:dyDescent="0.2">
      <c r="DA402" s="154"/>
    </row>
    <row r="403" spans="105:105" ht="14.25" customHeight="1" x14ac:dyDescent="0.2">
      <c r="DA403" s="154"/>
    </row>
    <row r="404" spans="105:105" ht="14.25" customHeight="1" x14ac:dyDescent="0.2">
      <c r="DA404" s="154"/>
    </row>
    <row r="405" spans="105:105" ht="14.25" customHeight="1" x14ac:dyDescent="0.2">
      <c r="DA405" s="154"/>
    </row>
    <row r="406" spans="105:105" ht="14.25" customHeight="1" x14ac:dyDescent="0.2">
      <c r="DA406" s="154"/>
    </row>
    <row r="407" spans="105:105" ht="14.25" customHeight="1" x14ac:dyDescent="0.2">
      <c r="DA407" s="154"/>
    </row>
    <row r="408" spans="105:105" ht="14.25" customHeight="1" x14ac:dyDescent="0.2">
      <c r="DA408" s="154"/>
    </row>
    <row r="409" spans="105:105" ht="14.25" customHeight="1" x14ac:dyDescent="0.2">
      <c r="DA409" s="154"/>
    </row>
    <row r="410" spans="105:105" ht="14.25" customHeight="1" x14ac:dyDescent="0.2">
      <c r="DA410" s="154"/>
    </row>
    <row r="411" spans="105:105" ht="14.25" customHeight="1" x14ac:dyDescent="0.2">
      <c r="DA411" s="154"/>
    </row>
    <row r="412" spans="105:105" ht="14.25" customHeight="1" x14ac:dyDescent="0.2">
      <c r="DA412" s="154"/>
    </row>
    <row r="413" spans="105:105" ht="14.25" customHeight="1" x14ac:dyDescent="0.2">
      <c r="DA413" s="154"/>
    </row>
    <row r="414" spans="105:105" ht="14.25" customHeight="1" x14ac:dyDescent="0.2">
      <c r="DA414" s="154"/>
    </row>
    <row r="415" spans="105:105" ht="14.25" customHeight="1" x14ac:dyDescent="0.2">
      <c r="DA415" s="154"/>
    </row>
    <row r="416" spans="105:105" ht="14.25" customHeight="1" x14ac:dyDescent="0.2">
      <c r="DA416" s="154"/>
    </row>
    <row r="417" spans="105:105" ht="14.25" customHeight="1" x14ac:dyDescent="0.2">
      <c r="DA417" s="154"/>
    </row>
    <row r="418" spans="105:105" ht="14.25" customHeight="1" x14ac:dyDescent="0.2">
      <c r="DA418" s="154"/>
    </row>
    <row r="419" spans="105:105" ht="14.25" customHeight="1" x14ac:dyDescent="0.2">
      <c r="DA419" s="154"/>
    </row>
    <row r="420" spans="105:105" ht="14.25" customHeight="1" x14ac:dyDescent="0.2">
      <c r="DA420" s="154"/>
    </row>
    <row r="421" spans="105:105" ht="14.25" customHeight="1" x14ac:dyDescent="0.2">
      <c r="DA421" s="154"/>
    </row>
    <row r="422" spans="105:105" ht="14.25" customHeight="1" x14ac:dyDescent="0.2">
      <c r="DA422" s="154"/>
    </row>
    <row r="423" spans="105:105" ht="14.25" customHeight="1" x14ac:dyDescent="0.2">
      <c r="DA423" s="154"/>
    </row>
    <row r="424" spans="105:105" ht="14.25" customHeight="1" x14ac:dyDescent="0.2">
      <c r="DA424" s="154"/>
    </row>
    <row r="425" spans="105:105" ht="14.25" customHeight="1" x14ac:dyDescent="0.2">
      <c r="DA425" s="154"/>
    </row>
    <row r="426" spans="105:105" ht="14.25" customHeight="1" x14ac:dyDescent="0.2">
      <c r="DA426" s="154"/>
    </row>
    <row r="427" spans="105:105" ht="14.25" customHeight="1" x14ac:dyDescent="0.2">
      <c r="DA427" s="154"/>
    </row>
    <row r="428" spans="105:105" ht="14.25" customHeight="1" x14ac:dyDescent="0.2">
      <c r="DA428" s="154"/>
    </row>
    <row r="429" spans="105:105" ht="14.25" customHeight="1" x14ac:dyDescent="0.2">
      <c r="DA429" s="154"/>
    </row>
    <row r="430" spans="105:105" ht="14.25" customHeight="1" x14ac:dyDescent="0.2">
      <c r="DA430" s="154"/>
    </row>
    <row r="431" spans="105:105" ht="14.25" customHeight="1" x14ac:dyDescent="0.2">
      <c r="DA431" s="154"/>
    </row>
    <row r="432" spans="105:105" ht="14.25" customHeight="1" x14ac:dyDescent="0.2">
      <c r="DA432" s="154"/>
    </row>
    <row r="433" spans="105:105" ht="14.25" customHeight="1" x14ac:dyDescent="0.2">
      <c r="DA433" s="154"/>
    </row>
    <row r="434" spans="105:105" ht="14.25" customHeight="1" x14ac:dyDescent="0.2">
      <c r="DA434" s="154"/>
    </row>
    <row r="435" spans="105:105" ht="14.25" customHeight="1" x14ac:dyDescent="0.2">
      <c r="DA435" s="154"/>
    </row>
    <row r="436" spans="105:105" ht="14.25" customHeight="1" x14ac:dyDescent="0.2">
      <c r="DA436" s="154"/>
    </row>
    <row r="437" spans="105:105" ht="14.25" customHeight="1" x14ac:dyDescent="0.2">
      <c r="DA437" s="154"/>
    </row>
    <row r="438" spans="105:105" ht="14.25" customHeight="1" x14ac:dyDescent="0.2">
      <c r="DA438" s="154"/>
    </row>
    <row r="439" spans="105:105" ht="14.25" customHeight="1" x14ac:dyDescent="0.2">
      <c r="DA439" s="154"/>
    </row>
    <row r="440" spans="105:105" ht="14.25" customHeight="1" x14ac:dyDescent="0.2">
      <c r="DA440" s="154"/>
    </row>
    <row r="441" spans="105:105" ht="14.25" customHeight="1" x14ac:dyDescent="0.2">
      <c r="DA441" s="154"/>
    </row>
    <row r="442" spans="105:105" ht="14.25" customHeight="1" x14ac:dyDescent="0.2">
      <c r="DA442" s="154"/>
    </row>
    <row r="443" spans="105:105" ht="14.25" customHeight="1" x14ac:dyDescent="0.2">
      <c r="DA443" s="154"/>
    </row>
    <row r="444" spans="105:105" ht="14.25" customHeight="1" x14ac:dyDescent="0.2">
      <c r="DA444" s="154"/>
    </row>
    <row r="445" spans="105:105" ht="14.25" customHeight="1" x14ac:dyDescent="0.2">
      <c r="DA445" s="154"/>
    </row>
    <row r="446" spans="105:105" ht="14.25" customHeight="1" x14ac:dyDescent="0.2">
      <c r="DA446" s="154"/>
    </row>
    <row r="447" spans="105:105" ht="14.25" customHeight="1" x14ac:dyDescent="0.2">
      <c r="DA447" s="154"/>
    </row>
    <row r="448" spans="105:105" ht="14.25" customHeight="1" x14ac:dyDescent="0.2">
      <c r="DA448" s="154"/>
    </row>
    <row r="449" spans="105:105" ht="14.25" customHeight="1" x14ac:dyDescent="0.2">
      <c r="DA449" s="154"/>
    </row>
    <row r="450" spans="105:105" ht="14.25" customHeight="1" x14ac:dyDescent="0.2">
      <c r="DA450" s="154"/>
    </row>
    <row r="451" spans="105:105" ht="14.25" customHeight="1" x14ac:dyDescent="0.2">
      <c r="DA451" s="154"/>
    </row>
    <row r="452" spans="105:105" ht="14.25" customHeight="1" x14ac:dyDescent="0.2">
      <c r="DA452" s="154"/>
    </row>
    <row r="453" spans="105:105" ht="14.25" customHeight="1" x14ac:dyDescent="0.2">
      <c r="DA453" s="154"/>
    </row>
    <row r="454" spans="105:105" ht="14.25" customHeight="1" x14ac:dyDescent="0.2">
      <c r="DA454" s="154"/>
    </row>
    <row r="455" spans="105:105" ht="14.25" customHeight="1" x14ac:dyDescent="0.2">
      <c r="DA455" s="154"/>
    </row>
    <row r="456" spans="105:105" ht="14.25" customHeight="1" x14ac:dyDescent="0.2">
      <c r="DA456" s="154"/>
    </row>
    <row r="457" spans="105:105" ht="14.25" customHeight="1" x14ac:dyDescent="0.2">
      <c r="DA457" s="154"/>
    </row>
    <row r="458" spans="105:105" ht="14.25" customHeight="1" x14ac:dyDescent="0.2">
      <c r="DA458" s="154"/>
    </row>
    <row r="459" spans="105:105" ht="14.25" customHeight="1" x14ac:dyDescent="0.2">
      <c r="DA459" s="154"/>
    </row>
    <row r="460" spans="105:105" ht="14.25" customHeight="1" x14ac:dyDescent="0.2">
      <c r="DA460" s="154"/>
    </row>
    <row r="461" spans="105:105" ht="14.25" customHeight="1" x14ac:dyDescent="0.2">
      <c r="DA461" s="154"/>
    </row>
    <row r="462" spans="105:105" ht="14.25" customHeight="1" x14ac:dyDescent="0.2">
      <c r="DA462" s="154"/>
    </row>
    <row r="463" spans="105:105" ht="14.25" customHeight="1" x14ac:dyDescent="0.2">
      <c r="DA463" s="154"/>
    </row>
    <row r="464" spans="105:105" ht="14.25" customHeight="1" x14ac:dyDescent="0.2">
      <c r="DA464" s="154"/>
    </row>
    <row r="465" spans="105:105" ht="14.25" customHeight="1" x14ac:dyDescent="0.2">
      <c r="DA465" s="154"/>
    </row>
    <row r="466" spans="105:105" ht="14.25" customHeight="1" x14ac:dyDescent="0.2">
      <c r="DA466" s="154"/>
    </row>
    <row r="467" spans="105:105" ht="14.25" customHeight="1" x14ac:dyDescent="0.2">
      <c r="DA467" s="154"/>
    </row>
    <row r="468" spans="105:105" ht="14.25" customHeight="1" x14ac:dyDescent="0.2">
      <c r="DA468" s="154"/>
    </row>
    <row r="469" spans="105:105" ht="14.25" customHeight="1" x14ac:dyDescent="0.2">
      <c r="DA469" s="154"/>
    </row>
    <row r="470" spans="105:105" ht="14.25" customHeight="1" x14ac:dyDescent="0.2">
      <c r="DA470" s="154"/>
    </row>
    <row r="471" spans="105:105" ht="14.25" customHeight="1" x14ac:dyDescent="0.2">
      <c r="DA471" s="154"/>
    </row>
    <row r="472" spans="105:105" ht="14.25" customHeight="1" x14ac:dyDescent="0.2">
      <c r="DA472" s="154"/>
    </row>
    <row r="473" spans="105:105" ht="14.25" customHeight="1" x14ac:dyDescent="0.2">
      <c r="DA473" s="154"/>
    </row>
    <row r="474" spans="105:105" ht="14.25" customHeight="1" x14ac:dyDescent="0.2">
      <c r="DA474" s="154"/>
    </row>
    <row r="475" spans="105:105" ht="14.25" customHeight="1" x14ac:dyDescent="0.2">
      <c r="DA475" s="154"/>
    </row>
    <row r="476" spans="105:105" ht="14.25" customHeight="1" x14ac:dyDescent="0.2">
      <c r="DA476" s="154"/>
    </row>
    <row r="477" spans="105:105" ht="14.25" customHeight="1" x14ac:dyDescent="0.2">
      <c r="DA477" s="154"/>
    </row>
    <row r="478" spans="105:105" ht="14.25" customHeight="1" x14ac:dyDescent="0.2">
      <c r="DA478" s="154"/>
    </row>
    <row r="479" spans="105:105" ht="14.25" customHeight="1" x14ac:dyDescent="0.2">
      <c r="DA479" s="154"/>
    </row>
    <row r="480" spans="105:105" ht="14.25" customHeight="1" x14ac:dyDescent="0.2">
      <c r="DA480" s="154"/>
    </row>
    <row r="481" spans="105:105" ht="14.25" customHeight="1" x14ac:dyDescent="0.2">
      <c r="DA481" s="154"/>
    </row>
    <row r="482" spans="105:105" ht="14.25" customHeight="1" x14ac:dyDescent="0.2">
      <c r="DA482" s="154"/>
    </row>
    <row r="483" spans="105:105" ht="14.25" customHeight="1" x14ac:dyDescent="0.2">
      <c r="DA483" s="154"/>
    </row>
    <row r="484" spans="105:105" ht="14.25" customHeight="1" x14ac:dyDescent="0.2">
      <c r="DA484" s="154"/>
    </row>
    <row r="485" spans="105:105" ht="14.25" customHeight="1" x14ac:dyDescent="0.2">
      <c r="DA485" s="154"/>
    </row>
    <row r="486" spans="105:105" ht="14.25" customHeight="1" x14ac:dyDescent="0.2">
      <c r="DA486" s="154"/>
    </row>
    <row r="487" spans="105:105" ht="14.25" customHeight="1" x14ac:dyDescent="0.2">
      <c r="DA487" s="154"/>
    </row>
    <row r="488" spans="105:105" ht="14.25" customHeight="1" x14ac:dyDescent="0.2">
      <c r="DA488" s="154"/>
    </row>
    <row r="489" spans="105:105" ht="14.25" customHeight="1" x14ac:dyDescent="0.2">
      <c r="DA489" s="154"/>
    </row>
    <row r="490" spans="105:105" ht="14.25" customHeight="1" x14ac:dyDescent="0.2">
      <c r="DA490" s="154"/>
    </row>
    <row r="491" spans="105:105" ht="14.25" customHeight="1" x14ac:dyDescent="0.2">
      <c r="DA491" s="154"/>
    </row>
    <row r="492" spans="105:105" ht="14.25" customHeight="1" x14ac:dyDescent="0.2">
      <c r="DA492" s="154"/>
    </row>
    <row r="493" spans="105:105" ht="14.25" customHeight="1" x14ac:dyDescent="0.2">
      <c r="DA493" s="154"/>
    </row>
    <row r="494" spans="105:105" ht="14.25" customHeight="1" x14ac:dyDescent="0.2">
      <c r="DA494" s="154"/>
    </row>
    <row r="495" spans="105:105" ht="14.25" customHeight="1" x14ac:dyDescent="0.2">
      <c r="DA495" s="154"/>
    </row>
    <row r="496" spans="105:105" ht="14.25" customHeight="1" x14ac:dyDescent="0.2">
      <c r="DA496" s="154"/>
    </row>
    <row r="497" spans="105:105" ht="14.25" customHeight="1" x14ac:dyDescent="0.2">
      <c r="DA497" s="154"/>
    </row>
    <row r="498" spans="105:105" ht="14.25" customHeight="1" x14ac:dyDescent="0.2">
      <c r="DA498" s="154"/>
    </row>
    <row r="499" spans="105:105" ht="14.25" customHeight="1" x14ac:dyDescent="0.2">
      <c r="DA499" s="154"/>
    </row>
    <row r="500" spans="105:105" ht="14.25" customHeight="1" x14ac:dyDescent="0.2">
      <c r="DA500" s="154"/>
    </row>
    <row r="501" spans="105:105" ht="14.25" customHeight="1" x14ac:dyDescent="0.2">
      <c r="DA501" s="154"/>
    </row>
    <row r="502" spans="105:105" ht="14.25" customHeight="1" x14ac:dyDescent="0.2">
      <c r="DA502" s="154"/>
    </row>
    <row r="503" spans="105:105" ht="14.25" customHeight="1" x14ac:dyDescent="0.2">
      <c r="DA503" s="154"/>
    </row>
    <row r="504" spans="105:105" ht="14.25" customHeight="1" x14ac:dyDescent="0.2">
      <c r="DA504" s="154"/>
    </row>
    <row r="505" spans="105:105" ht="14.25" customHeight="1" x14ac:dyDescent="0.2">
      <c r="DA505" s="154"/>
    </row>
    <row r="506" spans="105:105" ht="14.25" customHeight="1" x14ac:dyDescent="0.2">
      <c r="DA506" s="154"/>
    </row>
    <row r="507" spans="105:105" ht="14.25" customHeight="1" x14ac:dyDescent="0.2">
      <c r="DA507" s="154"/>
    </row>
    <row r="508" spans="105:105" ht="14.25" customHeight="1" x14ac:dyDescent="0.2">
      <c r="DA508" s="154"/>
    </row>
    <row r="509" spans="105:105" ht="14.25" customHeight="1" x14ac:dyDescent="0.2">
      <c r="DA509" s="154"/>
    </row>
    <row r="510" spans="105:105" ht="14.25" customHeight="1" x14ac:dyDescent="0.2">
      <c r="DA510" s="154"/>
    </row>
    <row r="511" spans="105:105" ht="14.25" customHeight="1" x14ac:dyDescent="0.2">
      <c r="DA511" s="154"/>
    </row>
    <row r="512" spans="105:105" ht="14.25" customHeight="1" x14ac:dyDescent="0.2">
      <c r="DA512" s="154"/>
    </row>
    <row r="513" spans="105:105" ht="14.25" customHeight="1" x14ac:dyDescent="0.2">
      <c r="DA513" s="154"/>
    </row>
    <row r="514" spans="105:105" ht="14.25" customHeight="1" x14ac:dyDescent="0.2">
      <c r="DA514" s="154"/>
    </row>
    <row r="515" spans="105:105" ht="14.25" customHeight="1" x14ac:dyDescent="0.2">
      <c r="DA515" s="154"/>
    </row>
    <row r="516" spans="105:105" ht="14.25" customHeight="1" x14ac:dyDescent="0.2">
      <c r="DA516" s="154"/>
    </row>
    <row r="517" spans="105:105" ht="14.25" customHeight="1" x14ac:dyDescent="0.2">
      <c r="DA517" s="154"/>
    </row>
    <row r="518" spans="105:105" ht="14.25" customHeight="1" x14ac:dyDescent="0.2">
      <c r="DA518" s="154"/>
    </row>
    <row r="519" spans="105:105" ht="14.25" customHeight="1" x14ac:dyDescent="0.2">
      <c r="DA519" s="154"/>
    </row>
    <row r="520" spans="105:105" ht="14.25" customHeight="1" x14ac:dyDescent="0.2">
      <c r="DA520" s="154"/>
    </row>
    <row r="521" spans="105:105" ht="14.25" customHeight="1" x14ac:dyDescent="0.2">
      <c r="DA521" s="154"/>
    </row>
    <row r="522" spans="105:105" ht="14.25" customHeight="1" x14ac:dyDescent="0.2">
      <c r="DA522" s="154"/>
    </row>
    <row r="523" spans="105:105" ht="14.25" customHeight="1" x14ac:dyDescent="0.2">
      <c r="DA523" s="154"/>
    </row>
    <row r="524" spans="105:105" ht="14.25" customHeight="1" x14ac:dyDescent="0.2">
      <c r="DA524" s="154"/>
    </row>
    <row r="525" spans="105:105" ht="14.25" customHeight="1" x14ac:dyDescent="0.2">
      <c r="DA525" s="154"/>
    </row>
    <row r="526" spans="105:105" ht="14.25" customHeight="1" x14ac:dyDescent="0.2">
      <c r="DA526" s="154"/>
    </row>
    <row r="527" spans="105:105" ht="14.25" customHeight="1" x14ac:dyDescent="0.2">
      <c r="DA527" s="154"/>
    </row>
    <row r="528" spans="105:105" ht="14.25" customHeight="1" x14ac:dyDescent="0.2">
      <c r="DA528" s="154"/>
    </row>
    <row r="529" spans="105:105" ht="14.25" customHeight="1" x14ac:dyDescent="0.2">
      <c r="DA529" s="154"/>
    </row>
    <row r="530" spans="105:105" ht="14.25" customHeight="1" x14ac:dyDescent="0.2">
      <c r="DA530" s="154"/>
    </row>
    <row r="531" spans="105:105" ht="14.25" customHeight="1" x14ac:dyDescent="0.2">
      <c r="DA531" s="154"/>
    </row>
    <row r="532" spans="105:105" ht="14.25" customHeight="1" x14ac:dyDescent="0.2">
      <c r="DA532" s="154"/>
    </row>
    <row r="533" spans="105:105" ht="14.25" customHeight="1" x14ac:dyDescent="0.2">
      <c r="DA533" s="154"/>
    </row>
    <row r="534" spans="105:105" ht="14.25" customHeight="1" x14ac:dyDescent="0.2">
      <c r="DA534" s="154"/>
    </row>
    <row r="535" spans="105:105" ht="14.25" customHeight="1" x14ac:dyDescent="0.2">
      <c r="DA535" s="154"/>
    </row>
    <row r="536" spans="105:105" ht="14.25" customHeight="1" x14ac:dyDescent="0.2">
      <c r="DA536" s="154"/>
    </row>
    <row r="537" spans="105:105" ht="14.25" customHeight="1" x14ac:dyDescent="0.2">
      <c r="DA537" s="154"/>
    </row>
    <row r="538" spans="105:105" ht="14.25" customHeight="1" x14ac:dyDescent="0.2">
      <c r="DA538" s="154"/>
    </row>
    <row r="539" spans="105:105" ht="14.25" customHeight="1" x14ac:dyDescent="0.2">
      <c r="DA539" s="154"/>
    </row>
    <row r="540" spans="105:105" ht="14.25" customHeight="1" x14ac:dyDescent="0.2">
      <c r="DA540" s="154"/>
    </row>
    <row r="541" spans="105:105" ht="14.25" customHeight="1" x14ac:dyDescent="0.2">
      <c r="DA541" s="154"/>
    </row>
    <row r="542" spans="105:105" ht="14.25" customHeight="1" x14ac:dyDescent="0.2">
      <c r="DA542" s="154"/>
    </row>
    <row r="543" spans="105:105" ht="14.25" customHeight="1" x14ac:dyDescent="0.2">
      <c r="DA543" s="154"/>
    </row>
    <row r="544" spans="105:105" ht="14.25" customHeight="1" x14ac:dyDescent="0.2">
      <c r="DA544" s="154"/>
    </row>
    <row r="545" spans="105:105" ht="14.25" customHeight="1" x14ac:dyDescent="0.2">
      <c r="DA545" s="154"/>
    </row>
    <row r="546" spans="105:105" ht="14.25" customHeight="1" x14ac:dyDescent="0.2">
      <c r="DA546" s="154"/>
    </row>
    <row r="547" spans="105:105" ht="14.25" customHeight="1" x14ac:dyDescent="0.2">
      <c r="DA547" s="154"/>
    </row>
    <row r="548" spans="105:105" ht="14.25" customHeight="1" x14ac:dyDescent="0.2">
      <c r="DA548" s="154"/>
    </row>
    <row r="549" spans="105:105" ht="14.25" customHeight="1" x14ac:dyDescent="0.2">
      <c r="DA549" s="154"/>
    </row>
    <row r="550" spans="105:105" ht="14.25" customHeight="1" x14ac:dyDescent="0.2">
      <c r="DA550" s="154"/>
    </row>
    <row r="551" spans="105:105" ht="14.25" customHeight="1" x14ac:dyDescent="0.2">
      <c r="DA551" s="154"/>
    </row>
    <row r="552" spans="105:105" ht="14.25" customHeight="1" x14ac:dyDescent="0.2">
      <c r="DA552" s="154"/>
    </row>
    <row r="553" spans="105:105" ht="14.25" customHeight="1" x14ac:dyDescent="0.2">
      <c r="DA553" s="154"/>
    </row>
    <row r="554" spans="105:105" ht="14.25" customHeight="1" x14ac:dyDescent="0.2">
      <c r="DA554" s="154"/>
    </row>
    <row r="555" spans="105:105" ht="14.25" customHeight="1" x14ac:dyDescent="0.2">
      <c r="DA555" s="154"/>
    </row>
    <row r="556" spans="105:105" ht="14.25" customHeight="1" x14ac:dyDescent="0.2">
      <c r="DA556" s="154"/>
    </row>
    <row r="557" spans="105:105" ht="14.25" customHeight="1" x14ac:dyDescent="0.2">
      <c r="DA557" s="154"/>
    </row>
    <row r="558" spans="105:105" ht="14.25" customHeight="1" x14ac:dyDescent="0.2">
      <c r="DA558" s="154"/>
    </row>
    <row r="559" spans="105:105" ht="14.25" customHeight="1" x14ac:dyDescent="0.2">
      <c r="DA559" s="154"/>
    </row>
    <row r="560" spans="105:105" ht="14.25" customHeight="1" x14ac:dyDescent="0.2">
      <c r="DA560" s="154"/>
    </row>
    <row r="561" spans="105:105" ht="14.25" customHeight="1" x14ac:dyDescent="0.2">
      <c r="DA561" s="154"/>
    </row>
    <row r="562" spans="105:105" ht="14.25" customHeight="1" x14ac:dyDescent="0.2">
      <c r="DA562" s="154"/>
    </row>
    <row r="563" spans="105:105" ht="14.25" customHeight="1" x14ac:dyDescent="0.2">
      <c r="DA563" s="154"/>
    </row>
    <row r="564" spans="105:105" ht="14.25" customHeight="1" x14ac:dyDescent="0.2">
      <c r="DA564" s="154"/>
    </row>
    <row r="565" spans="105:105" ht="14.25" customHeight="1" x14ac:dyDescent="0.2">
      <c r="DA565" s="154"/>
    </row>
    <row r="566" spans="105:105" ht="14.25" customHeight="1" x14ac:dyDescent="0.2">
      <c r="DA566" s="154"/>
    </row>
    <row r="567" spans="105:105" ht="14.25" customHeight="1" x14ac:dyDescent="0.2">
      <c r="DA567" s="154"/>
    </row>
    <row r="568" spans="105:105" ht="14.25" customHeight="1" x14ac:dyDescent="0.2">
      <c r="DA568" s="154"/>
    </row>
    <row r="569" spans="105:105" ht="14.25" customHeight="1" x14ac:dyDescent="0.2">
      <c r="DA569" s="154"/>
    </row>
    <row r="570" spans="105:105" ht="14.25" customHeight="1" x14ac:dyDescent="0.2">
      <c r="DA570" s="154"/>
    </row>
    <row r="571" spans="105:105" ht="14.25" customHeight="1" x14ac:dyDescent="0.2">
      <c r="DA571" s="154"/>
    </row>
    <row r="572" spans="105:105" ht="14.25" customHeight="1" x14ac:dyDescent="0.2">
      <c r="DA572" s="154"/>
    </row>
    <row r="573" spans="105:105" ht="14.25" customHeight="1" x14ac:dyDescent="0.2">
      <c r="DA573" s="154"/>
    </row>
    <row r="574" spans="105:105" ht="14.25" customHeight="1" x14ac:dyDescent="0.2">
      <c r="DA574" s="154"/>
    </row>
    <row r="575" spans="105:105" ht="14.25" customHeight="1" x14ac:dyDescent="0.2">
      <c r="DA575" s="154"/>
    </row>
    <row r="576" spans="105:105" ht="14.25" customHeight="1" x14ac:dyDescent="0.2">
      <c r="DA576" s="154"/>
    </row>
    <row r="577" spans="105:105" ht="14.25" customHeight="1" x14ac:dyDescent="0.2">
      <c r="DA577" s="154"/>
    </row>
    <row r="578" spans="105:105" ht="14.25" customHeight="1" x14ac:dyDescent="0.2">
      <c r="DA578" s="154"/>
    </row>
    <row r="579" spans="105:105" ht="14.25" customHeight="1" x14ac:dyDescent="0.2">
      <c r="DA579" s="154"/>
    </row>
    <row r="580" spans="105:105" ht="14.25" customHeight="1" x14ac:dyDescent="0.2">
      <c r="DA580" s="154"/>
    </row>
    <row r="581" spans="105:105" ht="14.25" customHeight="1" x14ac:dyDescent="0.2">
      <c r="DA581" s="154"/>
    </row>
    <row r="582" spans="105:105" ht="14.25" customHeight="1" x14ac:dyDescent="0.2">
      <c r="DA582" s="154"/>
    </row>
    <row r="583" spans="105:105" ht="14.25" customHeight="1" x14ac:dyDescent="0.2">
      <c r="DA583" s="154"/>
    </row>
    <row r="584" spans="105:105" ht="14.25" customHeight="1" x14ac:dyDescent="0.2">
      <c r="DA584" s="154"/>
    </row>
    <row r="585" spans="105:105" ht="14.25" customHeight="1" x14ac:dyDescent="0.2">
      <c r="DA585" s="154"/>
    </row>
    <row r="586" spans="105:105" ht="14.25" customHeight="1" x14ac:dyDescent="0.2">
      <c r="DA586" s="154"/>
    </row>
    <row r="587" spans="105:105" ht="14.25" customHeight="1" x14ac:dyDescent="0.2">
      <c r="DA587" s="154"/>
    </row>
    <row r="588" spans="105:105" ht="14.25" customHeight="1" x14ac:dyDescent="0.2">
      <c r="DA588" s="154"/>
    </row>
    <row r="589" spans="105:105" ht="14.25" customHeight="1" x14ac:dyDescent="0.2">
      <c r="DA589" s="154"/>
    </row>
    <row r="590" spans="105:105" ht="14.25" customHeight="1" x14ac:dyDescent="0.2">
      <c r="DA590" s="154"/>
    </row>
    <row r="591" spans="105:105" ht="14.25" customHeight="1" x14ac:dyDescent="0.2">
      <c r="DA591" s="154"/>
    </row>
    <row r="592" spans="105:105" ht="14.25" customHeight="1" x14ac:dyDescent="0.2">
      <c r="DA592" s="154"/>
    </row>
    <row r="593" spans="105:105" ht="14.25" customHeight="1" x14ac:dyDescent="0.2">
      <c r="DA593" s="154"/>
    </row>
    <row r="594" spans="105:105" ht="14.25" customHeight="1" x14ac:dyDescent="0.2">
      <c r="DA594" s="154"/>
    </row>
    <row r="595" spans="105:105" ht="14.25" customHeight="1" x14ac:dyDescent="0.2">
      <c r="DA595" s="154"/>
    </row>
    <row r="596" spans="105:105" ht="14.25" customHeight="1" x14ac:dyDescent="0.2">
      <c r="DA596" s="154"/>
    </row>
    <row r="597" spans="105:105" ht="14.25" customHeight="1" x14ac:dyDescent="0.2">
      <c r="DA597" s="154"/>
    </row>
    <row r="598" spans="105:105" ht="14.25" customHeight="1" x14ac:dyDescent="0.2">
      <c r="DA598" s="154"/>
    </row>
    <row r="599" spans="105:105" ht="14.25" customHeight="1" x14ac:dyDescent="0.2">
      <c r="DA599" s="154"/>
    </row>
    <row r="600" spans="105:105" ht="14.25" customHeight="1" x14ac:dyDescent="0.2">
      <c r="DA600" s="154"/>
    </row>
    <row r="601" spans="105:105" ht="14.25" customHeight="1" x14ac:dyDescent="0.2">
      <c r="DA601" s="154"/>
    </row>
    <row r="602" spans="105:105" ht="14.25" customHeight="1" x14ac:dyDescent="0.2">
      <c r="DA602" s="154"/>
    </row>
    <row r="603" spans="105:105" ht="14.25" customHeight="1" x14ac:dyDescent="0.2">
      <c r="DA603" s="154"/>
    </row>
    <row r="604" spans="105:105" ht="14.25" customHeight="1" x14ac:dyDescent="0.2">
      <c r="DA604" s="154"/>
    </row>
    <row r="605" spans="105:105" ht="14.25" customHeight="1" x14ac:dyDescent="0.2">
      <c r="DA605" s="154"/>
    </row>
    <row r="606" spans="105:105" ht="14.25" customHeight="1" x14ac:dyDescent="0.2">
      <c r="DA606" s="154"/>
    </row>
    <row r="607" spans="105:105" ht="14.25" customHeight="1" x14ac:dyDescent="0.2">
      <c r="DA607" s="154"/>
    </row>
    <row r="608" spans="105:105" ht="14.25" customHeight="1" x14ac:dyDescent="0.2">
      <c r="DA608" s="154"/>
    </row>
    <row r="609" spans="105:105" ht="14.25" customHeight="1" x14ac:dyDescent="0.2">
      <c r="DA609" s="154"/>
    </row>
    <row r="610" spans="105:105" ht="14.25" customHeight="1" x14ac:dyDescent="0.2">
      <c r="DA610" s="154"/>
    </row>
    <row r="611" spans="105:105" ht="14.25" customHeight="1" x14ac:dyDescent="0.2">
      <c r="DA611" s="154"/>
    </row>
    <row r="612" spans="105:105" ht="14.25" customHeight="1" x14ac:dyDescent="0.2">
      <c r="DA612" s="154"/>
    </row>
    <row r="613" spans="105:105" ht="14.25" customHeight="1" x14ac:dyDescent="0.2">
      <c r="DA613" s="154"/>
    </row>
    <row r="614" spans="105:105" ht="14.25" customHeight="1" x14ac:dyDescent="0.2">
      <c r="DA614" s="154"/>
    </row>
    <row r="615" spans="105:105" ht="14.25" customHeight="1" x14ac:dyDescent="0.2">
      <c r="DA615" s="154"/>
    </row>
    <row r="616" spans="105:105" ht="14.25" customHeight="1" x14ac:dyDescent="0.2">
      <c r="DA616" s="154"/>
    </row>
    <row r="617" spans="105:105" ht="14.25" customHeight="1" x14ac:dyDescent="0.2">
      <c r="DA617" s="154"/>
    </row>
    <row r="618" spans="105:105" ht="14.25" customHeight="1" x14ac:dyDescent="0.2">
      <c r="DA618" s="154"/>
    </row>
    <row r="619" spans="105:105" ht="14.25" customHeight="1" x14ac:dyDescent="0.2">
      <c r="DA619" s="154"/>
    </row>
    <row r="620" spans="105:105" ht="14.25" customHeight="1" x14ac:dyDescent="0.2">
      <c r="DA620" s="154"/>
    </row>
    <row r="621" spans="105:105" ht="14.25" customHeight="1" x14ac:dyDescent="0.2">
      <c r="DA621" s="154"/>
    </row>
    <row r="622" spans="105:105" ht="14.25" customHeight="1" x14ac:dyDescent="0.2">
      <c r="DA622" s="154"/>
    </row>
    <row r="623" spans="105:105" ht="14.25" customHeight="1" x14ac:dyDescent="0.2">
      <c r="DA623" s="154"/>
    </row>
    <row r="624" spans="105:105" ht="14.25" customHeight="1" x14ac:dyDescent="0.2">
      <c r="DA624" s="154"/>
    </row>
    <row r="625" spans="105:105" ht="14.25" customHeight="1" x14ac:dyDescent="0.2">
      <c r="DA625" s="154"/>
    </row>
    <row r="626" spans="105:105" ht="14.25" customHeight="1" x14ac:dyDescent="0.2">
      <c r="DA626" s="154"/>
    </row>
    <row r="627" spans="105:105" ht="14.25" customHeight="1" x14ac:dyDescent="0.2">
      <c r="DA627" s="154"/>
    </row>
    <row r="628" spans="105:105" ht="14.25" customHeight="1" x14ac:dyDescent="0.2">
      <c r="DA628" s="154"/>
    </row>
    <row r="629" spans="105:105" ht="14.25" customHeight="1" x14ac:dyDescent="0.2">
      <c r="DA629" s="154"/>
    </row>
    <row r="630" spans="105:105" ht="14.25" customHeight="1" x14ac:dyDescent="0.2">
      <c r="DA630" s="154"/>
    </row>
    <row r="631" spans="105:105" ht="14.25" customHeight="1" x14ac:dyDescent="0.2">
      <c r="DA631" s="154"/>
    </row>
    <row r="632" spans="105:105" ht="14.25" customHeight="1" x14ac:dyDescent="0.2">
      <c r="DA632" s="154"/>
    </row>
    <row r="633" spans="105:105" ht="14.25" customHeight="1" x14ac:dyDescent="0.2">
      <c r="DA633" s="154"/>
    </row>
    <row r="634" spans="105:105" ht="14.25" customHeight="1" x14ac:dyDescent="0.2">
      <c r="DA634" s="154"/>
    </row>
    <row r="635" spans="105:105" ht="14.25" customHeight="1" x14ac:dyDescent="0.2">
      <c r="DA635" s="154"/>
    </row>
    <row r="636" spans="105:105" ht="14.25" customHeight="1" x14ac:dyDescent="0.2">
      <c r="DA636" s="154"/>
    </row>
    <row r="637" spans="105:105" ht="14.25" customHeight="1" x14ac:dyDescent="0.2">
      <c r="DA637" s="154"/>
    </row>
    <row r="638" spans="105:105" ht="14.25" customHeight="1" x14ac:dyDescent="0.2">
      <c r="DA638" s="154"/>
    </row>
    <row r="639" spans="105:105" ht="14.25" customHeight="1" x14ac:dyDescent="0.2">
      <c r="DA639" s="154"/>
    </row>
    <row r="640" spans="105:105" ht="14.25" customHeight="1" x14ac:dyDescent="0.2">
      <c r="DA640" s="154"/>
    </row>
    <row r="641" spans="105:105" ht="14.25" customHeight="1" x14ac:dyDescent="0.2">
      <c r="DA641" s="154"/>
    </row>
    <row r="642" spans="105:105" ht="14.25" customHeight="1" x14ac:dyDescent="0.2">
      <c r="DA642" s="154"/>
    </row>
    <row r="643" spans="105:105" ht="14.25" customHeight="1" x14ac:dyDescent="0.2">
      <c r="DA643" s="154"/>
    </row>
    <row r="644" spans="105:105" ht="14.25" customHeight="1" x14ac:dyDescent="0.2">
      <c r="DA644" s="154"/>
    </row>
    <row r="645" spans="105:105" ht="14.25" customHeight="1" x14ac:dyDescent="0.2">
      <c r="DA645" s="154"/>
    </row>
    <row r="646" spans="105:105" ht="14.25" customHeight="1" x14ac:dyDescent="0.2">
      <c r="DA646" s="154"/>
    </row>
    <row r="647" spans="105:105" ht="14.25" customHeight="1" x14ac:dyDescent="0.2">
      <c r="DA647" s="154"/>
    </row>
    <row r="648" spans="105:105" ht="14.25" customHeight="1" x14ac:dyDescent="0.2">
      <c r="DA648" s="154"/>
    </row>
    <row r="649" spans="105:105" ht="14.25" customHeight="1" x14ac:dyDescent="0.2">
      <c r="DA649" s="154"/>
    </row>
    <row r="650" spans="105:105" ht="14.25" customHeight="1" x14ac:dyDescent="0.2">
      <c r="DA650" s="154"/>
    </row>
    <row r="651" spans="105:105" ht="14.25" customHeight="1" x14ac:dyDescent="0.2">
      <c r="DA651" s="154"/>
    </row>
    <row r="652" spans="105:105" ht="14.25" customHeight="1" x14ac:dyDescent="0.2">
      <c r="DA652" s="154"/>
    </row>
    <row r="653" spans="105:105" ht="14.25" customHeight="1" x14ac:dyDescent="0.2">
      <c r="DA653" s="154"/>
    </row>
    <row r="654" spans="105:105" ht="14.25" customHeight="1" x14ac:dyDescent="0.2">
      <c r="DA654" s="154"/>
    </row>
    <row r="655" spans="105:105" ht="14.25" customHeight="1" x14ac:dyDescent="0.2">
      <c r="DA655" s="154"/>
    </row>
    <row r="656" spans="105:105" ht="14.25" customHeight="1" x14ac:dyDescent="0.2">
      <c r="DA656" s="154"/>
    </row>
    <row r="657" spans="105:105" ht="14.25" customHeight="1" x14ac:dyDescent="0.2">
      <c r="DA657" s="154"/>
    </row>
    <row r="658" spans="105:105" ht="14.25" customHeight="1" x14ac:dyDescent="0.2">
      <c r="DA658" s="154"/>
    </row>
    <row r="659" spans="105:105" ht="14.25" customHeight="1" x14ac:dyDescent="0.2">
      <c r="DA659" s="154"/>
    </row>
    <row r="660" spans="105:105" ht="14.25" customHeight="1" x14ac:dyDescent="0.2">
      <c r="DA660" s="154"/>
    </row>
    <row r="661" spans="105:105" ht="14.25" customHeight="1" x14ac:dyDescent="0.2">
      <c r="DA661" s="154"/>
    </row>
    <row r="662" spans="105:105" ht="14.25" customHeight="1" x14ac:dyDescent="0.2">
      <c r="DA662" s="154"/>
    </row>
    <row r="663" spans="105:105" ht="14.25" customHeight="1" x14ac:dyDescent="0.2">
      <c r="DA663" s="154"/>
    </row>
    <row r="664" spans="105:105" ht="14.25" customHeight="1" x14ac:dyDescent="0.2">
      <c r="DA664" s="154"/>
    </row>
    <row r="665" spans="105:105" ht="14.25" customHeight="1" x14ac:dyDescent="0.2">
      <c r="DA665" s="154"/>
    </row>
    <row r="666" spans="105:105" ht="14.25" customHeight="1" x14ac:dyDescent="0.2">
      <c r="DA666" s="154"/>
    </row>
    <row r="667" spans="105:105" ht="14.25" customHeight="1" x14ac:dyDescent="0.2">
      <c r="DA667" s="154"/>
    </row>
    <row r="668" spans="105:105" ht="14.25" customHeight="1" x14ac:dyDescent="0.2">
      <c r="DA668" s="154"/>
    </row>
    <row r="669" spans="105:105" ht="14.25" customHeight="1" x14ac:dyDescent="0.2">
      <c r="DA669" s="154"/>
    </row>
    <row r="670" spans="105:105" ht="14.25" customHeight="1" x14ac:dyDescent="0.2">
      <c r="DA670" s="154"/>
    </row>
    <row r="671" spans="105:105" ht="14.25" customHeight="1" x14ac:dyDescent="0.2">
      <c r="DA671" s="154"/>
    </row>
    <row r="672" spans="105:105" ht="14.25" customHeight="1" x14ac:dyDescent="0.2">
      <c r="DA672" s="154"/>
    </row>
    <row r="673" spans="105:105" ht="14.25" customHeight="1" x14ac:dyDescent="0.2">
      <c r="DA673" s="154"/>
    </row>
    <row r="674" spans="105:105" ht="14.25" customHeight="1" x14ac:dyDescent="0.2">
      <c r="DA674" s="154"/>
    </row>
    <row r="675" spans="105:105" ht="14.25" customHeight="1" x14ac:dyDescent="0.2">
      <c r="DA675" s="154"/>
    </row>
    <row r="676" spans="105:105" ht="14.25" customHeight="1" x14ac:dyDescent="0.2">
      <c r="DA676" s="154"/>
    </row>
    <row r="677" spans="105:105" ht="14.25" customHeight="1" x14ac:dyDescent="0.2">
      <c r="DA677" s="154"/>
    </row>
    <row r="678" spans="105:105" ht="14.25" customHeight="1" x14ac:dyDescent="0.2">
      <c r="DA678" s="154"/>
    </row>
    <row r="679" spans="105:105" ht="14.25" customHeight="1" x14ac:dyDescent="0.2">
      <c r="DA679" s="154"/>
    </row>
    <row r="680" spans="105:105" ht="14.25" customHeight="1" x14ac:dyDescent="0.2">
      <c r="DA680" s="154"/>
    </row>
    <row r="681" spans="105:105" ht="14.25" customHeight="1" x14ac:dyDescent="0.2">
      <c r="DA681" s="154"/>
    </row>
    <row r="682" spans="105:105" ht="14.25" customHeight="1" x14ac:dyDescent="0.2">
      <c r="DA682" s="154"/>
    </row>
    <row r="683" spans="105:105" ht="14.25" customHeight="1" x14ac:dyDescent="0.2">
      <c r="DA683" s="154"/>
    </row>
    <row r="684" spans="105:105" ht="14.25" customHeight="1" x14ac:dyDescent="0.2">
      <c r="DA684" s="154"/>
    </row>
    <row r="685" spans="105:105" ht="14.25" customHeight="1" x14ac:dyDescent="0.2">
      <c r="DA685" s="154"/>
    </row>
    <row r="686" spans="105:105" ht="14.25" customHeight="1" x14ac:dyDescent="0.2">
      <c r="DA686" s="154"/>
    </row>
    <row r="687" spans="105:105" ht="14.25" customHeight="1" x14ac:dyDescent="0.2">
      <c r="DA687" s="154"/>
    </row>
    <row r="688" spans="105:105" ht="14.25" customHeight="1" x14ac:dyDescent="0.2">
      <c r="DA688" s="154"/>
    </row>
    <row r="689" spans="105:105" ht="14.25" customHeight="1" x14ac:dyDescent="0.2">
      <c r="DA689" s="154"/>
    </row>
    <row r="690" spans="105:105" ht="14.25" customHeight="1" x14ac:dyDescent="0.2">
      <c r="DA690" s="154"/>
    </row>
    <row r="691" spans="105:105" ht="14.25" customHeight="1" x14ac:dyDescent="0.2">
      <c r="DA691" s="154"/>
    </row>
    <row r="692" spans="105:105" ht="14.25" customHeight="1" x14ac:dyDescent="0.2">
      <c r="DA692" s="154"/>
    </row>
    <row r="693" spans="105:105" ht="14.25" customHeight="1" x14ac:dyDescent="0.2">
      <c r="DA693" s="154"/>
    </row>
    <row r="694" spans="105:105" ht="14.25" customHeight="1" x14ac:dyDescent="0.2">
      <c r="DA694" s="154"/>
    </row>
    <row r="695" spans="105:105" ht="14.25" customHeight="1" x14ac:dyDescent="0.2">
      <c r="DA695" s="154"/>
    </row>
    <row r="696" spans="105:105" ht="14.25" customHeight="1" x14ac:dyDescent="0.2">
      <c r="DA696" s="154"/>
    </row>
    <row r="697" spans="105:105" ht="14.25" customHeight="1" x14ac:dyDescent="0.2">
      <c r="DA697" s="154"/>
    </row>
    <row r="698" spans="105:105" ht="14.25" customHeight="1" x14ac:dyDescent="0.2">
      <c r="DA698" s="154"/>
    </row>
    <row r="699" spans="105:105" ht="14.25" customHeight="1" x14ac:dyDescent="0.2">
      <c r="DA699" s="154"/>
    </row>
    <row r="700" spans="105:105" ht="14.25" customHeight="1" x14ac:dyDescent="0.2">
      <c r="DA700" s="154"/>
    </row>
    <row r="701" spans="105:105" ht="14.25" customHeight="1" x14ac:dyDescent="0.2">
      <c r="DA701" s="154"/>
    </row>
    <row r="702" spans="105:105" ht="14.25" customHeight="1" x14ac:dyDescent="0.2">
      <c r="DA702" s="154"/>
    </row>
    <row r="703" spans="105:105" ht="14.25" customHeight="1" x14ac:dyDescent="0.2">
      <c r="DA703" s="154"/>
    </row>
    <row r="704" spans="105:105" ht="14.25" customHeight="1" x14ac:dyDescent="0.2">
      <c r="DA704" s="154"/>
    </row>
    <row r="705" spans="105:105" ht="14.25" customHeight="1" x14ac:dyDescent="0.2">
      <c r="DA705" s="154"/>
    </row>
    <row r="706" spans="105:105" ht="14.25" customHeight="1" x14ac:dyDescent="0.2">
      <c r="DA706" s="154"/>
    </row>
    <row r="707" spans="105:105" ht="14.25" customHeight="1" x14ac:dyDescent="0.2">
      <c r="DA707" s="154"/>
    </row>
    <row r="708" spans="105:105" ht="14.25" customHeight="1" x14ac:dyDescent="0.2">
      <c r="DA708" s="154"/>
    </row>
    <row r="709" spans="105:105" ht="14.25" customHeight="1" x14ac:dyDescent="0.2">
      <c r="DA709" s="154"/>
    </row>
    <row r="710" spans="105:105" ht="14.25" customHeight="1" x14ac:dyDescent="0.2">
      <c r="DA710" s="154"/>
    </row>
    <row r="711" spans="105:105" ht="14.25" customHeight="1" x14ac:dyDescent="0.2">
      <c r="DA711" s="154"/>
    </row>
    <row r="712" spans="105:105" ht="14.25" customHeight="1" x14ac:dyDescent="0.2">
      <c r="DA712" s="154"/>
    </row>
    <row r="713" spans="105:105" ht="14.25" customHeight="1" x14ac:dyDescent="0.2">
      <c r="DA713" s="154"/>
    </row>
    <row r="714" spans="105:105" ht="14.25" customHeight="1" x14ac:dyDescent="0.2">
      <c r="DA714" s="154"/>
    </row>
    <row r="715" spans="105:105" ht="14.25" customHeight="1" x14ac:dyDescent="0.2">
      <c r="DA715" s="154"/>
    </row>
    <row r="716" spans="105:105" ht="14.25" customHeight="1" x14ac:dyDescent="0.2">
      <c r="DA716" s="154"/>
    </row>
    <row r="717" spans="105:105" ht="14.25" customHeight="1" x14ac:dyDescent="0.2">
      <c r="DA717" s="154"/>
    </row>
    <row r="718" spans="105:105" ht="14.25" customHeight="1" x14ac:dyDescent="0.2">
      <c r="DA718" s="154"/>
    </row>
    <row r="719" spans="105:105" ht="14.25" customHeight="1" x14ac:dyDescent="0.2">
      <c r="DA719" s="154"/>
    </row>
    <row r="720" spans="105:105" ht="14.25" customHeight="1" x14ac:dyDescent="0.2">
      <c r="DA720" s="154"/>
    </row>
    <row r="721" spans="105:105" ht="14.25" customHeight="1" x14ac:dyDescent="0.2">
      <c r="DA721" s="154"/>
    </row>
    <row r="722" spans="105:105" ht="14.25" customHeight="1" x14ac:dyDescent="0.2">
      <c r="DA722" s="154"/>
    </row>
    <row r="723" spans="105:105" ht="14.25" customHeight="1" x14ac:dyDescent="0.2">
      <c r="DA723" s="154"/>
    </row>
    <row r="724" spans="105:105" ht="14.25" customHeight="1" x14ac:dyDescent="0.2">
      <c r="DA724" s="154"/>
    </row>
    <row r="725" spans="105:105" ht="14.25" customHeight="1" x14ac:dyDescent="0.2">
      <c r="DA725" s="154"/>
    </row>
    <row r="726" spans="105:105" ht="14.25" customHeight="1" x14ac:dyDescent="0.2">
      <c r="DA726" s="154"/>
    </row>
    <row r="727" spans="105:105" ht="14.25" customHeight="1" x14ac:dyDescent="0.2">
      <c r="DA727" s="154"/>
    </row>
    <row r="728" spans="105:105" ht="14.25" customHeight="1" x14ac:dyDescent="0.2">
      <c r="DA728" s="154"/>
    </row>
    <row r="729" spans="105:105" ht="14.25" customHeight="1" x14ac:dyDescent="0.2">
      <c r="DA729" s="154"/>
    </row>
    <row r="730" spans="105:105" ht="14.25" customHeight="1" x14ac:dyDescent="0.2">
      <c r="DA730" s="154"/>
    </row>
    <row r="731" spans="105:105" ht="14.25" customHeight="1" x14ac:dyDescent="0.2">
      <c r="DA731" s="154"/>
    </row>
    <row r="732" spans="105:105" ht="14.25" customHeight="1" x14ac:dyDescent="0.2">
      <c r="DA732" s="154"/>
    </row>
    <row r="733" spans="105:105" ht="14.25" customHeight="1" x14ac:dyDescent="0.2">
      <c r="DA733" s="154"/>
    </row>
    <row r="734" spans="105:105" ht="14.25" customHeight="1" x14ac:dyDescent="0.2">
      <c r="DA734" s="154"/>
    </row>
    <row r="735" spans="105:105" ht="14.25" customHeight="1" x14ac:dyDescent="0.2">
      <c r="DA735" s="154"/>
    </row>
    <row r="736" spans="105:105" ht="14.25" customHeight="1" x14ac:dyDescent="0.2">
      <c r="DA736" s="154"/>
    </row>
    <row r="737" spans="105:105" ht="14.25" customHeight="1" x14ac:dyDescent="0.2">
      <c r="DA737" s="154"/>
    </row>
    <row r="738" spans="105:105" ht="14.25" customHeight="1" x14ac:dyDescent="0.2">
      <c r="DA738" s="154"/>
    </row>
    <row r="739" spans="105:105" ht="14.25" customHeight="1" x14ac:dyDescent="0.2">
      <c r="DA739" s="154"/>
    </row>
    <row r="740" spans="105:105" ht="14.25" customHeight="1" x14ac:dyDescent="0.2">
      <c r="DA740" s="154"/>
    </row>
    <row r="741" spans="105:105" ht="14.25" customHeight="1" x14ac:dyDescent="0.2">
      <c r="DA741" s="154"/>
    </row>
    <row r="742" spans="105:105" ht="14.25" customHeight="1" x14ac:dyDescent="0.2">
      <c r="DA742" s="154"/>
    </row>
    <row r="743" spans="105:105" ht="14.25" customHeight="1" x14ac:dyDescent="0.2">
      <c r="DA743" s="154"/>
    </row>
    <row r="744" spans="105:105" ht="14.25" customHeight="1" x14ac:dyDescent="0.2">
      <c r="DA744" s="154"/>
    </row>
    <row r="745" spans="105:105" ht="14.25" customHeight="1" x14ac:dyDescent="0.2">
      <c r="DA745" s="154"/>
    </row>
    <row r="746" spans="105:105" ht="14.25" customHeight="1" x14ac:dyDescent="0.2">
      <c r="DA746" s="154"/>
    </row>
    <row r="747" spans="105:105" ht="14.25" customHeight="1" x14ac:dyDescent="0.2">
      <c r="DA747" s="154"/>
    </row>
    <row r="748" spans="105:105" ht="14.25" customHeight="1" x14ac:dyDescent="0.2">
      <c r="DA748" s="154"/>
    </row>
    <row r="749" spans="105:105" ht="14.25" customHeight="1" x14ac:dyDescent="0.2">
      <c r="DA749" s="154"/>
    </row>
    <row r="750" spans="105:105" ht="14.25" customHeight="1" x14ac:dyDescent="0.2">
      <c r="DA750" s="154"/>
    </row>
    <row r="751" spans="105:105" ht="14.25" customHeight="1" x14ac:dyDescent="0.2">
      <c r="DA751" s="154"/>
    </row>
    <row r="752" spans="105:105" ht="14.25" customHeight="1" x14ac:dyDescent="0.2">
      <c r="DA752" s="154"/>
    </row>
    <row r="753" spans="105:105" ht="14.25" customHeight="1" x14ac:dyDescent="0.2">
      <c r="DA753" s="154"/>
    </row>
    <row r="754" spans="105:105" ht="14.25" customHeight="1" x14ac:dyDescent="0.2">
      <c r="DA754" s="154"/>
    </row>
    <row r="755" spans="105:105" ht="14.25" customHeight="1" x14ac:dyDescent="0.2">
      <c r="DA755" s="154"/>
    </row>
    <row r="756" spans="105:105" ht="14.25" customHeight="1" x14ac:dyDescent="0.2">
      <c r="DA756" s="154"/>
    </row>
    <row r="757" spans="105:105" ht="14.25" customHeight="1" x14ac:dyDescent="0.2">
      <c r="DA757" s="154"/>
    </row>
    <row r="758" spans="105:105" ht="14.25" customHeight="1" x14ac:dyDescent="0.2">
      <c r="DA758" s="154"/>
    </row>
    <row r="759" spans="105:105" ht="14.25" customHeight="1" x14ac:dyDescent="0.2">
      <c r="DA759" s="154"/>
    </row>
    <row r="760" spans="105:105" ht="14.25" customHeight="1" x14ac:dyDescent="0.2">
      <c r="DA760" s="154"/>
    </row>
    <row r="761" spans="105:105" ht="14.25" customHeight="1" x14ac:dyDescent="0.2">
      <c r="DA761" s="154"/>
    </row>
    <row r="762" spans="105:105" ht="14.25" customHeight="1" x14ac:dyDescent="0.2">
      <c r="DA762" s="154"/>
    </row>
    <row r="763" spans="105:105" ht="14.25" customHeight="1" x14ac:dyDescent="0.2">
      <c r="DA763" s="154"/>
    </row>
    <row r="764" spans="105:105" ht="14.25" customHeight="1" x14ac:dyDescent="0.2">
      <c r="DA764" s="154"/>
    </row>
    <row r="765" spans="105:105" ht="14.25" customHeight="1" x14ac:dyDescent="0.2">
      <c r="DA765" s="154"/>
    </row>
    <row r="766" spans="105:105" ht="14.25" customHeight="1" x14ac:dyDescent="0.2">
      <c r="DA766" s="154"/>
    </row>
    <row r="767" spans="105:105" ht="14.25" customHeight="1" x14ac:dyDescent="0.2">
      <c r="DA767" s="154"/>
    </row>
    <row r="768" spans="105:105" ht="14.25" customHeight="1" x14ac:dyDescent="0.2">
      <c r="DA768" s="154"/>
    </row>
    <row r="769" spans="105:105" ht="14.25" customHeight="1" x14ac:dyDescent="0.2">
      <c r="DA769" s="154"/>
    </row>
    <row r="770" spans="105:105" ht="14.25" customHeight="1" x14ac:dyDescent="0.2">
      <c r="DA770" s="154"/>
    </row>
    <row r="771" spans="105:105" ht="14.25" customHeight="1" x14ac:dyDescent="0.2">
      <c r="DA771" s="154"/>
    </row>
    <row r="772" spans="105:105" ht="14.25" customHeight="1" x14ac:dyDescent="0.2">
      <c r="DA772" s="154"/>
    </row>
    <row r="773" spans="105:105" ht="14.25" customHeight="1" x14ac:dyDescent="0.2">
      <c r="DA773" s="154"/>
    </row>
    <row r="774" spans="105:105" ht="14.25" customHeight="1" x14ac:dyDescent="0.2">
      <c r="DA774" s="154"/>
    </row>
    <row r="775" spans="105:105" ht="14.25" customHeight="1" x14ac:dyDescent="0.2">
      <c r="DA775" s="154"/>
    </row>
    <row r="776" spans="105:105" ht="14.25" customHeight="1" x14ac:dyDescent="0.2">
      <c r="DA776" s="154"/>
    </row>
    <row r="777" spans="105:105" ht="14.25" customHeight="1" x14ac:dyDescent="0.2">
      <c r="DA777" s="154"/>
    </row>
    <row r="778" spans="105:105" ht="14.25" customHeight="1" x14ac:dyDescent="0.2">
      <c r="DA778" s="154"/>
    </row>
    <row r="779" spans="105:105" ht="14.25" customHeight="1" x14ac:dyDescent="0.2">
      <c r="DA779" s="154"/>
    </row>
    <row r="780" spans="105:105" ht="14.25" customHeight="1" x14ac:dyDescent="0.2">
      <c r="DA780" s="154"/>
    </row>
    <row r="781" spans="105:105" ht="14.25" customHeight="1" x14ac:dyDescent="0.2">
      <c r="DA781" s="154"/>
    </row>
    <row r="782" spans="105:105" ht="14.25" customHeight="1" x14ac:dyDescent="0.2">
      <c r="DA782" s="154"/>
    </row>
    <row r="783" spans="105:105" ht="14.25" customHeight="1" x14ac:dyDescent="0.2">
      <c r="DA783" s="154"/>
    </row>
    <row r="784" spans="105:105" ht="14.25" customHeight="1" x14ac:dyDescent="0.2">
      <c r="DA784" s="154"/>
    </row>
    <row r="785" spans="105:105" ht="14.25" customHeight="1" x14ac:dyDescent="0.2">
      <c r="DA785" s="154"/>
    </row>
    <row r="786" spans="105:105" ht="14.25" customHeight="1" x14ac:dyDescent="0.2">
      <c r="DA786" s="154"/>
    </row>
    <row r="787" spans="105:105" ht="14.25" customHeight="1" x14ac:dyDescent="0.2">
      <c r="DA787" s="154"/>
    </row>
    <row r="788" spans="105:105" ht="14.25" customHeight="1" x14ac:dyDescent="0.2">
      <c r="DA788" s="154"/>
    </row>
    <row r="789" spans="105:105" ht="14.25" customHeight="1" x14ac:dyDescent="0.2">
      <c r="DA789" s="154"/>
    </row>
    <row r="790" spans="105:105" ht="14.25" customHeight="1" x14ac:dyDescent="0.2">
      <c r="DA790" s="154"/>
    </row>
    <row r="791" spans="105:105" ht="14.25" customHeight="1" x14ac:dyDescent="0.2">
      <c r="DA791" s="154"/>
    </row>
    <row r="792" spans="105:105" ht="14.25" customHeight="1" x14ac:dyDescent="0.2">
      <c r="DA792" s="154"/>
    </row>
    <row r="793" spans="105:105" ht="14.25" customHeight="1" x14ac:dyDescent="0.2">
      <c r="DA793" s="154"/>
    </row>
    <row r="794" spans="105:105" ht="14.25" customHeight="1" x14ac:dyDescent="0.2">
      <c r="DA794" s="154"/>
    </row>
    <row r="795" spans="105:105" ht="14.25" customHeight="1" x14ac:dyDescent="0.2">
      <c r="DA795" s="154"/>
    </row>
    <row r="796" spans="105:105" ht="14.25" customHeight="1" x14ac:dyDescent="0.2">
      <c r="DA796" s="154"/>
    </row>
    <row r="797" spans="105:105" ht="14.25" customHeight="1" x14ac:dyDescent="0.2">
      <c r="DA797" s="154"/>
    </row>
    <row r="798" spans="105:105" ht="14.25" customHeight="1" x14ac:dyDescent="0.2">
      <c r="DA798" s="154"/>
    </row>
    <row r="799" spans="105:105" ht="14.25" customHeight="1" x14ac:dyDescent="0.2">
      <c r="DA799" s="154"/>
    </row>
    <row r="800" spans="105:105" ht="14.25" customHeight="1" x14ac:dyDescent="0.2">
      <c r="DA800" s="154"/>
    </row>
    <row r="801" spans="105:105" ht="14.25" customHeight="1" x14ac:dyDescent="0.2">
      <c r="DA801" s="154"/>
    </row>
    <row r="802" spans="105:105" ht="14.25" customHeight="1" x14ac:dyDescent="0.2">
      <c r="DA802" s="154"/>
    </row>
    <row r="803" spans="105:105" ht="14.25" customHeight="1" x14ac:dyDescent="0.2">
      <c r="DA803" s="154"/>
    </row>
    <row r="804" spans="105:105" ht="14.25" customHeight="1" x14ac:dyDescent="0.2">
      <c r="DA804" s="154"/>
    </row>
    <row r="805" spans="105:105" ht="14.25" customHeight="1" x14ac:dyDescent="0.2">
      <c r="DA805" s="154"/>
    </row>
    <row r="806" spans="105:105" ht="14.25" customHeight="1" x14ac:dyDescent="0.2">
      <c r="DA806" s="154"/>
    </row>
    <row r="807" spans="105:105" ht="14.25" customHeight="1" x14ac:dyDescent="0.2">
      <c r="DA807" s="154"/>
    </row>
    <row r="808" spans="105:105" ht="14.25" customHeight="1" x14ac:dyDescent="0.2">
      <c r="DA808" s="154"/>
    </row>
    <row r="809" spans="105:105" ht="14.25" customHeight="1" x14ac:dyDescent="0.2">
      <c r="DA809" s="154"/>
    </row>
    <row r="810" spans="105:105" ht="14.25" customHeight="1" x14ac:dyDescent="0.2">
      <c r="DA810" s="154"/>
    </row>
    <row r="811" spans="105:105" ht="14.25" customHeight="1" x14ac:dyDescent="0.2">
      <c r="DA811" s="154"/>
    </row>
    <row r="812" spans="105:105" ht="14.25" customHeight="1" x14ac:dyDescent="0.2">
      <c r="DA812" s="154"/>
    </row>
    <row r="813" spans="105:105" ht="14.25" customHeight="1" x14ac:dyDescent="0.2">
      <c r="DA813" s="154"/>
    </row>
    <row r="814" spans="105:105" ht="14.25" customHeight="1" x14ac:dyDescent="0.2">
      <c r="DA814" s="154"/>
    </row>
    <row r="815" spans="105:105" ht="14.25" customHeight="1" x14ac:dyDescent="0.2">
      <c r="DA815" s="154"/>
    </row>
    <row r="816" spans="105:105" ht="14.25" customHeight="1" x14ac:dyDescent="0.2">
      <c r="DA816" s="154"/>
    </row>
    <row r="817" spans="105:105" ht="14.25" customHeight="1" x14ac:dyDescent="0.2">
      <c r="DA817" s="154"/>
    </row>
    <row r="818" spans="105:105" ht="14.25" customHeight="1" x14ac:dyDescent="0.2">
      <c r="DA818" s="154"/>
    </row>
    <row r="819" spans="105:105" ht="14.25" customHeight="1" x14ac:dyDescent="0.2">
      <c r="DA819" s="154"/>
    </row>
    <row r="820" spans="105:105" ht="14.25" customHeight="1" x14ac:dyDescent="0.2">
      <c r="DA820" s="154"/>
    </row>
    <row r="821" spans="105:105" ht="14.25" customHeight="1" x14ac:dyDescent="0.2">
      <c r="DA821" s="154"/>
    </row>
    <row r="822" spans="105:105" ht="14.25" customHeight="1" x14ac:dyDescent="0.2">
      <c r="DA822" s="154"/>
    </row>
    <row r="823" spans="105:105" ht="14.25" customHeight="1" x14ac:dyDescent="0.2">
      <c r="DA823" s="154"/>
    </row>
    <row r="824" spans="105:105" ht="14.25" customHeight="1" x14ac:dyDescent="0.2">
      <c r="DA824" s="154"/>
    </row>
    <row r="825" spans="105:105" ht="14.25" customHeight="1" x14ac:dyDescent="0.2">
      <c r="DA825" s="154"/>
    </row>
    <row r="826" spans="105:105" ht="14.25" customHeight="1" x14ac:dyDescent="0.2">
      <c r="DA826" s="154"/>
    </row>
    <row r="827" spans="105:105" ht="14.25" customHeight="1" x14ac:dyDescent="0.2">
      <c r="DA827" s="154"/>
    </row>
    <row r="828" spans="105:105" ht="14.25" customHeight="1" x14ac:dyDescent="0.2">
      <c r="DA828" s="154"/>
    </row>
    <row r="829" spans="105:105" ht="14.25" customHeight="1" x14ac:dyDescent="0.2">
      <c r="DA829" s="154"/>
    </row>
    <row r="830" spans="105:105" ht="14.25" customHeight="1" x14ac:dyDescent="0.2">
      <c r="DA830" s="154"/>
    </row>
    <row r="831" spans="105:105" ht="14.25" customHeight="1" x14ac:dyDescent="0.2">
      <c r="DA831" s="154"/>
    </row>
    <row r="832" spans="105:105" ht="14.25" customHeight="1" x14ac:dyDescent="0.2">
      <c r="DA832" s="154"/>
    </row>
    <row r="833" spans="105:105" ht="14.25" customHeight="1" x14ac:dyDescent="0.2">
      <c r="DA833" s="154"/>
    </row>
    <row r="834" spans="105:105" ht="14.25" customHeight="1" x14ac:dyDescent="0.2">
      <c r="DA834" s="154"/>
    </row>
    <row r="835" spans="105:105" ht="14.25" customHeight="1" x14ac:dyDescent="0.2">
      <c r="DA835" s="154"/>
    </row>
    <row r="836" spans="105:105" ht="14.25" customHeight="1" x14ac:dyDescent="0.2">
      <c r="DA836" s="154"/>
    </row>
    <row r="837" spans="105:105" ht="14.25" customHeight="1" x14ac:dyDescent="0.2">
      <c r="DA837" s="154"/>
    </row>
    <row r="838" spans="105:105" ht="14.25" customHeight="1" x14ac:dyDescent="0.2">
      <c r="DA838" s="154"/>
    </row>
    <row r="839" spans="105:105" ht="14.25" customHeight="1" x14ac:dyDescent="0.2">
      <c r="DA839" s="154"/>
    </row>
    <row r="840" spans="105:105" ht="14.25" customHeight="1" x14ac:dyDescent="0.2">
      <c r="DA840" s="154"/>
    </row>
    <row r="841" spans="105:105" ht="14.25" customHeight="1" x14ac:dyDescent="0.2">
      <c r="DA841" s="154"/>
    </row>
    <row r="842" spans="105:105" ht="14.25" customHeight="1" x14ac:dyDescent="0.2">
      <c r="DA842" s="154"/>
    </row>
    <row r="843" spans="105:105" ht="14.25" customHeight="1" x14ac:dyDescent="0.2">
      <c r="DA843" s="154"/>
    </row>
    <row r="844" spans="105:105" ht="14.25" customHeight="1" x14ac:dyDescent="0.2">
      <c r="DA844" s="154"/>
    </row>
    <row r="845" spans="105:105" ht="14.25" customHeight="1" x14ac:dyDescent="0.2">
      <c r="DA845" s="154"/>
    </row>
    <row r="846" spans="105:105" ht="14.25" customHeight="1" x14ac:dyDescent="0.2">
      <c r="DA846" s="154"/>
    </row>
    <row r="847" spans="105:105" ht="14.25" customHeight="1" x14ac:dyDescent="0.2">
      <c r="DA847" s="154"/>
    </row>
    <row r="848" spans="105:105" ht="14.25" customHeight="1" x14ac:dyDescent="0.2">
      <c r="DA848" s="154"/>
    </row>
    <row r="849" spans="105:105" ht="14.25" customHeight="1" x14ac:dyDescent="0.2">
      <c r="DA849" s="154"/>
    </row>
    <row r="850" spans="105:105" ht="14.25" customHeight="1" x14ac:dyDescent="0.2">
      <c r="DA850" s="154"/>
    </row>
    <row r="851" spans="105:105" ht="14.25" customHeight="1" x14ac:dyDescent="0.2">
      <c r="DA851" s="154"/>
    </row>
    <row r="852" spans="105:105" ht="14.25" customHeight="1" x14ac:dyDescent="0.2">
      <c r="DA852" s="154"/>
    </row>
    <row r="853" spans="105:105" ht="14.25" customHeight="1" x14ac:dyDescent="0.2">
      <c r="DA853" s="154"/>
    </row>
    <row r="854" spans="105:105" ht="14.25" customHeight="1" x14ac:dyDescent="0.2">
      <c r="DA854" s="154"/>
    </row>
    <row r="855" spans="105:105" ht="14.25" customHeight="1" x14ac:dyDescent="0.2">
      <c r="DA855" s="154"/>
    </row>
    <row r="856" spans="105:105" ht="14.25" customHeight="1" x14ac:dyDescent="0.2">
      <c r="DA856" s="154"/>
    </row>
    <row r="857" spans="105:105" ht="14.25" customHeight="1" x14ac:dyDescent="0.2">
      <c r="DA857" s="154"/>
    </row>
    <row r="858" spans="105:105" ht="14.25" customHeight="1" x14ac:dyDescent="0.2">
      <c r="DA858" s="154"/>
    </row>
    <row r="859" spans="105:105" ht="14.25" customHeight="1" x14ac:dyDescent="0.2">
      <c r="DA859" s="154"/>
    </row>
    <row r="860" spans="105:105" ht="14.25" customHeight="1" x14ac:dyDescent="0.2">
      <c r="DA860" s="154"/>
    </row>
    <row r="861" spans="105:105" ht="14.25" customHeight="1" x14ac:dyDescent="0.2">
      <c r="DA861" s="154"/>
    </row>
    <row r="862" spans="105:105" ht="14.25" customHeight="1" x14ac:dyDescent="0.2">
      <c r="DA862" s="154"/>
    </row>
    <row r="863" spans="105:105" ht="14.25" customHeight="1" x14ac:dyDescent="0.2">
      <c r="DA863" s="154"/>
    </row>
    <row r="864" spans="105:105" ht="14.25" customHeight="1" x14ac:dyDescent="0.2">
      <c r="DA864" s="154"/>
    </row>
    <row r="865" spans="105:105" ht="14.25" customHeight="1" x14ac:dyDescent="0.2">
      <c r="DA865" s="154"/>
    </row>
    <row r="866" spans="105:105" ht="14.25" customHeight="1" x14ac:dyDescent="0.2">
      <c r="DA866" s="154"/>
    </row>
    <row r="867" spans="105:105" ht="14.25" customHeight="1" x14ac:dyDescent="0.2">
      <c r="DA867" s="154"/>
    </row>
    <row r="868" spans="105:105" ht="14.25" customHeight="1" x14ac:dyDescent="0.2">
      <c r="DA868" s="154"/>
    </row>
    <row r="869" spans="105:105" ht="14.25" customHeight="1" x14ac:dyDescent="0.2">
      <c r="DA869" s="154"/>
    </row>
    <row r="870" spans="105:105" ht="14.25" customHeight="1" x14ac:dyDescent="0.2">
      <c r="DA870" s="154"/>
    </row>
    <row r="871" spans="105:105" ht="14.25" customHeight="1" x14ac:dyDescent="0.2">
      <c r="DA871" s="154"/>
    </row>
    <row r="872" spans="105:105" ht="14.25" customHeight="1" x14ac:dyDescent="0.2">
      <c r="DA872" s="154"/>
    </row>
    <row r="873" spans="105:105" ht="14.25" customHeight="1" x14ac:dyDescent="0.2">
      <c r="DA873" s="154"/>
    </row>
    <row r="874" spans="105:105" ht="14.25" customHeight="1" x14ac:dyDescent="0.2">
      <c r="DA874" s="154"/>
    </row>
    <row r="875" spans="105:105" ht="14.25" customHeight="1" x14ac:dyDescent="0.2">
      <c r="DA875" s="154"/>
    </row>
    <row r="876" spans="105:105" ht="14.25" customHeight="1" x14ac:dyDescent="0.2">
      <c r="DA876" s="154"/>
    </row>
    <row r="877" spans="105:105" ht="14.25" customHeight="1" x14ac:dyDescent="0.2">
      <c r="DA877" s="154"/>
    </row>
    <row r="878" spans="105:105" ht="14.25" customHeight="1" x14ac:dyDescent="0.2">
      <c r="DA878" s="154"/>
    </row>
    <row r="879" spans="105:105" ht="14.25" customHeight="1" x14ac:dyDescent="0.2">
      <c r="DA879" s="154"/>
    </row>
    <row r="880" spans="105:105" ht="14.25" customHeight="1" x14ac:dyDescent="0.2">
      <c r="DA880" s="154"/>
    </row>
    <row r="881" spans="105:105" ht="14.25" customHeight="1" x14ac:dyDescent="0.2">
      <c r="DA881" s="154"/>
    </row>
    <row r="882" spans="105:105" ht="14.25" customHeight="1" x14ac:dyDescent="0.2">
      <c r="DA882" s="154"/>
    </row>
    <row r="883" spans="105:105" ht="14.25" customHeight="1" x14ac:dyDescent="0.2">
      <c r="DA883" s="154"/>
    </row>
    <row r="884" spans="105:105" ht="14.25" customHeight="1" x14ac:dyDescent="0.2">
      <c r="DA884" s="154"/>
    </row>
    <row r="885" spans="105:105" ht="14.25" customHeight="1" x14ac:dyDescent="0.2">
      <c r="DA885" s="154"/>
    </row>
    <row r="886" spans="105:105" ht="14.25" customHeight="1" x14ac:dyDescent="0.2">
      <c r="DA886" s="154"/>
    </row>
    <row r="887" spans="105:105" ht="14.25" customHeight="1" x14ac:dyDescent="0.2">
      <c r="DA887" s="154"/>
    </row>
    <row r="888" spans="105:105" ht="14.25" customHeight="1" x14ac:dyDescent="0.2">
      <c r="DA888" s="154"/>
    </row>
    <row r="889" spans="105:105" ht="14.25" customHeight="1" x14ac:dyDescent="0.2">
      <c r="DA889" s="154"/>
    </row>
    <row r="890" spans="105:105" ht="14.25" customHeight="1" x14ac:dyDescent="0.2">
      <c r="DA890" s="154"/>
    </row>
    <row r="891" spans="105:105" ht="14.25" customHeight="1" x14ac:dyDescent="0.2">
      <c r="DA891" s="154"/>
    </row>
    <row r="892" spans="105:105" ht="14.25" customHeight="1" x14ac:dyDescent="0.2">
      <c r="DA892" s="154"/>
    </row>
    <row r="893" spans="105:105" ht="14.25" customHeight="1" x14ac:dyDescent="0.2">
      <c r="DA893" s="154"/>
    </row>
    <row r="894" spans="105:105" ht="14.25" customHeight="1" x14ac:dyDescent="0.2">
      <c r="DA894" s="154"/>
    </row>
    <row r="895" spans="105:105" ht="14.25" customHeight="1" x14ac:dyDescent="0.2">
      <c r="DA895" s="154"/>
    </row>
    <row r="896" spans="105:105" ht="14.25" customHeight="1" x14ac:dyDescent="0.2">
      <c r="DA896" s="154"/>
    </row>
    <row r="897" spans="105:105" ht="14.25" customHeight="1" x14ac:dyDescent="0.2">
      <c r="DA897" s="154"/>
    </row>
    <row r="898" spans="105:105" ht="14.25" customHeight="1" x14ac:dyDescent="0.2">
      <c r="DA898" s="154"/>
    </row>
    <row r="899" spans="105:105" ht="14.25" customHeight="1" x14ac:dyDescent="0.2">
      <c r="DA899" s="154"/>
    </row>
    <row r="900" spans="105:105" ht="14.25" customHeight="1" x14ac:dyDescent="0.2">
      <c r="DA900" s="154"/>
    </row>
    <row r="901" spans="105:105" ht="14.25" customHeight="1" x14ac:dyDescent="0.2">
      <c r="DA901" s="154"/>
    </row>
    <row r="902" spans="105:105" ht="14.25" customHeight="1" x14ac:dyDescent="0.2">
      <c r="DA902" s="154"/>
    </row>
    <row r="903" spans="105:105" ht="14.25" customHeight="1" x14ac:dyDescent="0.2">
      <c r="DA903" s="154"/>
    </row>
    <row r="904" spans="105:105" ht="14.25" customHeight="1" x14ac:dyDescent="0.2">
      <c r="DA904" s="154"/>
    </row>
    <row r="905" spans="105:105" ht="14.25" customHeight="1" x14ac:dyDescent="0.2">
      <c r="DA905" s="154"/>
    </row>
    <row r="906" spans="105:105" ht="14.25" customHeight="1" x14ac:dyDescent="0.2">
      <c r="DA906" s="154"/>
    </row>
    <row r="907" spans="105:105" ht="14.25" customHeight="1" x14ac:dyDescent="0.2">
      <c r="DA907" s="154"/>
    </row>
    <row r="908" spans="105:105" ht="14.25" customHeight="1" x14ac:dyDescent="0.2">
      <c r="DA908" s="154"/>
    </row>
    <row r="909" spans="105:105" ht="14.25" customHeight="1" x14ac:dyDescent="0.2">
      <c r="DA909" s="154"/>
    </row>
    <row r="910" spans="105:105" ht="14.25" customHeight="1" x14ac:dyDescent="0.2">
      <c r="DA910" s="154"/>
    </row>
    <row r="911" spans="105:105" ht="14.25" customHeight="1" x14ac:dyDescent="0.2">
      <c r="DA911" s="154"/>
    </row>
    <row r="912" spans="105:105" ht="14.25" customHeight="1" x14ac:dyDescent="0.2">
      <c r="DA912" s="154"/>
    </row>
    <row r="913" spans="105:105" ht="14.25" customHeight="1" x14ac:dyDescent="0.2">
      <c r="DA913" s="154"/>
    </row>
    <row r="914" spans="105:105" ht="14.25" customHeight="1" x14ac:dyDescent="0.2">
      <c r="DA914" s="154"/>
    </row>
    <row r="915" spans="105:105" ht="14.25" customHeight="1" x14ac:dyDescent="0.2">
      <c r="DA915" s="154"/>
    </row>
    <row r="916" spans="105:105" ht="14.25" customHeight="1" x14ac:dyDescent="0.2">
      <c r="DA916" s="154"/>
    </row>
    <row r="917" spans="105:105" ht="14.25" customHeight="1" x14ac:dyDescent="0.2">
      <c r="DA917" s="154"/>
    </row>
    <row r="918" spans="105:105" ht="14.25" customHeight="1" x14ac:dyDescent="0.2">
      <c r="DA918" s="154"/>
    </row>
    <row r="919" spans="105:105" ht="14.25" customHeight="1" x14ac:dyDescent="0.2">
      <c r="DA919" s="154"/>
    </row>
    <row r="920" spans="105:105" ht="14.25" customHeight="1" x14ac:dyDescent="0.2">
      <c r="DA920" s="154"/>
    </row>
    <row r="921" spans="105:105" ht="14.25" customHeight="1" x14ac:dyDescent="0.2">
      <c r="DA921" s="154"/>
    </row>
    <row r="922" spans="105:105" ht="14.25" customHeight="1" x14ac:dyDescent="0.2">
      <c r="DA922" s="154"/>
    </row>
    <row r="923" spans="105:105" ht="14.25" customHeight="1" x14ac:dyDescent="0.2">
      <c r="DA923" s="154"/>
    </row>
    <row r="924" spans="105:105" ht="14.25" customHeight="1" x14ac:dyDescent="0.2">
      <c r="DA924" s="154"/>
    </row>
    <row r="925" spans="105:105" ht="14.25" customHeight="1" x14ac:dyDescent="0.2">
      <c r="DA925" s="154"/>
    </row>
    <row r="926" spans="105:105" ht="14.25" customHeight="1" x14ac:dyDescent="0.2">
      <c r="DA926" s="154"/>
    </row>
    <row r="927" spans="105:105" ht="14.25" customHeight="1" x14ac:dyDescent="0.2">
      <c r="DA927" s="154"/>
    </row>
    <row r="928" spans="105:105" ht="14.25" customHeight="1" x14ac:dyDescent="0.2">
      <c r="DA928" s="154"/>
    </row>
    <row r="929" spans="105:105" ht="14.25" customHeight="1" x14ac:dyDescent="0.2">
      <c r="DA929" s="154"/>
    </row>
    <row r="930" spans="105:105" ht="14.25" customHeight="1" x14ac:dyDescent="0.2">
      <c r="DA930" s="154"/>
    </row>
    <row r="931" spans="105:105" ht="14.25" customHeight="1" x14ac:dyDescent="0.2">
      <c r="DA931" s="154"/>
    </row>
    <row r="932" spans="105:105" ht="14.25" customHeight="1" x14ac:dyDescent="0.2">
      <c r="DA932" s="154"/>
    </row>
    <row r="933" spans="105:105" ht="14.25" customHeight="1" x14ac:dyDescent="0.2">
      <c r="DA933" s="154"/>
    </row>
    <row r="934" spans="105:105" ht="14.25" customHeight="1" x14ac:dyDescent="0.2">
      <c r="DA934" s="154"/>
    </row>
    <row r="935" spans="105:105" ht="14.25" customHeight="1" x14ac:dyDescent="0.2">
      <c r="DA935" s="154"/>
    </row>
    <row r="936" spans="105:105" ht="14.25" customHeight="1" x14ac:dyDescent="0.2">
      <c r="DA936" s="154"/>
    </row>
    <row r="937" spans="105:105" ht="14.25" customHeight="1" x14ac:dyDescent="0.2">
      <c r="DA937" s="154"/>
    </row>
    <row r="938" spans="105:105" ht="14.25" customHeight="1" x14ac:dyDescent="0.2">
      <c r="DA938" s="154"/>
    </row>
    <row r="939" spans="105:105" ht="14.25" customHeight="1" x14ac:dyDescent="0.2">
      <c r="DA939" s="154"/>
    </row>
    <row r="940" spans="105:105" ht="14.25" customHeight="1" x14ac:dyDescent="0.2">
      <c r="DA940" s="154"/>
    </row>
    <row r="941" spans="105:105" ht="14.25" customHeight="1" x14ac:dyDescent="0.2">
      <c r="DA941" s="154"/>
    </row>
    <row r="942" spans="105:105" ht="14.25" customHeight="1" x14ac:dyDescent="0.2">
      <c r="DA942" s="154"/>
    </row>
    <row r="943" spans="105:105" ht="14.25" customHeight="1" x14ac:dyDescent="0.2">
      <c r="DA943" s="154"/>
    </row>
    <row r="944" spans="105:105" ht="14.25" customHeight="1" x14ac:dyDescent="0.2">
      <c r="DA944" s="154"/>
    </row>
    <row r="945" spans="105:105" ht="14.25" customHeight="1" x14ac:dyDescent="0.2">
      <c r="DA945" s="154"/>
    </row>
    <row r="946" spans="105:105" ht="14.25" customHeight="1" x14ac:dyDescent="0.2">
      <c r="DA946" s="154"/>
    </row>
    <row r="947" spans="105:105" ht="14.25" customHeight="1" x14ac:dyDescent="0.2">
      <c r="DA947" s="154"/>
    </row>
    <row r="948" spans="105:105" ht="14.25" customHeight="1" x14ac:dyDescent="0.2">
      <c r="DA948" s="154"/>
    </row>
    <row r="949" spans="105:105" ht="14.25" customHeight="1" x14ac:dyDescent="0.2">
      <c r="DA949" s="154"/>
    </row>
    <row r="950" spans="105:105" ht="14.25" customHeight="1" x14ac:dyDescent="0.2">
      <c r="DA950" s="154"/>
    </row>
    <row r="951" spans="105:105" ht="14.25" customHeight="1" x14ac:dyDescent="0.2">
      <c r="DA951" s="154"/>
    </row>
    <row r="952" spans="105:105" ht="14.25" customHeight="1" x14ac:dyDescent="0.2">
      <c r="DA952" s="154"/>
    </row>
    <row r="953" spans="105:105" ht="14.25" customHeight="1" x14ac:dyDescent="0.2">
      <c r="DA953" s="154"/>
    </row>
    <row r="954" spans="105:105" ht="14.25" customHeight="1" x14ac:dyDescent="0.2">
      <c r="DA954" s="154"/>
    </row>
    <row r="955" spans="105:105" ht="14.25" customHeight="1" x14ac:dyDescent="0.2">
      <c r="DA955" s="154"/>
    </row>
    <row r="956" spans="105:105" ht="14.25" customHeight="1" x14ac:dyDescent="0.2">
      <c r="DA956" s="154"/>
    </row>
    <row r="957" spans="105:105" ht="14.25" customHeight="1" x14ac:dyDescent="0.2">
      <c r="DA957" s="154"/>
    </row>
    <row r="958" spans="105:105" ht="14.25" customHeight="1" x14ac:dyDescent="0.2">
      <c r="DA958" s="154"/>
    </row>
    <row r="959" spans="105:105" ht="14.25" customHeight="1" x14ac:dyDescent="0.2">
      <c r="DA959" s="154"/>
    </row>
    <row r="960" spans="105:105" ht="14.25" customHeight="1" x14ac:dyDescent="0.2">
      <c r="DA960" s="154"/>
    </row>
    <row r="961" spans="105:105" ht="14.25" customHeight="1" x14ac:dyDescent="0.2">
      <c r="DA961" s="154"/>
    </row>
    <row r="962" spans="105:105" ht="14.25" customHeight="1" x14ac:dyDescent="0.2">
      <c r="DA962" s="154"/>
    </row>
    <row r="963" spans="105:105" ht="14.25" customHeight="1" x14ac:dyDescent="0.2">
      <c r="DA963" s="154"/>
    </row>
    <row r="964" spans="105:105" ht="14.25" customHeight="1" x14ac:dyDescent="0.2">
      <c r="DA964" s="154"/>
    </row>
    <row r="965" spans="105:105" ht="14.25" customHeight="1" x14ac:dyDescent="0.2">
      <c r="DA965" s="154"/>
    </row>
    <row r="966" spans="105:105" ht="14.25" customHeight="1" x14ac:dyDescent="0.2">
      <c r="DA966" s="154"/>
    </row>
    <row r="967" spans="105:105" ht="14.25" customHeight="1" x14ac:dyDescent="0.2">
      <c r="DA967" s="154"/>
    </row>
    <row r="968" spans="105:105" ht="14.25" customHeight="1" x14ac:dyDescent="0.2">
      <c r="DA968" s="154"/>
    </row>
    <row r="969" spans="105:105" ht="14.25" customHeight="1" x14ac:dyDescent="0.2">
      <c r="DA969" s="154"/>
    </row>
    <row r="970" spans="105:105" ht="14.25" customHeight="1" x14ac:dyDescent="0.2">
      <c r="DA970" s="154"/>
    </row>
    <row r="971" spans="105:105" ht="14.25" customHeight="1" x14ac:dyDescent="0.2">
      <c r="DA971" s="154"/>
    </row>
    <row r="972" spans="105:105" ht="14.25" customHeight="1" x14ac:dyDescent="0.2">
      <c r="DA972" s="154"/>
    </row>
    <row r="973" spans="105:105" ht="14.25" customHeight="1" x14ac:dyDescent="0.2">
      <c r="DA973" s="154"/>
    </row>
    <row r="974" spans="105:105" ht="14.25" customHeight="1" x14ac:dyDescent="0.2">
      <c r="DA974" s="154"/>
    </row>
    <row r="975" spans="105:105" ht="14.25" customHeight="1" x14ac:dyDescent="0.2">
      <c r="DA975" s="154"/>
    </row>
    <row r="976" spans="105:105" ht="14.25" customHeight="1" x14ac:dyDescent="0.2">
      <c r="DA976" s="154"/>
    </row>
    <row r="977" spans="105:105" ht="14.25" customHeight="1" x14ac:dyDescent="0.2">
      <c r="DA977" s="154"/>
    </row>
    <row r="978" spans="105:105" ht="14.25" customHeight="1" x14ac:dyDescent="0.2">
      <c r="DA978" s="154"/>
    </row>
    <row r="979" spans="105:105" ht="14.25" customHeight="1" x14ac:dyDescent="0.2">
      <c r="DA979" s="154"/>
    </row>
    <row r="980" spans="105:105" ht="14.25" customHeight="1" x14ac:dyDescent="0.2">
      <c r="DA980" s="154"/>
    </row>
    <row r="981" spans="105:105" ht="14.25" customHeight="1" x14ac:dyDescent="0.2">
      <c r="DA981" s="154"/>
    </row>
    <row r="982" spans="105:105" ht="14.25" customHeight="1" x14ac:dyDescent="0.2">
      <c r="DA982" s="154"/>
    </row>
    <row r="983" spans="105:105" ht="14.25" customHeight="1" x14ac:dyDescent="0.2">
      <c r="DA983" s="154"/>
    </row>
    <row r="984" spans="105:105" ht="14.25" customHeight="1" x14ac:dyDescent="0.2">
      <c r="DA984" s="154"/>
    </row>
    <row r="985" spans="105:105" ht="14.25" customHeight="1" x14ac:dyDescent="0.2">
      <c r="DA985" s="154"/>
    </row>
    <row r="986" spans="105:105" ht="14.25" customHeight="1" x14ac:dyDescent="0.2">
      <c r="DA986" s="154"/>
    </row>
    <row r="987" spans="105:105" ht="14.25" customHeight="1" x14ac:dyDescent="0.2">
      <c r="DA987" s="154"/>
    </row>
    <row r="988" spans="105:105" ht="14.25" customHeight="1" x14ac:dyDescent="0.2">
      <c r="DA988" s="154"/>
    </row>
    <row r="989" spans="105:105" ht="14.25" customHeight="1" x14ac:dyDescent="0.2">
      <c r="DA989" s="154"/>
    </row>
    <row r="990" spans="105:105" ht="14.25" customHeight="1" x14ac:dyDescent="0.2">
      <c r="DA990" s="154"/>
    </row>
    <row r="991" spans="105:105" ht="14.25" customHeight="1" x14ac:dyDescent="0.2">
      <c r="DA991" s="154"/>
    </row>
    <row r="992" spans="105:105" ht="14.25" customHeight="1" x14ac:dyDescent="0.2">
      <c r="DA992" s="154"/>
    </row>
    <row r="993" spans="105:105" ht="14.25" customHeight="1" x14ac:dyDescent="0.2">
      <c r="DA993" s="154"/>
    </row>
    <row r="994" spans="105:105" ht="14.25" customHeight="1" x14ac:dyDescent="0.2">
      <c r="DA994" s="154"/>
    </row>
    <row r="995" spans="105:105" ht="14.25" customHeight="1" x14ac:dyDescent="0.2">
      <c r="DA995" s="154"/>
    </row>
    <row r="996" spans="105:105" ht="14.25" customHeight="1" x14ac:dyDescent="0.2">
      <c r="DA996" s="154"/>
    </row>
    <row r="997" spans="105:105" ht="14.25" customHeight="1" x14ac:dyDescent="0.2">
      <c r="DA997" s="154"/>
    </row>
    <row r="998" spans="105:105" ht="14.25" customHeight="1" x14ac:dyDescent="0.2">
      <c r="DA998" s="154"/>
    </row>
    <row r="999" spans="105:105" ht="14.25" customHeight="1" x14ac:dyDescent="0.2">
      <c r="DA999" s="154"/>
    </row>
    <row r="1000" spans="105:105" ht="14.25" customHeight="1" x14ac:dyDescent="0.2">
      <c r="DA1000" s="154"/>
    </row>
  </sheetData>
  <mergeCells count="25">
    <mergeCell ref="BP2:BV2"/>
    <mergeCell ref="BW2:CC2"/>
    <mergeCell ref="CD2:CJ2"/>
    <mergeCell ref="B2:K2"/>
    <mergeCell ref="L2:R2"/>
    <mergeCell ref="S2:Y2"/>
    <mergeCell ref="Z2:AF2"/>
    <mergeCell ref="AG2:AM2"/>
    <mergeCell ref="AN2:AT2"/>
    <mergeCell ref="BW60:CC60"/>
    <mergeCell ref="CD60:CJ60"/>
    <mergeCell ref="CK60:CQ60"/>
    <mergeCell ref="CK2:CQ2"/>
    <mergeCell ref="L60:R60"/>
    <mergeCell ref="S60:Y60"/>
    <mergeCell ref="Z60:AF60"/>
    <mergeCell ref="AG60:AM60"/>
    <mergeCell ref="AN60:AT60"/>
    <mergeCell ref="AU60:BA60"/>
    <mergeCell ref="BB60:BH60"/>
    <mergeCell ref="BI60:BO60"/>
    <mergeCell ref="BP60:BV60"/>
    <mergeCell ref="AU2:BA2"/>
    <mergeCell ref="BB2:BH2"/>
    <mergeCell ref="BI2:BO2"/>
  </mergeCells>
  <printOptions horizontalCentered="1"/>
  <pageMargins left="9.8425196850393706E-2" right="9.8425196850393706E-2" top="0.59055118110236227" bottom="0.39370078740157483" header="0" footer="0"/>
  <pageSetup paperSize="9" scale="44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4C0C2-F7B9-2849-93DA-1478080B1ED4}">
  <sheetPr>
    <pageSetUpPr fitToPage="1"/>
  </sheetPr>
  <dimension ref="A1:CU1000"/>
  <sheetViews>
    <sheetView zoomScale="70" zoomScaleNormal="70" workbookViewId="0">
      <pane xSplit="1" ySplit="3" topLeftCell="AQ4" activePane="bottomRight" state="frozen"/>
      <selection pane="topRight" activeCell="B1" sqref="B1"/>
      <selection pane="bottomLeft" activeCell="A4" sqref="A4"/>
      <selection pane="bottomRight" activeCell="AZ4" sqref="AZ4:AZ54"/>
    </sheetView>
  </sheetViews>
  <sheetFormatPr baseColWidth="10" defaultColWidth="14.5" defaultRowHeight="15" customHeight="1" x14ac:dyDescent="0.2"/>
  <cols>
    <col min="1" max="1" width="32.33203125" customWidth="1"/>
    <col min="2" max="44" width="11.5" customWidth="1"/>
    <col min="45" max="45" width="13.5" customWidth="1"/>
    <col min="46" max="58" width="11.5" customWidth="1"/>
    <col min="59" max="59" width="14.1640625" customWidth="1"/>
    <col min="60" max="65" width="11.5" customWidth="1"/>
    <col min="66" max="66" width="14.1640625" customWidth="1"/>
    <col min="67" max="72" width="11.5" customWidth="1"/>
    <col min="73" max="73" width="14.5" customWidth="1"/>
    <col min="74" max="79" width="11.5" customWidth="1"/>
    <col min="80" max="80" width="14.5" customWidth="1"/>
    <col min="81" max="93" width="11.5" customWidth="1"/>
    <col min="94" max="94" width="13.5" customWidth="1"/>
    <col min="95" max="96" width="11.5" customWidth="1"/>
    <col min="97" max="98" width="10.5" customWidth="1"/>
    <col min="99" max="99" width="2.6640625" customWidth="1"/>
  </cols>
  <sheetData>
    <row r="1" spans="1:99" ht="20" customHeight="1" thickBot="1" x14ac:dyDescent="0.25">
      <c r="A1" s="1" t="s">
        <v>201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45"/>
    </row>
    <row r="2" spans="1:99" ht="14.25" customHeight="1" thickBot="1" x14ac:dyDescent="0.25">
      <c r="A2" s="5"/>
      <c r="B2" s="245"/>
      <c r="C2" s="246"/>
      <c r="D2" s="246"/>
      <c r="E2" s="247"/>
      <c r="F2" s="247"/>
      <c r="G2" s="247"/>
      <c r="H2" s="247"/>
      <c r="I2" s="247"/>
      <c r="J2" s="247"/>
      <c r="K2" s="248"/>
      <c r="L2" s="245" t="s">
        <v>2</v>
      </c>
      <c r="M2" s="246"/>
      <c r="N2" s="246"/>
      <c r="O2" s="246"/>
      <c r="P2" s="246"/>
      <c r="Q2" s="247"/>
      <c r="R2" s="248"/>
      <c r="S2" s="245" t="s">
        <v>3</v>
      </c>
      <c r="T2" s="246"/>
      <c r="U2" s="246"/>
      <c r="V2" s="246"/>
      <c r="W2" s="246"/>
      <c r="X2" s="247"/>
      <c r="Y2" s="248"/>
      <c r="Z2" s="245" t="s">
        <v>4</v>
      </c>
      <c r="AA2" s="246"/>
      <c r="AB2" s="246"/>
      <c r="AC2" s="246"/>
      <c r="AD2" s="246"/>
      <c r="AE2" s="247"/>
      <c r="AF2" s="248"/>
      <c r="AG2" s="245" t="s">
        <v>5</v>
      </c>
      <c r="AH2" s="246"/>
      <c r="AI2" s="246"/>
      <c r="AJ2" s="246"/>
      <c r="AK2" s="246"/>
      <c r="AL2" s="247"/>
      <c r="AM2" s="248"/>
      <c r="AN2" s="245" t="s">
        <v>6</v>
      </c>
      <c r="AO2" s="246"/>
      <c r="AP2" s="246"/>
      <c r="AQ2" s="246"/>
      <c r="AR2" s="246"/>
      <c r="AS2" s="247"/>
      <c r="AT2" s="248"/>
      <c r="AU2" s="245" t="s">
        <v>7</v>
      </c>
      <c r="AV2" s="246"/>
      <c r="AW2" s="246"/>
      <c r="AX2" s="246"/>
      <c r="AY2" s="246"/>
      <c r="AZ2" s="247"/>
      <c r="BA2" s="248"/>
      <c r="BB2" s="245" t="s">
        <v>8</v>
      </c>
      <c r="BC2" s="246"/>
      <c r="BD2" s="246"/>
      <c r="BE2" s="246"/>
      <c r="BF2" s="246"/>
      <c r="BG2" s="247"/>
      <c r="BH2" s="248"/>
      <c r="BI2" s="245" t="s">
        <v>9</v>
      </c>
      <c r="BJ2" s="246"/>
      <c r="BK2" s="246"/>
      <c r="BL2" s="246"/>
      <c r="BM2" s="246"/>
      <c r="BN2" s="247"/>
      <c r="BO2" s="248"/>
      <c r="BP2" s="245" t="s">
        <v>10</v>
      </c>
      <c r="BQ2" s="246"/>
      <c r="BR2" s="246"/>
      <c r="BS2" s="246"/>
      <c r="BT2" s="246"/>
      <c r="BU2" s="247"/>
      <c r="BV2" s="248"/>
      <c r="BW2" s="245" t="s">
        <v>11</v>
      </c>
      <c r="BX2" s="246"/>
      <c r="BY2" s="246"/>
      <c r="BZ2" s="246"/>
      <c r="CA2" s="246"/>
      <c r="CB2" s="247"/>
      <c r="CC2" s="248"/>
      <c r="CD2" s="245" t="s">
        <v>12</v>
      </c>
      <c r="CE2" s="246"/>
      <c r="CF2" s="246"/>
      <c r="CG2" s="246"/>
      <c r="CH2" s="246"/>
      <c r="CI2" s="247"/>
      <c r="CJ2" s="248"/>
      <c r="CK2" s="245" t="s">
        <v>13</v>
      </c>
      <c r="CL2" s="246"/>
      <c r="CM2" s="246"/>
      <c r="CN2" s="246"/>
      <c r="CO2" s="246"/>
      <c r="CP2" s="247"/>
      <c r="CQ2" s="248"/>
    </row>
    <row r="3" spans="1:99" ht="45" customHeight="1" thickBot="1" x14ac:dyDescent="0.25">
      <c r="A3" s="5"/>
      <c r="B3" s="8" t="s">
        <v>14</v>
      </c>
      <c r="C3" s="9" t="s">
        <v>15</v>
      </c>
      <c r="D3" s="10" t="s">
        <v>16</v>
      </c>
      <c r="E3" s="8" t="s">
        <v>17</v>
      </c>
      <c r="F3" s="11" t="s">
        <v>18</v>
      </c>
      <c r="G3" s="12" t="s">
        <v>19</v>
      </c>
      <c r="H3" s="13" t="s">
        <v>20</v>
      </c>
      <c r="I3" s="14" t="s">
        <v>21</v>
      </c>
      <c r="J3" s="14" t="s">
        <v>22</v>
      </c>
      <c r="K3" s="15" t="s">
        <v>23</v>
      </c>
      <c r="L3" s="6" t="s">
        <v>24</v>
      </c>
      <c r="M3" s="14" t="s">
        <v>25</v>
      </c>
      <c r="N3" s="14" t="s">
        <v>26</v>
      </c>
      <c r="O3" s="14" t="s">
        <v>20</v>
      </c>
      <c r="P3" s="14" t="s">
        <v>21</v>
      </c>
      <c r="Q3" s="14" t="s">
        <v>22</v>
      </c>
      <c r="R3" s="15" t="s">
        <v>23</v>
      </c>
      <c r="S3" s="6" t="s">
        <v>24</v>
      </c>
      <c r="T3" s="14" t="s">
        <v>25</v>
      </c>
      <c r="U3" s="14" t="s">
        <v>26</v>
      </c>
      <c r="V3" s="14" t="s">
        <v>20</v>
      </c>
      <c r="W3" s="14" t="s">
        <v>21</v>
      </c>
      <c r="X3" s="14" t="s">
        <v>22</v>
      </c>
      <c r="Y3" s="15" t="s">
        <v>23</v>
      </c>
      <c r="Z3" s="6" t="s">
        <v>24</v>
      </c>
      <c r="AA3" s="14" t="s">
        <v>25</v>
      </c>
      <c r="AB3" s="14" t="s">
        <v>26</v>
      </c>
      <c r="AC3" s="14" t="s">
        <v>20</v>
      </c>
      <c r="AD3" s="14" t="s">
        <v>21</v>
      </c>
      <c r="AE3" s="14" t="s">
        <v>22</v>
      </c>
      <c r="AF3" s="15" t="s">
        <v>23</v>
      </c>
      <c r="AG3" s="6" t="s">
        <v>24</v>
      </c>
      <c r="AH3" s="14" t="s">
        <v>25</v>
      </c>
      <c r="AI3" s="14" t="s">
        <v>26</v>
      </c>
      <c r="AJ3" s="14" t="s">
        <v>20</v>
      </c>
      <c r="AK3" s="14" t="s">
        <v>21</v>
      </c>
      <c r="AL3" s="14" t="s">
        <v>22</v>
      </c>
      <c r="AM3" s="15" t="s">
        <v>23</v>
      </c>
      <c r="AN3" s="6" t="s">
        <v>24</v>
      </c>
      <c r="AO3" s="14" t="s">
        <v>25</v>
      </c>
      <c r="AP3" s="14" t="s">
        <v>26</v>
      </c>
      <c r="AQ3" s="14" t="s">
        <v>20</v>
      </c>
      <c r="AR3" s="14" t="s">
        <v>21</v>
      </c>
      <c r="AS3" s="14" t="s">
        <v>22</v>
      </c>
      <c r="AT3" s="15" t="s">
        <v>23</v>
      </c>
      <c r="AU3" s="6" t="s">
        <v>24</v>
      </c>
      <c r="AV3" s="14" t="s">
        <v>25</v>
      </c>
      <c r="AW3" s="14" t="s">
        <v>26</v>
      </c>
      <c r="AX3" s="14" t="s">
        <v>20</v>
      </c>
      <c r="AY3" s="14" t="s">
        <v>21</v>
      </c>
      <c r="AZ3" s="14" t="s">
        <v>22</v>
      </c>
      <c r="BA3" s="15" t="s">
        <v>23</v>
      </c>
      <c r="BB3" s="6" t="s">
        <v>24</v>
      </c>
      <c r="BC3" s="14" t="s">
        <v>25</v>
      </c>
      <c r="BD3" s="14" t="s">
        <v>26</v>
      </c>
      <c r="BE3" s="14" t="s">
        <v>20</v>
      </c>
      <c r="BF3" s="14" t="s">
        <v>21</v>
      </c>
      <c r="BG3" s="14" t="s">
        <v>22</v>
      </c>
      <c r="BH3" s="15" t="s">
        <v>23</v>
      </c>
      <c r="BI3" s="6" t="s">
        <v>24</v>
      </c>
      <c r="BJ3" s="14" t="s">
        <v>25</v>
      </c>
      <c r="BK3" s="14" t="s">
        <v>26</v>
      </c>
      <c r="BL3" s="14" t="s">
        <v>20</v>
      </c>
      <c r="BM3" s="14" t="s">
        <v>21</v>
      </c>
      <c r="BN3" s="14" t="s">
        <v>22</v>
      </c>
      <c r="BO3" s="15" t="s">
        <v>23</v>
      </c>
      <c r="BP3" s="6" t="s">
        <v>24</v>
      </c>
      <c r="BQ3" s="14" t="s">
        <v>25</v>
      </c>
      <c r="BR3" s="14" t="s">
        <v>26</v>
      </c>
      <c r="BS3" s="14" t="s">
        <v>20</v>
      </c>
      <c r="BT3" s="14" t="s">
        <v>21</v>
      </c>
      <c r="BU3" s="14" t="s">
        <v>22</v>
      </c>
      <c r="BV3" s="15" t="s">
        <v>23</v>
      </c>
      <c r="BW3" s="6" t="s">
        <v>24</v>
      </c>
      <c r="BX3" s="14" t="s">
        <v>25</v>
      </c>
      <c r="BY3" s="14" t="s">
        <v>26</v>
      </c>
      <c r="BZ3" s="14" t="s">
        <v>20</v>
      </c>
      <c r="CA3" s="14" t="s">
        <v>21</v>
      </c>
      <c r="CB3" s="14" t="s">
        <v>22</v>
      </c>
      <c r="CC3" s="15" t="s">
        <v>23</v>
      </c>
      <c r="CD3" s="6" t="s">
        <v>24</v>
      </c>
      <c r="CE3" s="14" t="s">
        <v>25</v>
      </c>
      <c r="CF3" s="14" t="s">
        <v>26</v>
      </c>
      <c r="CG3" s="14" t="s">
        <v>20</v>
      </c>
      <c r="CH3" s="14" t="s">
        <v>21</v>
      </c>
      <c r="CI3" s="14" t="s">
        <v>22</v>
      </c>
      <c r="CJ3" s="15" t="s">
        <v>23</v>
      </c>
      <c r="CK3" s="6" t="s">
        <v>24</v>
      </c>
      <c r="CL3" s="14" t="s">
        <v>25</v>
      </c>
      <c r="CM3" s="14" t="s">
        <v>26</v>
      </c>
      <c r="CN3" s="14" t="s">
        <v>20</v>
      </c>
      <c r="CO3" s="14" t="s">
        <v>21</v>
      </c>
      <c r="CP3" s="14" t="s">
        <v>22</v>
      </c>
      <c r="CQ3" s="15" t="s">
        <v>23</v>
      </c>
    </row>
    <row r="4" spans="1:99" s="26" customFormat="1" ht="14.25" customHeight="1" thickBot="1" x14ac:dyDescent="0.25">
      <c r="A4" s="16" t="s">
        <v>28</v>
      </c>
      <c r="B4" s="17">
        <f t="shared" ref="B4:D35" si="0">+L4+S4+Z4+AG4+AN4+AU4+BB4+BI4+BP4+BW4+CD4+CK4</f>
        <v>489966.59039603639</v>
      </c>
      <c r="C4" s="18">
        <f t="shared" si="0"/>
        <v>489966.59039603639</v>
      </c>
      <c r="D4" s="19">
        <f t="shared" si="0"/>
        <v>0</v>
      </c>
      <c r="E4" s="17">
        <f>+L4+S4+Z4+AG4</f>
        <v>167615.51801717337</v>
      </c>
      <c r="F4" s="20">
        <f>+M4+T4+AA4+AH4</f>
        <v>167615.51801717337</v>
      </c>
      <c r="G4" s="21">
        <f>+N4+U4+AB4+AI4</f>
        <v>0</v>
      </c>
      <c r="H4" s="18">
        <f t="shared" ref="H4:J35" si="1">+O4+V4+AC4+AJ4+AQ4+AX4+BE4+BL4+BS4+BZ4+CG4+CN4</f>
        <v>243463.65963517968</v>
      </c>
      <c r="I4" s="20">
        <f t="shared" si="1"/>
        <v>0</v>
      </c>
      <c r="J4" s="20">
        <f t="shared" si="1"/>
        <v>243463.65963517968</v>
      </c>
      <c r="K4" s="25">
        <f>IF(E4=0,"",(+J4/E4-1))</f>
        <v>0.45251264629468935</v>
      </c>
      <c r="L4" s="23">
        <f>[1]SFI!$E4</f>
        <v>38375.127664150357</v>
      </c>
      <c r="M4" s="18">
        <f>L4-N4</f>
        <v>38375.127664150357</v>
      </c>
      <c r="N4" s="18">
        <f>+L4*0</f>
        <v>0</v>
      </c>
      <c r="O4" s="18">
        <f>+Q4-P4</f>
        <v>36111.19816844356</v>
      </c>
      <c r="P4" s="18"/>
      <c r="Q4" s="20">
        <v>36111.19816844356</v>
      </c>
      <c r="R4" s="25">
        <f t="shared" ref="R4:R54" si="2">IF(L4=0,"",(+Q4/L4-1))</f>
        <v>-5.8994709164752468E-2</v>
      </c>
      <c r="S4" s="23">
        <f>[1]SFI!$F4</f>
        <v>52490.135024722302</v>
      </c>
      <c r="T4" s="18">
        <f>S4-U4</f>
        <v>52490.135024722302</v>
      </c>
      <c r="U4" s="18">
        <f>+S4*0</f>
        <v>0</v>
      </c>
      <c r="V4" s="18">
        <f>+X4-W4</f>
        <v>32646.01728267724</v>
      </c>
      <c r="W4" s="18"/>
      <c r="X4" s="146">
        <f>'[4]SÃO FRANCISCO'!X4*'[3]SF I'!$X$4</f>
        <v>32646.01728267724</v>
      </c>
      <c r="Y4" s="25">
        <f t="shared" ref="Y4:Y54" si="3">IF(S4=0,"",(+X4/S4-1))</f>
        <v>-0.37805423309920405</v>
      </c>
      <c r="Z4" s="23">
        <f>[1]SFI!$G4</f>
        <v>38375.127664150357</v>
      </c>
      <c r="AA4" s="18">
        <f>Z4-AB4</f>
        <v>38375.127664150357</v>
      </c>
      <c r="AB4" s="18">
        <f>+Z4*0</f>
        <v>0</v>
      </c>
      <c r="AC4" s="18">
        <f>+AE4-AD4</f>
        <v>33444.621386940664</v>
      </c>
      <c r="AD4" s="18"/>
      <c r="AE4" s="24">
        <f>'[4]SÃO FRANCISCO'!AE4*'[2]SF I'!$X$4</f>
        <v>33444.621386940664</v>
      </c>
      <c r="AF4" s="25">
        <f t="shared" ref="AF4:AF54" si="4">IF(Z4=0,"",(+AE4/Z4-1))</f>
        <v>-0.12848182083875437</v>
      </c>
      <c r="AG4" s="23">
        <f>[1]SFI!$H4</f>
        <v>38375.127664150357</v>
      </c>
      <c r="AH4" s="18">
        <f>AG4-AI4</f>
        <v>38375.127664150357</v>
      </c>
      <c r="AI4" s="18">
        <f>+AG4*0</f>
        <v>0</v>
      </c>
      <c r="AJ4" s="18">
        <f>+AL4-AK4</f>
        <v>61806.632520138795</v>
      </c>
      <c r="AK4" s="18"/>
      <c r="AL4" s="24">
        <f>'[4]SÃO FRANCISCO'!AL4*'[2]SF I'!$X$4</f>
        <v>61806.632520138795</v>
      </c>
      <c r="AM4" s="25">
        <f t="shared" ref="AM4:AM54" si="5">IF(AG4=0,"",(+AL4/AG4-1))</f>
        <v>0.61059092913136825</v>
      </c>
      <c r="AN4" s="23">
        <f>[1]SFI!$I4</f>
        <v>38375.127664150357</v>
      </c>
      <c r="AO4" s="18">
        <f>AN4-AP4</f>
        <v>38375.127664150357</v>
      </c>
      <c r="AP4" s="18">
        <f>+AN4*0</f>
        <v>0</v>
      </c>
      <c r="AQ4" s="18">
        <f>+AS4-AR4</f>
        <v>37358.811305908137</v>
      </c>
      <c r="AR4" s="18"/>
      <c r="AS4" s="20">
        <v>37358.811305908137</v>
      </c>
      <c r="AT4" s="25">
        <f t="shared" ref="AT4:AT54" si="6">IF(AN4=0,"",(+AS4/AN4-1))</f>
        <v>-2.648372579074576E-2</v>
      </c>
      <c r="AU4" s="23">
        <f>[1]SFI!$J4</f>
        <v>38375.127664150357</v>
      </c>
      <c r="AV4" s="18">
        <f>AU4-AW4</f>
        <v>38375.127664150357</v>
      </c>
      <c r="AW4" s="18">
        <f>+AU4*0</f>
        <v>0</v>
      </c>
      <c r="AX4" s="18">
        <f>+AZ4-AY4</f>
        <v>42096.378971071259</v>
      </c>
      <c r="AY4" s="18"/>
      <c r="AZ4" s="24">
        <v>42096.378971071259</v>
      </c>
      <c r="BA4" s="25">
        <f t="shared" ref="BA4:BA54" si="7">IF(AU4=0,"",(+AZ4/AU4-1))</f>
        <v>9.6970395499094586E-2</v>
      </c>
      <c r="BB4" s="23">
        <f>[1]SFI!$K4</f>
        <v>38375.127664150357</v>
      </c>
      <c r="BC4" s="18">
        <f>BB4-BD4</f>
        <v>38375.127664150357</v>
      </c>
      <c r="BD4" s="18">
        <f>+BB4*0</f>
        <v>0</v>
      </c>
      <c r="BE4" s="18">
        <f>+BG4-BF4</f>
        <v>0</v>
      </c>
      <c r="BF4" s="18"/>
      <c r="BG4" s="20">
        <f>'[4]SÃO FRANCISCO'!BG4*'[3]SF I'!$X$4</f>
        <v>0</v>
      </c>
      <c r="BH4" s="25">
        <f t="shared" ref="BH4:BH54" si="8">IF(BB4=0,"",(+BG4/BB4-1))</f>
        <v>-1</v>
      </c>
      <c r="BI4" s="23">
        <f>[1]SFI!$L4</f>
        <v>41445.137877282395</v>
      </c>
      <c r="BJ4" s="18">
        <f>BI4-BK4</f>
        <v>41445.137877282395</v>
      </c>
      <c r="BK4" s="18">
        <f>+BI4*0</f>
        <v>0</v>
      </c>
      <c r="BL4" s="18">
        <f>+BN4-BM4</f>
        <v>0</v>
      </c>
      <c r="BM4" s="18"/>
      <c r="BN4" s="20">
        <f>'[4]SÃO FRANCISCO'!BN4*'[3]SF I'!$X$4</f>
        <v>0</v>
      </c>
      <c r="BO4" s="25">
        <f t="shared" ref="BO4:BO54" si="9">IF(BI4=0,"",(+BN4/BI4-1))</f>
        <v>-1</v>
      </c>
      <c r="BP4" s="23">
        <f>[1]SFI!$M4</f>
        <v>41445.137877282395</v>
      </c>
      <c r="BQ4" s="18">
        <f>BP4-BR4</f>
        <v>41445.137877282395</v>
      </c>
      <c r="BR4" s="18">
        <f>+BP4*0</f>
        <v>0</v>
      </c>
      <c r="BS4" s="18">
        <f>+BU4-BT4</f>
        <v>0</v>
      </c>
      <c r="BT4" s="18"/>
      <c r="BU4" s="20">
        <f>'[4]SÃO FRANCISCO'!BU4*'[3]SF I'!$X$4</f>
        <v>0</v>
      </c>
      <c r="BV4" s="25">
        <f t="shared" ref="BV4:BV54" si="10">IF(BP4=0,"",(+BU4/BP4-1))</f>
        <v>-1</v>
      </c>
      <c r="BW4" s="23">
        <f>[1]SFI!$N4</f>
        <v>41445.137877282395</v>
      </c>
      <c r="BX4" s="18">
        <f>BW4-BY4</f>
        <v>41445.137877282395</v>
      </c>
      <c r="BY4" s="18">
        <f>+BW4*0</f>
        <v>0</v>
      </c>
      <c r="BZ4" s="18">
        <f>+CB4-CA4</f>
        <v>0</v>
      </c>
      <c r="CA4" s="18"/>
      <c r="CB4" s="20">
        <f>'[4]SÃO FRANCISCO'!CB4*'[3]SF I'!$X$4</f>
        <v>0</v>
      </c>
      <c r="CC4" s="25">
        <f t="shared" ref="CC4:CC54" si="11">IF(BW4=0,"",(+CB4/BW4-1))</f>
        <v>-1</v>
      </c>
      <c r="CD4" s="23">
        <f>[1]SFI!$O4</f>
        <v>41445.137877282395</v>
      </c>
      <c r="CE4" s="18">
        <f>CD4-CF4</f>
        <v>41445.137877282395</v>
      </c>
      <c r="CF4" s="18">
        <f>+CD4*0</f>
        <v>0</v>
      </c>
      <c r="CG4" s="18">
        <f>+CI4-CH4</f>
        <v>0</v>
      </c>
      <c r="CH4" s="18"/>
      <c r="CI4" s="20">
        <f>'[4]SÃO FRANCISCO'!CI4*'[3]SF I'!$X$4</f>
        <v>0</v>
      </c>
      <c r="CJ4" s="25">
        <f t="shared" ref="CJ4:CJ54" si="12">IF(CD4=0,"",(+CI4/CD4-1))</f>
        <v>-1</v>
      </c>
      <c r="CK4" s="23">
        <f>[1]SFI!$P4</f>
        <v>41445.137877282395</v>
      </c>
      <c r="CL4" s="18">
        <f>CK4-CM4</f>
        <v>41445.137877282395</v>
      </c>
      <c r="CM4" s="18">
        <f>+CK4*0</f>
        <v>0</v>
      </c>
      <c r="CN4" s="18">
        <f>+CP4-CO4</f>
        <v>0</v>
      </c>
      <c r="CO4" s="18"/>
      <c r="CP4" s="20">
        <f>'[4]SÃO FRANCISCO'!CP4*'[3]SF I'!$X$4</f>
        <v>0</v>
      </c>
      <c r="CQ4" s="25">
        <f t="shared" ref="CQ4:CQ54" si="13">IF(CK4=0,"",(+CP4/CK4-1))</f>
        <v>-1</v>
      </c>
    </row>
    <row r="5" spans="1:99" s="26" customFormat="1" ht="14.25" customHeight="1" thickBot="1" x14ac:dyDescent="0.25">
      <c r="A5" s="29" t="s">
        <v>29</v>
      </c>
      <c r="B5" s="30">
        <f t="shared" si="0"/>
        <v>20009.224737671524</v>
      </c>
      <c r="C5" s="31">
        <f t="shared" si="0"/>
        <v>20009.224737671524</v>
      </c>
      <c r="D5" s="32">
        <f t="shared" si="0"/>
        <v>0</v>
      </c>
      <c r="E5" s="30">
        <f t="shared" ref="E5:G36" si="14">+L5+S5+Z5+AG5</f>
        <v>6669.7415792238417</v>
      </c>
      <c r="F5" s="33">
        <f t="shared" si="14"/>
        <v>6669.7415792238417</v>
      </c>
      <c r="G5" s="34">
        <f t="shared" si="14"/>
        <v>0</v>
      </c>
      <c r="H5" s="31">
        <f t="shared" si="1"/>
        <v>25030.555247204516</v>
      </c>
      <c r="I5" s="33">
        <f t="shared" si="1"/>
        <v>0</v>
      </c>
      <c r="J5" s="33">
        <f t="shared" si="1"/>
        <v>25030.555247204516</v>
      </c>
      <c r="K5" s="37">
        <f t="shared" ref="K5:K58" si="15">IF(E5=0,"",(+J5/E5-1))</f>
        <v>2.7528523331660062</v>
      </c>
      <c r="L5" s="36">
        <f>[1]SFI!$E5</f>
        <v>1667.4353948059604</v>
      </c>
      <c r="M5" s="31">
        <f t="shared" ref="M5:M54" si="16">L5-N5</f>
        <v>1667.4353948059604</v>
      </c>
      <c r="N5" s="18">
        <f t="shared" ref="N5:N58" si="17">+L5*0</f>
        <v>0</v>
      </c>
      <c r="O5" s="31">
        <f t="shared" ref="O5:O54" si="18">+Q5-P5</f>
        <v>3787.9536509730565</v>
      </c>
      <c r="P5" s="31"/>
      <c r="Q5" s="33">
        <v>3787.9536509730565</v>
      </c>
      <c r="R5" s="37">
        <f t="shared" si="2"/>
        <v>1.2717243875069961</v>
      </c>
      <c r="S5" s="36">
        <f>[1]SFI!$F5</f>
        <v>1667.4353948059604</v>
      </c>
      <c r="T5" s="31">
        <f t="shared" ref="T5:T54" si="19">S5-U5</f>
        <v>1667.4353948059604</v>
      </c>
      <c r="U5" s="18">
        <f t="shared" ref="U5:U58" si="20">+S5*0</f>
        <v>0</v>
      </c>
      <c r="V5" s="31">
        <f t="shared" ref="V5:V54" si="21">+X5-W5</f>
        <v>4917.6452842927338</v>
      </c>
      <c r="W5" s="31"/>
      <c r="X5" s="147">
        <f>'[4]SÃO FRANCISCO'!X5*'[3]SF I'!$X$4</f>
        <v>4917.6452842927338</v>
      </c>
      <c r="Y5" s="37">
        <f t="shared" si="3"/>
        <v>1.9492268783613054</v>
      </c>
      <c r="Z5" s="36">
        <f>[1]SFI!$G5</f>
        <v>1667.4353948059604</v>
      </c>
      <c r="AA5" s="31">
        <f t="shared" ref="AA5:AA54" si="22">Z5-AB5</f>
        <v>1667.4353948059604</v>
      </c>
      <c r="AB5" s="18">
        <f t="shared" ref="AB5:AB58" si="23">+Z5*0</f>
        <v>0</v>
      </c>
      <c r="AC5" s="31">
        <f t="shared" ref="AC5:AC54" si="24">+AE5-AD5</f>
        <v>2871.7629391110841</v>
      </c>
      <c r="AD5" s="31"/>
      <c r="AE5" s="27">
        <f>'[4]SÃO FRANCISCO'!AE5*'[2]SF I'!$X$4</f>
        <v>2871.7629391110841</v>
      </c>
      <c r="AF5" s="37">
        <f t="shared" si="4"/>
        <v>0.72226339206699608</v>
      </c>
      <c r="AG5" s="36">
        <f>[1]SFI!$H5</f>
        <v>1667.4353948059604</v>
      </c>
      <c r="AH5" s="31">
        <f t="shared" ref="AH5:AH54" si="25">AG5-AI5</f>
        <v>1667.4353948059604</v>
      </c>
      <c r="AI5" s="18">
        <f t="shared" ref="AI5:AI58" si="26">+AG5*0</f>
        <v>0</v>
      </c>
      <c r="AJ5" s="31">
        <f t="shared" ref="AJ5:AJ54" si="27">+AL5-AK5</f>
        <v>4348.7889500939073</v>
      </c>
      <c r="AK5" s="31"/>
      <c r="AL5" s="33">
        <f>'[4]SÃO FRANCISCO'!AL5*'[2]SF I'!$X$4</f>
        <v>4348.7889500939073</v>
      </c>
      <c r="AM5" s="37">
        <f t="shared" si="5"/>
        <v>1.6080704317782435</v>
      </c>
      <c r="AN5" s="36">
        <f>[1]SFI!$I5</f>
        <v>1667.4353948059604</v>
      </c>
      <c r="AO5" s="31">
        <f t="shared" ref="AO5:AO54" si="28">AN5-AP5</f>
        <v>1667.4353948059604</v>
      </c>
      <c r="AP5" s="18">
        <f t="shared" ref="AP5:AP58" si="29">+AN5*0</f>
        <v>0</v>
      </c>
      <c r="AQ5" s="31">
        <f t="shared" ref="AQ5:AQ54" si="30">+AS5-AR5</f>
        <v>4552.2022113668663</v>
      </c>
      <c r="AR5" s="31"/>
      <c r="AS5" s="33">
        <v>4552.2022113668663</v>
      </c>
      <c r="AT5" s="37">
        <f t="shared" si="6"/>
        <v>1.7300621214752412</v>
      </c>
      <c r="AU5" s="36">
        <f>[1]SFI!$J5</f>
        <v>1667.4353948059604</v>
      </c>
      <c r="AV5" s="31">
        <f t="shared" ref="AV5:AV54" si="31">AU5-AW5</f>
        <v>1667.4353948059604</v>
      </c>
      <c r="AW5" s="18">
        <f t="shared" ref="AW5:AW58" si="32">+AU5*0</f>
        <v>0</v>
      </c>
      <c r="AX5" s="31">
        <f t="shared" ref="AX5:AX54" si="33">+AZ5-AY5</f>
        <v>4552.2022113668663</v>
      </c>
      <c r="AY5" s="31"/>
      <c r="AZ5" s="27">
        <v>4552.2022113668663</v>
      </c>
      <c r="BA5" s="37">
        <f t="shared" si="7"/>
        <v>1.7300621214752412</v>
      </c>
      <c r="BB5" s="36">
        <f>[1]SFI!$K5</f>
        <v>1667.4353948059604</v>
      </c>
      <c r="BC5" s="31">
        <f t="shared" ref="BC5:BC54" si="34">BB5-BD5</f>
        <v>1667.4353948059604</v>
      </c>
      <c r="BD5" s="18">
        <f t="shared" ref="BD5:BD58" si="35">+BB5*0</f>
        <v>0</v>
      </c>
      <c r="BE5" s="31">
        <f t="shared" ref="BE5:BE54" si="36">+BG5-BF5</f>
        <v>0</v>
      </c>
      <c r="BF5" s="31"/>
      <c r="BG5" s="33">
        <f>'[4]SÃO FRANCISCO'!BG5*'[3]SF I'!$X$4</f>
        <v>0</v>
      </c>
      <c r="BH5" s="37">
        <f t="shared" si="8"/>
        <v>-1</v>
      </c>
      <c r="BI5" s="36">
        <f>[1]SFI!$L5</f>
        <v>1667.4353948059604</v>
      </c>
      <c r="BJ5" s="31">
        <f t="shared" ref="BJ5:BJ54" si="37">BI5-BK5</f>
        <v>1667.4353948059604</v>
      </c>
      <c r="BK5" s="18">
        <f t="shared" ref="BK5:BK58" si="38">+BI5*0</f>
        <v>0</v>
      </c>
      <c r="BL5" s="31">
        <f t="shared" ref="BL5:BL54" si="39">+BN5-BM5</f>
        <v>0</v>
      </c>
      <c r="BM5" s="31"/>
      <c r="BN5" s="33">
        <f>'[4]SÃO FRANCISCO'!BN5*'[3]SF I'!$X$4</f>
        <v>0</v>
      </c>
      <c r="BO5" s="37">
        <f t="shared" si="9"/>
        <v>-1</v>
      </c>
      <c r="BP5" s="36">
        <f>[1]SFI!$M5</f>
        <v>1667.4353948059604</v>
      </c>
      <c r="BQ5" s="31">
        <f t="shared" ref="BQ5:BQ54" si="40">BP5-BR5</f>
        <v>1667.4353948059604</v>
      </c>
      <c r="BR5" s="18">
        <f t="shared" ref="BR5:BR58" si="41">+BP5*0</f>
        <v>0</v>
      </c>
      <c r="BS5" s="31">
        <f t="shared" ref="BS5:BS54" si="42">+BU5-BT5</f>
        <v>0</v>
      </c>
      <c r="BT5" s="31"/>
      <c r="BU5" s="33">
        <f>'[4]SÃO FRANCISCO'!BU5*'[3]SF I'!$X$4</f>
        <v>0</v>
      </c>
      <c r="BV5" s="37">
        <f t="shared" si="10"/>
        <v>-1</v>
      </c>
      <c r="BW5" s="36">
        <f>[1]SFI!$N5</f>
        <v>1667.4353948059604</v>
      </c>
      <c r="BX5" s="31">
        <f t="shared" ref="BX5:BX54" si="43">BW5-BY5</f>
        <v>1667.4353948059604</v>
      </c>
      <c r="BY5" s="18">
        <f t="shared" ref="BY5:BY58" si="44">+BW5*0</f>
        <v>0</v>
      </c>
      <c r="BZ5" s="31">
        <f t="shared" ref="BZ5:BZ54" si="45">+CB5-CA5</f>
        <v>0</v>
      </c>
      <c r="CA5" s="31"/>
      <c r="CB5" s="33">
        <f>'[4]SÃO FRANCISCO'!CB5*'[3]SF I'!$X$4</f>
        <v>0</v>
      </c>
      <c r="CC5" s="37">
        <f t="shared" si="11"/>
        <v>-1</v>
      </c>
      <c r="CD5" s="36">
        <f>[1]SFI!$O5</f>
        <v>1667.4353948059604</v>
      </c>
      <c r="CE5" s="31">
        <f t="shared" ref="CE5:CE54" si="46">CD5-CF5</f>
        <v>1667.4353948059604</v>
      </c>
      <c r="CF5" s="18">
        <f t="shared" ref="CF5:CF58" si="47">+CD5*0</f>
        <v>0</v>
      </c>
      <c r="CG5" s="31">
        <f t="shared" ref="CG5:CG54" si="48">+CI5-CH5</f>
        <v>0</v>
      </c>
      <c r="CH5" s="31"/>
      <c r="CI5" s="33">
        <f>'[4]SÃO FRANCISCO'!CI5*'[3]SF I'!$X$4</f>
        <v>0</v>
      </c>
      <c r="CJ5" s="37">
        <f t="shared" si="12"/>
        <v>-1</v>
      </c>
      <c r="CK5" s="36">
        <f>[1]SFI!$P5</f>
        <v>1667.4353948059604</v>
      </c>
      <c r="CL5" s="31">
        <f t="shared" ref="CL5:CL54" si="49">CK5-CM5</f>
        <v>1667.4353948059604</v>
      </c>
      <c r="CM5" s="18">
        <f t="shared" ref="CM5:CM58" si="50">+CK5*0</f>
        <v>0</v>
      </c>
      <c r="CN5" s="31">
        <f t="shared" ref="CN5:CN54" si="51">+CP5-CO5</f>
        <v>0</v>
      </c>
      <c r="CO5" s="31"/>
      <c r="CP5" s="33">
        <f>'[4]SÃO FRANCISCO'!CP5*'[3]SF I'!$X$4</f>
        <v>0</v>
      </c>
      <c r="CQ5" s="37">
        <f t="shared" si="13"/>
        <v>-1</v>
      </c>
    </row>
    <row r="6" spans="1:99" s="26" customFormat="1" ht="14.25" customHeight="1" thickBot="1" x14ac:dyDescent="0.25">
      <c r="A6" s="29" t="s">
        <v>30</v>
      </c>
      <c r="B6" s="30">
        <f t="shared" si="0"/>
        <v>62319.747930563244</v>
      </c>
      <c r="C6" s="31">
        <f t="shared" si="0"/>
        <v>62319.747930563244</v>
      </c>
      <c r="D6" s="32">
        <f t="shared" si="0"/>
        <v>0</v>
      </c>
      <c r="E6" s="30">
        <f t="shared" si="14"/>
        <v>20128.102236413626</v>
      </c>
      <c r="F6" s="33">
        <f t="shared" si="14"/>
        <v>20128.102236413626</v>
      </c>
      <c r="G6" s="34">
        <f t="shared" si="14"/>
        <v>0</v>
      </c>
      <c r="H6" s="31">
        <f t="shared" si="1"/>
        <v>29849.806566209016</v>
      </c>
      <c r="I6" s="33">
        <f t="shared" si="1"/>
        <v>0</v>
      </c>
      <c r="J6" s="33">
        <f t="shared" si="1"/>
        <v>29849.806566209016</v>
      </c>
      <c r="K6" s="37">
        <f t="shared" si="15"/>
        <v>0.48299160127515228</v>
      </c>
      <c r="L6" s="36">
        <f>[1]SFI!$E6</f>
        <v>5032.0255591034065</v>
      </c>
      <c r="M6" s="31">
        <f t="shared" si="16"/>
        <v>5032.0255591034065</v>
      </c>
      <c r="N6" s="18">
        <f t="shared" si="17"/>
        <v>0</v>
      </c>
      <c r="O6" s="31">
        <f t="shared" si="18"/>
        <v>4944.8151849254446</v>
      </c>
      <c r="P6" s="31"/>
      <c r="Q6" s="33">
        <v>4944.8151849254446</v>
      </c>
      <c r="R6" s="37">
        <f t="shared" si="2"/>
        <v>-1.7331067410854106E-2</v>
      </c>
      <c r="S6" s="36">
        <f>[1]SFI!$F6</f>
        <v>5032.0255591034065</v>
      </c>
      <c r="T6" s="31">
        <f t="shared" si="19"/>
        <v>5032.0255591034065</v>
      </c>
      <c r="U6" s="18">
        <f t="shared" si="20"/>
        <v>0</v>
      </c>
      <c r="V6" s="31">
        <f t="shared" si="21"/>
        <v>4777.6996909162835</v>
      </c>
      <c r="W6" s="31"/>
      <c r="X6" s="147">
        <f>'[4]SÃO FRANCISCO'!X6*'[3]SF I'!$X$4</f>
        <v>4777.6996909162835</v>
      </c>
      <c r="Y6" s="37">
        <f t="shared" si="3"/>
        <v>-5.0541449998604215E-2</v>
      </c>
      <c r="Z6" s="36">
        <f>[1]SFI!$G6</f>
        <v>5032.0255591034065</v>
      </c>
      <c r="AA6" s="31">
        <f t="shared" si="22"/>
        <v>5032.0255591034065</v>
      </c>
      <c r="AB6" s="18">
        <f t="shared" si="23"/>
        <v>0</v>
      </c>
      <c r="AC6" s="31">
        <f t="shared" si="24"/>
        <v>4570.6732276421899</v>
      </c>
      <c r="AD6" s="31"/>
      <c r="AE6" s="27">
        <f>'[4]SÃO FRANCISCO'!AE6*'[2]SF I'!$X$4</f>
        <v>4570.6732276421899</v>
      </c>
      <c r="AF6" s="37">
        <f t="shared" si="4"/>
        <v>-9.1683224984139278E-2</v>
      </c>
      <c r="AG6" s="36">
        <f>[1]SFI!$H6</f>
        <v>5032.0255591034065</v>
      </c>
      <c r="AH6" s="31">
        <f t="shared" si="25"/>
        <v>5032.0255591034065</v>
      </c>
      <c r="AI6" s="18">
        <f t="shared" si="26"/>
        <v>0</v>
      </c>
      <c r="AJ6" s="31">
        <f t="shared" si="27"/>
        <v>4697.0715888305049</v>
      </c>
      <c r="AK6" s="31"/>
      <c r="AL6" s="33">
        <f>'[4]SÃO FRANCISCO'!AL6*'[2]SF I'!$X$4</f>
        <v>4697.0715888305049</v>
      </c>
      <c r="AM6" s="37">
        <f t="shared" si="5"/>
        <v>-6.656444136436046E-2</v>
      </c>
      <c r="AN6" s="36">
        <f>[1]SFI!$I6</f>
        <v>5032.0255591034065</v>
      </c>
      <c r="AO6" s="31">
        <f t="shared" si="28"/>
        <v>5032.0255591034065</v>
      </c>
      <c r="AP6" s="18">
        <f t="shared" si="29"/>
        <v>0</v>
      </c>
      <c r="AQ6" s="31">
        <f t="shared" si="30"/>
        <v>5138.7741568886395</v>
      </c>
      <c r="AR6" s="31"/>
      <c r="AS6" s="33">
        <v>5138.7741568886395</v>
      </c>
      <c r="AT6" s="37">
        <f t="shared" si="6"/>
        <v>2.1213842523537085E-2</v>
      </c>
      <c r="AU6" s="36">
        <f>[1]SFI!$J6</f>
        <v>5032.0255591034065</v>
      </c>
      <c r="AV6" s="31">
        <f t="shared" si="31"/>
        <v>5032.0255591034065</v>
      </c>
      <c r="AW6" s="18">
        <f t="shared" si="32"/>
        <v>0</v>
      </c>
      <c r="AX6" s="31">
        <f t="shared" si="33"/>
        <v>5720.7727170059525</v>
      </c>
      <c r="AY6" s="31"/>
      <c r="AZ6" s="27">
        <v>5720.7727170059525</v>
      </c>
      <c r="BA6" s="37">
        <f t="shared" si="7"/>
        <v>0.13687274633502966</v>
      </c>
      <c r="BB6" s="36">
        <f>[1]SFI!$K6</f>
        <v>5032.0255591034065</v>
      </c>
      <c r="BC6" s="31">
        <f t="shared" si="34"/>
        <v>5032.0255591034065</v>
      </c>
      <c r="BD6" s="18">
        <f t="shared" si="35"/>
        <v>0</v>
      </c>
      <c r="BE6" s="31">
        <f t="shared" si="36"/>
        <v>0</v>
      </c>
      <c r="BF6" s="31"/>
      <c r="BG6" s="33">
        <f>'[4]SÃO FRANCISCO'!BG6*'[3]SF I'!$X$4</f>
        <v>0</v>
      </c>
      <c r="BH6" s="37">
        <f t="shared" si="8"/>
        <v>-1</v>
      </c>
      <c r="BI6" s="36">
        <f>[1]SFI!$L6</f>
        <v>5419.1138033678808</v>
      </c>
      <c r="BJ6" s="31">
        <f t="shared" si="37"/>
        <v>5419.1138033678808</v>
      </c>
      <c r="BK6" s="18">
        <f t="shared" si="38"/>
        <v>0</v>
      </c>
      <c r="BL6" s="31">
        <f t="shared" si="39"/>
        <v>0</v>
      </c>
      <c r="BM6" s="31"/>
      <c r="BN6" s="33">
        <f>'[4]SÃO FRANCISCO'!BN6*'[3]SF I'!$X$4</f>
        <v>0</v>
      </c>
      <c r="BO6" s="37">
        <f t="shared" si="9"/>
        <v>-1</v>
      </c>
      <c r="BP6" s="36">
        <f>[1]SFI!$M6</f>
        <v>5419.1138033678808</v>
      </c>
      <c r="BQ6" s="31">
        <f t="shared" si="40"/>
        <v>5419.1138033678808</v>
      </c>
      <c r="BR6" s="18">
        <f t="shared" si="41"/>
        <v>0</v>
      </c>
      <c r="BS6" s="31">
        <f t="shared" si="42"/>
        <v>0</v>
      </c>
      <c r="BT6" s="31"/>
      <c r="BU6" s="33">
        <f>'[4]SÃO FRANCISCO'!BU6*'[3]SF I'!$X$4</f>
        <v>0</v>
      </c>
      <c r="BV6" s="37">
        <f t="shared" si="10"/>
        <v>-1</v>
      </c>
      <c r="BW6" s="36">
        <f>[1]SFI!$N6</f>
        <v>5419.1138033678808</v>
      </c>
      <c r="BX6" s="31">
        <f t="shared" si="43"/>
        <v>5419.1138033678808</v>
      </c>
      <c r="BY6" s="18">
        <f t="shared" si="44"/>
        <v>0</v>
      </c>
      <c r="BZ6" s="31">
        <f t="shared" si="45"/>
        <v>0</v>
      </c>
      <c r="CA6" s="31"/>
      <c r="CB6" s="33">
        <f>'[4]SÃO FRANCISCO'!CB6*'[3]SF I'!$X$4</f>
        <v>0</v>
      </c>
      <c r="CC6" s="37">
        <f t="shared" si="11"/>
        <v>-1</v>
      </c>
      <c r="CD6" s="36">
        <f>[1]SFI!$O6</f>
        <v>5419.1138033678808</v>
      </c>
      <c r="CE6" s="31">
        <f t="shared" si="46"/>
        <v>5419.1138033678808</v>
      </c>
      <c r="CF6" s="18">
        <f t="shared" si="47"/>
        <v>0</v>
      </c>
      <c r="CG6" s="31">
        <f t="shared" si="48"/>
        <v>0</v>
      </c>
      <c r="CH6" s="31"/>
      <c r="CI6" s="33">
        <f>'[4]SÃO FRANCISCO'!CI6*'[3]SF I'!$X$4</f>
        <v>0</v>
      </c>
      <c r="CJ6" s="37">
        <f t="shared" si="12"/>
        <v>-1</v>
      </c>
      <c r="CK6" s="36">
        <f>[1]SFI!$P6</f>
        <v>5419.1138033678808</v>
      </c>
      <c r="CL6" s="31">
        <f t="shared" si="49"/>
        <v>5419.1138033678808</v>
      </c>
      <c r="CM6" s="18">
        <f t="shared" si="50"/>
        <v>0</v>
      </c>
      <c r="CN6" s="31">
        <f t="shared" si="51"/>
        <v>0</v>
      </c>
      <c r="CO6" s="31"/>
      <c r="CP6" s="33">
        <f>'[4]SÃO FRANCISCO'!CP6*'[3]SF I'!$X$4</f>
        <v>0</v>
      </c>
      <c r="CQ6" s="37">
        <f t="shared" si="13"/>
        <v>-1</v>
      </c>
    </row>
    <row r="7" spans="1:99" s="26" customFormat="1" ht="14.25" customHeight="1" thickBot="1" x14ac:dyDescent="0.25">
      <c r="A7" s="29" t="s">
        <v>31</v>
      </c>
      <c r="B7" s="30">
        <f t="shared" si="0"/>
        <v>42979.136503836715</v>
      </c>
      <c r="C7" s="31">
        <f t="shared" si="0"/>
        <v>42979.136503836715</v>
      </c>
      <c r="D7" s="32">
        <f t="shared" si="0"/>
        <v>0</v>
      </c>
      <c r="E7" s="30">
        <f t="shared" si="14"/>
        <v>13881.449818216293</v>
      </c>
      <c r="F7" s="33">
        <f t="shared" si="14"/>
        <v>13881.449818216293</v>
      </c>
      <c r="G7" s="34">
        <f t="shared" si="14"/>
        <v>0</v>
      </c>
      <c r="H7" s="31">
        <f t="shared" si="1"/>
        <v>19954.100799170981</v>
      </c>
      <c r="I7" s="33">
        <f t="shared" si="1"/>
        <v>0</v>
      </c>
      <c r="J7" s="33">
        <f t="shared" si="1"/>
        <v>19954.100799170981</v>
      </c>
      <c r="K7" s="37">
        <f t="shared" si="15"/>
        <v>0.43746518270632606</v>
      </c>
      <c r="L7" s="36">
        <f>[1]SFI!$E7</f>
        <v>3470.3624545540733</v>
      </c>
      <c r="M7" s="31">
        <f t="shared" si="16"/>
        <v>3470.3624545540733</v>
      </c>
      <c r="N7" s="18">
        <f t="shared" si="17"/>
        <v>0</v>
      </c>
      <c r="O7" s="31">
        <f t="shared" si="18"/>
        <v>3319.5012668730333</v>
      </c>
      <c r="P7" s="31"/>
      <c r="Q7" s="33">
        <v>3319.5012668730333</v>
      </c>
      <c r="R7" s="37">
        <f t="shared" si="2"/>
        <v>-4.3471305852525122E-2</v>
      </c>
      <c r="S7" s="36">
        <f>[1]SFI!$F7</f>
        <v>3470.3624545540733</v>
      </c>
      <c r="T7" s="31">
        <f t="shared" si="19"/>
        <v>3470.3624545540733</v>
      </c>
      <c r="U7" s="18">
        <f t="shared" si="20"/>
        <v>0</v>
      </c>
      <c r="V7" s="31">
        <f t="shared" si="21"/>
        <v>3216.8783378063854</v>
      </c>
      <c r="W7" s="31"/>
      <c r="X7" s="147">
        <f>'[4]SÃO FRANCISCO'!X7*'[3]SF I'!$X$4</f>
        <v>3216.8783378063854</v>
      </c>
      <c r="Y7" s="37">
        <f t="shared" si="3"/>
        <v>-7.3042548168145038E-2</v>
      </c>
      <c r="Z7" s="36">
        <f>[1]SFI!$G7</f>
        <v>3470.3624545540733</v>
      </c>
      <c r="AA7" s="31">
        <f t="shared" si="22"/>
        <v>3470.3624545540733</v>
      </c>
      <c r="AB7" s="18">
        <f t="shared" si="23"/>
        <v>0</v>
      </c>
      <c r="AC7" s="31">
        <f t="shared" si="24"/>
        <v>3084.1545977999617</v>
      </c>
      <c r="AD7" s="31"/>
      <c r="AE7" s="27">
        <f>'[4]SÃO FRANCISCO'!AE7*'[2]SF I'!$X$4</f>
        <v>3084.1545977999617</v>
      </c>
      <c r="AF7" s="37">
        <f t="shared" si="4"/>
        <v>-0.11128746977057113</v>
      </c>
      <c r="AG7" s="36">
        <f>[1]SFI!$H7</f>
        <v>3470.3624545540733</v>
      </c>
      <c r="AH7" s="31">
        <f t="shared" si="25"/>
        <v>3470.3624545540733</v>
      </c>
      <c r="AI7" s="18">
        <f t="shared" si="26"/>
        <v>0</v>
      </c>
      <c r="AJ7" s="31">
        <f t="shared" si="27"/>
        <v>3114.0203972123654</v>
      </c>
      <c r="AK7" s="31"/>
      <c r="AL7" s="33">
        <f>'[4]SÃO FRANCISCO'!AL7*'[2]SF I'!$X$4</f>
        <v>3114.0203972123654</v>
      </c>
      <c r="AM7" s="37">
        <f t="shared" si="5"/>
        <v>-0.10268151007514759</v>
      </c>
      <c r="AN7" s="36">
        <f>[1]SFI!$I7</f>
        <v>3470.3624545540733</v>
      </c>
      <c r="AO7" s="31">
        <f t="shared" si="28"/>
        <v>3470.3624545540733</v>
      </c>
      <c r="AP7" s="18">
        <f t="shared" si="29"/>
        <v>0</v>
      </c>
      <c r="AQ7" s="31">
        <f t="shared" si="30"/>
        <v>3425.169876844102</v>
      </c>
      <c r="AR7" s="31"/>
      <c r="AS7" s="33">
        <v>3425.169876844102</v>
      </c>
      <c r="AT7" s="37">
        <f t="shared" si="6"/>
        <v>-1.3022437368369499E-2</v>
      </c>
      <c r="AU7" s="36">
        <f>[1]SFI!$J7</f>
        <v>3470.3624545540733</v>
      </c>
      <c r="AV7" s="31">
        <f t="shared" si="31"/>
        <v>3470.3624545540733</v>
      </c>
      <c r="AW7" s="18">
        <f t="shared" si="32"/>
        <v>0</v>
      </c>
      <c r="AX7" s="31">
        <f t="shared" si="33"/>
        <v>3794.3763226351316</v>
      </c>
      <c r="AY7" s="31"/>
      <c r="AZ7" s="27">
        <v>3794.3763226351316</v>
      </c>
      <c r="BA7" s="37">
        <f t="shared" si="7"/>
        <v>9.3366002060062181E-2</v>
      </c>
      <c r="BB7" s="36">
        <f>[1]SFI!$K7</f>
        <v>3470.3624545540733</v>
      </c>
      <c r="BC7" s="31">
        <f t="shared" si="34"/>
        <v>3470.3624545540733</v>
      </c>
      <c r="BD7" s="18">
        <f t="shared" si="35"/>
        <v>0</v>
      </c>
      <c r="BE7" s="31">
        <f t="shared" si="36"/>
        <v>0</v>
      </c>
      <c r="BF7" s="31"/>
      <c r="BG7" s="33">
        <f>'[4]SÃO FRANCISCO'!BG7*'[3]SF I'!$X$4</f>
        <v>0</v>
      </c>
      <c r="BH7" s="37">
        <f t="shared" si="8"/>
        <v>-1</v>
      </c>
      <c r="BI7" s="36">
        <f>[1]SFI!$L7</f>
        <v>3737.3198643916417</v>
      </c>
      <c r="BJ7" s="31">
        <f t="shared" si="37"/>
        <v>3737.3198643916417</v>
      </c>
      <c r="BK7" s="18">
        <f t="shared" si="38"/>
        <v>0</v>
      </c>
      <c r="BL7" s="31">
        <f t="shared" si="39"/>
        <v>0</v>
      </c>
      <c r="BM7" s="31"/>
      <c r="BN7" s="33">
        <f>'[4]SÃO FRANCISCO'!BN7*'[3]SF I'!$X$4</f>
        <v>0</v>
      </c>
      <c r="BO7" s="37">
        <f t="shared" si="9"/>
        <v>-1</v>
      </c>
      <c r="BP7" s="36">
        <f>[1]SFI!$M7</f>
        <v>3737.3198643916417</v>
      </c>
      <c r="BQ7" s="31">
        <f t="shared" si="40"/>
        <v>3737.3198643916417</v>
      </c>
      <c r="BR7" s="18">
        <f t="shared" si="41"/>
        <v>0</v>
      </c>
      <c r="BS7" s="31">
        <f t="shared" si="42"/>
        <v>0</v>
      </c>
      <c r="BT7" s="31"/>
      <c r="BU7" s="33">
        <f>'[4]SÃO FRANCISCO'!BU7*'[3]SF I'!$X$4</f>
        <v>0</v>
      </c>
      <c r="BV7" s="37">
        <f t="shared" si="10"/>
        <v>-1</v>
      </c>
      <c r="BW7" s="36">
        <f>[1]SFI!$N7</f>
        <v>3737.3198643916417</v>
      </c>
      <c r="BX7" s="31">
        <f t="shared" si="43"/>
        <v>3737.3198643916417</v>
      </c>
      <c r="BY7" s="18">
        <f t="shared" si="44"/>
        <v>0</v>
      </c>
      <c r="BZ7" s="31">
        <f t="shared" si="45"/>
        <v>0</v>
      </c>
      <c r="CA7" s="31"/>
      <c r="CB7" s="33">
        <f>'[4]SÃO FRANCISCO'!CB7*'[3]SF I'!$X$4</f>
        <v>0</v>
      </c>
      <c r="CC7" s="37">
        <f t="shared" si="11"/>
        <v>-1</v>
      </c>
      <c r="CD7" s="36">
        <f>[1]SFI!$O7</f>
        <v>3737.3198643916417</v>
      </c>
      <c r="CE7" s="31">
        <f t="shared" si="46"/>
        <v>3737.3198643916417</v>
      </c>
      <c r="CF7" s="18">
        <f t="shared" si="47"/>
        <v>0</v>
      </c>
      <c r="CG7" s="31">
        <f t="shared" si="48"/>
        <v>0</v>
      </c>
      <c r="CH7" s="31"/>
      <c r="CI7" s="33">
        <f>'[4]SÃO FRANCISCO'!CI7*'[3]SF I'!$X$4</f>
        <v>0</v>
      </c>
      <c r="CJ7" s="37">
        <f t="shared" si="12"/>
        <v>-1</v>
      </c>
      <c r="CK7" s="36">
        <f>[1]SFI!$P7</f>
        <v>3737.3198643916417</v>
      </c>
      <c r="CL7" s="31">
        <f t="shared" si="49"/>
        <v>3737.3198643916417</v>
      </c>
      <c r="CM7" s="18">
        <f t="shared" si="50"/>
        <v>0</v>
      </c>
      <c r="CN7" s="31">
        <f t="shared" si="51"/>
        <v>0</v>
      </c>
      <c r="CO7" s="31"/>
      <c r="CP7" s="33">
        <f>'[4]SÃO FRANCISCO'!CP7*'[3]SF I'!$X$4</f>
        <v>0</v>
      </c>
      <c r="CQ7" s="37">
        <f t="shared" si="13"/>
        <v>-1</v>
      </c>
    </row>
    <row r="8" spans="1:99" s="26" customFormat="1" ht="14.25" customHeight="1" thickBot="1" x14ac:dyDescent="0.25">
      <c r="A8" s="38" t="s">
        <v>32</v>
      </c>
      <c r="B8" s="30">
        <f t="shared" si="0"/>
        <v>48544.951072613796</v>
      </c>
      <c r="C8" s="31">
        <f t="shared" si="0"/>
        <v>48544.951072613796</v>
      </c>
      <c r="D8" s="32">
        <f t="shared" si="0"/>
        <v>0</v>
      </c>
      <c r="E8" s="30">
        <f t="shared" si="14"/>
        <v>0</v>
      </c>
      <c r="F8" s="33">
        <f t="shared" si="14"/>
        <v>0</v>
      </c>
      <c r="G8" s="34">
        <f t="shared" si="14"/>
        <v>0</v>
      </c>
      <c r="H8" s="31">
        <f t="shared" si="1"/>
        <v>1159.4464879913842</v>
      </c>
      <c r="I8" s="33">
        <f t="shared" si="1"/>
        <v>0</v>
      </c>
      <c r="J8" s="33">
        <f t="shared" si="1"/>
        <v>1159.4464879913842</v>
      </c>
      <c r="K8" s="37" t="str">
        <f t="shared" si="15"/>
        <v/>
      </c>
      <c r="L8" s="36">
        <f>[1]SFI!$E8</f>
        <v>0</v>
      </c>
      <c r="M8" s="31">
        <f t="shared" si="16"/>
        <v>0</v>
      </c>
      <c r="N8" s="18">
        <f t="shared" si="17"/>
        <v>0</v>
      </c>
      <c r="O8" s="31">
        <f t="shared" si="18"/>
        <v>0</v>
      </c>
      <c r="P8" s="31"/>
      <c r="Q8" s="33">
        <v>0</v>
      </c>
      <c r="R8" s="37" t="str">
        <f t="shared" si="2"/>
        <v/>
      </c>
      <c r="S8" s="36">
        <f>[1]SFI!$F8</f>
        <v>0</v>
      </c>
      <c r="T8" s="31">
        <f t="shared" si="19"/>
        <v>0</v>
      </c>
      <c r="U8" s="18">
        <f t="shared" si="20"/>
        <v>0</v>
      </c>
      <c r="V8" s="31">
        <f t="shared" si="21"/>
        <v>0</v>
      </c>
      <c r="W8" s="31"/>
      <c r="X8" s="147">
        <f>'[4]SÃO FRANCISCO'!X8*'[3]SF I'!$X$4</f>
        <v>0</v>
      </c>
      <c r="Y8" s="37" t="str">
        <f t="shared" si="3"/>
        <v/>
      </c>
      <c r="Z8" s="36">
        <f>[1]SFI!$G8</f>
        <v>0</v>
      </c>
      <c r="AA8" s="31">
        <f t="shared" si="22"/>
        <v>0</v>
      </c>
      <c r="AB8" s="18">
        <f t="shared" si="23"/>
        <v>0</v>
      </c>
      <c r="AC8" s="31">
        <f t="shared" si="24"/>
        <v>0</v>
      </c>
      <c r="AD8" s="31"/>
      <c r="AE8" s="27">
        <f>'[4]SÃO FRANCISCO'!AE8*'[2]SF I'!$X$4</f>
        <v>0</v>
      </c>
      <c r="AF8" s="37" t="str">
        <f t="shared" si="4"/>
        <v/>
      </c>
      <c r="AG8" s="36">
        <f>[1]SFI!$H8</f>
        <v>0</v>
      </c>
      <c r="AH8" s="31">
        <f t="shared" si="25"/>
        <v>0</v>
      </c>
      <c r="AI8" s="18">
        <f t="shared" si="26"/>
        <v>0</v>
      </c>
      <c r="AJ8" s="31">
        <f t="shared" si="27"/>
        <v>0</v>
      </c>
      <c r="AK8" s="31"/>
      <c r="AL8" s="33">
        <f>'[4]SÃO FRANCISCO'!AL8*'[2]SF I'!$X$4</f>
        <v>0</v>
      </c>
      <c r="AM8" s="37" t="str">
        <f t="shared" si="5"/>
        <v/>
      </c>
      <c r="AN8" s="36">
        <f>[1]SFI!$I8</f>
        <v>0</v>
      </c>
      <c r="AO8" s="31">
        <f t="shared" si="28"/>
        <v>0</v>
      </c>
      <c r="AP8" s="18">
        <f t="shared" si="29"/>
        <v>0</v>
      </c>
      <c r="AQ8" s="31">
        <f t="shared" si="30"/>
        <v>1159.4464879913842</v>
      </c>
      <c r="AR8" s="31"/>
      <c r="AS8" s="33">
        <v>1159.4464879913842</v>
      </c>
      <c r="AT8" s="37" t="str">
        <f t="shared" si="6"/>
        <v/>
      </c>
      <c r="AU8" s="36">
        <f>[1]SFI!$J8</f>
        <v>0</v>
      </c>
      <c r="AV8" s="31">
        <f t="shared" si="31"/>
        <v>0</v>
      </c>
      <c r="AW8" s="18">
        <f t="shared" si="32"/>
        <v>0</v>
      </c>
      <c r="AX8" s="31">
        <f t="shared" si="33"/>
        <v>0</v>
      </c>
      <c r="AY8" s="31"/>
      <c r="AZ8" s="27">
        <v>0</v>
      </c>
      <c r="BA8" s="37" t="str">
        <f t="shared" si="7"/>
        <v/>
      </c>
      <c r="BB8" s="36">
        <f>[1]SFI!$K8</f>
        <v>48544.951072613796</v>
      </c>
      <c r="BC8" s="31">
        <f t="shared" si="34"/>
        <v>48544.951072613796</v>
      </c>
      <c r="BD8" s="18">
        <f t="shared" si="35"/>
        <v>0</v>
      </c>
      <c r="BE8" s="31">
        <f t="shared" si="36"/>
        <v>0</v>
      </c>
      <c r="BF8" s="31"/>
      <c r="BG8" s="33">
        <f>'[4]SÃO FRANCISCO'!BG8*'[3]SF I'!$X$4</f>
        <v>0</v>
      </c>
      <c r="BH8" s="37">
        <f t="shared" si="8"/>
        <v>-1</v>
      </c>
      <c r="BI8" s="36">
        <f>[1]SFI!$L8</f>
        <v>0</v>
      </c>
      <c r="BJ8" s="31">
        <f t="shared" si="37"/>
        <v>0</v>
      </c>
      <c r="BK8" s="18">
        <f t="shared" si="38"/>
        <v>0</v>
      </c>
      <c r="BL8" s="31">
        <f t="shared" si="39"/>
        <v>0</v>
      </c>
      <c r="BM8" s="31"/>
      <c r="BN8" s="33">
        <f>'[4]SÃO FRANCISCO'!BN8*'[3]SF I'!$X$4</f>
        <v>0</v>
      </c>
      <c r="BO8" s="37" t="str">
        <f t="shared" si="9"/>
        <v/>
      </c>
      <c r="BP8" s="36">
        <f>[1]SFI!$M8</f>
        <v>0</v>
      </c>
      <c r="BQ8" s="31">
        <f t="shared" si="40"/>
        <v>0</v>
      </c>
      <c r="BR8" s="18">
        <f t="shared" si="41"/>
        <v>0</v>
      </c>
      <c r="BS8" s="31">
        <f t="shared" si="42"/>
        <v>0</v>
      </c>
      <c r="BT8" s="31"/>
      <c r="BU8" s="33">
        <f>'[4]SÃO FRANCISCO'!BU8*'[3]SF I'!$X$4</f>
        <v>0</v>
      </c>
      <c r="BV8" s="37" t="str">
        <f t="shared" si="10"/>
        <v/>
      </c>
      <c r="BW8" s="36">
        <f>[1]SFI!$N8</f>
        <v>0</v>
      </c>
      <c r="BX8" s="31">
        <f t="shared" si="43"/>
        <v>0</v>
      </c>
      <c r="BY8" s="18">
        <f t="shared" si="44"/>
        <v>0</v>
      </c>
      <c r="BZ8" s="31">
        <f t="shared" si="45"/>
        <v>0</v>
      </c>
      <c r="CA8" s="31"/>
      <c r="CB8" s="33">
        <f>'[4]SÃO FRANCISCO'!CB8*'[3]SF I'!$X$4</f>
        <v>0</v>
      </c>
      <c r="CC8" s="37" t="str">
        <f t="shared" si="11"/>
        <v/>
      </c>
      <c r="CD8" s="36">
        <f>[1]SFI!$O8</f>
        <v>0</v>
      </c>
      <c r="CE8" s="31">
        <f t="shared" si="46"/>
        <v>0</v>
      </c>
      <c r="CF8" s="18">
        <f t="shared" si="47"/>
        <v>0</v>
      </c>
      <c r="CG8" s="31">
        <f t="shared" si="48"/>
        <v>0</v>
      </c>
      <c r="CH8" s="31"/>
      <c r="CI8" s="33">
        <f>'[4]SÃO FRANCISCO'!CI8*'[3]SF I'!$X$4</f>
        <v>0</v>
      </c>
      <c r="CJ8" s="37" t="str">
        <f t="shared" si="12"/>
        <v/>
      </c>
      <c r="CK8" s="36">
        <f>[1]SFI!$P8</f>
        <v>0</v>
      </c>
      <c r="CL8" s="31">
        <f t="shared" si="49"/>
        <v>0</v>
      </c>
      <c r="CM8" s="18">
        <f t="shared" si="50"/>
        <v>0</v>
      </c>
      <c r="CN8" s="31">
        <f t="shared" si="51"/>
        <v>0</v>
      </c>
      <c r="CO8" s="31"/>
      <c r="CP8" s="33">
        <f>'[4]SÃO FRANCISCO'!CP8*'[3]SF I'!$X$4</f>
        <v>0</v>
      </c>
      <c r="CQ8" s="37" t="str">
        <f t="shared" si="13"/>
        <v/>
      </c>
    </row>
    <row r="9" spans="1:99" s="26" customFormat="1" ht="14.25" customHeight="1" thickBot="1" x14ac:dyDescent="0.25">
      <c r="A9" s="38" t="s">
        <v>33</v>
      </c>
      <c r="B9" s="30">
        <f t="shared" si="0"/>
        <v>71990.053643926512</v>
      </c>
      <c r="C9" s="31">
        <f t="shared" si="0"/>
        <v>71990.053643926512</v>
      </c>
      <c r="D9" s="32">
        <f t="shared" si="0"/>
        <v>0</v>
      </c>
      <c r="E9" s="30">
        <f t="shared" si="14"/>
        <v>23251.428445512291</v>
      </c>
      <c r="F9" s="33">
        <f t="shared" si="14"/>
        <v>23251.428445512291</v>
      </c>
      <c r="G9" s="34">
        <f t="shared" si="14"/>
        <v>0</v>
      </c>
      <c r="H9" s="31">
        <f t="shared" si="1"/>
        <v>5096.4077707040469</v>
      </c>
      <c r="I9" s="33">
        <f t="shared" si="1"/>
        <v>0</v>
      </c>
      <c r="J9" s="33">
        <f t="shared" si="1"/>
        <v>5096.4077707040469</v>
      </c>
      <c r="K9" s="37">
        <f t="shared" si="15"/>
        <v>-0.78081313229219285</v>
      </c>
      <c r="L9" s="36">
        <f>[1]SFI!$E9</f>
        <v>5812.8571113780727</v>
      </c>
      <c r="M9" s="31">
        <f t="shared" si="16"/>
        <v>5812.8571113780727</v>
      </c>
      <c r="N9" s="18">
        <f t="shared" si="17"/>
        <v>0</v>
      </c>
      <c r="O9" s="31">
        <f t="shared" si="18"/>
        <v>0</v>
      </c>
      <c r="P9" s="31"/>
      <c r="Q9" s="33">
        <v>0</v>
      </c>
      <c r="R9" s="37">
        <f t="shared" si="2"/>
        <v>-1</v>
      </c>
      <c r="S9" s="36">
        <f>[1]SFI!$F9</f>
        <v>5812.8571113780727</v>
      </c>
      <c r="T9" s="31">
        <f t="shared" si="19"/>
        <v>5812.8571113780727</v>
      </c>
      <c r="U9" s="18">
        <f t="shared" si="20"/>
        <v>0</v>
      </c>
      <c r="V9" s="31">
        <f t="shared" si="21"/>
        <v>4756.643915526799</v>
      </c>
      <c r="W9" s="31"/>
      <c r="X9" s="147">
        <f>'[4]SÃO FRANCISCO'!X9*'[3]SF I'!$X$4</f>
        <v>4756.643915526799</v>
      </c>
      <c r="Y9" s="37">
        <f t="shared" si="3"/>
        <v>-0.18170293465219445</v>
      </c>
      <c r="Z9" s="36">
        <f>[1]SFI!$G9</f>
        <v>5812.8571113780727</v>
      </c>
      <c r="AA9" s="31">
        <f t="shared" si="22"/>
        <v>5812.8571113780727</v>
      </c>
      <c r="AB9" s="18">
        <f t="shared" si="23"/>
        <v>0</v>
      </c>
      <c r="AC9" s="31">
        <f t="shared" si="24"/>
        <v>339.76385517724816</v>
      </c>
      <c r="AD9" s="31"/>
      <c r="AE9" s="27">
        <f>'[4]SÃO FRANCISCO'!AE9*'[2]SF I'!$X$4</f>
        <v>339.76385517724816</v>
      </c>
      <c r="AF9" s="37">
        <f t="shared" si="4"/>
        <v>-0.94154959451657683</v>
      </c>
      <c r="AG9" s="36">
        <f>[1]SFI!$H9</f>
        <v>5812.8571113780727</v>
      </c>
      <c r="AH9" s="31">
        <f t="shared" si="25"/>
        <v>5812.8571113780727</v>
      </c>
      <c r="AI9" s="18">
        <f t="shared" si="26"/>
        <v>0</v>
      </c>
      <c r="AJ9" s="31">
        <f t="shared" si="27"/>
        <v>0</v>
      </c>
      <c r="AK9" s="31"/>
      <c r="AL9" s="33">
        <f>'[4]SÃO FRANCISCO'!AL9*'[2]SF I'!$X$4</f>
        <v>0</v>
      </c>
      <c r="AM9" s="37">
        <f t="shared" si="5"/>
        <v>-1</v>
      </c>
      <c r="AN9" s="36">
        <f>[1]SFI!$I9</f>
        <v>5812.8571113780727</v>
      </c>
      <c r="AO9" s="31">
        <f t="shared" si="28"/>
        <v>5812.8571113780727</v>
      </c>
      <c r="AP9" s="18">
        <f t="shared" si="29"/>
        <v>0</v>
      </c>
      <c r="AQ9" s="31">
        <f t="shared" si="30"/>
        <v>0</v>
      </c>
      <c r="AR9" s="31"/>
      <c r="AS9" s="33">
        <v>0</v>
      </c>
      <c r="AT9" s="37">
        <f t="shared" si="6"/>
        <v>-1</v>
      </c>
      <c r="AU9" s="36">
        <f>[1]SFI!$J9</f>
        <v>5812.8571113780727</v>
      </c>
      <c r="AV9" s="31">
        <f t="shared" si="31"/>
        <v>5812.8571113780727</v>
      </c>
      <c r="AW9" s="18">
        <f t="shared" si="32"/>
        <v>0</v>
      </c>
      <c r="AX9" s="31">
        <f t="shared" si="33"/>
        <v>0</v>
      </c>
      <c r="AY9" s="31"/>
      <c r="AZ9" s="27">
        <v>0</v>
      </c>
      <c r="BA9" s="37">
        <f t="shared" si="7"/>
        <v>-1</v>
      </c>
      <c r="BB9" s="36">
        <f>[1]SFI!$K9</f>
        <v>5812.8571113780727</v>
      </c>
      <c r="BC9" s="31">
        <f t="shared" si="34"/>
        <v>5812.8571113780727</v>
      </c>
      <c r="BD9" s="18">
        <f t="shared" si="35"/>
        <v>0</v>
      </c>
      <c r="BE9" s="31">
        <f t="shared" si="36"/>
        <v>0</v>
      </c>
      <c r="BF9" s="31"/>
      <c r="BG9" s="33">
        <f>'[4]SÃO FRANCISCO'!BG9*'[3]SF I'!$X$4</f>
        <v>0</v>
      </c>
      <c r="BH9" s="37">
        <f t="shared" si="8"/>
        <v>-1</v>
      </c>
      <c r="BI9" s="36">
        <f>[1]SFI!$L9</f>
        <v>6260.0107728560006</v>
      </c>
      <c r="BJ9" s="31">
        <f t="shared" si="37"/>
        <v>6260.0107728560006</v>
      </c>
      <c r="BK9" s="18">
        <f t="shared" si="38"/>
        <v>0</v>
      </c>
      <c r="BL9" s="31">
        <f t="shared" si="39"/>
        <v>0</v>
      </c>
      <c r="BM9" s="31"/>
      <c r="BN9" s="33">
        <f>'[4]SÃO FRANCISCO'!BN9*'[3]SF I'!$X$4</f>
        <v>0</v>
      </c>
      <c r="BO9" s="37">
        <f t="shared" si="9"/>
        <v>-1</v>
      </c>
      <c r="BP9" s="36">
        <f>[1]SFI!$M9</f>
        <v>6260.0107728560006</v>
      </c>
      <c r="BQ9" s="31">
        <f t="shared" si="40"/>
        <v>6260.0107728560006</v>
      </c>
      <c r="BR9" s="18">
        <f t="shared" si="41"/>
        <v>0</v>
      </c>
      <c r="BS9" s="31">
        <f t="shared" si="42"/>
        <v>0</v>
      </c>
      <c r="BT9" s="31"/>
      <c r="BU9" s="33">
        <f>'[4]SÃO FRANCISCO'!BU9*'[3]SF I'!$X$4</f>
        <v>0</v>
      </c>
      <c r="BV9" s="37">
        <f t="shared" si="10"/>
        <v>-1</v>
      </c>
      <c r="BW9" s="36">
        <f>[1]SFI!$N9</f>
        <v>6260.0107728560006</v>
      </c>
      <c r="BX9" s="31">
        <f t="shared" si="43"/>
        <v>6260.0107728560006</v>
      </c>
      <c r="BY9" s="18">
        <f t="shared" si="44"/>
        <v>0</v>
      </c>
      <c r="BZ9" s="31">
        <f t="shared" si="45"/>
        <v>0</v>
      </c>
      <c r="CA9" s="31"/>
      <c r="CB9" s="33">
        <f>'[4]SÃO FRANCISCO'!CB9*'[3]SF I'!$X$4</f>
        <v>0</v>
      </c>
      <c r="CC9" s="37">
        <f t="shared" si="11"/>
        <v>-1</v>
      </c>
      <c r="CD9" s="36">
        <f>[1]SFI!$O9</f>
        <v>6260.0107728560006</v>
      </c>
      <c r="CE9" s="31">
        <f t="shared" si="46"/>
        <v>6260.0107728560006</v>
      </c>
      <c r="CF9" s="18">
        <f t="shared" si="47"/>
        <v>0</v>
      </c>
      <c r="CG9" s="31">
        <f t="shared" si="48"/>
        <v>0</v>
      </c>
      <c r="CH9" s="31"/>
      <c r="CI9" s="33">
        <f>'[4]SÃO FRANCISCO'!CI9*'[3]SF I'!$X$4</f>
        <v>0</v>
      </c>
      <c r="CJ9" s="37">
        <f t="shared" si="12"/>
        <v>-1</v>
      </c>
      <c r="CK9" s="36">
        <f>[1]SFI!$P9</f>
        <v>6260.0107728560006</v>
      </c>
      <c r="CL9" s="31">
        <f t="shared" si="49"/>
        <v>6260.0107728560006</v>
      </c>
      <c r="CM9" s="18">
        <f t="shared" si="50"/>
        <v>0</v>
      </c>
      <c r="CN9" s="31">
        <f t="shared" si="51"/>
        <v>0</v>
      </c>
      <c r="CO9" s="31"/>
      <c r="CP9" s="33">
        <f>'[4]SÃO FRANCISCO'!CP9*'[3]SF I'!$X$4</f>
        <v>0</v>
      </c>
      <c r="CQ9" s="37">
        <f t="shared" si="13"/>
        <v>-1</v>
      </c>
    </row>
    <row r="10" spans="1:99" s="26" customFormat="1" ht="14.25" customHeight="1" thickBot="1" x14ac:dyDescent="0.25">
      <c r="A10" s="38" t="s">
        <v>34</v>
      </c>
      <c r="B10" s="30">
        <f t="shared" si="0"/>
        <v>21009.685974555101</v>
      </c>
      <c r="C10" s="31">
        <f t="shared" si="0"/>
        <v>21009.685974555101</v>
      </c>
      <c r="D10" s="32">
        <f t="shared" si="0"/>
        <v>0</v>
      </c>
      <c r="E10" s="30">
        <f t="shared" si="14"/>
        <v>7003.2286581850331</v>
      </c>
      <c r="F10" s="33">
        <f t="shared" si="14"/>
        <v>7003.2286581850331</v>
      </c>
      <c r="G10" s="34">
        <f t="shared" si="14"/>
        <v>0</v>
      </c>
      <c r="H10" s="31">
        <f t="shared" si="1"/>
        <v>3814.1215159385633</v>
      </c>
      <c r="I10" s="33">
        <f t="shared" si="1"/>
        <v>0</v>
      </c>
      <c r="J10" s="33">
        <f t="shared" si="1"/>
        <v>3814.1215159385633</v>
      </c>
      <c r="K10" s="37">
        <f t="shared" si="15"/>
        <v>-0.45537669807756409</v>
      </c>
      <c r="L10" s="36">
        <f>[1]SFI!$E10</f>
        <v>1750.8071645462583</v>
      </c>
      <c r="M10" s="31">
        <f t="shared" si="16"/>
        <v>1750.8071645462583</v>
      </c>
      <c r="N10" s="18">
        <f t="shared" si="17"/>
        <v>0</v>
      </c>
      <c r="O10" s="31">
        <f t="shared" si="18"/>
        <v>0</v>
      </c>
      <c r="P10" s="31"/>
      <c r="Q10" s="33">
        <v>0</v>
      </c>
      <c r="R10" s="37">
        <f t="shared" si="2"/>
        <v>-1</v>
      </c>
      <c r="S10" s="36">
        <f>[1]SFI!$F10</f>
        <v>1750.8071645462583</v>
      </c>
      <c r="T10" s="31">
        <f t="shared" si="19"/>
        <v>1750.8071645462583</v>
      </c>
      <c r="U10" s="18">
        <f t="shared" si="20"/>
        <v>0</v>
      </c>
      <c r="V10" s="31">
        <f t="shared" si="21"/>
        <v>0</v>
      </c>
      <c r="W10" s="31"/>
      <c r="X10" s="147">
        <f>'[4]SÃO FRANCISCO'!X10*'[3]SF I'!$X$4</f>
        <v>0</v>
      </c>
      <c r="Y10" s="37">
        <f t="shared" si="3"/>
        <v>-1</v>
      </c>
      <c r="Z10" s="36">
        <f>[1]SFI!$G10</f>
        <v>1750.8071645462583</v>
      </c>
      <c r="AA10" s="31">
        <f t="shared" si="22"/>
        <v>1750.8071645462583</v>
      </c>
      <c r="AB10" s="18">
        <f t="shared" si="23"/>
        <v>0</v>
      </c>
      <c r="AC10" s="31">
        <f t="shared" si="24"/>
        <v>0</v>
      </c>
      <c r="AD10" s="31"/>
      <c r="AE10" s="27">
        <f>'[4]SÃO FRANCISCO'!AE10*'[2]SF I'!$X$4</f>
        <v>0</v>
      </c>
      <c r="AF10" s="37">
        <f t="shared" si="4"/>
        <v>-1</v>
      </c>
      <c r="AG10" s="36">
        <f>[1]SFI!$H10</f>
        <v>1750.8071645462583</v>
      </c>
      <c r="AH10" s="31">
        <f t="shared" si="25"/>
        <v>1750.8071645462583</v>
      </c>
      <c r="AI10" s="18">
        <f t="shared" si="26"/>
        <v>0</v>
      </c>
      <c r="AJ10" s="31">
        <f t="shared" si="27"/>
        <v>1195.6877231765709</v>
      </c>
      <c r="AK10" s="31"/>
      <c r="AL10" s="33">
        <f>'[4]SÃO FRANCISCO'!AL10*'[3]SF I'!$X$4</f>
        <v>1195.6877231765709</v>
      </c>
      <c r="AM10" s="37">
        <f t="shared" si="5"/>
        <v>-0.31706486734280237</v>
      </c>
      <c r="AN10" s="36">
        <f>[1]SFI!$I10</f>
        <v>1750.8071645462583</v>
      </c>
      <c r="AO10" s="31">
        <f t="shared" si="28"/>
        <v>1750.8071645462583</v>
      </c>
      <c r="AP10" s="18">
        <f t="shared" si="29"/>
        <v>0</v>
      </c>
      <c r="AQ10" s="31">
        <f t="shared" si="30"/>
        <v>2366.3287664863328</v>
      </c>
      <c r="AR10" s="31"/>
      <c r="AS10" s="33">
        <v>2366.3287664863328</v>
      </c>
      <c r="AT10" s="37">
        <f t="shared" si="6"/>
        <v>0.35156447517713585</v>
      </c>
      <c r="AU10" s="36">
        <f>[1]SFI!$J10</f>
        <v>1750.8071645462583</v>
      </c>
      <c r="AV10" s="31">
        <f t="shared" si="31"/>
        <v>1750.8071645462583</v>
      </c>
      <c r="AW10" s="18">
        <f t="shared" si="32"/>
        <v>0</v>
      </c>
      <c r="AX10" s="31">
        <f t="shared" si="33"/>
        <v>252.1050262756593</v>
      </c>
      <c r="AY10" s="31"/>
      <c r="AZ10" s="27">
        <v>252.1050262756593</v>
      </c>
      <c r="BA10" s="37">
        <f t="shared" si="7"/>
        <v>-0.85600640014458973</v>
      </c>
      <c r="BB10" s="36">
        <f>[1]SFI!$K10</f>
        <v>1750.8071645462583</v>
      </c>
      <c r="BC10" s="31">
        <f t="shared" si="34"/>
        <v>1750.8071645462583</v>
      </c>
      <c r="BD10" s="18">
        <f t="shared" si="35"/>
        <v>0</v>
      </c>
      <c r="BE10" s="31">
        <f t="shared" si="36"/>
        <v>0</v>
      </c>
      <c r="BF10" s="31"/>
      <c r="BG10" s="27">
        <f>'[4]SÃO FRANCISCO'!BG10*'[3]SF I'!$X$4</f>
        <v>0</v>
      </c>
      <c r="BH10" s="37">
        <f t="shared" si="8"/>
        <v>-1</v>
      </c>
      <c r="BI10" s="36">
        <f>[1]SFI!$L10</f>
        <v>1750.8071645462583</v>
      </c>
      <c r="BJ10" s="31">
        <f t="shared" si="37"/>
        <v>1750.8071645462583</v>
      </c>
      <c r="BK10" s="18">
        <f t="shared" si="38"/>
        <v>0</v>
      </c>
      <c r="BL10" s="31">
        <f t="shared" si="39"/>
        <v>0</v>
      </c>
      <c r="BM10" s="31"/>
      <c r="BN10" s="33">
        <f>'[4]SÃO FRANCISCO'!BN10*'[3]SF I'!$X$4</f>
        <v>0</v>
      </c>
      <c r="BO10" s="37">
        <f t="shared" si="9"/>
        <v>-1</v>
      </c>
      <c r="BP10" s="36">
        <f>[1]SFI!$M10</f>
        <v>1750.8071645462583</v>
      </c>
      <c r="BQ10" s="31">
        <f t="shared" si="40"/>
        <v>1750.8071645462583</v>
      </c>
      <c r="BR10" s="18">
        <f t="shared" si="41"/>
        <v>0</v>
      </c>
      <c r="BS10" s="31">
        <f t="shared" si="42"/>
        <v>0</v>
      </c>
      <c r="BT10" s="31"/>
      <c r="BU10" s="33">
        <f>'[4]SÃO FRANCISCO'!BU10*'[3]SF I'!$X$4</f>
        <v>0</v>
      </c>
      <c r="BV10" s="37">
        <f t="shared" si="10"/>
        <v>-1</v>
      </c>
      <c r="BW10" s="36">
        <f>[1]SFI!$N10</f>
        <v>1750.8071645462583</v>
      </c>
      <c r="BX10" s="31">
        <f t="shared" si="43"/>
        <v>1750.8071645462583</v>
      </c>
      <c r="BY10" s="18">
        <f t="shared" si="44"/>
        <v>0</v>
      </c>
      <c r="BZ10" s="31">
        <f t="shared" si="45"/>
        <v>0</v>
      </c>
      <c r="CA10" s="31"/>
      <c r="CB10" s="33">
        <f>'[4]SÃO FRANCISCO'!CB10*'[3]SF I'!$X$4</f>
        <v>0</v>
      </c>
      <c r="CC10" s="37">
        <f t="shared" si="11"/>
        <v>-1</v>
      </c>
      <c r="CD10" s="36">
        <f>[1]SFI!$O10</f>
        <v>1750.8071645462583</v>
      </c>
      <c r="CE10" s="31">
        <f t="shared" si="46"/>
        <v>1750.8071645462583</v>
      </c>
      <c r="CF10" s="18">
        <f t="shared" si="47"/>
        <v>0</v>
      </c>
      <c r="CG10" s="31">
        <f t="shared" si="48"/>
        <v>0</v>
      </c>
      <c r="CH10" s="31"/>
      <c r="CI10" s="33">
        <f>'[4]SÃO FRANCISCO'!CI10*'[3]SF I'!$X$4</f>
        <v>0</v>
      </c>
      <c r="CJ10" s="37">
        <f t="shared" si="12"/>
        <v>-1</v>
      </c>
      <c r="CK10" s="36">
        <f>[1]SFI!$P10</f>
        <v>1750.8071645462583</v>
      </c>
      <c r="CL10" s="31">
        <f t="shared" si="49"/>
        <v>1750.8071645462583</v>
      </c>
      <c r="CM10" s="18">
        <f t="shared" si="50"/>
        <v>0</v>
      </c>
      <c r="CN10" s="31">
        <f t="shared" si="51"/>
        <v>0</v>
      </c>
      <c r="CO10" s="31"/>
      <c r="CP10" s="33">
        <f>'[4]SÃO FRANCISCO'!CP10*'[3]SF I'!$X$4</f>
        <v>0</v>
      </c>
      <c r="CQ10" s="37">
        <f t="shared" si="13"/>
        <v>-1</v>
      </c>
    </row>
    <row r="11" spans="1:99" s="26" customFormat="1" ht="14.25" customHeight="1" thickBot="1" x14ac:dyDescent="0.25">
      <c r="A11" s="38" t="s">
        <v>35</v>
      </c>
      <c r="B11" s="30">
        <f t="shared" si="0"/>
        <v>0</v>
      </c>
      <c r="C11" s="31">
        <f t="shared" si="0"/>
        <v>0</v>
      </c>
      <c r="D11" s="32">
        <f t="shared" si="0"/>
        <v>0</v>
      </c>
      <c r="E11" s="30">
        <f t="shared" si="14"/>
        <v>0</v>
      </c>
      <c r="F11" s="33">
        <f t="shared" si="14"/>
        <v>0</v>
      </c>
      <c r="G11" s="34">
        <f t="shared" si="14"/>
        <v>0</v>
      </c>
      <c r="H11" s="31">
        <f t="shared" si="1"/>
        <v>0</v>
      </c>
      <c r="I11" s="33">
        <f t="shared" si="1"/>
        <v>0</v>
      </c>
      <c r="J11" s="33">
        <f t="shared" si="1"/>
        <v>0</v>
      </c>
      <c r="K11" s="37" t="str">
        <f t="shared" si="15"/>
        <v/>
      </c>
      <c r="L11" s="36">
        <f>[1]SFI!$E11</f>
        <v>0</v>
      </c>
      <c r="M11" s="31">
        <f t="shared" si="16"/>
        <v>0</v>
      </c>
      <c r="N11" s="18">
        <f t="shared" si="17"/>
        <v>0</v>
      </c>
      <c r="O11" s="31">
        <f t="shared" si="18"/>
        <v>0</v>
      </c>
      <c r="P11" s="31"/>
      <c r="Q11" s="33">
        <v>0</v>
      </c>
      <c r="R11" s="37" t="str">
        <f t="shared" si="2"/>
        <v/>
      </c>
      <c r="S11" s="36">
        <f>[1]SFI!$F11</f>
        <v>0</v>
      </c>
      <c r="T11" s="31">
        <f t="shared" si="19"/>
        <v>0</v>
      </c>
      <c r="U11" s="18">
        <f t="shared" si="20"/>
        <v>0</v>
      </c>
      <c r="V11" s="31">
        <f t="shared" si="21"/>
        <v>0</v>
      </c>
      <c r="W11" s="31"/>
      <c r="X11" s="147">
        <f>'[4]SÃO FRANCISCO'!X11*'[3]SF I'!$X$4</f>
        <v>0</v>
      </c>
      <c r="Y11" s="37" t="str">
        <f t="shared" si="3"/>
        <v/>
      </c>
      <c r="Z11" s="36">
        <f>[1]SFI!$G11</f>
        <v>0</v>
      </c>
      <c r="AA11" s="31">
        <f t="shared" si="22"/>
        <v>0</v>
      </c>
      <c r="AB11" s="18">
        <f t="shared" si="23"/>
        <v>0</v>
      </c>
      <c r="AC11" s="31">
        <f t="shared" si="24"/>
        <v>0</v>
      </c>
      <c r="AD11" s="31"/>
      <c r="AE11" s="27">
        <f>'[4]SÃO FRANCISCO'!AE11*'[2]SF I'!$X$4</f>
        <v>0</v>
      </c>
      <c r="AF11" s="37" t="str">
        <f t="shared" si="4"/>
        <v/>
      </c>
      <c r="AG11" s="36">
        <f>[1]SFI!$H11</f>
        <v>0</v>
      </c>
      <c r="AH11" s="31">
        <f t="shared" si="25"/>
        <v>0</v>
      </c>
      <c r="AI11" s="18">
        <f t="shared" si="26"/>
        <v>0</v>
      </c>
      <c r="AJ11" s="31">
        <f t="shared" si="27"/>
        <v>0</v>
      </c>
      <c r="AK11" s="31"/>
      <c r="AL11" s="33">
        <f>'[4]SÃO FRANCISCO'!AL11*'[3]SF I'!$X$4</f>
        <v>0</v>
      </c>
      <c r="AM11" s="37" t="str">
        <f t="shared" si="5"/>
        <v/>
      </c>
      <c r="AN11" s="36">
        <f>[1]SFI!$I11</f>
        <v>0</v>
      </c>
      <c r="AO11" s="31">
        <f t="shared" si="28"/>
        <v>0</v>
      </c>
      <c r="AP11" s="18">
        <f t="shared" si="29"/>
        <v>0</v>
      </c>
      <c r="AQ11" s="31">
        <f t="shared" si="30"/>
        <v>0</v>
      </c>
      <c r="AR11" s="31"/>
      <c r="AS11" s="33">
        <v>0</v>
      </c>
      <c r="AT11" s="37" t="str">
        <f t="shared" si="6"/>
        <v/>
      </c>
      <c r="AU11" s="36">
        <f>[1]SFI!$J11</f>
        <v>0</v>
      </c>
      <c r="AV11" s="31">
        <f t="shared" si="31"/>
        <v>0</v>
      </c>
      <c r="AW11" s="18">
        <f t="shared" si="32"/>
        <v>0</v>
      </c>
      <c r="AX11" s="31">
        <f t="shared" si="33"/>
        <v>0</v>
      </c>
      <c r="AY11" s="31"/>
      <c r="AZ11" s="27">
        <v>0</v>
      </c>
      <c r="BA11" s="37" t="str">
        <f t="shared" si="7"/>
        <v/>
      </c>
      <c r="BB11" s="36">
        <f>[1]SFI!$K11</f>
        <v>0</v>
      </c>
      <c r="BC11" s="31">
        <f t="shared" si="34"/>
        <v>0</v>
      </c>
      <c r="BD11" s="18">
        <f t="shared" si="35"/>
        <v>0</v>
      </c>
      <c r="BE11" s="31">
        <f t="shared" si="36"/>
        <v>0</v>
      </c>
      <c r="BF11" s="31"/>
      <c r="BG11" s="27">
        <f>'[4]SÃO FRANCISCO'!BG11*'[3]SF I'!$X$4</f>
        <v>0</v>
      </c>
      <c r="BH11" s="37" t="str">
        <f t="shared" si="8"/>
        <v/>
      </c>
      <c r="BI11" s="36">
        <f>[1]SFI!$L11</f>
        <v>0</v>
      </c>
      <c r="BJ11" s="31">
        <f t="shared" si="37"/>
        <v>0</v>
      </c>
      <c r="BK11" s="18">
        <f t="shared" si="38"/>
        <v>0</v>
      </c>
      <c r="BL11" s="31">
        <f t="shared" si="39"/>
        <v>0</v>
      </c>
      <c r="BM11" s="31"/>
      <c r="BN11" s="33">
        <f>'[4]SÃO FRANCISCO'!BN11*'[3]SF I'!$X$4</f>
        <v>0</v>
      </c>
      <c r="BO11" s="37" t="str">
        <f t="shared" si="9"/>
        <v/>
      </c>
      <c r="BP11" s="36">
        <f>[1]SFI!$M11</f>
        <v>0</v>
      </c>
      <c r="BQ11" s="31">
        <f t="shared" si="40"/>
        <v>0</v>
      </c>
      <c r="BR11" s="18">
        <f t="shared" si="41"/>
        <v>0</v>
      </c>
      <c r="BS11" s="31">
        <f t="shared" si="42"/>
        <v>0</v>
      </c>
      <c r="BT11" s="31"/>
      <c r="BU11" s="33">
        <f>'[4]SÃO FRANCISCO'!BU11*'[3]SF I'!$X$4</f>
        <v>0</v>
      </c>
      <c r="BV11" s="37" t="str">
        <f t="shared" si="10"/>
        <v/>
      </c>
      <c r="BW11" s="36">
        <f>[1]SFI!$N11</f>
        <v>0</v>
      </c>
      <c r="BX11" s="31">
        <f t="shared" si="43"/>
        <v>0</v>
      </c>
      <c r="BY11" s="18">
        <f t="shared" si="44"/>
        <v>0</v>
      </c>
      <c r="BZ11" s="31">
        <f t="shared" si="45"/>
        <v>0</v>
      </c>
      <c r="CA11" s="31"/>
      <c r="CB11" s="33">
        <f>'[4]SÃO FRANCISCO'!CB11*'[3]SF I'!$X$4</f>
        <v>0</v>
      </c>
      <c r="CC11" s="37" t="str">
        <f t="shared" si="11"/>
        <v/>
      </c>
      <c r="CD11" s="36">
        <f>[1]SFI!$O11</f>
        <v>0</v>
      </c>
      <c r="CE11" s="31">
        <f t="shared" si="46"/>
        <v>0</v>
      </c>
      <c r="CF11" s="18">
        <f t="shared" si="47"/>
        <v>0</v>
      </c>
      <c r="CG11" s="31">
        <f t="shared" si="48"/>
        <v>0</v>
      </c>
      <c r="CH11" s="31"/>
      <c r="CI11" s="33">
        <f>'[4]SÃO FRANCISCO'!CI11*'[3]SF I'!$X$4</f>
        <v>0</v>
      </c>
      <c r="CJ11" s="37" t="str">
        <f t="shared" si="12"/>
        <v/>
      </c>
      <c r="CK11" s="36">
        <f>[1]SFI!$P11</f>
        <v>0</v>
      </c>
      <c r="CL11" s="31">
        <f t="shared" si="49"/>
        <v>0</v>
      </c>
      <c r="CM11" s="18">
        <f t="shared" si="50"/>
        <v>0</v>
      </c>
      <c r="CN11" s="31">
        <f t="shared" si="51"/>
        <v>0</v>
      </c>
      <c r="CO11" s="31"/>
      <c r="CP11" s="33">
        <f>'[4]SÃO FRANCISCO'!CP11*'[3]SF I'!$X$4</f>
        <v>0</v>
      </c>
      <c r="CQ11" s="37" t="str">
        <f t="shared" si="13"/>
        <v/>
      </c>
    </row>
    <row r="12" spans="1:99" s="26" customFormat="1" ht="14.25" customHeight="1" thickBot="1" x14ac:dyDescent="0.25">
      <c r="A12" s="29" t="s">
        <v>36</v>
      </c>
      <c r="B12" s="30">
        <f t="shared" si="0"/>
        <v>18638.592843141018</v>
      </c>
      <c r="C12" s="31">
        <f t="shared" si="0"/>
        <v>18638.592843141018</v>
      </c>
      <c r="D12" s="32">
        <f t="shared" si="0"/>
        <v>0</v>
      </c>
      <c r="E12" s="30">
        <f t="shared" si="14"/>
        <v>6212.8642810470074</v>
      </c>
      <c r="F12" s="33">
        <f t="shared" si="14"/>
        <v>6212.8642810470074</v>
      </c>
      <c r="G12" s="34">
        <f t="shared" si="14"/>
        <v>0</v>
      </c>
      <c r="H12" s="31">
        <f t="shared" si="1"/>
        <v>12204.552320112765</v>
      </c>
      <c r="I12" s="33">
        <f t="shared" si="1"/>
        <v>0</v>
      </c>
      <c r="J12" s="33">
        <f t="shared" si="1"/>
        <v>12204.552320112765</v>
      </c>
      <c r="K12" s="37">
        <f t="shared" si="15"/>
        <v>0.96440027787892113</v>
      </c>
      <c r="L12" s="36">
        <f>[1]SFI!$E12</f>
        <v>1553.2160702617518</v>
      </c>
      <c r="M12" s="31">
        <f t="shared" si="16"/>
        <v>1553.2160702617518</v>
      </c>
      <c r="N12" s="18">
        <f t="shared" si="17"/>
        <v>0</v>
      </c>
      <c r="O12" s="31">
        <f t="shared" si="18"/>
        <v>749.51881213188722</v>
      </c>
      <c r="P12" s="31"/>
      <c r="Q12" s="33">
        <v>749.51881213188722</v>
      </c>
      <c r="R12" s="37">
        <f t="shared" si="2"/>
        <v>-0.51744073057036011</v>
      </c>
      <c r="S12" s="36">
        <f>[1]SFI!$F12</f>
        <v>1553.2160702617518</v>
      </c>
      <c r="T12" s="31">
        <f t="shared" si="19"/>
        <v>1553.2160702617518</v>
      </c>
      <c r="U12" s="18">
        <f t="shared" si="20"/>
        <v>0</v>
      </c>
      <c r="V12" s="31">
        <f t="shared" si="21"/>
        <v>4387.2645457105255</v>
      </c>
      <c r="W12" s="31"/>
      <c r="X12" s="147">
        <f>'[4]SÃO FRANCISCO'!X12*'[3]SF I'!$X$4</f>
        <v>4387.2645457105255</v>
      </c>
      <c r="Y12" s="37">
        <f t="shared" si="3"/>
        <v>1.8246324704657302</v>
      </c>
      <c r="Z12" s="36">
        <f>[1]SFI!$G12</f>
        <v>1553.2160702617518</v>
      </c>
      <c r="AA12" s="31">
        <f t="shared" si="22"/>
        <v>1553.2160702617518</v>
      </c>
      <c r="AB12" s="18">
        <f t="shared" si="23"/>
        <v>0</v>
      </c>
      <c r="AC12" s="31">
        <f t="shared" si="24"/>
        <v>2729.7650105929306</v>
      </c>
      <c r="AD12" s="31"/>
      <c r="AE12" s="33">
        <f>'[4]SÃO FRANCISCO'!AE12*'[2]SF I'!$X$4</f>
        <v>2729.7650105929306</v>
      </c>
      <c r="AF12" s="37">
        <f t="shared" si="4"/>
        <v>0.75749212415301881</v>
      </c>
      <c r="AG12" s="36">
        <f>[1]SFI!$H12</f>
        <v>1553.2160702617518</v>
      </c>
      <c r="AH12" s="31">
        <f t="shared" si="25"/>
        <v>1553.2160702617518</v>
      </c>
      <c r="AI12" s="18">
        <f t="shared" si="26"/>
        <v>0</v>
      </c>
      <c r="AJ12" s="31">
        <f t="shared" si="27"/>
        <v>1411.9474192722055</v>
      </c>
      <c r="AK12" s="31"/>
      <c r="AL12" s="33">
        <f>'[4]SÃO FRANCISCO'!AL12*'[3]SF I'!$X$4</f>
        <v>1411.9474192722055</v>
      </c>
      <c r="AM12" s="37">
        <f t="shared" si="5"/>
        <v>-9.0952349576024827E-2</v>
      </c>
      <c r="AN12" s="36">
        <f>[1]SFI!$I12</f>
        <v>1553.2160702617518</v>
      </c>
      <c r="AO12" s="31">
        <f t="shared" si="28"/>
        <v>1553.2160702617518</v>
      </c>
      <c r="AP12" s="18">
        <f t="shared" si="29"/>
        <v>0</v>
      </c>
      <c r="AQ12" s="31">
        <f t="shared" si="30"/>
        <v>1411.9474192722055</v>
      </c>
      <c r="AR12" s="31"/>
      <c r="AS12" s="33">
        <v>1411.9474192722055</v>
      </c>
      <c r="AT12" s="37">
        <f t="shared" si="6"/>
        <v>-9.0952349576024827E-2</v>
      </c>
      <c r="AU12" s="36">
        <f>[1]SFI!$J12</f>
        <v>1553.2160702617518</v>
      </c>
      <c r="AV12" s="31">
        <f t="shared" si="31"/>
        <v>1553.2160702617518</v>
      </c>
      <c r="AW12" s="18">
        <f t="shared" si="32"/>
        <v>0</v>
      </c>
      <c r="AX12" s="31">
        <f t="shared" si="33"/>
        <v>1514.1091131330097</v>
      </c>
      <c r="AY12" s="31"/>
      <c r="AZ12" s="33">
        <v>1514.1091131330097</v>
      </c>
      <c r="BA12" s="37">
        <f t="shared" si="7"/>
        <v>-2.5178053380655374E-2</v>
      </c>
      <c r="BB12" s="36">
        <f>[1]SFI!$K12</f>
        <v>1553.2160702617518</v>
      </c>
      <c r="BC12" s="31">
        <f t="shared" si="34"/>
        <v>1553.2160702617518</v>
      </c>
      <c r="BD12" s="18">
        <f t="shared" si="35"/>
        <v>0</v>
      </c>
      <c r="BE12" s="31">
        <f t="shared" si="36"/>
        <v>0</v>
      </c>
      <c r="BF12" s="31"/>
      <c r="BG12" s="33">
        <f>'[4]SÃO FRANCISCO'!BG12*'[3]SF I'!$X$4</f>
        <v>0</v>
      </c>
      <c r="BH12" s="37">
        <f t="shared" si="8"/>
        <v>-1</v>
      </c>
      <c r="BI12" s="36">
        <f>[1]SFI!$L12</f>
        <v>1553.2160702617518</v>
      </c>
      <c r="BJ12" s="31">
        <f t="shared" si="37"/>
        <v>1553.2160702617518</v>
      </c>
      <c r="BK12" s="18">
        <f t="shared" si="38"/>
        <v>0</v>
      </c>
      <c r="BL12" s="31">
        <f t="shared" si="39"/>
        <v>0</v>
      </c>
      <c r="BM12" s="31"/>
      <c r="BN12" s="33">
        <f>'[4]SÃO FRANCISCO'!BN12*'[3]SF I'!$X$4</f>
        <v>0</v>
      </c>
      <c r="BO12" s="37">
        <f t="shared" si="9"/>
        <v>-1</v>
      </c>
      <c r="BP12" s="36">
        <f>[1]SFI!$M12</f>
        <v>1553.2160702617518</v>
      </c>
      <c r="BQ12" s="31">
        <f t="shared" si="40"/>
        <v>1553.2160702617518</v>
      </c>
      <c r="BR12" s="18">
        <f t="shared" si="41"/>
        <v>0</v>
      </c>
      <c r="BS12" s="31">
        <f t="shared" si="42"/>
        <v>0</v>
      </c>
      <c r="BT12" s="31"/>
      <c r="BU12" s="33">
        <f>'[4]SÃO FRANCISCO'!BU12*'[3]SF I'!$X$4</f>
        <v>0</v>
      </c>
      <c r="BV12" s="37">
        <f t="shared" si="10"/>
        <v>-1</v>
      </c>
      <c r="BW12" s="36">
        <f>[1]SFI!$N12</f>
        <v>1553.2160702617518</v>
      </c>
      <c r="BX12" s="31">
        <f t="shared" si="43"/>
        <v>1553.2160702617518</v>
      </c>
      <c r="BY12" s="18">
        <f t="shared" si="44"/>
        <v>0</v>
      </c>
      <c r="BZ12" s="31">
        <f t="shared" si="45"/>
        <v>0</v>
      </c>
      <c r="CA12" s="31"/>
      <c r="CB12" s="33">
        <f>'[4]SÃO FRANCISCO'!CB12*'[3]SF I'!$X$4</f>
        <v>0</v>
      </c>
      <c r="CC12" s="37">
        <f t="shared" si="11"/>
        <v>-1</v>
      </c>
      <c r="CD12" s="36">
        <f>[1]SFI!$O12</f>
        <v>1553.2160702617518</v>
      </c>
      <c r="CE12" s="31">
        <f t="shared" si="46"/>
        <v>1553.2160702617518</v>
      </c>
      <c r="CF12" s="18">
        <f t="shared" si="47"/>
        <v>0</v>
      </c>
      <c r="CG12" s="31">
        <f t="shared" si="48"/>
        <v>0</v>
      </c>
      <c r="CH12" s="31"/>
      <c r="CI12" s="33">
        <f>'[4]SÃO FRANCISCO'!CI12*'[3]SF I'!$X$4</f>
        <v>0</v>
      </c>
      <c r="CJ12" s="37">
        <f t="shared" si="12"/>
        <v>-1</v>
      </c>
      <c r="CK12" s="36">
        <f>[1]SFI!$P12</f>
        <v>1553.2160702617518</v>
      </c>
      <c r="CL12" s="31">
        <f t="shared" si="49"/>
        <v>1553.2160702617518</v>
      </c>
      <c r="CM12" s="18">
        <f t="shared" si="50"/>
        <v>0</v>
      </c>
      <c r="CN12" s="31">
        <f t="shared" si="51"/>
        <v>0</v>
      </c>
      <c r="CO12" s="31"/>
      <c r="CP12" s="33">
        <f>'[4]SÃO FRANCISCO'!CP12*'[3]SF I'!$X$4</f>
        <v>0</v>
      </c>
      <c r="CQ12" s="37">
        <f t="shared" si="13"/>
        <v>-1</v>
      </c>
    </row>
    <row r="13" spans="1:99" s="26" customFormat="1" ht="16" customHeight="1" thickBot="1" x14ac:dyDescent="0.25">
      <c r="A13" s="38" t="s">
        <v>37</v>
      </c>
      <c r="B13" s="30">
        <f t="shared" si="0"/>
        <v>0</v>
      </c>
      <c r="C13" s="31">
        <f t="shared" si="0"/>
        <v>0</v>
      </c>
      <c r="D13" s="32">
        <f t="shared" si="0"/>
        <v>0</v>
      </c>
      <c r="E13" s="30">
        <f t="shared" si="14"/>
        <v>0</v>
      </c>
      <c r="F13" s="33">
        <f t="shared" si="14"/>
        <v>0</v>
      </c>
      <c r="G13" s="34">
        <f t="shared" si="14"/>
        <v>0</v>
      </c>
      <c r="H13" s="31">
        <f t="shared" si="1"/>
        <v>0</v>
      </c>
      <c r="I13" s="33">
        <f t="shared" si="1"/>
        <v>0</v>
      </c>
      <c r="J13" s="33">
        <f t="shared" si="1"/>
        <v>0</v>
      </c>
      <c r="K13" s="37" t="str">
        <f t="shared" si="15"/>
        <v/>
      </c>
      <c r="L13" s="36">
        <f>[1]SFI!$E13</f>
        <v>0</v>
      </c>
      <c r="M13" s="31">
        <f t="shared" si="16"/>
        <v>0</v>
      </c>
      <c r="N13" s="18">
        <f t="shared" si="17"/>
        <v>0</v>
      </c>
      <c r="O13" s="31">
        <f t="shared" si="18"/>
        <v>0</v>
      </c>
      <c r="P13" s="31"/>
      <c r="Q13" s="33">
        <v>0</v>
      </c>
      <c r="R13" s="37" t="str">
        <f t="shared" si="2"/>
        <v/>
      </c>
      <c r="S13" s="36">
        <f>[1]SFI!$F13</f>
        <v>0</v>
      </c>
      <c r="T13" s="31">
        <f t="shared" si="19"/>
        <v>0</v>
      </c>
      <c r="U13" s="18">
        <f t="shared" si="20"/>
        <v>0</v>
      </c>
      <c r="V13" s="31">
        <f t="shared" si="21"/>
        <v>0</v>
      </c>
      <c r="W13" s="31"/>
      <c r="X13" s="147">
        <f>'[4]SÃO FRANCISCO'!X13*'[3]SF I'!$X$4</f>
        <v>0</v>
      </c>
      <c r="Y13" s="37" t="str">
        <f t="shared" si="3"/>
        <v/>
      </c>
      <c r="Z13" s="36">
        <f>[1]SFI!$G13</f>
        <v>0</v>
      </c>
      <c r="AA13" s="31">
        <f t="shared" si="22"/>
        <v>0</v>
      </c>
      <c r="AB13" s="18">
        <f t="shared" si="23"/>
        <v>0</v>
      </c>
      <c r="AC13" s="31">
        <f t="shared" si="24"/>
        <v>0</v>
      </c>
      <c r="AD13" s="31"/>
      <c r="AE13" s="27">
        <f>'[4]SÃO FRANCISCO'!AE13*'[2]SF I'!$X$4</f>
        <v>0</v>
      </c>
      <c r="AF13" s="37" t="str">
        <f t="shared" si="4"/>
        <v/>
      </c>
      <c r="AG13" s="36">
        <f>[1]SFI!$H13</f>
        <v>0</v>
      </c>
      <c r="AH13" s="31">
        <f t="shared" si="25"/>
        <v>0</v>
      </c>
      <c r="AI13" s="18">
        <f t="shared" si="26"/>
        <v>0</v>
      </c>
      <c r="AJ13" s="31">
        <f t="shared" si="27"/>
        <v>0</v>
      </c>
      <c r="AK13" s="31"/>
      <c r="AL13" s="33">
        <f>'[4]SÃO FRANCISCO'!AL13*'[3]SF I'!$X$4</f>
        <v>0</v>
      </c>
      <c r="AM13" s="37" t="str">
        <f t="shared" si="5"/>
        <v/>
      </c>
      <c r="AN13" s="36">
        <f>[1]SFI!$I13</f>
        <v>0</v>
      </c>
      <c r="AO13" s="31">
        <f t="shared" si="28"/>
        <v>0</v>
      </c>
      <c r="AP13" s="18">
        <f t="shared" si="29"/>
        <v>0</v>
      </c>
      <c r="AQ13" s="31">
        <f t="shared" si="30"/>
        <v>0</v>
      </c>
      <c r="AR13" s="31"/>
      <c r="AS13" s="33">
        <v>0</v>
      </c>
      <c r="AT13" s="37" t="str">
        <f t="shared" si="6"/>
        <v/>
      </c>
      <c r="AU13" s="36">
        <f>[1]SFI!$J13</f>
        <v>0</v>
      </c>
      <c r="AV13" s="31">
        <f t="shared" si="31"/>
        <v>0</v>
      </c>
      <c r="AW13" s="18">
        <f t="shared" si="32"/>
        <v>0</v>
      </c>
      <c r="AX13" s="31">
        <f t="shared" si="33"/>
        <v>0</v>
      </c>
      <c r="AY13" s="31"/>
      <c r="AZ13" s="27">
        <v>0</v>
      </c>
      <c r="BA13" s="37" t="str">
        <f t="shared" si="7"/>
        <v/>
      </c>
      <c r="BB13" s="36">
        <f>[1]SFI!$K13</f>
        <v>0</v>
      </c>
      <c r="BC13" s="31">
        <f t="shared" si="34"/>
        <v>0</v>
      </c>
      <c r="BD13" s="18">
        <f t="shared" si="35"/>
        <v>0</v>
      </c>
      <c r="BE13" s="31">
        <f t="shared" si="36"/>
        <v>0</v>
      </c>
      <c r="BF13" s="31"/>
      <c r="BG13" s="27">
        <f>'[4]SÃO FRANCISCO'!BG13*'[3]SF I'!$X$4</f>
        <v>0</v>
      </c>
      <c r="BH13" s="37" t="str">
        <f t="shared" si="8"/>
        <v/>
      </c>
      <c r="BI13" s="36">
        <f>[1]SFI!$L13</f>
        <v>0</v>
      </c>
      <c r="BJ13" s="31">
        <f t="shared" si="37"/>
        <v>0</v>
      </c>
      <c r="BK13" s="18">
        <f t="shared" si="38"/>
        <v>0</v>
      </c>
      <c r="BL13" s="31">
        <f t="shared" si="39"/>
        <v>0</v>
      </c>
      <c r="BM13" s="31"/>
      <c r="BN13" s="33">
        <f>'[4]SÃO FRANCISCO'!BN13*'[3]SF I'!$X$4</f>
        <v>0</v>
      </c>
      <c r="BO13" s="37" t="str">
        <f t="shared" si="9"/>
        <v/>
      </c>
      <c r="BP13" s="36">
        <f>[1]SFI!$M13</f>
        <v>0</v>
      </c>
      <c r="BQ13" s="31">
        <f t="shared" si="40"/>
        <v>0</v>
      </c>
      <c r="BR13" s="18">
        <f t="shared" si="41"/>
        <v>0</v>
      </c>
      <c r="BS13" s="31">
        <f t="shared" si="42"/>
        <v>0</v>
      </c>
      <c r="BT13" s="31"/>
      <c r="BU13" s="33">
        <f>'[4]SÃO FRANCISCO'!BU13*'[3]SF I'!$X$4</f>
        <v>0</v>
      </c>
      <c r="BV13" s="37" t="str">
        <f t="shared" si="10"/>
        <v/>
      </c>
      <c r="BW13" s="36">
        <f>[1]SFI!$N13</f>
        <v>0</v>
      </c>
      <c r="BX13" s="31">
        <f t="shared" si="43"/>
        <v>0</v>
      </c>
      <c r="BY13" s="18">
        <f t="shared" si="44"/>
        <v>0</v>
      </c>
      <c r="BZ13" s="31">
        <f t="shared" si="45"/>
        <v>0</v>
      </c>
      <c r="CA13" s="31"/>
      <c r="CB13" s="33">
        <f>'[4]SÃO FRANCISCO'!CB13*'[3]SF I'!$X$4</f>
        <v>0</v>
      </c>
      <c r="CC13" s="37" t="str">
        <f t="shared" si="11"/>
        <v/>
      </c>
      <c r="CD13" s="36">
        <f>[1]SFI!$O13</f>
        <v>0</v>
      </c>
      <c r="CE13" s="31">
        <f t="shared" si="46"/>
        <v>0</v>
      </c>
      <c r="CF13" s="18">
        <f t="shared" si="47"/>
        <v>0</v>
      </c>
      <c r="CG13" s="31">
        <f t="shared" si="48"/>
        <v>0</v>
      </c>
      <c r="CH13" s="31"/>
      <c r="CI13" s="33">
        <f>'[4]SÃO FRANCISCO'!CI13*'[3]SF I'!$X$4</f>
        <v>0</v>
      </c>
      <c r="CJ13" s="37" t="str">
        <f t="shared" si="12"/>
        <v/>
      </c>
      <c r="CK13" s="36">
        <f>[1]SFI!$P13</f>
        <v>0</v>
      </c>
      <c r="CL13" s="31">
        <f t="shared" si="49"/>
        <v>0</v>
      </c>
      <c r="CM13" s="18">
        <f t="shared" si="50"/>
        <v>0</v>
      </c>
      <c r="CN13" s="31">
        <f t="shared" si="51"/>
        <v>0</v>
      </c>
      <c r="CO13" s="31"/>
      <c r="CP13" s="33">
        <f>'[4]SÃO FRANCISCO'!CP13*'[3]SF I'!$X$4</f>
        <v>0</v>
      </c>
      <c r="CQ13" s="37" t="str">
        <f t="shared" si="13"/>
        <v/>
      </c>
    </row>
    <row r="14" spans="1:99" s="26" customFormat="1" ht="16" customHeight="1" thickBot="1" x14ac:dyDescent="0.25">
      <c r="A14" s="39" t="s">
        <v>38</v>
      </c>
      <c r="B14" s="30">
        <f t="shared" si="0"/>
        <v>39989.356062574479</v>
      </c>
      <c r="C14" s="31">
        <f t="shared" si="0"/>
        <v>39989.356062574479</v>
      </c>
      <c r="D14" s="32">
        <f t="shared" si="0"/>
        <v>0</v>
      </c>
      <c r="E14" s="30">
        <f t="shared" si="14"/>
        <v>13329.78535419149</v>
      </c>
      <c r="F14" s="33">
        <f t="shared" si="14"/>
        <v>13329.78535419149</v>
      </c>
      <c r="G14" s="34">
        <f t="shared" si="14"/>
        <v>0</v>
      </c>
      <c r="H14" s="31">
        <f t="shared" si="1"/>
        <v>5274.1826150746201</v>
      </c>
      <c r="I14" s="33">
        <f t="shared" si="1"/>
        <v>0</v>
      </c>
      <c r="J14" s="33">
        <f t="shared" si="1"/>
        <v>5274.1826150746201</v>
      </c>
      <c r="K14" s="37">
        <f t="shared" si="15"/>
        <v>-0.6043310169719891</v>
      </c>
      <c r="L14" s="36">
        <f>[1]SFI!$E14</f>
        <v>3332.4463385478725</v>
      </c>
      <c r="M14" s="31">
        <f t="shared" si="16"/>
        <v>3332.4463385478725</v>
      </c>
      <c r="N14" s="18">
        <f t="shared" si="17"/>
        <v>0</v>
      </c>
      <c r="O14" s="31">
        <f t="shared" si="18"/>
        <v>755.4867089147516</v>
      </c>
      <c r="P14" s="31"/>
      <c r="Q14" s="33">
        <v>755.4867089147516</v>
      </c>
      <c r="R14" s="37">
        <f t="shared" si="2"/>
        <v>-0.77329366112345022</v>
      </c>
      <c r="S14" s="36">
        <f>[1]SFI!$F14</f>
        <v>3332.4463385478725</v>
      </c>
      <c r="T14" s="31">
        <f t="shared" si="19"/>
        <v>3332.4463385478725</v>
      </c>
      <c r="U14" s="18">
        <f t="shared" si="20"/>
        <v>0</v>
      </c>
      <c r="V14" s="31">
        <f t="shared" si="21"/>
        <v>507.63212799823725</v>
      </c>
      <c r="W14" s="31"/>
      <c r="X14" s="147">
        <f>'[4]SÃO FRANCISCO'!X14*'[3]SF I'!$X$4</f>
        <v>507.63212799823725</v>
      </c>
      <c r="Y14" s="37">
        <f t="shared" si="3"/>
        <v>-0.84766982677973446</v>
      </c>
      <c r="Z14" s="87">
        <f>[1]SFI!$G14</f>
        <v>3332.4463385478725</v>
      </c>
      <c r="AA14" s="40">
        <f t="shared" si="22"/>
        <v>3332.4463385478725</v>
      </c>
      <c r="AB14" s="18">
        <f t="shared" si="23"/>
        <v>0</v>
      </c>
      <c r="AC14" s="31">
        <f t="shared" si="24"/>
        <v>763.05911581146393</v>
      </c>
      <c r="AD14" s="31"/>
      <c r="AE14" s="33">
        <f>'[4]SÃO FRANCISCO'!AE14*'[2]SF I'!$X$4</f>
        <v>763.05911581146393</v>
      </c>
      <c r="AF14" s="37">
        <f t="shared" si="4"/>
        <v>-0.77102133439184795</v>
      </c>
      <c r="AG14" s="36">
        <f>[1]SFI!$H14</f>
        <v>3332.4463385478725</v>
      </c>
      <c r="AH14" s="31">
        <f t="shared" si="25"/>
        <v>3332.4463385478725</v>
      </c>
      <c r="AI14" s="18">
        <f t="shared" si="26"/>
        <v>0</v>
      </c>
      <c r="AJ14" s="31">
        <f t="shared" si="27"/>
        <v>946.64072176837078</v>
      </c>
      <c r="AK14" s="31"/>
      <c r="AL14" s="33">
        <f>'[4]SÃO FRANCISCO'!AL14*'[3]SF I'!$X$4</f>
        <v>946.64072176837078</v>
      </c>
      <c r="AM14" s="37">
        <f t="shared" si="5"/>
        <v>-0.71593219347055603</v>
      </c>
      <c r="AN14" s="36">
        <f>[1]SFI!$I14</f>
        <v>3332.4463385478725</v>
      </c>
      <c r="AO14" s="31">
        <f t="shared" si="28"/>
        <v>3332.4463385478725</v>
      </c>
      <c r="AP14" s="18">
        <f t="shared" si="29"/>
        <v>0</v>
      </c>
      <c r="AQ14" s="31">
        <f t="shared" si="30"/>
        <v>1248.4477534047296</v>
      </c>
      <c r="AR14" s="31"/>
      <c r="AS14" s="33">
        <v>1248.4477534047296</v>
      </c>
      <c r="AT14" s="37">
        <f t="shared" si="6"/>
        <v>-0.6253659844531072</v>
      </c>
      <c r="AU14" s="36">
        <f>[1]SFI!$J14</f>
        <v>3332.4463385478725</v>
      </c>
      <c r="AV14" s="31">
        <f t="shared" si="31"/>
        <v>3332.4463385478725</v>
      </c>
      <c r="AW14" s="18">
        <f t="shared" si="32"/>
        <v>0</v>
      </c>
      <c r="AX14" s="31">
        <f t="shared" si="33"/>
        <v>1052.9161871770668</v>
      </c>
      <c r="AY14" s="31"/>
      <c r="AZ14" s="33">
        <v>1052.9161871770668</v>
      </c>
      <c r="BA14" s="37">
        <f t="shared" si="7"/>
        <v>-0.68404106766926076</v>
      </c>
      <c r="BB14" s="36">
        <f>[1]SFI!$K14</f>
        <v>3332.4463385478725</v>
      </c>
      <c r="BC14" s="31">
        <f t="shared" si="34"/>
        <v>3332.4463385478725</v>
      </c>
      <c r="BD14" s="18">
        <f t="shared" si="35"/>
        <v>0</v>
      </c>
      <c r="BE14" s="31">
        <f t="shared" si="36"/>
        <v>0</v>
      </c>
      <c r="BF14" s="31"/>
      <c r="BG14" s="33">
        <f>'[4]SÃO FRANCISCO'!BG14*'[3]SF I'!$X$4</f>
        <v>0</v>
      </c>
      <c r="BH14" s="37">
        <f t="shared" si="8"/>
        <v>-1</v>
      </c>
      <c r="BI14" s="36">
        <f>[1]SFI!$L14</f>
        <v>3332.4463385478725</v>
      </c>
      <c r="BJ14" s="31">
        <f t="shared" si="37"/>
        <v>3332.4463385478725</v>
      </c>
      <c r="BK14" s="18">
        <f t="shared" si="38"/>
        <v>0</v>
      </c>
      <c r="BL14" s="31">
        <f t="shared" si="39"/>
        <v>0</v>
      </c>
      <c r="BM14" s="31"/>
      <c r="BN14" s="33">
        <f>'[4]SÃO FRANCISCO'!BN14*'[3]SF I'!$X$4</f>
        <v>0</v>
      </c>
      <c r="BO14" s="37">
        <f t="shared" si="9"/>
        <v>-1</v>
      </c>
      <c r="BP14" s="36">
        <f>[1]SFI!$M14</f>
        <v>3332.4463385478725</v>
      </c>
      <c r="BQ14" s="31">
        <f t="shared" si="40"/>
        <v>3332.4463385478725</v>
      </c>
      <c r="BR14" s="18">
        <f t="shared" si="41"/>
        <v>0</v>
      </c>
      <c r="BS14" s="31">
        <f t="shared" si="42"/>
        <v>0</v>
      </c>
      <c r="BT14" s="31"/>
      <c r="BU14" s="33">
        <f>'[4]SÃO FRANCISCO'!BU14*'[3]SF I'!$X$4</f>
        <v>0</v>
      </c>
      <c r="BV14" s="37">
        <f t="shared" si="10"/>
        <v>-1</v>
      </c>
      <c r="BW14" s="36">
        <f>[1]SFI!$N14</f>
        <v>3332.4463385478725</v>
      </c>
      <c r="BX14" s="31">
        <f t="shared" si="43"/>
        <v>3332.4463385478725</v>
      </c>
      <c r="BY14" s="18">
        <f t="shared" si="44"/>
        <v>0</v>
      </c>
      <c r="BZ14" s="31">
        <f t="shared" si="45"/>
        <v>0</v>
      </c>
      <c r="CA14" s="31"/>
      <c r="CB14" s="33">
        <f>'[4]SÃO FRANCISCO'!CB14*'[3]SF I'!$X$4</f>
        <v>0</v>
      </c>
      <c r="CC14" s="37">
        <f t="shared" si="11"/>
        <v>-1</v>
      </c>
      <c r="CD14" s="36">
        <f>[1]SFI!$O14</f>
        <v>3332.4463385478725</v>
      </c>
      <c r="CE14" s="31">
        <f t="shared" si="46"/>
        <v>3332.4463385478725</v>
      </c>
      <c r="CF14" s="18">
        <f t="shared" si="47"/>
        <v>0</v>
      </c>
      <c r="CG14" s="31">
        <f t="shared" si="48"/>
        <v>0</v>
      </c>
      <c r="CH14" s="31"/>
      <c r="CI14" s="33">
        <f>'[4]SÃO FRANCISCO'!CI14*'[3]SF I'!$X$4</f>
        <v>0</v>
      </c>
      <c r="CJ14" s="37">
        <f t="shared" si="12"/>
        <v>-1</v>
      </c>
      <c r="CK14" s="36">
        <f>[1]SFI!$P14</f>
        <v>3332.4463385478725</v>
      </c>
      <c r="CL14" s="31">
        <f t="shared" si="49"/>
        <v>3332.4463385478725</v>
      </c>
      <c r="CM14" s="18">
        <f t="shared" si="50"/>
        <v>0</v>
      </c>
      <c r="CN14" s="31">
        <f t="shared" si="51"/>
        <v>0</v>
      </c>
      <c r="CO14" s="31"/>
      <c r="CP14" s="33">
        <f>'[4]SÃO FRANCISCO'!CP14*'[3]SF I'!$X$4</f>
        <v>0</v>
      </c>
      <c r="CQ14" s="37">
        <f t="shared" si="13"/>
        <v>-1</v>
      </c>
    </row>
    <row r="15" spans="1:99" s="26" customFormat="1" ht="16" customHeight="1" thickBot="1" x14ac:dyDescent="0.25">
      <c r="A15" s="38" t="s">
        <v>39</v>
      </c>
      <c r="B15" s="30">
        <f t="shared" si="0"/>
        <v>66106.876872813955</v>
      </c>
      <c r="C15" s="31">
        <f t="shared" si="0"/>
        <v>66106.876872813955</v>
      </c>
      <c r="D15" s="32">
        <f t="shared" si="0"/>
        <v>0</v>
      </c>
      <c r="E15" s="30">
        <f t="shared" si="14"/>
        <v>21893.293338970674</v>
      </c>
      <c r="F15" s="33">
        <f t="shared" si="14"/>
        <v>21893.293338970674</v>
      </c>
      <c r="G15" s="34">
        <f t="shared" si="14"/>
        <v>0</v>
      </c>
      <c r="H15" s="31">
        <f t="shared" si="1"/>
        <v>35864.363120564798</v>
      </c>
      <c r="I15" s="33">
        <f t="shared" si="1"/>
        <v>0</v>
      </c>
      <c r="J15" s="33">
        <f t="shared" si="1"/>
        <v>35864.363120564798</v>
      </c>
      <c r="K15" s="37">
        <f t="shared" si="15"/>
        <v>0.63814381716273028</v>
      </c>
      <c r="L15" s="36">
        <f>[1]SFI!$E15</f>
        <v>5473.3233347426685</v>
      </c>
      <c r="M15" s="40">
        <f t="shared" si="16"/>
        <v>5473.3233347426685</v>
      </c>
      <c r="N15" s="18">
        <f t="shared" si="17"/>
        <v>0</v>
      </c>
      <c r="O15" s="40">
        <f t="shared" si="18"/>
        <v>8695.2456223458921</v>
      </c>
      <c r="P15" s="40"/>
      <c r="Q15" s="115">
        <v>8695.2456223458921</v>
      </c>
      <c r="R15" s="37">
        <f t="shared" si="2"/>
        <v>0.58865922777695801</v>
      </c>
      <c r="S15" s="36">
        <f>[1]SFI!$F15</f>
        <v>5473.3233347426685</v>
      </c>
      <c r="T15" s="40">
        <f t="shared" si="19"/>
        <v>5473.3233347426685</v>
      </c>
      <c r="U15" s="18">
        <f t="shared" si="20"/>
        <v>0</v>
      </c>
      <c r="V15" s="40">
        <f t="shared" si="21"/>
        <v>1049.871814206329</v>
      </c>
      <c r="W15" s="40"/>
      <c r="X15" s="148">
        <f>'[4]SÃO FRANCISCO'!X15*'[3]SF I'!$X$4</f>
        <v>1049.871814206329</v>
      </c>
      <c r="Y15" s="37">
        <f t="shared" si="3"/>
        <v>-0.80818384919046826</v>
      </c>
      <c r="Z15" s="36">
        <f>[1]SFI!$G15</f>
        <v>5473.3233347426685</v>
      </c>
      <c r="AA15" s="40">
        <f t="shared" si="22"/>
        <v>5473.3233347426685</v>
      </c>
      <c r="AB15" s="18">
        <f t="shared" si="23"/>
        <v>0</v>
      </c>
      <c r="AC15" s="40">
        <f t="shared" si="24"/>
        <v>6661.9617813469176</v>
      </c>
      <c r="AD15" s="40"/>
      <c r="AE15" s="115">
        <f>'[4]SÃO FRANCISCO'!AE15*'[2]SF I'!$X$4</f>
        <v>6661.9617813469176</v>
      </c>
      <c r="AF15" s="37">
        <f t="shared" si="4"/>
        <v>0.21716941863441619</v>
      </c>
      <c r="AG15" s="36">
        <f>[1]SFI!$H15</f>
        <v>5473.3233347426685</v>
      </c>
      <c r="AH15" s="40">
        <f t="shared" si="25"/>
        <v>5473.3233347426685</v>
      </c>
      <c r="AI15" s="18">
        <f t="shared" si="26"/>
        <v>0</v>
      </c>
      <c r="AJ15" s="40">
        <f t="shared" si="27"/>
        <v>7839.6654058981949</v>
      </c>
      <c r="AK15" s="40"/>
      <c r="AL15" s="115">
        <f>'[4]SÃO FRANCISCO'!AL15*'[3]SF I'!$X$4</f>
        <v>7839.6654058981949</v>
      </c>
      <c r="AM15" s="37">
        <f t="shared" si="5"/>
        <v>0.43234099767774481</v>
      </c>
      <c r="AN15" s="36">
        <f>[1]SFI!$I15</f>
        <v>5473.3233347426685</v>
      </c>
      <c r="AO15" s="40">
        <f t="shared" si="28"/>
        <v>5473.3233347426685</v>
      </c>
      <c r="AP15" s="18">
        <f t="shared" si="29"/>
        <v>0</v>
      </c>
      <c r="AQ15" s="40">
        <f t="shared" si="30"/>
        <v>6310.6393202718336</v>
      </c>
      <c r="AR15" s="40"/>
      <c r="AS15" s="115">
        <v>6310.6393202718336</v>
      </c>
      <c r="AT15" s="37">
        <f t="shared" si="6"/>
        <v>0.15298127560164176</v>
      </c>
      <c r="AU15" s="36">
        <f>[1]SFI!$J15</f>
        <v>5473.3233347426685</v>
      </c>
      <c r="AV15" s="40">
        <f t="shared" si="31"/>
        <v>5473.3233347426685</v>
      </c>
      <c r="AW15" s="18">
        <f t="shared" si="32"/>
        <v>0</v>
      </c>
      <c r="AX15" s="40">
        <f t="shared" si="33"/>
        <v>5306.979176495629</v>
      </c>
      <c r="AY15" s="40"/>
      <c r="AZ15" s="116">
        <v>5306.979176495629</v>
      </c>
      <c r="BA15" s="37">
        <f t="shared" si="7"/>
        <v>-3.0391801849371292E-2</v>
      </c>
      <c r="BB15" s="36">
        <f>[1]SFI!$K15</f>
        <v>5900.3201906445793</v>
      </c>
      <c r="BC15" s="40">
        <f t="shared" si="34"/>
        <v>5900.3201906445793</v>
      </c>
      <c r="BD15" s="18">
        <f t="shared" si="35"/>
        <v>0</v>
      </c>
      <c r="BE15" s="40">
        <f t="shared" si="36"/>
        <v>0</v>
      </c>
      <c r="BF15" s="40"/>
      <c r="BG15" s="116">
        <f>'[4]SÃO FRANCISCO'!BG15*'[3]SF I'!$X$4</f>
        <v>0</v>
      </c>
      <c r="BH15" s="37">
        <f t="shared" si="8"/>
        <v>-1</v>
      </c>
      <c r="BI15" s="36">
        <f>[1]SFI!$L15</f>
        <v>5473.3233347426685</v>
      </c>
      <c r="BJ15" s="40">
        <f t="shared" si="37"/>
        <v>5473.3233347426685</v>
      </c>
      <c r="BK15" s="18">
        <f t="shared" si="38"/>
        <v>0</v>
      </c>
      <c r="BL15" s="40">
        <f t="shared" si="39"/>
        <v>0</v>
      </c>
      <c r="BM15" s="40"/>
      <c r="BN15" s="115">
        <f>'[4]SÃO FRANCISCO'!BN15*'[3]SF I'!$X$4</f>
        <v>0</v>
      </c>
      <c r="BO15" s="37">
        <f t="shared" si="9"/>
        <v>-1</v>
      </c>
      <c r="BP15" s="36">
        <f>[1]SFI!$M15</f>
        <v>5473.3233347426685</v>
      </c>
      <c r="BQ15" s="40">
        <f t="shared" si="40"/>
        <v>5473.3233347426685</v>
      </c>
      <c r="BR15" s="18">
        <f t="shared" si="41"/>
        <v>0</v>
      </c>
      <c r="BS15" s="40">
        <f t="shared" si="42"/>
        <v>0</v>
      </c>
      <c r="BT15" s="40"/>
      <c r="BU15" s="115">
        <f>'[4]SÃO FRANCISCO'!BU15*'[3]SF I'!$X$4</f>
        <v>0</v>
      </c>
      <c r="BV15" s="37">
        <f t="shared" si="10"/>
        <v>-1</v>
      </c>
      <c r="BW15" s="36">
        <f>[1]SFI!$N15</f>
        <v>5473.3233347426685</v>
      </c>
      <c r="BX15" s="40">
        <f t="shared" si="43"/>
        <v>5473.3233347426685</v>
      </c>
      <c r="BY15" s="18">
        <f t="shared" si="44"/>
        <v>0</v>
      </c>
      <c r="BZ15" s="40">
        <f t="shared" si="45"/>
        <v>0</v>
      </c>
      <c r="CA15" s="40"/>
      <c r="CB15" s="115">
        <f>'[4]SÃO FRANCISCO'!CB15*'[3]SF I'!$X$4</f>
        <v>0</v>
      </c>
      <c r="CC15" s="37">
        <f t="shared" si="11"/>
        <v>-1</v>
      </c>
      <c r="CD15" s="36">
        <f>[1]SFI!$O15</f>
        <v>5473.3233347426685</v>
      </c>
      <c r="CE15" s="40">
        <f t="shared" si="46"/>
        <v>5473.3233347426685</v>
      </c>
      <c r="CF15" s="18">
        <f t="shared" si="47"/>
        <v>0</v>
      </c>
      <c r="CG15" s="40">
        <f t="shared" si="48"/>
        <v>0</v>
      </c>
      <c r="CH15" s="40"/>
      <c r="CI15" s="115">
        <f>'[4]SÃO FRANCISCO'!CI15*'[3]SF I'!$X$4</f>
        <v>0</v>
      </c>
      <c r="CJ15" s="37">
        <f t="shared" si="12"/>
        <v>-1</v>
      </c>
      <c r="CK15" s="36">
        <f>[1]SFI!$P15</f>
        <v>5473.3233347426685</v>
      </c>
      <c r="CL15" s="40">
        <f t="shared" si="49"/>
        <v>5473.3233347426685</v>
      </c>
      <c r="CM15" s="18">
        <f t="shared" si="50"/>
        <v>0</v>
      </c>
      <c r="CN15" s="40">
        <f t="shared" si="51"/>
        <v>0</v>
      </c>
      <c r="CO15" s="40"/>
      <c r="CP15" s="115">
        <f>'[4]SÃO FRANCISCO'!CP15*'[3]SF I'!$X$4</f>
        <v>0</v>
      </c>
      <c r="CQ15" s="37">
        <f t="shared" si="13"/>
        <v>-1</v>
      </c>
    </row>
    <row r="16" spans="1:99" s="26" customFormat="1" ht="16" customHeight="1" thickBot="1" x14ac:dyDescent="0.25">
      <c r="A16" s="29" t="s">
        <v>40</v>
      </c>
      <c r="B16" s="30">
        <f t="shared" si="0"/>
        <v>16257.495099358117</v>
      </c>
      <c r="C16" s="31">
        <f t="shared" si="0"/>
        <v>16257.495099358117</v>
      </c>
      <c r="D16" s="32">
        <f t="shared" si="0"/>
        <v>0</v>
      </c>
      <c r="E16" s="30">
        <f t="shared" si="14"/>
        <v>5419.1650331193714</v>
      </c>
      <c r="F16" s="33">
        <f t="shared" si="14"/>
        <v>5419.1650331193714</v>
      </c>
      <c r="G16" s="34">
        <f t="shared" si="14"/>
        <v>0</v>
      </c>
      <c r="H16" s="31">
        <f t="shared" si="1"/>
        <v>6145.77202744445</v>
      </c>
      <c r="I16" s="33">
        <f t="shared" si="1"/>
        <v>0</v>
      </c>
      <c r="J16" s="33">
        <f t="shared" si="1"/>
        <v>6145.77202744445</v>
      </c>
      <c r="K16" s="37">
        <f t="shared" si="15"/>
        <v>0.13408098662513512</v>
      </c>
      <c r="L16" s="36">
        <f>[1]SFI!$E16</f>
        <v>1354.7912582798429</v>
      </c>
      <c r="M16" s="31">
        <f t="shared" si="16"/>
        <v>1354.7912582798429</v>
      </c>
      <c r="N16" s="18">
        <f t="shared" si="17"/>
        <v>0</v>
      </c>
      <c r="O16" s="31">
        <f t="shared" si="18"/>
        <v>1611.7723450505557</v>
      </c>
      <c r="P16" s="31"/>
      <c r="Q16" s="33">
        <v>1611.7723450505557</v>
      </c>
      <c r="R16" s="37">
        <f t="shared" si="2"/>
        <v>0.18968315982271511</v>
      </c>
      <c r="S16" s="36">
        <f>[1]SFI!$F16</f>
        <v>1354.7912582798429</v>
      </c>
      <c r="T16" s="31">
        <f t="shared" si="19"/>
        <v>1354.7912582798429</v>
      </c>
      <c r="U16" s="18">
        <f t="shared" si="20"/>
        <v>0</v>
      </c>
      <c r="V16" s="31">
        <f t="shared" si="21"/>
        <v>0</v>
      </c>
      <c r="W16" s="31"/>
      <c r="X16" s="147">
        <f>'[4]SÃO FRANCISCO'!X16*'[3]SF I'!$X$4</f>
        <v>0</v>
      </c>
      <c r="Y16" s="37">
        <f t="shared" si="3"/>
        <v>-1</v>
      </c>
      <c r="Z16" s="36">
        <f>[1]SFI!$G16</f>
        <v>1354.7912582798429</v>
      </c>
      <c r="AA16" s="31">
        <f t="shared" si="22"/>
        <v>1354.7912582798429</v>
      </c>
      <c r="AB16" s="18">
        <f t="shared" si="23"/>
        <v>0</v>
      </c>
      <c r="AC16" s="31">
        <f t="shared" si="24"/>
        <v>373.69336918286763</v>
      </c>
      <c r="AD16" s="31"/>
      <c r="AE16" s="33">
        <f>'[4]SÃO FRANCISCO'!AE16*'[2]SF I'!$X$4</f>
        <v>373.69336918286763</v>
      </c>
      <c r="AF16" s="37">
        <f t="shared" si="4"/>
        <v>-0.72416904309130237</v>
      </c>
      <c r="AG16" s="36">
        <f>[1]SFI!$H16</f>
        <v>1354.7912582798429</v>
      </c>
      <c r="AH16" s="31">
        <f t="shared" si="25"/>
        <v>1354.7912582798429</v>
      </c>
      <c r="AI16" s="18">
        <f t="shared" si="26"/>
        <v>0</v>
      </c>
      <c r="AJ16" s="31">
        <f t="shared" si="27"/>
        <v>1000.1880113746106</v>
      </c>
      <c r="AK16" s="31"/>
      <c r="AL16" s="33">
        <f>'[4]SÃO FRANCISCO'!AL16*'[3]SF I'!$X$4</f>
        <v>1000.1880113746106</v>
      </c>
      <c r="AM16" s="37">
        <f t="shared" si="5"/>
        <v>-0.26174013504889782</v>
      </c>
      <c r="AN16" s="36">
        <f>[1]SFI!$I16</f>
        <v>1354.7912582798429</v>
      </c>
      <c r="AO16" s="31">
        <f t="shared" si="28"/>
        <v>1354.7912582798429</v>
      </c>
      <c r="AP16" s="18">
        <f t="shared" si="29"/>
        <v>0</v>
      </c>
      <c r="AQ16" s="31">
        <f t="shared" si="30"/>
        <v>1444.7711296427169</v>
      </c>
      <c r="AR16" s="31"/>
      <c r="AS16" s="33">
        <v>1444.7711296427169</v>
      </c>
      <c r="AT16" s="37">
        <f t="shared" si="6"/>
        <v>6.6416040709562862E-2</v>
      </c>
      <c r="AU16" s="36">
        <f>[1]SFI!$J16</f>
        <v>1354.7912582798429</v>
      </c>
      <c r="AV16" s="31">
        <f t="shared" si="31"/>
        <v>1354.7912582798429</v>
      </c>
      <c r="AW16" s="18">
        <f t="shared" si="32"/>
        <v>0</v>
      </c>
      <c r="AX16" s="31">
        <f t="shared" si="33"/>
        <v>1715.3471721936992</v>
      </c>
      <c r="AY16" s="31"/>
      <c r="AZ16" s="33">
        <v>1715.3471721936992</v>
      </c>
      <c r="BA16" s="37">
        <f t="shared" si="7"/>
        <v>0.26613392410846259</v>
      </c>
      <c r="BB16" s="36">
        <f>[1]SFI!$K16</f>
        <v>1354.7912582798429</v>
      </c>
      <c r="BC16" s="31">
        <f t="shared" si="34"/>
        <v>1354.7912582798429</v>
      </c>
      <c r="BD16" s="18">
        <f t="shared" si="35"/>
        <v>0</v>
      </c>
      <c r="BE16" s="31">
        <f t="shared" si="36"/>
        <v>0</v>
      </c>
      <c r="BF16" s="31"/>
      <c r="BG16" s="33">
        <f>'[4]SÃO FRANCISCO'!BG16*'[3]SF I'!$X$4</f>
        <v>0</v>
      </c>
      <c r="BH16" s="37">
        <f t="shared" si="8"/>
        <v>-1</v>
      </c>
      <c r="BI16" s="36">
        <f>[1]SFI!$L16</f>
        <v>1354.7912582798429</v>
      </c>
      <c r="BJ16" s="31">
        <f t="shared" si="37"/>
        <v>1354.7912582798429</v>
      </c>
      <c r="BK16" s="18">
        <f t="shared" si="38"/>
        <v>0</v>
      </c>
      <c r="BL16" s="31">
        <f t="shared" si="39"/>
        <v>0</v>
      </c>
      <c r="BM16" s="31"/>
      <c r="BN16" s="33">
        <f>'[4]SÃO FRANCISCO'!BN16*'[3]SF I'!$X$4</f>
        <v>0</v>
      </c>
      <c r="BO16" s="37">
        <f t="shared" si="9"/>
        <v>-1</v>
      </c>
      <c r="BP16" s="36">
        <f>[1]SFI!$M16</f>
        <v>1354.7912582798429</v>
      </c>
      <c r="BQ16" s="31">
        <f t="shared" si="40"/>
        <v>1354.7912582798429</v>
      </c>
      <c r="BR16" s="18">
        <f t="shared" si="41"/>
        <v>0</v>
      </c>
      <c r="BS16" s="31">
        <f t="shared" si="42"/>
        <v>0</v>
      </c>
      <c r="BT16" s="31"/>
      <c r="BU16" s="33">
        <f>'[4]SÃO FRANCISCO'!BU16*'[3]SF I'!$X$4</f>
        <v>0</v>
      </c>
      <c r="BV16" s="37">
        <f t="shared" si="10"/>
        <v>-1</v>
      </c>
      <c r="BW16" s="36">
        <f>[1]SFI!$N16</f>
        <v>1354.7912582798429</v>
      </c>
      <c r="BX16" s="31">
        <f t="shared" si="43"/>
        <v>1354.7912582798429</v>
      </c>
      <c r="BY16" s="18">
        <f t="shared" si="44"/>
        <v>0</v>
      </c>
      <c r="BZ16" s="31">
        <f t="shared" si="45"/>
        <v>0</v>
      </c>
      <c r="CA16" s="31"/>
      <c r="CB16" s="33">
        <f>'[4]SÃO FRANCISCO'!CB16*'[3]SF I'!$X$4</f>
        <v>0</v>
      </c>
      <c r="CC16" s="37">
        <f t="shared" si="11"/>
        <v>-1</v>
      </c>
      <c r="CD16" s="36">
        <f>[1]SFI!$O16</f>
        <v>1354.7912582798429</v>
      </c>
      <c r="CE16" s="31">
        <f t="shared" si="46"/>
        <v>1354.7912582798429</v>
      </c>
      <c r="CF16" s="18">
        <f t="shared" si="47"/>
        <v>0</v>
      </c>
      <c r="CG16" s="31">
        <f t="shared" si="48"/>
        <v>0</v>
      </c>
      <c r="CH16" s="31"/>
      <c r="CI16" s="33">
        <f>'[4]SÃO FRANCISCO'!CI16*'[3]SF I'!$X$4</f>
        <v>0</v>
      </c>
      <c r="CJ16" s="37">
        <f t="shared" si="12"/>
        <v>-1</v>
      </c>
      <c r="CK16" s="36">
        <f>[1]SFI!$P16</f>
        <v>1354.7912582798429</v>
      </c>
      <c r="CL16" s="31">
        <f t="shared" si="49"/>
        <v>1354.7912582798429</v>
      </c>
      <c r="CM16" s="18">
        <f t="shared" si="50"/>
        <v>0</v>
      </c>
      <c r="CN16" s="31">
        <f t="shared" si="51"/>
        <v>0</v>
      </c>
      <c r="CO16" s="31"/>
      <c r="CP16" s="33">
        <f>'[4]SÃO FRANCISCO'!CP16*'[3]SF I'!$X$4</f>
        <v>0</v>
      </c>
      <c r="CQ16" s="37">
        <f t="shared" si="13"/>
        <v>-1</v>
      </c>
    </row>
    <row r="17" spans="1:95" s="26" customFormat="1" ht="16" customHeight="1" thickBot="1" x14ac:dyDescent="0.25">
      <c r="A17" s="38" t="s">
        <v>41</v>
      </c>
      <c r="B17" s="30">
        <f t="shared" si="0"/>
        <v>435656.84836837446</v>
      </c>
      <c r="C17" s="31">
        <f t="shared" si="0"/>
        <v>435656.84836837446</v>
      </c>
      <c r="D17" s="32">
        <f t="shared" si="0"/>
        <v>0</v>
      </c>
      <c r="E17" s="30">
        <f t="shared" si="14"/>
        <v>145218.94945612483</v>
      </c>
      <c r="F17" s="33">
        <f t="shared" si="14"/>
        <v>145218.94945612483</v>
      </c>
      <c r="G17" s="34">
        <f t="shared" si="14"/>
        <v>0</v>
      </c>
      <c r="H17" s="31">
        <f t="shared" si="1"/>
        <v>201010.24287750365</v>
      </c>
      <c r="I17" s="33">
        <f t="shared" si="1"/>
        <v>0</v>
      </c>
      <c r="J17" s="33">
        <f t="shared" si="1"/>
        <v>201010.24287750365</v>
      </c>
      <c r="K17" s="37">
        <f t="shared" si="15"/>
        <v>0.38418741927502453</v>
      </c>
      <c r="L17" s="36">
        <f>[1]SFI!$E17</f>
        <v>36304.737364031207</v>
      </c>
      <c r="M17" s="31">
        <f t="shared" si="16"/>
        <v>36304.737364031207</v>
      </c>
      <c r="N17" s="18">
        <f t="shared" si="17"/>
        <v>0</v>
      </c>
      <c r="O17" s="31">
        <f t="shared" si="18"/>
        <v>30879.45435916699</v>
      </c>
      <c r="P17" s="31"/>
      <c r="Q17" s="33">
        <v>30879.45435916699</v>
      </c>
      <c r="R17" s="37">
        <f t="shared" si="2"/>
        <v>-0.14943732963729683</v>
      </c>
      <c r="S17" s="36">
        <f>[1]SFI!$F17</f>
        <v>36304.737364031207</v>
      </c>
      <c r="T17" s="31">
        <f t="shared" si="19"/>
        <v>36304.737364031207</v>
      </c>
      <c r="U17" s="18">
        <f t="shared" si="20"/>
        <v>0</v>
      </c>
      <c r="V17" s="31">
        <f t="shared" si="21"/>
        <v>30706.785232411876</v>
      </c>
      <c r="W17" s="31"/>
      <c r="X17" s="147">
        <v>30706.785232411876</v>
      </c>
      <c r="Y17" s="37">
        <f t="shared" si="3"/>
        <v>-0.15419343419257137</v>
      </c>
      <c r="Z17" s="36">
        <f>[1]SFI!$G17</f>
        <v>36304.737364031207</v>
      </c>
      <c r="AA17" s="31">
        <f t="shared" si="22"/>
        <v>36304.737364031207</v>
      </c>
      <c r="AB17" s="18">
        <f t="shared" si="23"/>
        <v>0</v>
      </c>
      <c r="AC17" s="31">
        <f t="shared" si="24"/>
        <v>24743.689691945154</v>
      </c>
      <c r="AD17" s="31"/>
      <c r="AE17" s="27">
        <v>24743.689691945154</v>
      </c>
      <c r="AF17" s="37">
        <f t="shared" si="4"/>
        <v>-0.31844460286717624</v>
      </c>
      <c r="AG17" s="36">
        <f>[1]SFI!$H17</f>
        <v>36304.737364031207</v>
      </c>
      <c r="AH17" s="31">
        <f t="shared" si="25"/>
        <v>36304.737364031207</v>
      </c>
      <c r="AI17" s="18">
        <f t="shared" si="26"/>
        <v>0</v>
      </c>
      <c r="AJ17" s="31">
        <f t="shared" si="27"/>
        <v>32977.168949374747</v>
      </c>
      <c r="AK17" s="31"/>
      <c r="AL17" s="33">
        <v>32977.168949374747</v>
      </c>
      <c r="AM17" s="37">
        <f t="shared" si="5"/>
        <v>-9.1656589642574726E-2</v>
      </c>
      <c r="AN17" s="36">
        <f>[1]SFI!$I17</f>
        <v>36304.737364031207</v>
      </c>
      <c r="AO17" s="31">
        <f t="shared" si="28"/>
        <v>36304.737364031207</v>
      </c>
      <c r="AP17" s="18">
        <f t="shared" si="29"/>
        <v>0</v>
      </c>
      <c r="AQ17" s="31">
        <f t="shared" si="30"/>
        <v>35297.228810101966</v>
      </c>
      <c r="AR17" s="31"/>
      <c r="AS17" s="33">
        <v>35297.228810101966</v>
      </c>
      <c r="AT17" s="37">
        <f t="shared" si="6"/>
        <v>-2.7751434856196688E-2</v>
      </c>
      <c r="AU17" s="36">
        <f>[1]SFI!$J17</f>
        <v>36304.737364031207</v>
      </c>
      <c r="AV17" s="31">
        <f t="shared" si="31"/>
        <v>36304.737364031207</v>
      </c>
      <c r="AW17" s="18">
        <f t="shared" si="32"/>
        <v>0</v>
      </c>
      <c r="AX17" s="31">
        <f t="shared" si="33"/>
        <v>46405.915834502935</v>
      </c>
      <c r="AY17" s="31"/>
      <c r="AZ17" s="27">
        <v>46405.915834502935</v>
      </c>
      <c r="BA17" s="37">
        <f t="shared" si="7"/>
        <v>0.27823306829591443</v>
      </c>
      <c r="BB17" s="36">
        <f>[1]SFI!$K17</f>
        <v>36304.737364031207</v>
      </c>
      <c r="BC17" s="31">
        <f t="shared" si="34"/>
        <v>36304.737364031207</v>
      </c>
      <c r="BD17" s="18">
        <f t="shared" si="35"/>
        <v>0</v>
      </c>
      <c r="BE17" s="31">
        <f t="shared" si="36"/>
        <v>0</v>
      </c>
      <c r="BF17" s="31"/>
      <c r="BG17" s="27"/>
      <c r="BH17" s="37">
        <f t="shared" si="8"/>
        <v>-1</v>
      </c>
      <c r="BI17" s="36">
        <f>[1]SFI!$L17</f>
        <v>36304.737364031207</v>
      </c>
      <c r="BJ17" s="31">
        <f t="shared" si="37"/>
        <v>36304.737364031207</v>
      </c>
      <c r="BK17" s="18">
        <f t="shared" si="38"/>
        <v>0</v>
      </c>
      <c r="BL17" s="31">
        <f t="shared" si="39"/>
        <v>0</v>
      </c>
      <c r="BM17" s="31"/>
      <c r="BN17" s="33"/>
      <c r="BO17" s="37">
        <f t="shared" si="9"/>
        <v>-1</v>
      </c>
      <c r="BP17" s="36">
        <f>[1]SFI!$M17</f>
        <v>36304.737364031207</v>
      </c>
      <c r="BQ17" s="31">
        <f t="shared" si="40"/>
        <v>36304.737364031207</v>
      </c>
      <c r="BR17" s="18">
        <f t="shared" si="41"/>
        <v>0</v>
      </c>
      <c r="BS17" s="31">
        <f t="shared" si="42"/>
        <v>0</v>
      </c>
      <c r="BT17" s="31"/>
      <c r="BU17" s="33"/>
      <c r="BV17" s="37">
        <f t="shared" si="10"/>
        <v>-1</v>
      </c>
      <c r="BW17" s="36">
        <f>[1]SFI!$N17</f>
        <v>36304.737364031207</v>
      </c>
      <c r="BX17" s="31">
        <f t="shared" si="43"/>
        <v>36304.737364031207</v>
      </c>
      <c r="BY17" s="18">
        <f t="shared" si="44"/>
        <v>0</v>
      </c>
      <c r="BZ17" s="31">
        <f t="shared" si="45"/>
        <v>0</v>
      </c>
      <c r="CA17" s="31"/>
      <c r="CB17" s="33"/>
      <c r="CC17" s="37">
        <f t="shared" si="11"/>
        <v>-1</v>
      </c>
      <c r="CD17" s="36">
        <f>[1]SFI!$O17</f>
        <v>36304.737364031207</v>
      </c>
      <c r="CE17" s="31">
        <f t="shared" si="46"/>
        <v>36304.737364031207</v>
      </c>
      <c r="CF17" s="18">
        <f t="shared" si="47"/>
        <v>0</v>
      </c>
      <c r="CG17" s="31">
        <f t="shared" si="48"/>
        <v>0</v>
      </c>
      <c r="CH17" s="31"/>
      <c r="CI17" s="33"/>
      <c r="CJ17" s="37">
        <f t="shared" si="12"/>
        <v>-1</v>
      </c>
      <c r="CK17" s="36">
        <f>[1]SFI!$P17</f>
        <v>36304.737364031207</v>
      </c>
      <c r="CL17" s="31">
        <f t="shared" si="49"/>
        <v>36304.737364031207</v>
      </c>
      <c r="CM17" s="18">
        <f t="shared" si="50"/>
        <v>0</v>
      </c>
      <c r="CN17" s="31">
        <f t="shared" si="51"/>
        <v>0</v>
      </c>
      <c r="CO17" s="31"/>
      <c r="CP17" s="33"/>
      <c r="CQ17" s="37">
        <f t="shared" si="13"/>
        <v>-1</v>
      </c>
    </row>
    <row r="18" spans="1:95" s="26" customFormat="1" ht="16" customHeight="1" thickBot="1" x14ac:dyDescent="0.25">
      <c r="A18" s="38" t="s">
        <v>42</v>
      </c>
      <c r="B18" s="30">
        <f t="shared" si="0"/>
        <v>57669.787169927331</v>
      </c>
      <c r="C18" s="31">
        <f t="shared" si="0"/>
        <v>57669.787169927331</v>
      </c>
      <c r="D18" s="32">
        <f t="shared" si="0"/>
        <v>0</v>
      </c>
      <c r="E18" s="30">
        <f t="shared" si="14"/>
        <v>19223.262389975782</v>
      </c>
      <c r="F18" s="33">
        <f t="shared" si="14"/>
        <v>19223.262389975782</v>
      </c>
      <c r="G18" s="34">
        <f t="shared" si="14"/>
        <v>0</v>
      </c>
      <c r="H18" s="31">
        <f t="shared" si="1"/>
        <v>23865.454899170254</v>
      </c>
      <c r="I18" s="33">
        <f t="shared" si="1"/>
        <v>0</v>
      </c>
      <c r="J18" s="33">
        <f t="shared" si="1"/>
        <v>23865.454899170254</v>
      </c>
      <c r="K18" s="37">
        <f t="shared" si="15"/>
        <v>0.24148827680858176</v>
      </c>
      <c r="L18" s="36">
        <f>[1]SFI!$E18</f>
        <v>4805.8155974939455</v>
      </c>
      <c r="M18" s="31">
        <f t="shared" si="16"/>
        <v>4805.8155974939455</v>
      </c>
      <c r="N18" s="18">
        <f t="shared" si="17"/>
        <v>0</v>
      </c>
      <c r="O18" s="31">
        <f t="shared" si="18"/>
        <v>0</v>
      </c>
      <c r="P18" s="31"/>
      <c r="Q18" s="33">
        <v>0</v>
      </c>
      <c r="R18" s="37">
        <f t="shared" si="2"/>
        <v>-1</v>
      </c>
      <c r="S18" s="36">
        <f>[1]SFI!$F18</f>
        <v>4805.8155974939455</v>
      </c>
      <c r="T18" s="31">
        <f t="shared" si="19"/>
        <v>4805.8155974939455</v>
      </c>
      <c r="U18" s="18">
        <f t="shared" si="20"/>
        <v>0</v>
      </c>
      <c r="V18" s="31">
        <f t="shared" si="21"/>
        <v>0</v>
      </c>
      <c r="W18" s="31"/>
      <c r="X18" s="147">
        <v>0</v>
      </c>
      <c r="Y18" s="37">
        <f t="shared" si="3"/>
        <v>-1</v>
      </c>
      <c r="Z18" s="36">
        <f>[1]SFI!$G18</f>
        <v>4805.8155974939455</v>
      </c>
      <c r="AA18" s="31">
        <f t="shared" si="22"/>
        <v>4805.8155974939455</v>
      </c>
      <c r="AB18" s="18">
        <f t="shared" si="23"/>
        <v>0</v>
      </c>
      <c r="AC18" s="31">
        <f t="shared" si="24"/>
        <v>7277.3434141083926</v>
      </c>
      <c r="AD18" s="31"/>
      <c r="AE18" s="27">
        <v>7277.3434141083926</v>
      </c>
      <c r="AF18" s="37">
        <f t="shared" si="4"/>
        <v>0.5142785374252099</v>
      </c>
      <c r="AG18" s="36">
        <f>[1]SFI!$H18</f>
        <v>4805.8155974939455</v>
      </c>
      <c r="AH18" s="31">
        <f t="shared" si="25"/>
        <v>4805.8155974939455</v>
      </c>
      <c r="AI18" s="18">
        <f t="shared" si="26"/>
        <v>0</v>
      </c>
      <c r="AJ18" s="31">
        <f t="shared" si="27"/>
        <v>2603.3599353362192</v>
      </c>
      <c r="AK18" s="31"/>
      <c r="AL18" s="33">
        <v>2603.3599353362192</v>
      </c>
      <c r="AM18" s="37">
        <f t="shared" si="5"/>
        <v>-0.45828967372493967</v>
      </c>
      <c r="AN18" s="36">
        <f>[1]SFI!$I18</f>
        <v>4805.8155974939455</v>
      </c>
      <c r="AO18" s="31">
        <f t="shared" si="28"/>
        <v>4805.8155974939455</v>
      </c>
      <c r="AP18" s="18">
        <f t="shared" si="29"/>
        <v>0</v>
      </c>
      <c r="AQ18" s="31">
        <f t="shared" si="30"/>
        <v>0</v>
      </c>
      <c r="AR18" s="31"/>
      <c r="AS18" s="33">
        <v>0</v>
      </c>
      <c r="AT18" s="37">
        <f t="shared" si="6"/>
        <v>-1</v>
      </c>
      <c r="AU18" s="36">
        <f>[1]SFI!$J18</f>
        <v>4805.8155974939455</v>
      </c>
      <c r="AV18" s="31">
        <f t="shared" si="31"/>
        <v>4805.8155974939455</v>
      </c>
      <c r="AW18" s="18">
        <f t="shared" si="32"/>
        <v>0</v>
      </c>
      <c r="AX18" s="31">
        <f t="shared" si="33"/>
        <v>13984.751549725643</v>
      </c>
      <c r="AY18" s="31"/>
      <c r="AZ18" s="27">
        <v>13984.751549725643</v>
      </c>
      <c r="BA18" s="37">
        <f t="shared" si="7"/>
        <v>1.9099642435340574</v>
      </c>
      <c r="BB18" s="36">
        <f>[1]SFI!$K18</f>
        <v>4805.8155974939455</v>
      </c>
      <c r="BC18" s="31">
        <f t="shared" si="34"/>
        <v>4805.8155974939455</v>
      </c>
      <c r="BD18" s="18">
        <f t="shared" si="35"/>
        <v>0</v>
      </c>
      <c r="BE18" s="31">
        <f t="shared" si="36"/>
        <v>0</v>
      </c>
      <c r="BF18" s="31"/>
      <c r="BG18" s="27"/>
      <c r="BH18" s="37">
        <f t="shared" si="8"/>
        <v>-1</v>
      </c>
      <c r="BI18" s="36">
        <f>[1]SFI!$L18</f>
        <v>4805.8155974939455</v>
      </c>
      <c r="BJ18" s="31">
        <f t="shared" si="37"/>
        <v>4805.8155974939455</v>
      </c>
      <c r="BK18" s="18">
        <f t="shared" si="38"/>
        <v>0</v>
      </c>
      <c r="BL18" s="31">
        <f t="shared" si="39"/>
        <v>0</v>
      </c>
      <c r="BM18" s="31"/>
      <c r="BN18" s="33"/>
      <c r="BO18" s="37">
        <f t="shared" si="9"/>
        <v>-1</v>
      </c>
      <c r="BP18" s="36">
        <f>[1]SFI!$M18</f>
        <v>4805.8155974939455</v>
      </c>
      <c r="BQ18" s="31">
        <f t="shared" si="40"/>
        <v>4805.8155974939455</v>
      </c>
      <c r="BR18" s="18">
        <f t="shared" si="41"/>
        <v>0</v>
      </c>
      <c r="BS18" s="31">
        <f t="shared" si="42"/>
        <v>0</v>
      </c>
      <c r="BT18" s="31"/>
      <c r="BU18" s="33"/>
      <c r="BV18" s="37">
        <f t="shared" si="10"/>
        <v>-1</v>
      </c>
      <c r="BW18" s="36">
        <f>[1]SFI!$N18</f>
        <v>4805.8155974939455</v>
      </c>
      <c r="BX18" s="31">
        <f t="shared" si="43"/>
        <v>4805.8155974939455</v>
      </c>
      <c r="BY18" s="18">
        <f t="shared" si="44"/>
        <v>0</v>
      </c>
      <c r="BZ18" s="31">
        <f t="shared" si="45"/>
        <v>0</v>
      </c>
      <c r="CA18" s="31"/>
      <c r="CB18" s="33"/>
      <c r="CC18" s="37">
        <f t="shared" si="11"/>
        <v>-1</v>
      </c>
      <c r="CD18" s="36">
        <f>[1]SFI!$O18</f>
        <v>4805.8155974939455</v>
      </c>
      <c r="CE18" s="31">
        <f t="shared" si="46"/>
        <v>4805.8155974939455</v>
      </c>
      <c r="CF18" s="18">
        <f t="shared" si="47"/>
        <v>0</v>
      </c>
      <c r="CG18" s="31">
        <f t="shared" si="48"/>
        <v>0</v>
      </c>
      <c r="CH18" s="31"/>
      <c r="CI18" s="33"/>
      <c r="CJ18" s="37">
        <f t="shared" si="12"/>
        <v>-1</v>
      </c>
      <c r="CK18" s="36">
        <f>[1]SFI!$P18</f>
        <v>4805.8155974939455</v>
      </c>
      <c r="CL18" s="31">
        <f t="shared" si="49"/>
        <v>4805.8155974939455</v>
      </c>
      <c r="CM18" s="18">
        <f t="shared" si="50"/>
        <v>0</v>
      </c>
      <c r="CN18" s="31">
        <f t="shared" si="51"/>
        <v>0</v>
      </c>
      <c r="CO18" s="31"/>
      <c r="CP18" s="33"/>
      <c r="CQ18" s="37">
        <f t="shared" si="13"/>
        <v>-1</v>
      </c>
    </row>
    <row r="19" spans="1:95" s="26" customFormat="1" ht="16" customHeight="1" thickBot="1" x14ac:dyDescent="0.25">
      <c r="A19" s="38" t="s">
        <v>43</v>
      </c>
      <c r="B19" s="30">
        <f t="shared" si="0"/>
        <v>25011.530922089409</v>
      </c>
      <c r="C19" s="31">
        <f t="shared" si="0"/>
        <v>25011.530922089409</v>
      </c>
      <c r="D19" s="32">
        <f t="shared" si="0"/>
        <v>0</v>
      </c>
      <c r="E19" s="30">
        <f t="shared" si="14"/>
        <v>8337.1769740298005</v>
      </c>
      <c r="F19" s="33">
        <f t="shared" si="14"/>
        <v>8337.1769740298005</v>
      </c>
      <c r="G19" s="34">
        <f t="shared" si="14"/>
        <v>0</v>
      </c>
      <c r="H19" s="31">
        <f t="shared" si="1"/>
        <v>20393.895425705596</v>
      </c>
      <c r="I19" s="33">
        <f t="shared" si="1"/>
        <v>0</v>
      </c>
      <c r="J19" s="33">
        <f t="shared" si="1"/>
        <v>20393.895425705596</v>
      </c>
      <c r="K19" s="37">
        <f t="shared" si="15"/>
        <v>1.4461392014625956</v>
      </c>
      <c r="L19" s="36">
        <f>[1]SFI!$E19</f>
        <v>2084.2942435074501</v>
      </c>
      <c r="M19" s="31">
        <f t="shared" si="16"/>
        <v>2084.2942435074501</v>
      </c>
      <c r="N19" s="18">
        <f t="shared" si="17"/>
        <v>0</v>
      </c>
      <c r="O19" s="31">
        <f t="shared" si="18"/>
        <v>3000.7727338119785</v>
      </c>
      <c r="P19" s="31"/>
      <c r="Q19" s="33">
        <v>3000.7727338119785</v>
      </c>
      <c r="R19" s="37">
        <f t="shared" si="2"/>
        <v>0.4397068663214645</v>
      </c>
      <c r="S19" s="36">
        <f>[1]SFI!$F19</f>
        <v>2084.2942435074501</v>
      </c>
      <c r="T19" s="31">
        <f t="shared" si="19"/>
        <v>2084.2942435074501</v>
      </c>
      <c r="U19" s="18">
        <f t="shared" si="20"/>
        <v>0</v>
      </c>
      <c r="V19" s="31">
        <f t="shared" si="21"/>
        <v>3733.0360356808096</v>
      </c>
      <c r="W19" s="31"/>
      <c r="X19" s="147">
        <v>3733.0360356808096</v>
      </c>
      <c r="Y19" s="37">
        <f t="shared" si="3"/>
        <v>0.79103120747426581</v>
      </c>
      <c r="Z19" s="36">
        <f>[1]SFI!$G19</f>
        <v>2084.2942435074501</v>
      </c>
      <c r="AA19" s="31">
        <f t="shared" si="22"/>
        <v>2084.2942435074501</v>
      </c>
      <c r="AB19" s="18">
        <f t="shared" si="23"/>
        <v>0</v>
      </c>
      <c r="AC19" s="31">
        <f t="shared" si="24"/>
        <v>2504.9220032691246</v>
      </c>
      <c r="AD19" s="31"/>
      <c r="AE19" s="27">
        <v>2504.9220032691246</v>
      </c>
      <c r="AF19" s="37">
        <f t="shared" si="4"/>
        <v>0.20180824328039315</v>
      </c>
      <c r="AG19" s="36">
        <f>[1]SFI!$H19</f>
        <v>2084.2942435074501</v>
      </c>
      <c r="AH19" s="31">
        <f t="shared" si="25"/>
        <v>2084.2942435074501</v>
      </c>
      <c r="AI19" s="18">
        <f t="shared" si="26"/>
        <v>0</v>
      </c>
      <c r="AJ19" s="31">
        <f t="shared" si="27"/>
        <v>3406.5928828357887</v>
      </c>
      <c r="AK19" s="31"/>
      <c r="AL19" s="33">
        <v>3406.5928828357887</v>
      </c>
      <c r="AM19" s="37">
        <f t="shared" si="5"/>
        <v>0.63441073324809194</v>
      </c>
      <c r="AN19" s="36">
        <f>[1]SFI!$I19</f>
        <v>2084.2942435074501</v>
      </c>
      <c r="AO19" s="31">
        <f t="shared" si="28"/>
        <v>2084.2942435074501</v>
      </c>
      <c r="AP19" s="18">
        <f t="shared" si="29"/>
        <v>0</v>
      </c>
      <c r="AQ19" s="31">
        <f t="shared" si="30"/>
        <v>3135.5358344760671</v>
      </c>
      <c r="AR19" s="31"/>
      <c r="AS19" s="33">
        <v>3135.5358344760671</v>
      </c>
      <c r="AT19" s="37">
        <f t="shared" si="6"/>
        <v>0.50436333269317468</v>
      </c>
      <c r="AU19" s="36">
        <f>[1]SFI!$J19</f>
        <v>2084.2942435074501</v>
      </c>
      <c r="AV19" s="31">
        <f t="shared" si="31"/>
        <v>2084.2942435074501</v>
      </c>
      <c r="AW19" s="18">
        <f t="shared" si="32"/>
        <v>0</v>
      </c>
      <c r="AX19" s="31">
        <f t="shared" si="33"/>
        <v>4613.0359356318286</v>
      </c>
      <c r="AY19" s="31"/>
      <c r="AZ19" s="27">
        <v>4613.0359356318286</v>
      </c>
      <c r="BA19" s="37">
        <f t="shared" si="7"/>
        <v>1.2132364228329933</v>
      </c>
      <c r="BB19" s="36">
        <f>[1]SFI!$K19</f>
        <v>2084.2942435074501</v>
      </c>
      <c r="BC19" s="31">
        <f t="shared" si="34"/>
        <v>2084.2942435074501</v>
      </c>
      <c r="BD19" s="18">
        <f t="shared" si="35"/>
        <v>0</v>
      </c>
      <c r="BE19" s="31">
        <f t="shared" si="36"/>
        <v>0</v>
      </c>
      <c r="BF19" s="31"/>
      <c r="BG19" s="27"/>
      <c r="BH19" s="37">
        <f t="shared" si="8"/>
        <v>-1</v>
      </c>
      <c r="BI19" s="36">
        <f>[1]SFI!$L19</f>
        <v>2084.2942435074501</v>
      </c>
      <c r="BJ19" s="31">
        <f t="shared" si="37"/>
        <v>2084.2942435074501</v>
      </c>
      <c r="BK19" s="18">
        <f t="shared" si="38"/>
        <v>0</v>
      </c>
      <c r="BL19" s="31">
        <f t="shared" si="39"/>
        <v>0</v>
      </c>
      <c r="BM19" s="31"/>
      <c r="BN19" s="33"/>
      <c r="BO19" s="37">
        <f t="shared" si="9"/>
        <v>-1</v>
      </c>
      <c r="BP19" s="36">
        <f>[1]SFI!$M19</f>
        <v>2084.2942435074501</v>
      </c>
      <c r="BQ19" s="31">
        <f t="shared" si="40"/>
        <v>2084.2942435074501</v>
      </c>
      <c r="BR19" s="18">
        <f t="shared" si="41"/>
        <v>0</v>
      </c>
      <c r="BS19" s="31">
        <f t="shared" si="42"/>
        <v>0</v>
      </c>
      <c r="BT19" s="31"/>
      <c r="BU19" s="33"/>
      <c r="BV19" s="37">
        <f t="shared" si="10"/>
        <v>-1</v>
      </c>
      <c r="BW19" s="36">
        <f>[1]SFI!$N19</f>
        <v>2084.2942435074501</v>
      </c>
      <c r="BX19" s="31">
        <f t="shared" si="43"/>
        <v>2084.2942435074501</v>
      </c>
      <c r="BY19" s="18">
        <f t="shared" si="44"/>
        <v>0</v>
      </c>
      <c r="BZ19" s="31">
        <f t="shared" si="45"/>
        <v>0</v>
      </c>
      <c r="CA19" s="31"/>
      <c r="CB19" s="33"/>
      <c r="CC19" s="37">
        <f t="shared" si="11"/>
        <v>-1</v>
      </c>
      <c r="CD19" s="36">
        <f>[1]SFI!$O19</f>
        <v>2084.2942435074501</v>
      </c>
      <c r="CE19" s="31">
        <f t="shared" si="46"/>
        <v>2084.2942435074501</v>
      </c>
      <c r="CF19" s="18">
        <f t="shared" si="47"/>
        <v>0</v>
      </c>
      <c r="CG19" s="31">
        <f t="shared" si="48"/>
        <v>0</v>
      </c>
      <c r="CH19" s="31"/>
      <c r="CI19" s="33"/>
      <c r="CJ19" s="37">
        <f t="shared" si="12"/>
        <v>-1</v>
      </c>
      <c r="CK19" s="36">
        <f>[1]SFI!$P19</f>
        <v>2084.2942435074501</v>
      </c>
      <c r="CL19" s="31">
        <f t="shared" si="49"/>
        <v>2084.2942435074501</v>
      </c>
      <c r="CM19" s="18">
        <f t="shared" si="50"/>
        <v>0</v>
      </c>
      <c r="CN19" s="31">
        <f t="shared" si="51"/>
        <v>0</v>
      </c>
      <c r="CO19" s="31"/>
      <c r="CP19" s="33"/>
      <c r="CQ19" s="37">
        <f t="shared" si="13"/>
        <v>-1</v>
      </c>
    </row>
    <row r="20" spans="1:95" s="26" customFormat="1" ht="16" customHeight="1" thickBot="1" x14ac:dyDescent="0.25">
      <c r="A20" s="29" t="s">
        <v>44</v>
      </c>
      <c r="B20" s="30">
        <f t="shared" si="0"/>
        <v>362881.02047999908</v>
      </c>
      <c r="C20" s="31">
        <f t="shared" si="0"/>
        <v>362881.02047999908</v>
      </c>
      <c r="D20" s="32">
        <f t="shared" si="0"/>
        <v>0</v>
      </c>
      <c r="E20" s="30">
        <f t="shared" si="14"/>
        <v>147644.26047999901</v>
      </c>
      <c r="F20" s="33">
        <f t="shared" si="14"/>
        <v>147644.26047999901</v>
      </c>
      <c r="G20" s="34">
        <f t="shared" si="14"/>
        <v>0</v>
      </c>
      <c r="H20" s="31">
        <f t="shared" si="1"/>
        <v>201433.52546476884</v>
      </c>
      <c r="I20" s="33">
        <f t="shared" si="1"/>
        <v>0</v>
      </c>
      <c r="J20" s="33">
        <f t="shared" si="1"/>
        <v>201433.52546476884</v>
      </c>
      <c r="K20" s="37">
        <f t="shared" si="15"/>
        <v>0.36431666771128257</v>
      </c>
      <c r="L20" s="36">
        <f>[1]SFI!$E20</f>
        <v>0</v>
      </c>
      <c r="M20" s="31">
        <f t="shared" si="16"/>
        <v>0</v>
      </c>
      <c r="N20" s="18">
        <f t="shared" si="17"/>
        <v>0</v>
      </c>
      <c r="O20" s="31">
        <f t="shared" si="18"/>
        <v>16814.400000000001</v>
      </c>
      <c r="P20" s="31"/>
      <c r="Q20" s="33">
        <v>16814.400000000001</v>
      </c>
      <c r="R20" s="37" t="str">
        <f t="shared" si="2"/>
        <v/>
      </c>
      <c r="S20" s="36">
        <f>[1]SFI!$F20</f>
        <v>0</v>
      </c>
      <c r="T20" s="31">
        <f t="shared" si="19"/>
        <v>0</v>
      </c>
      <c r="U20" s="18">
        <f t="shared" si="20"/>
        <v>0</v>
      </c>
      <c r="V20" s="31">
        <f t="shared" si="21"/>
        <v>4308.99</v>
      </c>
      <c r="W20" s="31"/>
      <c r="X20" s="147">
        <v>4308.99</v>
      </c>
      <c r="Y20" s="37" t="str">
        <f t="shared" si="3"/>
        <v/>
      </c>
      <c r="Z20" s="36">
        <f>[1]SFI!$G20</f>
        <v>147644.26047999901</v>
      </c>
      <c r="AA20" s="31">
        <f t="shared" si="22"/>
        <v>147644.26047999901</v>
      </c>
      <c r="AB20" s="18">
        <f t="shared" si="23"/>
        <v>0</v>
      </c>
      <c r="AC20" s="31">
        <f t="shared" si="24"/>
        <v>46719.430000000008</v>
      </c>
      <c r="AD20" s="31"/>
      <c r="AE20" s="27">
        <v>46719.430000000008</v>
      </c>
      <c r="AF20" s="37">
        <f t="shared" si="4"/>
        <v>-0.68356758435368392</v>
      </c>
      <c r="AG20" s="36">
        <f>[1]SFI!$H20</f>
        <v>0</v>
      </c>
      <c r="AH20" s="31">
        <f t="shared" si="25"/>
        <v>0</v>
      </c>
      <c r="AI20" s="18">
        <f t="shared" si="26"/>
        <v>0</v>
      </c>
      <c r="AJ20" s="31">
        <f t="shared" si="27"/>
        <v>64339.595464768805</v>
      </c>
      <c r="AK20" s="31"/>
      <c r="AL20" s="33">
        <v>64339.595464768805</v>
      </c>
      <c r="AM20" s="37" t="str">
        <f t="shared" si="5"/>
        <v/>
      </c>
      <c r="AN20" s="36">
        <f>[1]SFI!$I20</f>
        <v>4984.0624399999997</v>
      </c>
      <c r="AO20" s="31">
        <f t="shared" si="28"/>
        <v>4984.0624399999997</v>
      </c>
      <c r="AP20" s="18">
        <f t="shared" si="29"/>
        <v>0</v>
      </c>
      <c r="AQ20" s="31">
        <f t="shared" si="30"/>
        <v>19357.619999999995</v>
      </c>
      <c r="AR20" s="31"/>
      <c r="AS20" s="33">
        <v>19357.619999999995</v>
      </c>
      <c r="AT20" s="37">
        <f t="shared" si="6"/>
        <v>2.8839039905768109</v>
      </c>
      <c r="AU20" s="36">
        <f>[1]SFI!$J20</f>
        <v>4984.0624399999997</v>
      </c>
      <c r="AV20" s="31">
        <f t="shared" si="31"/>
        <v>4984.0624399999997</v>
      </c>
      <c r="AW20" s="18">
        <f t="shared" si="32"/>
        <v>0</v>
      </c>
      <c r="AX20" s="31">
        <f t="shared" si="33"/>
        <v>49893.49000000002</v>
      </c>
      <c r="AY20" s="31"/>
      <c r="AZ20" s="27">
        <v>49893.49000000002</v>
      </c>
      <c r="BA20" s="37">
        <f t="shared" si="7"/>
        <v>9.0106069297157561</v>
      </c>
      <c r="BB20" s="36">
        <f>[1]SFI!$K20</f>
        <v>81896.062439999994</v>
      </c>
      <c r="BC20" s="31">
        <f t="shared" si="34"/>
        <v>81896.062439999994</v>
      </c>
      <c r="BD20" s="18">
        <f t="shared" si="35"/>
        <v>0</v>
      </c>
      <c r="BE20" s="31">
        <f t="shared" si="36"/>
        <v>0</v>
      </c>
      <c r="BF20" s="31"/>
      <c r="BG20" s="27"/>
      <c r="BH20" s="37">
        <f t="shared" si="8"/>
        <v>-1</v>
      </c>
      <c r="BI20" s="36">
        <f>[1]SFI!$L20</f>
        <v>12103.322920000001</v>
      </c>
      <c r="BJ20" s="31">
        <f t="shared" si="37"/>
        <v>12103.322920000001</v>
      </c>
      <c r="BK20" s="18">
        <f t="shared" si="38"/>
        <v>0</v>
      </c>
      <c r="BL20" s="31">
        <f t="shared" si="39"/>
        <v>0</v>
      </c>
      <c r="BM20" s="31"/>
      <c r="BN20" s="33"/>
      <c r="BO20" s="37">
        <f t="shared" si="9"/>
        <v>-1</v>
      </c>
      <c r="BP20" s="36">
        <f>[1]SFI!$M20</f>
        <v>96317.062439999994</v>
      </c>
      <c r="BQ20" s="31">
        <f t="shared" si="40"/>
        <v>96317.062439999994</v>
      </c>
      <c r="BR20" s="18">
        <f t="shared" si="41"/>
        <v>0</v>
      </c>
      <c r="BS20" s="31">
        <f t="shared" si="42"/>
        <v>0</v>
      </c>
      <c r="BT20" s="31"/>
      <c r="BU20" s="33"/>
      <c r="BV20" s="37">
        <f t="shared" si="10"/>
        <v>-1</v>
      </c>
      <c r="BW20" s="36">
        <f>[1]SFI!$N20</f>
        <v>4984.0624399999997</v>
      </c>
      <c r="BX20" s="31">
        <f t="shared" si="43"/>
        <v>4984.0624399999997</v>
      </c>
      <c r="BY20" s="18">
        <f t="shared" si="44"/>
        <v>0</v>
      </c>
      <c r="BZ20" s="31">
        <f t="shared" si="45"/>
        <v>0</v>
      </c>
      <c r="CA20" s="31"/>
      <c r="CB20" s="33"/>
      <c r="CC20" s="37">
        <f t="shared" si="11"/>
        <v>-1</v>
      </c>
      <c r="CD20" s="36">
        <f>[1]SFI!$O20</f>
        <v>4984.0624399999997</v>
      </c>
      <c r="CE20" s="31">
        <f t="shared" si="46"/>
        <v>4984.0624399999997</v>
      </c>
      <c r="CF20" s="18">
        <f t="shared" si="47"/>
        <v>0</v>
      </c>
      <c r="CG20" s="31">
        <f t="shared" si="48"/>
        <v>0</v>
      </c>
      <c r="CH20" s="31"/>
      <c r="CI20" s="33"/>
      <c r="CJ20" s="37">
        <f t="shared" si="12"/>
        <v>-1</v>
      </c>
      <c r="CK20" s="36">
        <f>[1]SFI!$P20</f>
        <v>4984.0624399999997</v>
      </c>
      <c r="CL20" s="31">
        <f t="shared" si="49"/>
        <v>4984.0624399999997</v>
      </c>
      <c r="CM20" s="18">
        <f t="shared" si="50"/>
        <v>0</v>
      </c>
      <c r="CN20" s="31">
        <f t="shared" si="51"/>
        <v>0</v>
      </c>
      <c r="CO20" s="31"/>
      <c r="CP20" s="33"/>
      <c r="CQ20" s="37">
        <f t="shared" si="13"/>
        <v>-1</v>
      </c>
    </row>
    <row r="21" spans="1:95" s="26" customFormat="1" ht="16" customHeight="1" thickBot="1" x14ac:dyDescent="0.25">
      <c r="A21" s="38" t="s">
        <v>45</v>
      </c>
      <c r="B21" s="30">
        <f t="shared" si="0"/>
        <v>0</v>
      </c>
      <c r="C21" s="31">
        <f t="shared" si="0"/>
        <v>0</v>
      </c>
      <c r="D21" s="32">
        <f t="shared" si="0"/>
        <v>0</v>
      </c>
      <c r="E21" s="30">
        <f t="shared" si="14"/>
        <v>0</v>
      </c>
      <c r="F21" s="33">
        <f t="shared" si="14"/>
        <v>0</v>
      </c>
      <c r="G21" s="34">
        <f t="shared" si="14"/>
        <v>0</v>
      </c>
      <c r="H21" s="31">
        <f t="shared" si="1"/>
        <v>88404.679788724869</v>
      </c>
      <c r="I21" s="33">
        <f t="shared" si="1"/>
        <v>0</v>
      </c>
      <c r="J21" s="33">
        <f t="shared" si="1"/>
        <v>88404.679788724869</v>
      </c>
      <c r="K21" s="37" t="str">
        <f t="shared" si="15"/>
        <v/>
      </c>
      <c r="L21" s="36">
        <f>[1]SFI!$E21</f>
        <v>0</v>
      </c>
      <c r="M21" s="31">
        <f t="shared" si="16"/>
        <v>0</v>
      </c>
      <c r="N21" s="18">
        <f t="shared" si="17"/>
        <v>0</v>
      </c>
      <c r="O21" s="31">
        <f t="shared" si="18"/>
        <v>23423.09</v>
      </c>
      <c r="P21" s="31"/>
      <c r="Q21" s="33">
        <v>23423.09</v>
      </c>
      <c r="R21" s="37" t="str">
        <f t="shared" si="2"/>
        <v/>
      </c>
      <c r="S21" s="36">
        <f>[1]SFI!$F21</f>
        <v>0</v>
      </c>
      <c r="T21" s="31">
        <f t="shared" si="19"/>
        <v>0</v>
      </c>
      <c r="U21" s="18">
        <f t="shared" si="20"/>
        <v>0</v>
      </c>
      <c r="V21" s="31">
        <f t="shared" si="21"/>
        <v>16870</v>
      </c>
      <c r="W21" s="31"/>
      <c r="X21" s="147">
        <v>16870</v>
      </c>
      <c r="Y21" s="37" t="str">
        <f t="shared" si="3"/>
        <v/>
      </c>
      <c r="Z21" s="36">
        <f>[1]SFI!$G21</f>
        <v>0</v>
      </c>
      <c r="AA21" s="31">
        <f t="shared" si="22"/>
        <v>0</v>
      </c>
      <c r="AB21" s="18">
        <f t="shared" si="23"/>
        <v>0</v>
      </c>
      <c r="AC21" s="31">
        <f t="shared" si="24"/>
        <v>12481.6</v>
      </c>
      <c r="AD21" s="31"/>
      <c r="AE21" s="27">
        <v>12481.6</v>
      </c>
      <c r="AF21" s="37" t="str">
        <f t="shared" si="4"/>
        <v/>
      </c>
      <c r="AG21" s="36">
        <f>[1]SFI!$H21</f>
        <v>0</v>
      </c>
      <c r="AH21" s="31">
        <f t="shared" si="25"/>
        <v>0</v>
      </c>
      <c r="AI21" s="18">
        <f t="shared" si="26"/>
        <v>0</v>
      </c>
      <c r="AJ21" s="31">
        <f t="shared" si="27"/>
        <v>300</v>
      </c>
      <c r="AK21" s="31"/>
      <c r="AL21" s="33">
        <v>300</v>
      </c>
      <c r="AM21" s="37" t="str">
        <f t="shared" si="5"/>
        <v/>
      </c>
      <c r="AN21" s="36">
        <f>[1]SFI!$I21</f>
        <v>0</v>
      </c>
      <c r="AO21" s="31">
        <f t="shared" si="28"/>
        <v>0</v>
      </c>
      <c r="AP21" s="18">
        <f t="shared" si="29"/>
        <v>0</v>
      </c>
      <c r="AQ21" s="31">
        <f t="shared" si="30"/>
        <v>25940.015403802496</v>
      </c>
      <c r="AR21" s="31"/>
      <c r="AS21" s="33">
        <v>25940.015403802496</v>
      </c>
      <c r="AT21" s="37" t="str">
        <f t="shared" si="6"/>
        <v/>
      </c>
      <c r="AU21" s="36">
        <f>[1]SFI!$J21</f>
        <v>0</v>
      </c>
      <c r="AV21" s="31">
        <f t="shared" si="31"/>
        <v>0</v>
      </c>
      <c r="AW21" s="18">
        <f t="shared" si="32"/>
        <v>0</v>
      </c>
      <c r="AX21" s="31">
        <f t="shared" si="33"/>
        <v>9389.9743849223778</v>
      </c>
      <c r="AY21" s="31"/>
      <c r="AZ21" s="27">
        <v>9389.9743849223778</v>
      </c>
      <c r="BA21" s="37" t="str">
        <f t="shared" si="7"/>
        <v/>
      </c>
      <c r="BB21" s="36">
        <f>[1]SFI!$K21</f>
        <v>0</v>
      </c>
      <c r="BC21" s="31">
        <f t="shared" si="34"/>
        <v>0</v>
      </c>
      <c r="BD21" s="18">
        <f t="shared" si="35"/>
        <v>0</v>
      </c>
      <c r="BE21" s="31">
        <f t="shared" si="36"/>
        <v>0</v>
      </c>
      <c r="BF21" s="31"/>
      <c r="BG21" s="27"/>
      <c r="BH21" s="37" t="str">
        <f t="shared" si="8"/>
        <v/>
      </c>
      <c r="BI21" s="36">
        <f>[1]SFI!$L21</f>
        <v>0</v>
      </c>
      <c r="BJ21" s="31">
        <f t="shared" si="37"/>
        <v>0</v>
      </c>
      <c r="BK21" s="18">
        <f t="shared" si="38"/>
        <v>0</v>
      </c>
      <c r="BL21" s="31">
        <f t="shared" si="39"/>
        <v>0</v>
      </c>
      <c r="BM21" s="31"/>
      <c r="BN21" s="33"/>
      <c r="BO21" s="37" t="str">
        <f t="shared" si="9"/>
        <v/>
      </c>
      <c r="BP21" s="36">
        <f>[1]SFI!$M21</f>
        <v>0</v>
      </c>
      <c r="BQ21" s="31">
        <f t="shared" si="40"/>
        <v>0</v>
      </c>
      <c r="BR21" s="18">
        <f t="shared" si="41"/>
        <v>0</v>
      </c>
      <c r="BS21" s="31">
        <f t="shared" si="42"/>
        <v>0</v>
      </c>
      <c r="BT21" s="31"/>
      <c r="BU21" s="33"/>
      <c r="BV21" s="37" t="str">
        <f t="shared" si="10"/>
        <v/>
      </c>
      <c r="BW21" s="36">
        <f>[1]SFI!$N21</f>
        <v>0</v>
      </c>
      <c r="BX21" s="31">
        <f t="shared" si="43"/>
        <v>0</v>
      </c>
      <c r="BY21" s="18">
        <f t="shared" si="44"/>
        <v>0</v>
      </c>
      <c r="BZ21" s="31">
        <f t="shared" si="45"/>
        <v>0</v>
      </c>
      <c r="CA21" s="31"/>
      <c r="CB21" s="33"/>
      <c r="CC21" s="37" t="str">
        <f t="shared" si="11"/>
        <v/>
      </c>
      <c r="CD21" s="36">
        <f>[1]SFI!$O21</f>
        <v>0</v>
      </c>
      <c r="CE21" s="31">
        <f t="shared" si="46"/>
        <v>0</v>
      </c>
      <c r="CF21" s="18">
        <f t="shared" si="47"/>
        <v>0</v>
      </c>
      <c r="CG21" s="31">
        <f t="shared" si="48"/>
        <v>0</v>
      </c>
      <c r="CH21" s="31"/>
      <c r="CI21" s="33"/>
      <c r="CJ21" s="37" t="str">
        <f t="shared" si="12"/>
        <v/>
      </c>
      <c r="CK21" s="36">
        <f>[1]SFI!$P21</f>
        <v>0</v>
      </c>
      <c r="CL21" s="31">
        <f t="shared" si="49"/>
        <v>0</v>
      </c>
      <c r="CM21" s="18">
        <f t="shared" si="50"/>
        <v>0</v>
      </c>
      <c r="CN21" s="31">
        <f t="shared" si="51"/>
        <v>0</v>
      </c>
      <c r="CO21" s="31"/>
      <c r="CP21" s="33"/>
      <c r="CQ21" s="37" t="str">
        <f t="shared" si="13"/>
        <v/>
      </c>
    </row>
    <row r="22" spans="1:95" s="26" customFormat="1" ht="16" customHeight="1" thickBot="1" x14ac:dyDescent="0.25">
      <c r="A22" s="38" t="s">
        <v>46</v>
      </c>
      <c r="B22" s="30">
        <f t="shared" si="0"/>
        <v>169760.304</v>
      </c>
      <c r="C22" s="31">
        <f t="shared" si="0"/>
        <v>169760.304</v>
      </c>
      <c r="D22" s="32">
        <f t="shared" si="0"/>
        <v>0</v>
      </c>
      <c r="E22" s="30">
        <f t="shared" si="14"/>
        <v>56586.767999999996</v>
      </c>
      <c r="F22" s="33">
        <f t="shared" si="14"/>
        <v>56586.767999999996</v>
      </c>
      <c r="G22" s="34">
        <f t="shared" si="14"/>
        <v>0</v>
      </c>
      <c r="H22" s="31">
        <f t="shared" si="1"/>
        <v>113698.74589942301</v>
      </c>
      <c r="I22" s="33">
        <f t="shared" si="1"/>
        <v>0</v>
      </c>
      <c r="J22" s="33">
        <f t="shared" si="1"/>
        <v>113698.74589942301</v>
      </c>
      <c r="K22" s="37">
        <f t="shared" si="15"/>
        <v>1.0092814966817509</v>
      </c>
      <c r="L22" s="36">
        <f>[1]SFI!$E22</f>
        <v>14146.691999999999</v>
      </c>
      <c r="M22" s="31">
        <f t="shared" si="16"/>
        <v>14146.691999999999</v>
      </c>
      <c r="N22" s="18">
        <f t="shared" si="17"/>
        <v>0</v>
      </c>
      <c r="O22" s="31">
        <f t="shared" si="18"/>
        <v>0</v>
      </c>
      <c r="P22" s="31"/>
      <c r="Q22" s="33">
        <v>0</v>
      </c>
      <c r="R22" s="37">
        <f t="shared" si="2"/>
        <v>-1</v>
      </c>
      <c r="S22" s="36">
        <f>[1]SFI!$F22</f>
        <v>14146.691999999999</v>
      </c>
      <c r="T22" s="31">
        <f t="shared" si="19"/>
        <v>14146.691999999999</v>
      </c>
      <c r="U22" s="18">
        <f t="shared" si="20"/>
        <v>0</v>
      </c>
      <c r="V22" s="31">
        <f t="shared" si="21"/>
        <v>83188.222531953827</v>
      </c>
      <c r="W22" s="31"/>
      <c r="X22" s="147">
        <v>83188.222531953827</v>
      </c>
      <c r="Y22" s="37">
        <f t="shared" si="3"/>
        <v>4.8804010529071977</v>
      </c>
      <c r="Z22" s="36">
        <f>[1]SFI!$G22</f>
        <v>14146.691999999999</v>
      </c>
      <c r="AA22" s="31">
        <f t="shared" si="22"/>
        <v>14146.691999999999</v>
      </c>
      <c r="AB22" s="18">
        <f t="shared" si="23"/>
        <v>0</v>
      </c>
      <c r="AC22" s="31">
        <f t="shared" si="24"/>
        <v>21168.113446642361</v>
      </c>
      <c r="AD22" s="31"/>
      <c r="AE22" s="27">
        <v>21168.113446642361</v>
      </c>
      <c r="AF22" s="37">
        <f t="shared" si="4"/>
        <v>0.49632956217908486</v>
      </c>
      <c r="AG22" s="36">
        <f>[1]SFI!$H22</f>
        <v>14146.691999999999</v>
      </c>
      <c r="AH22" s="31">
        <f t="shared" si="25"/>
        <v>14146.691999999999</v>
      </c>
      <c r="AI22" s="18">
        <f t="shared" si="26"/>
        <v>0</v>
      </c>
      <c r="AJ22" s="31">
        <f t="shared" si="27"/>
        <v>0</v>
      </c>
      <c r="AK22" s="31"/>
      <c r="AL22" s="33">
        <v>0</v>
      </c>
      <c r="AM22" s="37">
        <f t="shared" si="5"/>
        <v>-1</v>
      </c>
      <c r="AN22" s="36">
        <f>[1]SFI!$I22</f>
        <v>14146.691999999999</v>
      </c>
      <c r="AO22" s="31">
        <f t="shared" si="28"/>
        <v>14146.691999999999</v>
      </c>
      <c r="AP22" s="18">
        <f t="shared" si="29"/>
        <v>0</v>
      </c>
      <c r="AQ22" s="31">
        <f t="shared" si="30"/>
        <v>3269.7498408154415</v>
      </c>
      <c r="AR22" s="31"/>
      <c r="AS22" s="33">
        <v>3269.7498408154415</v>
      </c>
      <c r="AT22" s="37">
        <f t="shared" si="6"/>
        <v>-0.7688682385383494</v>
      </c>
      <c r="AU22" s="36">
        <f>[1]SFI!$J22</f>
        <v>14146.691999999999</v>
      </c>
      <c r="AV22" s="31">
        <f t="shared" si="31"/>
        <v>14146.691999999999</v>
      </c>
      <c r="AW22" s="18">
        <f t="shared" si="32"/>
        <v>0</v>
      </c>
      <c r="AX22" s="31">
        <f t="shared" si="33"/>
        <v>6072.6600800113893</v>
      </c>
      <c r="AY22" s="31"/>
      <c r="AZ22" s="27">
        <v>6072.6600800113893</v>
      </c>
      <c r="BA22" s="37">
        <f t="shared" si="7"/>
        <v>-0.57073638982092856</v>
      </c>
      <c r="BB22" s="36">
        <f>[1]SFI!$K22</f>
        <v>14146.691999999999</v>
      </c>
      <c r="BC22" s="31">
        <f t="shared" si="34"/>
        <v>14146.691999999999</v>
      </c>
      <c r="BD22" s="18">
        <f t="shared" si="35"/>
        <v>0</v>
      </c>
      <c r="BE22" s="31">
        <f t="shared" si="36"/>
        <v>0</v>
      </c>
      <c r="BF22" s="31"/>
      <c r="BG22" s="27"/>
      <c r="BH22" s="37">
        <f t="shared" si="8"/>
        <v>-1</v>
      </c>
      <c r="BI22" s="36">
        <f>[1]SFI!$L22</f>
        <v>14146.691999999999</v>
      </c>
      <c r="BJ22" s="31">
        <f t="shared" si="37"/>
        <v>14146.691999999999</v>
      </c>
      <c r="BK22" s="18">
        <f t="shared" si="38"/>
        <v>0</v>
      </c>
      <c r="BL22" s="31">
        <f t="shared" si="39"/>
        <v>0</v>
      </c>
      <c r="BM22" s="31"/>
      <c r="BN22" s="33"/>
      <c r="BO22" s="37">
        <f t="shared" si="9"/>
        <v>-1</v>
      </c>
      <c r="BP22" s="36">
        <f>[1]SFI!$M22</f>
        <v>14146.691999999999</v>
      </c>
      <c r="BQ22" s="31">
        <f t="shared" si="40"/>
        <v>14146.691999999999</v>
      </c>
      <c r="BR22" s="18">
        <f t="shared" si="41"/>
        <v>0</v>
      </c>
      <c r="BS22" s="31">
        <f t="shared" si="42"/>
        <v>0</v>
      </c>
      <c r="BT22" s="31"/>
      <c r="BU22" s="33"/>
      <c r="BV22" s="37">
        <f t="shared" si="10"/>
        <v>-1</v>
      </c>
      <c r="BW22" s="36">
        <f>[1]SFI!$N22</f>
        <v>14146.691999999999</v>
      </c>
      <c r="BX22" s="31">
        <f t="shared" si="43"/>
        <v>14146.691999999999</v>
      </c>
      <c r="BY22" s="18">
        <f t="shared" si="44"/>
        <v>0</v>
      </c>
      <c r="BZ22" s="31">
        <f t="shared" si="45"/>
        <v>0</v>
      </c>
      <c r="CA22" s="31"/>
      <c r="CB22" s="33"/>
      <c r="CC22" s="37">
        <f t="shared" si="11"/>
        <v>-1</v>
      </c>
      <c r="CD22" s="36">
        <f>[1]SFI!$O22</f>
        <v>14146.691999999999</v>
      </c>
      <c r="CE22" s="31">
        <f t="shared" si="46"/>
        <v>14146.691999999999</v>
      </c>
      <c r="CF22" s="18">
        <f t="shared" si="47"/>
        <v>0</v>
      </c>
      <c r="CG22" s="31">
        <f t="shared" si="48"/>
        <v>0</v>
      </c>
      <c r="CH22" s="31"/>
      <c r="CI22" s="33"/>
      <c r="CJ22" s="37">
        <f t="shared" si="12"/>
        <v>-1</v>
      </c>
      <c r="CK22" s="36">
        <f>[1]SFI!$P22</f>
        <v>14146.691999999999</v>
      </c>
      <c r="CL22" s="31">
        <f t="shared" si="49"/>
        <v>14146.691999999999</v>
      </c>
      <c r="CM22" s="18">
        <f t="shared" si="50"/>
        <v>0</v>
      </c>
      <c r="CN22" s="31">
        <f t="shared" si="51"/>
        <v>0</v>
      </c>
      <c r="CO22" s="31"/>
      <c r="CP22" s="33"/>
      <c r="CQ22" s="37">
        <f t="shared" si="13"/>
        <v>-1</v>
      </c>
    </row>
    <row r="23" spans="1:95" s="26" customFormat="1" ht="16" customHeight="1" thickBot="1" x14ac:dyDescent="0.25">
      <c r="A23" s="29" t="s">
        <v>47</v>
      </c>
      <c r="B23" s="30">
        <f t="shared" si="0"/>
        <v>0</v>
      </c>
      <c r="C23" s="31">
        <f t="shared" si="0"/>
        <v>0</v>
      </c>
      <c r="D23" s="32">
        <f t="shared" si="0"/>
        <v>0</v>
      </c>
      <c r="E23" s="30">
        <f t="shared" si="14"/>
        <v>0</v>
      </c>
      <c r="F23" s="33">
        <f t="shared" si="14"/>
        <v>0</v>
      </c>
      <c r="G23" s="34">
        <f t="shared" si="14"/>
        <v>0</v>
      </c>
      <c r="H23" s="31">
        <f t="shared" si="1"/>
        <v>0</v>
      </c>
      <c r="I23" s="33">
        <f t="shared" si="1"/>
        <v>0</v>
      </c>
      <c r="J23" s="33">
        <f t="shared" si="1"/>
        <v>0</v>
      </c>
      <c r="K23" s="37" t="str">
        <f t="shared" si="15"/>
        <v/>
      </c>
      <c r="L23" s="36">
        <f>[1]SFI!$E23</f>
        <v>0</v>
      </c>
      <c r="M23" s="31">
        <f t="shared" si="16"/>
        <v>0</v>
      </c>
      <c r="N23" s="18">
        <f t="shared" si="17"/>
        <v>0</v>
      </c>
      <c r="O23" s="31">
        <f t="shared" si="18"/>
        <v>0</v>
      </c>
      <c r="P23" s="31"/>
      <c r="Q23" s="33"/>
      <c r="R23" s="37" t="str">
        <f t="shared" si="2"/>
        <v/>
      </c>
      <c r="S23" s="36">
        <f>[1]SFI!$F23</f>
        <v>0</v>
      </c>
      <c r="T23" s="31">
        <f t="shared" si="19"/>
        <v>0</v>
      </c>
      <c r="U23" s="18">
        <f t="shared" si="20"/>
        <v>0</v>
      </c>
      <c r="V23" s="31">
        <f t="shared" si="21"/>
        <v>0</v>
      </c>
      <c r="W23" s="31"/>
      <c r="X23" s="147"/>
      <c r="Y23" s="37" t="str">
        <f t="shared" si="3"/>
        <v/>
      </c>
      <c r="Z23" s="36">
        <f>[1]SFI!$G23</f>
        <v>0</v>
      </c>
      <c r="AA23" s="31">
        <f t="shared" si="22"/>
        <v>0</v>
      </c>
      <c r="AB23" s="18">
        <f t="shared" si="23"/>
        <v>0</v>
      </c>
      <c r="AC23" s="31">
        <f t="shared" si="24"/>
        <v>0</v>
      </c>
      <c r="AD23" s="31"/>
      <c r="AE23" s="27"/>
      <c r="AF23" s="37" t="str">
        <f t="shared" si="4"/>
        <v/>
      </c>
      <c r="AG23" s="36">
        <f>[1]SFI!$H23</f>
        <v>0</v>
      </c>
      <c r="AH23" s="31">
        <f t="shared" si="25"/>
        <v>0</v>
      </c>
      <c r="AI23" s="18">
        <f t="shared" si="26"/>
        <v>0</v>
      </c>
      <c r="AJ23" s="31">
        <f t="shared" si="27"/>
        <v>0</v>
      </c>
      <c r="AK23" s="31"/>
      <c r="AL23" s="33"/>
      <c r="AM23" s="37" t="str">
        <f t="shared" si="5"/>
        <v/>
      </c>
      <c r="AN23" s="36">
        <f>[1]SFI!$I23</f>
        <v>0</v>
      </c>
      <c r="AO23" s="31">
        <f t="shared" si="28"/>
        <v>0</v>
      </c>
      <c r="AP23" s="18">
        <f t="shared" si="29"/>
        <v>0</v>
      </c>
      <c r="AQ23" s="31">
        <f t="shared" si="30"/>
        <v>0</v>
      </c>
      <c r="AR23" s="31"/>
      <c r="AS23" s="33"/>
      <c r="AT23" s="37" t="str">
        <f t="shared" si="6"/>
        <v/>
      </c>
      <c r="AU23" s="36">
        <f>[1]SFI!$J23</f>
        <v>0</v>
      </c>
      <c r="AV23" s="31">
        <f t="shared" si="31"/>
        <v>0</v>
      </c>
      <c r="AW23" s="18">
        <f t="shared" si="32"/>
        <v>0</v>
      </c>
      <c r="AX23" s="31">
        <f t="shared" si="33"/>
        <v>0</v>
      </c>
      <c r="AY23" s="31"/>
      <c r="AZ23" s="27"/>
      <c r="BA23" s="37" t="str">
        <f t="shared" si="7"/>
        <v/>
      </c>
      <c r="BB23" s="36">
        <f>[1]SFI!$K23</f>
        <v>0</v>
      </c>
      <c r="BC23" s="31">
        <f t="shared" si="34"/>
        <v>0</v>
      </c>
      <c r="BD23" s="18">
        <f t="shared" si="35"/>
        <v>0</v>
      </c>
      <c r="BE23" s="31">
        <f t="shared" si="36"/>
        <v>0</v>
      </c>
      <c r="BF23" s="31"/>
      <c r="BG23" s="27"/>
      <c r="BH23" s="37" t="str">
        <f t="shared" si="8"/>
        <v/>
      </c>
      <c r="BI23" s="36">
        <f>[1]SFI!$L23</f>
        <v>0</v>
      </c>
      <c r="BJ23" s="31">
        <f t="shared" si="37"/>
        <v>0</v>
      </c>
      <c r="BK23" s="18">
        <f t="shared" si="38"/>
        <v>0</v>
      </c>
      <c r="BL23" s="31">
        <f t="shared" si="39"/>
        <v>0</v>
      </c>
      <c r="BM23" s="31"/>
      <c r="BN23" s="33"/>
      <c r="BO23" s="37" t="str">
        <f t="shared" si="9"/>
        <v/>
      </c>
      <c r="BP23" s="36">
        <f>[1]SFI!$M23</f>
        <v>0</v>
      </c>
      <c r="BQ23" s="31">
        <f t="shared" si="40"/>
        <v>0</v>
      </c>
      <c r="BR23" s="18">
        <f t="shared" si="41"/>
        <v>0</v>
      </c>
      <c r="BS23" s="31">
        <f t="shared" si="42"/>
        <v>0</v>
      </c>
      <c r="BT23" s="31"/>
      <c r="BU23" s="33"/>
      <c r="BV23" s="37" t="str">
        <f t="shared" si="10"/>
        <v/>
      </c>
      <c r="BW23" s="36">
        <f>[1]SFI!$N23</f>
        <v>0</v>
      </c>
      <c r="BX23" s="31">
        <f t="shared" si="43"/>
        <v>0</v>
      </c>
      <c r="BY23" s="18">
        <f t="shared" si="44"/>
        <v>0</v>
      </c>
      <c r="BZ23" s="31">
        <f t="shared" si="45"/>
        <v>0</v>
      </c>
      <c r="CA23" s="31"/>
      <c r="CB23" s="33"/>
      <c r="CC23" s="37" t="str">
        <f t="shared" si="11"/>
        <v/>
      </c>
      <c r="CD23" s="36">
        <f>[1]SFI!$O23</f>
        <v>0</v>
      </c>
      <c r="CE23" s="31">
        <f t="shared" si="46"/>
        <v>0</v>
      </c>
      <c r="CF23" s="18">
        <f t="shared" si="47"/>
        <v>0</v>
      </c>
      <c r="CG23" s="31">
        <f t="shared" si="48"/>
        <v>0</v>
      </c>
      <c r="CH23" s="31"/>
      <c r="CI23" s="33"/>
      <c r="CJ23" s="37" t="str">
        <f t="shared" si="12"/>
        <v/>
      </c>
      <c r="CK23" s="36">
        <f>[1]SFI!$P23</f>
        <v>0</v>
      </c>
      <c r="CL23" s="31">
        <f t="shared" si="49"/>
        <v>0</v>
      </c>
      <c r="CM23" s="18">
        <f t="shared" si="50"/>
        <v>0</v>
      </c>
      <c r="CN23" s="31">
        <f t="shared" si="51"/>
        <v>0</v>
      </c>
      <c r="CO23" s="31"/>
      <c r="CP23" s="33"/>
      <c r="CQ23" s="37" t="str">
        <f t="shared" si="13"/>
        <v/>
      </c>
    </row>
    <row r="24" spans="1:95" s="26" customFormat="1" ht="16" customHeight="1" thickBot="1" x14ac:dyDescent="0.25">
      <c r="A24" s="29" t="s">
        <v>48</v>
      </c>
      <c r="B24" s="30">
        <f t="shared" si="0"/>
        <v>133657.43903263443</v>
      </c>
      <c r="C24" s="31">
        <f t="shared" si="0"/>
        <v>133657.43903263443</v>
      </c>
      <c r="D24" s="32">
        <f t="shared" si="0"/>
        <v>0</v>
      </c>
      <c r="E24" s="30">
        <f t="shared" si="14"/>
        <v>45019.3261057048</v>
      </c>
      <c r="F24" s="33">
        <f t="shared" si="14"/>
        <v>45019.3261057048</v>
      </c>
      <c r="G24" s="34">
        <f t="shared" si="14"/>
        <v>0</v>
      </c>
      <c r="H24" s="31">
        <f t="shared" si="1"/>
        <v>17212.89</v>
      </c>
      <c r="I24" s="33">
        <f t="shared" si="1"/>
        <v>0</v>
      </c>
      <c r="J24" s="33">
        <f t="shared" si="1"/>
        <v>17212.89</v>
      </c>
      <c r="K24" s="37">
        <f t="shared" si="15"/>
        <v>-0.61765553843288645</v>
      </c>
      <c r="L24" s="36">
        <f>[1]SFI!$E24</f>
        <v>11254.8315264262</v>
      </c>
      <c r="M24" s="31">
        <f t="shared" si="16"/>
        <v>11254.8315264262</v>
      </c>
      <c r="N24" s="18">
        <f t="shared" si="17"/>
        <v>0</v>
      </c>
      <c r="O24" s="31">
        <f t="shared" si="18"/>
        <v>0</v>
      </c>
      <c r="P24" s="31"/>
      <c r="Q24" s="33">
        <v>0</v>
      </c>
      <c r="R24" s="37">
        <f t="shared" si="2"/>
        <v>-1</v>
      </c>
      <c r="S24" s="36">
        <f>[1]SFI!$F24</f>
        <v>11254.8315264262</v>
      </c>
      <c r="T24" s="31">
        <f t="shared" si="19"/>
        <v>11254.8315264262</v>
      </c>
      <c r="U24" s="18">
        <f t="shared" si="20"/>
        <v>0</v>
      </c>
      <c r="V24" s="31">
        <f t="shared" si="21"/>
        <v>0</v>
      </c>
      <c r="W24" s="31"/>
      <c r="X24" s="147">
        <v>0</v>
      </c>
      <c r="Y24" s="37">
        <f t="shared" si="3"/>
        <v>-1</v>
      </c>
      <c r="Z24" s="36">
        <f>[1]SFI!$G24</f>
        <v>11254.8315264262</v>
      </c>
      <c r="AA24" s="31">
        <f t="shared" si="22"/>
        <v>11254.8315264262</v>
      </c>
      <c r="AB24" s="18">
        <f t="shared" si="23"/>
        <v>0</v>
      </c>
      <c r="AC24" s="31">
        <f t="shared" si="24"/>
        <v>0</v>
      </c>
      <c r="AD24" s="31"/>
      <c r="AE24" s="27">
        <v>0</v>
      </c>
      <c r="AF24" s="37">
        <f t="shared" si="4"/>
        <v>-1</v>
      </c>
      <c r="AG24" s="36">
        <f>[1]SFI!$H24</f>
        <v>11254.8315264262</v>
      </c>
      <c r="AH24" s="31">
        <f t="shared" si="25"/>
        <v>11254.8315264262</v>
      </c>
      <c r="AI24" s="18">
        <f t="shared" si="26"/>
        <v>0</v>
      </c>
      <c r="AJ24" s="31">
        <f t="shared" si="27"/>
        <v>0</v>
      </c>
      <c r="AK24" s="31"/>
      <c r="AL24" s="33">
        <v>0</v>
      </c>
      <c r="AM24" s="37">
        <f t="shared" si="5"/>
        <v>-1</v>
      </c>
      <c r="AN24" s="36">
        <f>[1]SFI!$I24</f>
        <v>11254.8315264262</v>
      </c>
      <c r="AO24" s="31">
        <f t="shared" si="28"/>
        <v>11254.8315264262</v>
      </c>
      <c r="AP24" s="18">
        <f t="shared" si="29"/>
        <v>0</v>
      </c>
      <c r="AQ24" s="31">
        <f t="shared" si="30"/>
        <v>3345.5099999999998</v>
      </c>
      <c r="AR24" s="31"/>
      <c r="AS24" s="33">
        <v>3345.5099999999998</v>
      </c>
      <c r="AT24" s="37">
        <f t="shared" si="6"/>
        <v>-0.70274899343052932</v>
      </c>
      <c r="AU24" s="36">
        <f>[1]SFI!$J24</f>
        <v>11254.8315264262</v>
      </c>
      <c r="AV24" s="31">
        <f t="shared" si="31"/>
        <v>11254.8315264262</v>
      </c>
      <c r="AW24" s="18">
        <f t="shared" si="32"/>
        <v>0</v>
      </c>
      <c r="AX24" s="31">
        <f t="shared" si="33"/>
        <v>13867.380000000001</v>
      </c>
      <c r="AY24" s="31"/>
      <c r="AZ24" s="27">
        <v>13867.380000000001</v>
      </c>
      <c r="BA24" s="37">
        <f t="shared" si="7"/>
        <v>0.23212683969898351</v>
      </c>
      <c r="BB24" s="36">
        <f>[1]SFI!$K24</f>
        <v>9854.2922419461993</v>
      </c>
      <c r="BC24" s="31">
        <f t="shared" si="34"/>
        <v>9854.2922419461993</v>
      </c>
      <c r="BD24" s="18">
        <f t="shared" si="35"/>
        <v>0</v>
      </c>
      <c r="BE24" s="31">
        <f t="shared" si="36"/>
        <v>0</v>
      </c>
      <c r="BF24" s="31"/>
      <c r="BG24" s="27"/>
      <c r="BH24" s="37">
        <f t="shared" si="8"/>
        <v>-1</v>
      </c>
      <c r="BI24" s="36">
        <f>[1]SFI!$L24</f>
        <v>11254.8315264262</v>
      </c>
      <c r="BJ24" s="31">
        <f t="shared" si="37"/>
        <v>11254.8315264262</v>
      </c>
      <c r="BK24" s="18">
        <f t="shared" si="38"/>
        <v>0</v>
      </c>
      <c r="BL24" s="31">
        <f t="shared" si="39"/>
        <v>0</v>
      </c>
      <c r="BM24" s="31"/>
      <c r="BN24" s="33"/>
      <c r="BO24" s="37">
        <f t="shared" si="9"/>
        <v>-1</v>
      </c>
      <c r="BP24" s="36">
        <f>[1]SFI!$M24</f>
        <v>11254.8315264262</v>
      </c>
      <c r="BQ24" s="31">
        <f t="shared" si="40"/>
        <v>11254.8315264262</v>
      </c>
      <c r="BR24" s="18">
        <f t="shared" si="41"/>
        <v>0</v>
      </c>
      <c r="BS24" s="31">
        <f t="shared" si="42"/>
        <v>0</v>
      </c>
      <c r="BT24" s="31"/>
      <c r="BU24" s="33"/>
      <c r="BV24" s="37">
        <f t="shared" si="10"/>
        <v>-1</v>
      </c>
      <c r="BW24" s="36">
        <f>[1]SFI!$N24</f>
        <v>11254.8315264262</v>
      </c>
      <c r="BX24" s="31">
        <f t="shared" si="43"/>
        <v>11254.8315264262</v>
      </c>
      <c r="BY24" s="18">
        <f t="shared" si="44"/>
        <v>0</v>
      </c>
      <c r="BZ24" s="31">
        <f t="shared" si="45"/>
        <v>0</v>
      </c>
      <c r="CA24" s="31"/>
      <c r="CB24" s="33"/>
      <c r="CC24" s="37">
        <f t="shared" si="11"/>
        <v>-1</v>
      </c>
      <c r="CD24" s="36">
        <f>[1]SFI!$O24</f>
        <v>11254.8315264262</v>
      </c>
      <c r="CE24" s="31">
        <f t="shared" si="46"/>
        <v>11254.8315264262</v>
      </c>
      <c r="CF24" s="18">
        <f t="shared" si="47"/>
        <v>0</v>
      </c>
      <c r="CG24" s="31">
        <f t="shared" si="48"/>
        <v>0</v>
      </c>
      <c r="CH24" s="31"/>
      <c r="CI24" s="33"/>
      <c r="CJ24" s="37">
        <f t="shared" si="12"/>
        <v>-1</v>
      </c>
      <c r="CK24" s="36">
        <f>[1]SFI!$P24</f>
        <v>11254.8315264262</v>
      </c>
      <c r="CL24" s="31">
        <f t="shared" si="49"/>
        <v>11254.8315264262</v>
      </c>
      <c r="CM24" s="18">
        <f t="shared" si="50"/>
        <v>0</v>
      </c>
      <c r="CN24" s="31">
        <f t="shared" si="51"/>
        <v>0</v>
      </c>
      <c r="CO24" s="31"/>
      <c r="CP24" s="33"/>
      <c r="CQ24" s="37">
        <f t="shared" si="13"/>
        <v>-1</v>
      </c>
    </row>
    <row r="25" spans="1:95" s="26" customFormat="1" ht="16" customHeight="1" thickBot="1" x14ac:dyDescent="0.25">
      <c r="A25" s="29" t="s">
        <v>49</v>
      </c>
      <c r="B25" s="30">
        <f t="shared" si="0"/>
        <v>63880.807206999896</v>
      </c>
      <c r="C25" s="31">
        <f t="shared" si="0"/>
        <v>63880.807206999896</v>
      </c>
      <c r="D25" s="32">
        <f t="shared" si="0"/>
        <v>0</v>
      </c>
      <c r="E25" s="30">
        <f t="shared" si="14"/>
        <v>63880.807206999896</v>
      </c>
      <c r="F25" s="33">
        <f t="shared" si="14"/>
        <v>63880.807206999896</v>
      </c>
      <c r="G25" s="34">
        <f t="shared" si="14"/>
        <v>0</v>
      </c>
      <c r="H25" s="31">
        <f t="shared" si="1"/>
        <v>50332.395457215811</v>
      </c>
      <c r="I25" s="33">
        <f t="shared" si="1"/>
        <v>0</v>
      </c>
      <c r="J25" s="33">
        <f t="shared" si="1"/>
        <v>50332.395457215811</v>
      </c>
      <c r="K25" s="37">
        <f t="shared" si="15"/>
        <v>-0.21208892533060364</v>
      </c>
      <c r="L25" s="36">
        <f>[1]SFI!$E25</f>
        <v>0</v>
      </c>
      <c r="M25" s="31">
        <f t="shared" si="16"/>
        <v>0</v>
      </c>
      <c r="N25" s="18">
        <f t="shared" si="17"/>
        <v>0</v>
      </c>
      <c r="O25" s="31">
        <f t="shared" si="18"/>
        <v>4444.4800000000005</v>
      </c>
      <c r="P25" s="31"/>
      <c r="Q25" s="33">
        <v>4444.4800000000005</v>
      </c>
      <c r="R25" s="37" t="str">
        <f t="shared" si="2"/>
        <v/>
      </c>
      <c r="S25" s="36">
        <f>[1]SFI!$F25</f>
        <v>0</v>
      </c>
      <c r="T25" s="31">
        <f t="shared" si="19"/>
        <v>0</v>
      </c>
      <c r="U25" s="18">
        <f t="shared" si="20"/>
        <v>0</v>
      </c>
      <c r="V25" s="31">
        <f t="shared" si="21"/>
        <v>516.79999999999995</v>
      </c>
      <c r="W25" s="31"/>
      <c r="X25" s="147">
        <v>516.79999999999995</v>
      </c>
      <c r="Y25" s="37" t="str">
        <f t="shared" si="3"/>
        <v/>
      </c>
      <c r="Z25" s="36">
        <f>[1]SFI!$G25</f>
        <v>33933.535369999998</v>
      </c>
      <c r="AA25" s="31">
        <f t="shared" si="22"/>
        <v>33933.535369999998</v>
      </c>
      <c r="AB25" s="18">
        <f t="shared" si="23"/>
        <v>0</v>
      </c>
      <c r="AC25" s="31">
        <f t="shared" si="24"/>
        <v>253.84</v>
      </c>
      <c r="AD25" s="31"/>
      <c r="AE25" s="27">
        <v>253.84</v>
      </c>
      <c r="AF25" s="37">
        <f t="shared" si="4"/>
        <v>-0.99251949444016918</v>
      </c>
      <c r="AG25" s="36">
        <f>[1]SFI!$H25</f>
        <v>29947.271836999898</v>
      </c>
      <c r="AH25" s="31">
        <f t="shared" si="25"/>
        <v>29947.271836999898</v>
      </c>
      <c r="AI25" s="18">
        <f t="shared" si="26"/>
        <v>0</v>
      </c>
      <c r="AJ25" s="31">
        <f t="shared" si="27"/>
        <v>0</v>
      </c>
      <c r="AK25" s="31"/>
      <c r="AL25" s="33">
        <v>0</v>
      </c>
      <c r="AM25" s="37">
        <f t="shared" si="5"/>
        <v>-1</v>
      </c>
      <c r="AN25" s="36">
        <f>[1]SFI!$I25</f>
        <v>0</v>
      </c>
      <c r="AO25" s="31">
        <f t="shared" si="28"/>
        <v>0</v>
      </c>
      <c r="AP25" s="18">
        <f t="shared" si="29"/>
        <v>0</v>
      </c>
      <c r="AQ25" s="31">
        <f t="shared" si="30"/>
        <v>11857.619999999999</v>
      </c>
      <c r="AR25" s="31"/>
      <c r="AS25" s="33">
        <v>11857.619999999999</v>
      </c>
      <c r="AT25" s="37" t="str">
        <f t="shared" si="6"/>
        <v/>
      </c>
      <c r="AU25" s="36">
        <f>[1]SFI!$J25</f>
        <v>0</v>
      </c>
      <c r="AV25" s="31">
        <f t="shared" si="31"/>
        <v>0</v>
      </c>
      <c r="AW25" s="18">
        <f t="shared" si="32"/>
        <v>0</v>
      </c>
      <c r="AX25" s="31">
        <f t="shared" si="33"/>
        <v>33259.655457215813</v>
      </c>
      <c r="AY25" s="31"/>
      <c r="AZ25" s="27">
        <v>33259.655457215813</v>
      </c>
      <c r="BA25" s="37" t="str">
        <f t="shared" si="7"/>
        <v/>
      </c>
      <c r="BB25" s="36">
        <f>[1]SFI!$K25</f>
        <v>0</v>
      </c>
      <c r="BC25" s="31">
        <f t="shared" si="34"/>
        <v>0</v>
      </c>
      <c r="BD25" s="18">
        <f t="shared" si="35"/>
        <v>0</v>
      </c>
      <c r="BE25" s="31">
        <f t="shared" si="36"/>
        <v>0</v>
      </c>
      <c r="BF25" s="31"/>
      <c r="BG25" s="27"/>
      <c r="BH25" s="37" t="str">
        <f t="shared" si="8"/>
        <v/>
      </c>
      <c r="BI25" s="36">
        <f>[1]SFI!$L25</f>
        <v>0</v>
      </c>
      <c r="BJ25" s="31">
        <f t="shared" si="37"/>
        <v>0</v>
      </c>
      <c r="BK25" s="18">
        <f t="shared" si="38"/>
        <v>0</v>
      </c>
      <c r="BL25" s="31">
        <f t="shared" si="39"/>
        <v>0</v>
      </c>
      <c r="BM25" s="31"/>
      <c r="BN25" s="33"/>
      <c r="BO25" s="37" t="str">
        <f t="shared" si="9"/>
        <v/>
      </c>
      <c r="BP25" s="36">
        <f>[1]SFI!$M25</f>
        <v>0</v>
      </c>
      <c r="BQ25" s="31">
        <f t="shared" si="40"/>
        <v>0</v>
      </c>
      <c r="BR25" s="18">
        <f t="shared" si="41"/>
        <v>0</v>
      </c>
      <c r="BS25" s="31">
        <f t="shared" si="42"/>
        <v>0</v>
      </c>
      <c r="BT25" s="31"/>
      <c r="BU25" s="33"/>
      <c r="BV25" s="37" t="str">
        <f t="shared" si="10"/>
        <v/>
      </c>
      <c r="BW25" s="36">
        <f>[1]SFI!$N25</f>
        <v>0</v>
      </c>
      <c r="BX25" s="31">
        <f t="shared" si="43"/>
        <v>0</v>
      </c>
      <c r="BY25" s="18">
        <f t="shared" si="44"/>
        <v>0</v>
      </c>
      <c r="BZ25" s="31">
        <f t="shared" si="45"/>
        <v>0</v>
      </c>
      <c r="CA25" s="31"/>
      <c r="CB25" s="33"/>
      <c r="CC25" s="37" t="str">
        <f t="shared" si="11"/>
        <v/>
      </c>
      <c r="CD25" s="36">
        <f>[1]SFI!$O25</f>
        <v>0</v>
      </c>
      <c r="CE25" s="31">
        <f t="shared" si="46"/>
        <v>0</v>
      </c>
      <c r="CF25" s="18">
        <f t="shared" si="47"/>
        <v>0</v>
      </c>
      <c r="CG25" s="31">
        <f t="shared" si="48"/>
        <v>0</v>
      </c>
      <c r="CH25" s="31"/>
      <c r="CI25" s="33"/>
      <c r="CJ25" s="37" t="str">
        <f t="shared" si="12"/>
        <v/>
      </c>
      <c r="CK25" s="36">
        <f>[1]SFI!$P25</f>
        <v>0</v>
      </c>
      <c r="CL25" s="31">
        <f t="shared" si="49"/>
        <v>0</v>
      </c>
      <c r="CM25" s="18">
        <f t="shared" si="50"/>
        <v>0</v>
      </c>
      <c r="CN25" s="31">
        <f t="shared" si="51"/>
        <v>0</v>
      </c>
      <c r="CO25" s="31"/>
      <c r="CP25" s="33"/>
      <c r="CQ25" s="37" t="str">
        <f t="shared" si="13"/>
        <v/>
      </c>
    </row>
    <row r="26" spans="1:95" s="26" customFormat="1" ht="16" customHeight="1" thickBot="1" x14ac:dyDescent="0.25">
      <c r="A26" s="29" t="s">
        <v>50</v>
      </c>
      <c r="B26" s="30">
        <f t="shared" si="0"/>
        <v>886788.6562349773</v>
      </c>
      <c r="C26" s="31">
        <f t="shared" si="0"/>
        <v>886788.6562349773</v>
      </c>
      <c r="D26" s="32">
        <f t="shared" si="0"/>
        <v>0</v>
      </c>
      <c r="E26" s="30">
        <f t="shared" si="14"/>
        <v>280922.3939986293</v>
      </c>
      <c r="F26" s="33">
        <f t="shared" si="14"/>
        <v>280922.3939986293</v>
      </c>
      <c r="G26" s="34">
        <f t="shared" si="14"/>
        <v>0</v>
      </c>
      <c r="H26" s="31">
        <f t="shared" si="1"/>
        <v>205916.18380140356</v>
      </c>
      <c r="I26" s="33">
        <f t="shared" si="1"/>
        <v>0</v>
      </c>
      <c r="J26" s="33">
        <f t="shared" si="1"/>
        <v>205916.18380140356</v>
      </c>
      <c r="K26" s="37">
        <f t="shared" si="15"/>
        <v>-0.2669997543791105</v>
      </c>
      <c r="L26" s="36">
        <f>[1]SFI!$E26</f>
        <v>50081.897095985994</v>
      </c>
      <c r="M26" s="31">
        <f t="shared" si="16"/>
        <v>50081.897095985994</v>
      </c>
      <c r="N26" s="18">
        <f t="shared" si="17"/>
        <v>0</v>
      </c>
      <c r="O26" s="31">
        <f t="shared" si="18"/>
        <v>23964.419707129066</v>
      </c>
      <c r="P26" s="31"/>
      <c r="Q26" s="33">
        <v>23964.419707129066</v>
      </c>
      <c r="R26" s="37">
        <f t="shared" si="2"/>
        <v>-0.52149536865188395</v>
      </c>
      <c r="S26" s="36">
        <f>[1]SFI!$F26</f>
        <v>68142.461602319905</v>
      </c>
      <c r="T26" s="31">
        <f t="shared" si="19"/>
        <v>68142.461602319905</v>
      </c>
      <c r="U26" s="18">
        <f t="shared" si="20"/>
        <v>0</v>
      </c>
      <c r="V26" s="31">
        <f t="shared" si="21"/>
        <v>28078.697239775316</v>
      </c>
      <c r="W26" s="31"/>
      <c r="X26" s="147">
        <v>28078.697239775316</v>
      </c>
      <c r="Y26" s="37">
        <f t="shared" si="3"/>
        <v>-0.58794125454928703</v>
      </c>
      <c r="Z26" s="36">
        <f>[1]SFI!$G26</f>
        <v>83737.055448703904</v>
      </c>
      <c r="AA26" s="31">
        <f t="shared" si="22"/>
        <v>83737.055448703904</v>
      </c>
      <c r="AB26" s="18">
        <f t="shared" si="23"/>
        <v>0</v>
      </c>
      <c r="AC26" s="31">
        <f t="shared" si="24"/>
        <v>43999.859539210818</v>
      </c>
      <c r="AD26" s="31"/>
      <c r="AE26" s="27">
        <v>43999.859539210818</v>
      </c>
      <c r="AF26" s="37">
        <f t="shared" si="4"/>
        <v>-0.47454732790115262</v>
      </c>
      <c r="AG26" s="36">
        <f>[1]SFI!$H26</f>
        <v>78960.979851619515</v>
      </c>
      <c r="AH26" s="31">
        <f t="shared" si="25"/>
        <v>78960.979851619515</v>
      </c>
      <c r="AI26" s="18">
        <f t="shared" si="26"/>
        <v>0</v>
      </c>
      <c r="AJ26" s="31">
        <f t="shared" si="27"/>
        <v>50187.84731528836</v>
      </c>
      <c r="AK26" s="31"/>
      <c r="AL26" s="33">
        <v>50187.84731528836</v>
      </c>
      <c r="AM26" s="37">
        <f t="shared" si="5"/>
        <v>-0.36439685260239341</v>
      </c>
      <c r="AN26" s="36">
        <f>[1]SFI!$I26</f>
        <v>86448.636890355512</v>
      </c>
      <c r="AO26" s="31">
        <f t="shared" si="28"/>
        <v>86448.636890355512</v>
      </c>
      <c r="AP26" s="18">
        <f t="shared" si="29"/>
        <v>0</v>
      </c>
      <c r="AQ26" s="31">
        <f t="shared" si="30"/>
        <v>40586.85</v>
      </c>
      <c r="AR26" s="31"/>
      <c r="AS26" s="33">
        <v>40586.85</v>
      </c>
      <c r="AT26" s="37">
        <f t="shared" si="6"/>
        <v>-0.53050908076807402</v>
      </c>
      <c r="AU26" s="36">
        <f>[1]SFI!$J26</f>
        <v>78896.938296609995</v>
      </c>
      <c r="AV26" s="31">
        <f t="shared" si="31"/>
        <v>78896.938296609995</v>
      </c>
      <c r="AW26" s="18">
        <f t="shared" si="32"/>
        <v>0</v>
      </c>
      <c r="AX26" s="31">
        <f t="shared" si="33"/>
        <v>19098.509999999995</v>
      </c>
      <c r="AY26" s="31"/>
      <c r="AZ26" s="27">
        <v>19098.509999999995</v>
      </c>
      <c r="BA26" s="37">
        <f t="shared" si="7"/>
        <v>-0.75793091072558627</v>
      </c>
      <c r="BB26" s="36">
        <f>[1]SFI!$K26</f>
        <v>80807.539222143911</v>
      </c>
      <c r="BC26" s="31">
        <f t="shared" si="34"/>
        <v>80807.539222143911</v>
      </c>
      <c r="BD26" s="18">
        <f t="shared" si="35"/>
        <v>0</v>
      </c>
      <c r="BE26" s="31">
        <f t="shared" si="36"/>
        <v>0</v>
      </c>
      <c r="BF26" s="31"/>
      <c r="BG26" s="27"/>
      <c r="BH26" s="37">
        <f t="shared" si="8"/>
        <v>-1</v>
      </c>
      <c r="BI26" s="36">
        <f>[1]SFI!$L26</f>
        <v>78960.979851619515</v>
      </c>
      <c r="BJ26" s="31">
        <f t="shared" si="37"/>
        <v>78960.979851619515</v>
      </c>
      <c r="BK26" s="18">
        <f t="shared" si="38"/>
        <v>0</v>
      </c>
      <c r="BL26" s="31">
        <f t="shared" si="39"/>
        <v>0</v>
      </c>
      <c r="BM26" s="31"/>
      <c r="BN26" s="33"/>
      <c r="BO26" s="37">
        <f t="shared" si="9"/>
        <v>-1</v>
      </c>
      <c r="BP26" s="36">
        <f>[1]SFI!$M26</f>
        <v>103074.44585726313</v>
      </c>
      <c r="BQ26" s="31">
        <f t="shared" si="40"/>
        <v>103074.44585726313</v>
      </c>
      <c r="BR26" s="18">
        <f t="shared" si="41"/>
        <v>0</v>
      </c>
      <c r="BS26" s="31">
        <f t="shared" si="42"/>
        <v>0</v>
      </c>
      <c r="BT26" s="31"/>
      <c r="BU26" s="33"/>
      <c r="BV26" s="37">
        <f t="shared" si="10"/>
        <v>-1</v>
      </c>
      <c r="BW26" s="36">
        <f>[1]SFI!$N26</f>
        <v>86431.122682289919</v>
      </c>
      <c r="BX26" s="31">
        <f t="shared" si="43"/>
        <v>86431.122682289919</v>
      </c>
      <c r="BY26" s="18">
        <f t="shared" si="44"/>
        <v>0</v>
      </c>
      <c r="BZ26" s="31">
        <f t="shared" si="45"/>
        <v>0</v>
      </c>
      <c r="CA26" s="31"/>
      <c r="CB26" s="33"/>
      <c r="CC26" s="37">
        <f t="shared" si="11"/>
        <v>-1</v>
      </c>
      <c r="CD26" s="36">
        <f>[1]SFI!$O26</f>
        <v>24485.962751266001</v>
      </c>
      <c r="CE26" s="31">
        <f t="shared" si="46"/>
        <v>24485.962751266001</v>
      </c>
      <c r="CF26" s="18">
        <f t="shared" si="47"/>
        <v>0</v>
      </c>
      <c r="CG26" s="31">
        <f t="shared" si="48"/>
        <v>0</v>
      </c>
      <c r="CH26" s="31"/>
      <c r="CI26" s="33"/>
      <c r="CJ26" s="37">
        <f t="shared" si="12"/>
        <v>-1</v>
      </c>
      <c r="CK26" s="36">
        <f>[1]SFI!$P26</f>
        <v>66760.636684799931</v>
      </c>
      <c r="CL26" s="31">
        <f t="shared" si="49"/>
        <v>66760.636684799931</v>
      </c>
      <c r="CM26" s="18">
        <f t="shared" si="50"/>
        <v>0</v>
      </c>
      <c r="CN26" s="31">
        <f t="shared" si="51"/>
        <v>0</v>
      </c>
      <c r="CO26" s="31"/>
      <c r="CP26" s="33"/>
      <c r="CQ26" s="37">
        <f t="shared" si="13"/>
        <v>-1</v>
      </c>
    </row>
    <row r="27" spans="1:95" s="26" customFormat="1" ht="16" customHeight="1" thickBot="1" x14ac:dyDescent="0.25">
      <c r="A27" s="29" t="s">
        <v>51</v>
      </c>
      <c r="B27" s="30">
        <f t="shared" si="0"/>
        <v>64116.242007919973</v>
      </c>
      <c r="C27" s="31">
        <f t="shared" si="0"/>
        <v>64116.242007919973</v>
      </c>
      <c r="D27" s="32">
        <f t="shared" si="0"/>
        <v>0</v>
      </c>
      <c r="E27" s="30">
        <f t="shared" si="14"/>
        <v>23349.758964839992</v>
      </c>
      <c r="F27" s="33">
        <f t="shared" si="14"/>
        <v>23349.758964839992</v>
      </c>
      <c r="G27" s="34">
        <f t="shared" si="14"/>
        <v>0</v>
      </c>
      <c r="H27" s="31">
        <f t="shared" si="1"/>
        <v>72543.604578272585</v>
      </c>
      <c r="I27" s="33">
        <f t="shared" si="1"/>
        <v>0</v>
      </c>
      <c r="J27" s="33">
        <f t="shared" si="1"/>
        <v>72543.604578272585</v>
      </c>
      <c r="K27" s="37">
        <f t="shared" si="15"/>
        <v>2.1068245581253562</v>
      </c>
      <c r="L27" s="36">
        <f>[1]SFI!$E27</f>
        <v>2021.61232952</v>
      </c>
      <c r="M27" s="31">
        <f t="shared" si="16"/>
        <v>2021.61232952</v>
      </c>
      <c r="N27" s="18">
        <f t="shared" si="17"/>
        <v>0</v>
      </c>
      <c r="O27" s="31">
        <f t="shared" si="18"/>
        <v>7765.0151146103899</v>
      </c>
      <c r="P27" s="31"/>
      <c r="Q27" s="33">
        <v>7765.0151146103899</v>
      </c>
      <c r="R27" s="37">
        <f t="shared" si="2"/>
        <v>2.8410010669325856</v>
      </c>
      <c r="S27" s="36">
        <f>[1]SFI!$F27</f>
        <v>7298.1590701599998</v>
      </c>
      <c r="T27" s="31">
        <f t="shared" si="19"/>
        <v>7298.1590701599998</v>
      </c>
      <c r="U27" s="18">
        <f t="shared" si="20"/>
        <v>0</v>
      </c>
      <c r="V27" s="31">
        <f t="shared" si="21"/>
        <v>6158.56</v>
      </c>
      <c r="W27" s="31"/>
      <c r="X27" s="147">
        <v>6158.56</v>
      </c>
      <c r="Y27" s="37">
        <f t="shared" si="3"/>
        <v>-0.1561488396189501</v>
      </c>
      <c r="Z27" s="36">
        <f>[1]SFI!$G27</f>
        <v>7298.1590701599998</v>
      </c>
      <c r="AA27" s="31">
        <f t="shared" si="22"/>
        <v>7298.1590701599998</v>
      </c>
      <c r="AB27" s="18">
        <f t="shared" si="23"/>
        <v>0</v>
      </c>
      <c r="AC27" s="31">
        <f t="shared" si="24"/>
        <v>19926.380000000008</v>
      </c>
      <c r="AD27" s="31"/>
      <c r="AE27" s="27">
        <v>19926.380000000008</v>
      </c>
      <c r="AF27" s="37">
        <f t="shared" si="4"/>
        <v>1.7303296363425464</v>
      </c>
      <c r="AG27" s="36">
        <f>[1]SFI!$H27</f>
        <v>6731.8284949999897</v>
      </c>
      <c r="AH27" s="31">
        <f t="shared" si="25"/>
        <v>6731.8284949999897</v>
      </c>
      <c r="AI27" s="18">
        <f t="shared" si="26"/>
        <v>0</v>
      </c>
      <c r="AJ27" s="31">
        <f t="shared" si="27"/>
        <v>7950.7394636621802</v>
      </c>
      <c r="AK27" s="31"/>
      <c r="AL27" s="33">
        <v>7950.7394636621802</v>
      </c>
      <c r="AM27" s="37">
        <f t="shared" si="5"/>
        <v>0.1810668482667861</v>
      </c>
      <c r="AN27" s="36">
        <f>[1]SFI!$I27</f>
        <v>2636.98669499999</v>
      </c>
      <c r="AO27" s="31">
        <f t="shared" si="28"/>
        <v>2636.98669499999</v>
      </c>
      <c r="AP27" s="18">
        <f t="shared" si="29"/>
        <v>0</v>
      </c>
      <c r="AQ27" s="31">
        <f t="shared" si="30"/>
        <v>17959.809999999998</v>
      </c>
      <c r="AR27" s="31"/>
      <c r="AS27" s="33">
        <v>17959.809999999998</v>
      </c>
      <c r="AT27" s="37">
        <f t="shared" si="6"/>
        <v>5.8107321262006089</v>
      </c>
      <c r="AU27" s="36">
        <f>[1]SFI!$J27</f>
        <v>8753.4408245199993</v>
      </c>
      <c r="AV27" s="31">
        <f t="shared" si="31"/>
        <v>8753.4408245199993</v>
      </c>
      <c r="AW27" s="18">
        <f t="shared" si="32"/>
        <v>0</v>
      </c>
      <c r="AX27" s="31">
        <f t="shared" si="33"/>
        <v>12783.099999999999</v>
      </c>
      <c r="AY27" s="31"/>
      <c r="AZ27" s="27">
        <v>12783.099999999999</v>
      </c>
      <c r="BA27" s="37">
        <f t="shared" si="7"/>
        <v>0.4603514499340855</v>
      </c>
      <c r="BB27" s="36">
        <f>[1]SFI!$K27</f>
        <v>4658.5990245199901</v>
      </c>
      <c r="BC27" s="31">
        <f t="shared" si="34"/>
        <v>4658.5990245199901</v>
      </c>
      <c r="BD27" s="18">
        <f t="shared" si="35"/>
        <v>0</v>
      </c>
      <c r="BE27" s="31">
        <f t="shared" si="36"/>
        <v>0</v>
      </c>
      <c r="BF27" s="31"/>
      <c r="BG27" s="27"/>
      <c r="BH27" s="37">
        <f t="shared" si="8"/>
        <v>-1</v>
      </c>
      <c r="BI27" s="36">
        <f>[1]SFI!$L27</f>
        <v>8753.4408245199993</v>
      </c>
      <c r="BJ27" s="31">
        <f t="shared" si="37"/>
        <v>8753.4408245199993</v>
      </c>
      <c r="BK27" s="18">
        <f t="shared" si="38"/>
        <v>0</v>
      </c>
      <c r="BL27" s="31">
        <f t="shared" si="39"/>
        <v>0</v>
      </c>
      <c r="BM27" s="31"/>
      <c r="BN27" s="33"/>
      <c r="BO27" s="37">
        <f t="shared" si="9"/>
        <v>-1</v>
      </c>
      <c r="BP27" s="36">
        <f>[1]SFI!$M27</f>
        <v>8753.4408245199993</v>
      </c>
      <c r="BQ27" s="31">
        <f t="shared" si="40"/>
        <v>8753.4408245199993</v>
      </c>
      <c r="BR27" s="18">
        <f t="shared" si="41"/>
        <v>0</v>
      </c>
      <c r="BS27" s="31">
        <f t="shared" si="42"/>
        <v>0</v>
      </c>
      <c r="BT27" s="31"/>
      <c r="BU27" s="33"/>
      <c r="BV27" s="37">
        <f t="shared" si="10"/>
        <v>-1</v>
      </c>
      <c r="BW27" s="36">
        <f>[1]SFI!$N27</f>
        <v>2403.52495</v>
      </c>
      <c r="BX27" s="31">
        <f t="shared" si="43"/>
        <v>2403.52495</v>
      </c>
      <c r="BY27" s="18">
        <f t="shared" si="44"/>
        <v>0</v>
      </c>
      <c r="BZ27" s="31">
        <f t="shared" si="45"/>
        <v>0</v>
      </c>
      <c r="CA27" s="31"/>
      <c r="CB27" s="33"/>
      <c r="CC27" s="37">
        <f t="shared" si="11"/>
        <v>-1</v>
      </c>
      <c r="CD27" s="36">
        <f>[1]SFI!$O27</f>
        <v>2403.52495</v>
      </c>
      <c r="CE27" s="31">
        <f t="shared" si="46"/>
        <v>2403.52495</v>
      </c>
      <c r="CF27" s="18">
        <f t="shared" si="47"/>
        <v>0</v>
      </c>
      <c r="CG27" s="31">
        <f t="shared" si="48"/>
        <v>0</v>
      </c>
      <c r="CH27" s="31"/>
      <c r="CI27" s="33"/>
      <c r="CJ27" s="37">
        <f t="shared" si="12"/>
        <v>-1</v>
      </c>
      <c r="CK27" s="36">
        <f>[1]SFI!$P27</f>
        <v>2403.52495</v>
      </c>
      <c r="CL27" s="31">
        <f t="shared" si="49"/>
        <v>2403.52495</v>
      </c>
      <c r="CM27" s="18">
        <f t="shared" si="50"/>
        <v>0</v>
      </c>
      <c r="CN27" s="31">
        <f t="shared" si="51"/>
        <v>0</v>
      </c>
      <c r="CO27" s="31"/>
      <c r="CP27" s="33"/>
      <c r="CQ27" s="37">
        <f t="shared" si="13"/>
        <v>-1</v>
      </c>
    </row>
    <row r="28" spans="1:95" s="26" customFormat="1" ht="16" customHeight="1" thickBot="1" x14ac:dyDescent="0.25">
      <c r="A28" s="29" t="s">
        <v>52</v>
      </c>
      <c r="B28" s="30">
        <f t="shared" si="0"/>
        <v>11028.886189999957</v>
      </c>
      <c r="C28" s="31">
        <f t="shared" si="0"/>
        <v>11028.886189999957</v>
      </c>
      <c r="D28" s="32">
        <f t="shared" si="0"/>
        <v>0</v>
      </c>
      <c r="E28" s="30">
        <f t="shared" si="14"/>
        <v>2020.5951149999901</v>
      </c>
      <c r="F28" s="33">
        <f t="shared" si="14"/>
        <v>2020.5951149999901</v>
      </c>
      <c r="G28" s="34">
        <f t="shared" si="14"/>
        <v>0</v>
      </c>
      <c r="H28" s="31">
        <f t="shared" si="1"/>
        <v>15540.426946206493</v>
      </c>
      <c r="I28" s="33">
        <f t="shared" si="1"/>
        <v>0</v>
      </c>
      <c r="J28" s="33">
        <f t="shared" si="1"/>
        <v>15540.426946206493</v>
      </c>
      <c r="K28" s="37">
        <f t="shared" si="15"/>
        <v>6.6910148059061152</v>
      </c>
      <c r="L28" s="36">
        <f>[1]SFI!$E28</f>
        <v>0</v>
      </c>
      <c r="M28" s="31">
        <f t="shared" si="16"/>
        <v>0</v>
      </c>
      <c r="N28" s="18">
        <f t="shared" si="17"/>
        <v>0</v>
      </c>
      <c r="O28" s="31">
        <f t="shared" si="18"/>
        <v>10.28</v>
      </c>
      <c r="P28" s="31"/>
      <c r="Q28" s="33">
        <v>10.28</v>
      </c>
      <c r="R28" s="37" t="str">
        <f t="shared" si="2"/>
        <v/>
      </c>
      <c r="S28" s="36">
        <f>[1]SFI!$F28</f>
        <v>0</v>
      </c>
      <c r="T28" s="31">
        <f t="shared" si="19"/>
        <v>0</v>
      </c>
      <c r="U28" s="18">
        <f t="shared" si="20"/>
        <v>0</v>
      </c>
      <c r="V28" s="31">
        <f t="shared" si="21"/>
        <v>1220.3736182439097</v>
      </c>
      <c r="W28" s="31"/>
      <c r="X28" s="147">
        <v>1220.3736182439097</v>
      </c>
      <c r="Y28" s="37" t="str">
        <f t="shared" si="3"/>
        <v/>
      </c>
      <c r="Z28" s="36">
        <f>[1]SFI!$G28</f>
        <v>0</v>
      </c>
      <c r="AA28" s="31">
        <f t="shared" si="22"/>
        <v>0</v>
      </c>
      <c r="AB28" s="18">
        <f t="shared" si="23"/>
        <v>0</v>
      </c>
      <c r="AC28" s="31">
        <f t="shared" si="24"/>
        <v>2936.1900000000014</v>
      </c>
      <c r="AD28" s="31"/>
      <c r="AE28" s="27">
        <v>2936.1900000000014</v>
      </c>
      <c r="AF28" s="37" t="str">
        <f t="shared" si="4"/>
        <v/>
      </c>
      <c r="AG28" s="36">
        <f>[1]SFI!$H28</f>
        <v>2020.5951149999901</v>
      </c>
      <c r="AH28" s="31">
        <f t="shared" si="25"/>
        <v>2020.5951149999901</v>
      </c>
      <c r="AI28" s="18">
        <f t="shared" si="26"/>
        <v>0</v>
      </c>
      <c r="AJ28" s="31">
        <f t="shared" si="27"/>
        <v>2853.2394912921936</v>
      </c>
      <c r="AK28" s="31"/>
      <c r="AL28" s="33">
        <v>2853.2394912921936</v>
      </c>
      <c r="AM28" s="37">
        <f t="shared" si="5"/>
        <v>0.41207878318175961</v>
      </c>
      <c r="AN28" s="36">
        <f>[1]SFI!$I28</f>
        <v>462.95530749999898</v>
      </c>
      <c r="AO28" s="31">
        <f t="shared" si="28"/>
        <v>462.95530749999898</v>
      </c>
      <c r="AP28" s="18">
        <f t="shared" si="29"/>
        <v>0</v>
      </c>
      <c r="AQ28" s="31">
        <f t="shared" si="30"/>
        <v>4127.71</v>
      </c>
      <c r="AR28" s="31"/>
      <c r="AS28" s="33">
        <v>4127.71</v>
      </c>
      <c r="AT28" s="37">
        <f t="shared" si="6"/>
        <v>7.9160010332099038</v>
      </c>
      <c r="AU28" s="36">
        <f>[1]SFI!$J28</f>
        <v>2020.5951149999901</v>
      </c>
      <c r="AV28" s="31">
        <f t="shared" si="31"/>
        <v>2020.5951149999901</v>
      </c>
      <c r="AW28" s="18">
        <f t="shared" si="32"/>
        <v>0</v>
      </c>
      <c r="AX28" s="31">
        <f t="shared" si="33"/>
        <v>4392.6338366703876</v>
      </c>
      <c r="AY28" s="31"/>
      <c r="AZ28" s="27">
        <v>4392.6338366703876</v>
      </c>
      <c r="BA28" s="37">
        <f t="shared" si="7"/>
        <v>1.1739307415233502</v>
      </c>
      <c r="BB28" s="36">
        <f>[1]SFI!$K28</f>
        <v>2483.5504225</v>
      </c>
      <c r="BC28" s="31">
        <f t="shared" si="34"/>
        <v>2483.5504225</v>
      </c>
      <c r="BD28" s="18">
        <f t="shared" si="35"/>
        <v>0</v>
      </c>
      <c r="BE28" s="31">
        <f t="shared" si="36"/>
        <v>0</v>
      </c>
      <c r="BF28" s="31"/>
      <c r="BG28" s="27"/>
      <c r="BH28" s="37">
        <f t="shared" si="8"/>
        <v>-1</v>
      </c>
      <c r="BI28" s="36">
        <f>[1]SFI!$L28</f>
        <v>2020.5951149999901</v>
      </c>
      <c r="BJ28" s="31">
        <f t="shared" si="37"/>
        <v>2020.5951149999901</v>
      </c>
      <c r="BK28" s="18">
        <f t="shared" si="38"/>
        <v>0</v>
      </c>
      <c r="BL28" s="31">
        <f t="shared" si="39"/>
        <v>0</v>
      </c>
      <c r="BM28" s="31"/>
      <c r="BN28" s="33"/>
      <c r="BO28" s="37">
        <f t="shared" si="9"/>
        <v>-1</v>
      </c>
      <c r="BP28" s="36">
        <f>[1]SFI!$M28</f>
        <v>2020.5951149999901</v>
      </c>
      <c r="BQ28" s="31">
        <f t="shared" si="40"/>
        <v>2020.5951149999901</v>
      </c>
      <c r="BR28" s="18">
        <f t="shared" si="41"/>
        <v>0</v>
      </c>
      <c r="BS28" s="31">
        <f t="shared" si="42"/>
        <v>0</v>
      </c>
      <c r="BT28" s="31"/>
      <c r="BU28" s="33"/>
      <c r="BV28" s="37">
        <f t="shared" si="10"/>
        <v>-1</v>
      </c>
      <c r="BW28" s="36">
        <f>[1]SFI!$N28</f>
        <v>0</v>
      </c>
      <c r="BX28" s="31">
        <f t="shared" si="43"/>
        <v>0</v>
      </c>
      <c r="BY28" s="18">
        <f t="shared" si="44"/>
        <v>0</v>
      </c>
      <c r="BZ28" s="31">
        <f t="shared" si="45"/>
        <v>0</v>
      </c>
      <c r="CA28" s="31"/>
      <c r="CB28" s="33"/>
      <c r="CC28" s="37" t="str">
        <f t="shared" si="11"/>
        <v/>
      </c>
      <c r="CD28" s="36">
        <f>[1]SFI!$O28</f>
        <v>0</v>
      </c>
      <c r="CE28" s="31">
        <f t="shared" si="46"/>
        <v>0</v>
      </c>
      <c r="CF28" s="18">
        <f t="shared" si="47"/>
        <v>0</v>
      </c>
      <c r="CG28" s="31">
        <f t="shared" si="48"/>
        <v>0</v>
      </c>
      <c r="CH28" s="31"/>
      <c r="CI28" s="33"/>
      <c r="CJ28" s="37" t="str">
        <f t="shared" si="12"/>
        <v/>
      </c>
      <c r="CK28" s="36">
        <f>[1]SFI!$P28</f>
        <v>0</v>
      </c>
      <c r="CL28" s="31">
        <f t="shared" si="49"/>
        <v>0</v>
      </c>
      <c r="CM28" s="18">
        <f t="shared" si="50"/>
        <v>0</v>
      </c>
      <c r="CN28" s="31">
        <f t="shared" si="51"/>
        <v>0</v>
      </c>
      <c r="CO28" s="31"/>
      <c r="CP28" s="33"/>
      <c r="CQ28" s="37" t="str">
        <f t="shared" si="13"/>
        <v/>
      </c>
    </row>
    <row r="29" spans="1:95" s="26" customFormat="1" ht="16" customHeight="1" thickBot="1" x14ac:dyDescent="0.25">
      <c r="A29" s="29" t="s">
        <v>53</v>
      </c>
      <c r="B29" s="30">
        <f t="shared" si="0"/>
        <v>0</v>
      </c>
      <c r="C29" s="31">
        <f t="shared" si="0"/>
        <v>0</v>
      </c>
      <c r="D29" s="32">
        <f t="shared" si="0"/>
        <v>0</v>
      </c>
      <c r="E29" s="30">
        <f t="shared" si="14"/>
        <v>0</v>
      </c>
      <c r="F29" s="33">
        <f t="shared" si="14"/>
        <v>0</v>
      </c>
      <c r="G29" s="34">
        <f t="shared" si="14"/>
        <v>0</v>
      </c>
      <c r="H29" s="31">
        <f t="shared" si="1"/>
        <v>0</v>
      </c>
      <c r="I29" s="33">
        <f t="shared" si="1"/>
        <v>0</v>
      </c>
      <c r="J29" s="33">
        <f t="shared" si="1"/>
        <v>0</v>
      </c>
      <c r="K29" s="37" t="str">
        <f t="shared" si="15"/>
        <v/>
      </c>
      <c r="L29" s="36">
        <f>[1]SFI!$E29</f>
        <v>0</v>
      </c>
      <c r="M29" s="31">
        <f t="shared" si="16"/>
        <v>0</v>
      </c>
      <c r="N29" s="18">
        <f t="shared" si="17"/>
        <v>0</v>
      </c>
      <c r="O29" s="31">
        <f t="shared" si="18"/>
        <v>0</v>
      </c>
      <c r="P29" s="31"/>
      <c r="Q29" s="33"/>
      <c r="R29" s="37" t="str">
        <f t="shared" si="2"/>
        <v/>
      </c>
      <c r="S29" s="36">
        <f>[1]SFI!$F29</f>
        <v>0</v>
      </c>
      <c r="T29" s="31">
        <f t="shared" si="19"/>
        <v>0</v>
      </c>
      <c r="U29" s="18">
        <f t="shared" si="20"/>
        <v>0</v>
      </c>
      <c r="V29" s="31">
        <f t="shared" si="21"/>
        <v>0</v>
      </c>
      <c r="W29" s="31"/>
      <c r="X29" s="147"/>
      <c r="Y29" s="37" t="str">
        <f t="shared" si="3"/>
        <v/>
      </c>
      <c r="Z29" s="36">
        <f>[1]SFI!$G29</f>
        <v>0</v>
      </c>
      <c r="AA29" s="31">
        <f t="shared" si="22"/>
        <v>0</v>
      </c>
      <c r="AB29" s="18">
        <f t="shared" si="23"/>
        <v>0</v>
      </c>
      <c r="AC29" s="31">
        <f t="shared" si="24"/>
        <v>0</v>
      </c>
      <c r="AD29" s="31"/>
      <c r="AE29" s="27"/>
      <c r="AF29" s="37" t="str">
        <f t="shared" si="4"/>
        <v/>
      </c>
      <c r="AG29" s="36">
        <f>[1]SFI!$H29</f>
        <v>0</v>
      </c>
      <c r="AH29" s="31">
        <f t="shared" si="25"/>
        <v>0</v>
      </c>
      <c r="AI29" s="18">
        <f t="shared" si="26"/>
        <v>0</v>
      </c>
      <c r="AJ29" s="31">
        <f t="shared" si="27"/>
        <v>0</v>
      </c>
      <c r="AK29" s="31"/>
      <c r="AL29" s="33"/>
      <c r="AM29" s="37" t="str">
        <f t="shared" si="5"/>
        <v/>
      </c>
      <c r="AN29" s="36">
        <f>[1]SFI!$I29</f>
        <v>0</v>
      </c>
      <c r="AO29" s="31">
        <f t="shared" si="28"/>
        <v>0</v>
      </c>
      <c r="AP29" s="18">
        <f t="shared" si="29"/>
        <v>0</v>
      </c>
      <c r="AQ29" s="31">
        <f t="shared" si="30"/>
        <v>0</v>
      </c>
      <c r="AR29" s="31"/>
      <c r="AS29" s="33"/>
      <c r="AT29" s="37" t="str">
        <f t="shared" si="6"/>
        <v/>
      </c>
      <c r="AU29" s="36">
        <f>[1]SFI!$J29</f>
        <v>0</v>
      </c>
      <c r="AV29" s="31">
        <f t="shared" si="31"/>
        <v>0</v>
      </c>
      <c r="AW29" s="18">
        <f t="shared" si="32"/>
        <v>0</v>
      </c>
      <c r="AX29" s="31">
        <f t="shared" si="33"/>
        <v>0</v>
      </c>
      <c r="AY29" s="31"/>
      <c r="AZ29" s="27"/>
      <c r="BA29" s="37" t="str">
        <f t="shared" si="7"/>
        <v/>
      </c>
      <c r="BB29" s="36">
        <f>[1]SFI!$K29</f>
        <v>0</v>
      </c>
      <c r="BC29" s="31">
        <f t="shared" si="34"/>
        <v>0</v>
      </c>
      <c r="BD29" s="18">
        <f t="shared" si="35"/>
        <v>0</v>
      </c>
      <c r="BE29" s="31">
        <f t="shared" si="36"/>
        <v>0</v>
      </c>
      <c r="BF29" s="31"/>
      <c r="BG29" s="27"/>
      <c r="BH29" s="37" t="str">
        <f t="shared" si="8"/>
        <v/>
      </c>
      <c r="BI29" s="36">
        <f>[1]SFI!$L29</f>
        <v>0</v>
      </c>
      <c r="BJ29" s="31">
        <f t="shared" si="37"/>
        <v>0</v>
      </c>
      <c r="BK29" s="18">
        <f t="shared" si="38"/>
        <v>0</v>
      </c>
      <c r="BL29" s="31">
        <f t="shared" si="39"/>
        <v>0</v>
      </c>
      <c r="BM29" s="31"/>
      <c r="BN29" s="33"/>
      <c r="BO29" s="37" t="str">
        <f t="shared" si="9"/>
        <v/>
      </c>
      <c r="BP29" s="36">
        <f>[1]SFI!$M29</f>
        <v>0</v>
      </c>
      <c r="BQ29" s="31">
        <f t="shared" si="40"/>
        <v>0</v>
      </c>
      <c r="BR29" s="18">
        <f t="shared" si="41"/>
        <v>0</v>
      </c>
      <c r="BS29" s="31">
        <f t="shared" si="42"/>
        <v>0</v>
      </c>
      <c r="BT29" s="31"/>
      <c r="BU29" s="33"/>
      <c r="BV29" s="37" t="str">
        <f t="shared" si="10"/>
        <v/>
      </c>
      <c r="BW29" s="36">
        <f>[1]SFI!$N29</f>
        <v>0</v>
      </c>
      <c r="BX29" s="31">
        <f t="shared" si="43"/>
        <v>0</v>
      </c>
      <c r="BY29" s="18">
        <f t="shared" si="44"/>
        <v>0</v>
      </c>
      <c r="BZ29" s="31">
        <f t="shared" si="45"/>
        <v>0</v>
      </c>
      <c r="CA29" s="31"/>
      <c r="CB29" s="33"/>
      <c r="CC29" s="37" t="str">
        <f t="shared" si="11"/>
        <v/>
      </c>
      <c r="CD29" s="36">
        <f>[1]SFI!$O29</f>
        <v>0</v>
      </c>
      <c r="CE29" s="31">
        <f t="shared" si="46"/>
        <v>0</v>
      </c>
      <c r="CF29" s="18">
        <f t="shared" si="47"/>
        <v>0</v>
      </c>
      <c r="CG29" s="31">
        <f t="shared" si="48"/>
        <v>0</v>
      </c>
      <c r="CH29" s="31"/>
      <c r="CI29" s="33"/>
      <c r="CJ29" s="37" t="str">
        <f t="shared" si="12"/>
        <v/>
      </c>
      <c r="CK29" s="36">
        <f>[1]SFI!$P29</f>
        <v>0</v>
      </c>
      <c r="CL29" s="31">
        <f t="shared" si="49"/>
        <v>0</v>
      </c>
      <c r="CM29" s="18">
        <f t="shared" si="50"/>
        <v>0</v>
      </c>
      <c r="CN29" s="31">
        <f t="shared" si="51"/>
        <v>0</v>
      </c>
      <c r="CO29" s="31"/>
      <c r="CP29" s="33"/>
      <c r="CQ29" s="37" t="str">
        <f t="shared" si="13"/>
        <v/>
      </c>
    </row>
    <row r="30" spans="1:95" s="26" customFormat="1" ht="16" customHeight="1" thickBot="1" x14ac:dyDescent="0.25">
      <c r="A30" s="29" t="s">
        <v>54</v>
      </c>
      <c r="B30" s="30">
        <f t="shared" si="0"/>
        <v>30013.837106507286</v>
      </c>
      <c r="C30" s="31">
        <f t="shared" si="0"/>
        <v>30013.837106507286</v>
      </c>
      <c r="D30" s="32">
        <f t="shared" si="0"/>
        <v>0</v>
      </c>
      <c r="E30" s="30">
        <f t="shared" si="14"/>
        <v>10004.612368835762</v>
      </c>
      <c r="F30" s="33">
        <f t="shared" si="14"/>
        <v>10004.612368835762</v>
      </c>
      <c r="G30" s="34">
        <f t="shared" si="14"/>
        <v>0</v>
      </c>
      <c r="H30" s="31">
        <f t="shared" si="1"/>
        <v>20479.755574910752</v>
      </c>
      <c r="I30" s="33">
        <f t="shared" si="1"/>
        <v>0</v>
      </c>
      <c r="J30" s="33">
        <f t="shared" si="1"/>
        <v>20479.755574910752</v>
      </c>
      <c r="K30" s="37">
        <f t="shared" si="15"/>
        <v>1.0470313911116564</v>
      </c>
      <c r="L30" s="36">
        <f>[1]SFI!$E30</f>
        <v>2501.1530922089405</v>
      </c>
      <c r="M30" s="31">
        <f t="shared" si="16"/>
        <v>2501.1530922089405</v>
      </c>
      <c r="N30" s="18">
        <f t="shared" si="17"/>
        <v>0</v>
      </c>
      <c r="O30" s="31">
        <f t="shared" si="18"/>
        <v>2161.0489607689683</v>
      </c>
      <c r="P30" s="31"/>
      <c r="Q30" s="33">
        <v>2161.0489607689683</v>
      </c>
      <c r="R30" s="37">
        <f t="shared" si="2"/>
        <v>-0.13597893407620354</v>
      </c>
      <c r="S30" s="36">
        <f>[1]SFI!$F30</f>
        <v>2501.1530922089405</v>
      </c>
      <c r="T30" s="31">
        <f t="shared" si="19"/>
        <v>2501.1530922089405</v>
      </c>
      <c r="U30" s="18">
        <f t="shared" si="20"/>
        <v>0</v>
      </c>
      <c r="V30" s="31">
        <f t="shared" si="21"/>
        <v>2083.0519093444591</v>
      </c>
      <c r="W30" s="31"/>
      <c r="X30" s="147">
        <f>'[4]SÃO FRANCISCO'!X30*'[3]SF I'!$X$4</f>
        <v>2083.0519093444591</v>
      </c>
      <c r="Y30" s="37">
        <f t="shared" si="3"/>
        <v>-0.16716337123339675</v>
      </c>
      <c r="Z30" s="36">
        <f>[1]SFI!$G30</f>
        <v>2501.1530922089405</v>
      </c>
      <c r="AA30" s="31">
        <f t="shared" si="22"/>
        <v>2501.1530922089405</v>
      </c>
      <c r="AB30" s="18">
        <f t="shared" si="23"/>
        <v>0</v>
      </c>
      <c r="AC30" s="31">
        <f t="shared" si="24"/>
        <v>1137.658060810737</v>
      </c>
      <c r="AD30" s="31"/>
      <c r="AE30" s="33">
        <f>'[4]SÃO FRANCISCO'!AE30*'[2]SF I'!$X$4</f>
        <v>1137.658060810737</v>
      </c>
      <c r="AF30" s="37">
        <f t="shared" si="4"/>
        <v>-0.54514657085384854</v>
      </c>
      <c r="AG30" s="36">
        <f>[1]SFI!$H30</f>
        <v>2501.1530922089405</v>
      </c>
      <c r="AH30" s="31">
        <f t="shared" si="25"/>
        <v>2501.1530922089405</v>
      </c>
      <c r="AI30" s="18">
        <f t="shared" si="26"/>
        <v>0</v>
      </c>
      <c r="AJ30" s="31">
        <f t="shared" si="27"/>
        <v>1099.3417373226314</v>
      </c>
      <c r="AK30" s="31"/>
      <c r="AL30" s="33">
        <f>'[4]SÃO FRANCISCO'!AL30*'[3]SF I'!$X$4</f>
        <v>1099.3417373226314</v>
      </c>
      <c r="AM30" s="37">
        <f t="shared" si="5"/>
        <v>-0.56046603434749087</v>
      </c>
      <c r="AN30" s="36">
        <f>[1]SFI!$I30</f>
        <v>2501.1530922089405</v>
      </c>
      <c r="AO30" s="31">
        <f t="shared" si="28"/>
        <v>2501.1530922089405</v>
      </c>
      <c r="AP30" s="18">
        <f t="shared" si="29"/>
        <v>0</v>
      </c>
      <c r="AQ30" s="31">
        <f t="shared" si="30"/>
        <v>9930.3896812047606</v>
      </c>
      <c r="AR30" s="31"/>
      <c r="AS30" s="33">
        <v>9930.3896812047606</v>
      </c>
      <c r="AT30" s="37">
        <f t="shared" si="6"/>
        <v>2.9703246123309266</v>
      </c>
      <c r="AU30" s="36">
        <f>[1]SFI!$J30</f>
        <v>2501.1530922089405</v>
      </c>
      <c r="AV30" s="31">
        <f t="shared" si="31"/>
        <v>2501.1530922089405</v>
      </c>
      <c r="AW30" s="18">
        <f t="shared" si="32"/>
        <v>0</v>
      </c>
      <c r="AX30" s="31">
        <f t="shared" si="33"/>
        <v>4068.2652254591949</v>
      </c>
      <c r="AY30" s="31"/>
      <c r="AZ30" s="33">
        <v>4068.2652254591949</v>
      </c>
      <c r="BA30" s="37">
        <f t="shared" si="7"/>
        <v>0.62655586262663743</v>
      </c>
      <c r="BB30" s="36">
        <f>[1]SFI!$K30</f>
        <v>2501.1530922089405</v>
      </c>
      <c r="BC30" s="31">
        <f t="shared" si="34"/>
        <v>2501.1530922089405</v>
      </c>
      <c r="BD30" s="18">
        <f t="shared" si="35"/>
        <v>0</v>
      </c>
      <c r="BE30" s="31">
        <f t="shared" si="36"/>
        <v>0</v>
      </c>
      <c r="BF30" s="31"/>
      <c r="BG30" s="33">
        <f>'[4]SÃO FRANCISCO'!BG30*'[3]SF I'!$X$4</f>
        <v>0</v>
      </c>
      <c r="BH30" s="37">
        <f t="shared" si="8"/>
        <v>-1</v>
      </c>
      <c r="BI30" s="36">
        <f>[1]SFI!$L30</f>
        <v>2501.1530922089405</v>
      </c>
      <c r="BJ30" s="31">
        <f t="shared" si="37"/>
        <v>2501.1530922089405</v>
      </c>
      <c r="BK30" s="18">
        <f t="shared" si="38"/>
        <v>0</v>
      </c>
      <c r="BL30" s="31">
        <f t="shared" si="39"/>
        <v>0</v>
      </c>
      <c r="BM30" s="31"/>
      <c r="BN30" s="33">
        <f>'[4]SÃO FRANCISCO'!BN30*'[3]SF I'!$X$4</f>
        <v>0</v>
      </c>
      <c r="BO30" s="37">
        <f t="shared" si="9"/>
        <v>-1</v>
      </c>
      <c r="BP30" s="36">
        <f>[1]SFI!$M30</f>
        <v>2501.1530922089405</v>
      </c>
      <c r="BQ30" s="31">
        <f t="shared" si="40"/>
        <v>2501.1530922089405</v>
      </c>
      <c r="BR30" s="18">
        <f t="shared" si="41"/>
        <v>0</v>
      </c>
      <c r="BS30" s="31">
        <f t="shared" si="42"/>
        <v>0</v>
      </c>
      <c r="BT30" s="31"/>
      <c r="BU30" s="33">
        <f>'[4]SÃO FRANCISCO'!BU30*'[3]SF I'!$X$4</f>
        <v>0</v>
      </c>
      <c r="BV30" s="37">
        <f t="shared" si="10"/>
        <v>-1</v>
      </c>
      <c r="BW30" s="36">
        <f>[1]SFI!$N30</f>
        <v>2501.1530922089405</v>
      </c>
      <c r="BX30" s="31">
        <f t="shared" si="43"/>
        <v>2501.1530922089405</v>
      </c>
      <c r="BY30" s="18">
        <f t="shared" si="44"/>
        <v>0</v>
      </c>
      <c r="BZ30" s="31">
        <f t="shared" si="45"/>
        <v>0</v>
      </c>
      <c r="CA30" s="31"/>
      <c r="CB30" s="33">
        <f>'[4]SÃO FRANCISCO'!CB30*'[3]SF I'!$X$4</f>
        <v>0</v>
      </c>
      <c r="CC30" s="37">
        <f t="shared" si="11"/>
        <v>-1</v>
      </c>
      <c r="CD30" s="36">
        <f>[1]SFI!$O30</f>
        <v>2501.1530922089405</v>
      </c>
      <c r="CE30" s="31">
        <f t="shared" si="46"/>
        <v>2501.1530922089405</v>
      </c>
      <c r="CF30" s="18">
        <f t="shared" si="47"/>
        <v>0</v>
      </c>
      <c r="CG30" s="31">
        <f t="shared" si="48"/>
        <v>0</v>
      </c>
      <c r="CH30" s="31"/>
      <c r="CI30" s="33">
        <f>'[4]SÃO FRANCISCO'!CI30*'[3]SF I'!$X$4</f>
        <v>0</v>
      </c>
      <c r="CJ30" s="37">
        <f t="shared" si="12"/>
        <v>-1</v>
      </c>
      <c r="CK30" s="36">
        <f>[1]SFI!$P30</f>
        <v>2501.1530922089405</v>
      </c>
      <c r="CL30" s="31">
        <f t="shared" si="49"/>
        <v>2501.1530922089405</v>
      </c>
      <c r="CM30" s="18">
        <f t="shared" si="50"/>
        <v>0</v>
      </c>
      <c r="CN30" s="31">
        <f t="shared" si="51"/>
        <v>0</v>
      </c>
      <c r="CO30" s="31"/>
      <c r="CP30" s="33">
        <f>'[4]SÃO FRANCISCO'!CP30*'[3]SF I'!$X$4</f>
        <v>0</v>
      </c>
      <c r="CQ30" s="37">
        <f t="shared" si="13"/>
        <v>-1</v>
      </c>
    </row>
    <row r="31" spans="1:95" s="26" customFormat="1" ht="16" customHeight="1" thickBot="1" x14ac:dyDescent="0.25">
      <c r="A31" s="38" t="s">
        <v>55</v>
      </c>
      <c r="B31" s="30">
        <f t="shared" si="0"/>
        <v>5002.306184417881</v>
      </c>
      <c r="C31" s="31">
        <f t="shared" si="0"/>
        <v>5002.306184417881</v>
      </c>
      <c r="D31" s="32">
        <f t="shared" si="0"/>
        <v>0</v>
      </c>
      <c r="E31" s="30">
        <f t="shared" si="14"/>
        <v>1667.4353948059604</v>
      </c>
      <c r="F31" s="33">
        <f t="shared" si="14"/>
        <v>1667.4353948059604</v>
      </c>
      <c r="G31" s="34">
        <f t="shared" si="14"/>
        <v>0</v>
      </c>
      <c r="H31" s="31">
        <f t="shared" si="1"/>
        <v>56905.630798097962</v>
      </c>
      <c r="I31" s="33">
        <f t="shared" si="1"/>
        <v>0</v>
      </c>
      <c r="J31" s="33">
        <f t="shared" si="1"/>
        <v>56905.630798097962</v>
      </c>
      <c r="K31" s="37">
        <f t="shared" si="15"/>
        <v>33.1276375536697</v>
      </c>
      <c r="L31" s="36">
        <f>[1]SFI!$E31</f>
        <v>416.8588487014901</v>
      </c>
      <c r="M31" s="31">
        <f t="shared" si="16"/>
        <v>416.8588487014901</v>
      </c>
      <c r="N31" s="18">
        <f t="shared" si="17"/>
        <v>0</v>
      </c>
      <c r="O31" s="31">
        <f t="shared" si="18"/>
        <v>11005.341929841969</v>
      </c>
      <c r="P31" s="31"/>
      <c r="Q31" s="33">
        <v>11005.341929841969</v>
      </c>
      <c r="R31" s="37">
        <f t="shared" si="2"/>
        <v>25.40064368100489</v>
      </c>
      <c r="S31" s="36">
        <f>[1]SFI!$F31</f>
        <v>416.8588487014901</v>
      </c>
      <c r="T31" s="31">
        <f t="shared" si="19"/>
        <v>416.8588487014901</v>
      </c>
      <c r="U31" s="18">
        <f t="shared" si="20"/>
        <v>0</v>
      </c>
      <c r="V31" s="31">
        <f t="shared" si="21"/>
        <v>33492.653310268091</v>
      </c>
      <c r="W31" s="31"/>
      <c r="X31" s="147">
        <f>'[4]SÃO FRANCISCO'!X31*'[3]SF I'!$X$4</f>
        <v>33492.653310268091</v>
      </c>
      <c r="Y31" s="37">
        <f t="shared" si="3"/>
        <v>79.345309724376179</v>
      </c>
      <c r="Z31" s="36">
        <f>[1]SFI!$G31</f>
        <v>416.8588487014901</v>
      </c>
      <c r="AA31" s="31">
        <f t="shared" si="22"/>
        <v>416.8588487014901</v>
      </c>
      <c r="AB31" s="18">
        <f t="shared" si="23"/>
        <v>0</v>
      </c>
      <c r="AC31" s="31">
        <f t="shared" si="24"/>
        <v>0</v>
      </c>
      <c r="AD31" s="31"/>
      <c r="AE31" s="33">
        <f>'[4]SÃO FRANCISCO'!AE31*'[2]SF I'!$X$4</f>
        <v>0</v>
      </c>
      <c r="AF31" s="37">
        <f t="shared" si="4"/>
        <v>-1</v>
      </c>
      <c r="AG31" s="36">
        <f>[1]SFI!$H31</f>
        <v>416.8588487014901</v>
      </c>
      <c r="AH31" s="31">
        <f t="shared" si="25"/>
        <v>416.8588487014901</v>
      </c>
      <c r="AI31" s="18">
        <f t="shared" si="26"/>
        <v>0</v>
      </c>
      <c r="AJ31" s="31">
        <f t="shared" si="27"/>
        <v>6140.8643325409257</v>
      </c>
      <c r="AK31" s="31"/>
      <c r="AL31" s="33">
        <f>'[4]SÃO FRANCISCO'!AL31*'[3]SF I'!$X$4</f>
        <v>6140.8643325409257</v>
      </c>
      <c r="AM31" s="37">
        <f t="shared" si="5"/>
        <v>13.731279788517476</v>
      </c>
      <c r="AN31" s="36">
        <f>[1]SFI!$I31</f>
        <v>416.8588487014901</v>
      </c>
      <c r="AO31" s="31">
        <f t="shared" si="28"/>
        <v>416.8588487014901</v>
      </c>
      <c r="AP31" s="18">
        <f t="shared" si="29"/>
        <v>0</v>
      </c>
      <c r="AQ31" s="31">
        <f t="shared" si="30"/>
        <v>481.77998622437411</v>
      </c>
      <c r="AR31" s="31"/>
      <c r="AS31" s="33">
        <v>481.77998622437411</v>
      </c>
      <c r="AT31" s="37">
        <f t="shared" si="6"/>
        <v>0.15573889753117265</v>
      </c>
      <c r="AU31" s="36">
        <f>[1]SFI!$J31</f>
        <v>416.8588487014901</v>
      </c>
      <c r="AV31" s="31">
        <f t="shared" si="31"/>
        <v>416.8588487014901</v>
      </c>
      <c r="AW31" s="18">
        <f t="shared" si="32"/>
        <v>0</v>
      </c>
      <c r="AX31" s="31">
        <f t="shared" si="33"/>
        <v>5784.991239222597</v>
      </c>
      <c r="AY31" s="31"/>
      <c r="AZ31" s="27">
        <v>5784.991239222597</v>
      </c>
      <c r="BA31" s="37">
        <f t="shared" si="7"/>
        <v>12.87757812324908</v>
      </c>
      <c r="BB31" s="36">
        <f>[1]SFI!$K31</f>
        <v>416.8588487014901</v>
      </c>
      <c r="BC31" s="31">
        <f t="shared" si="34"/>
        <v>416.8588487014901</v>
      </c>
      <c r="BD31" s="18">
        <f t="shared" si="35"/>
        <v>0</v>
      </c>
      <c r="BE31" s="31">
        <f t="shared" si="36"/>
        <v>0</v>
      </c>
      <c r="BF31" s="31"/>
      <c r="BG31" s="27">
        <f>'[4]SÃO FRANCISCO'!BG31*'[3]SF I'!$X$4</f>
        <v>0</v>
      </c>
      <c r="BH31" s="37">
        <f t="shared" si="8"/>
        <v>-1</v>
      </c>
      <c r="BI31" s="36">
        <f>[1]SFI!$L31</f>
        <v>416.8588487014901</v>
      </c>
      <c r="BJ31" s="31">
        <f t="shared" si="37"/>
        <v>416.8588487014901</v>
      </c>
      <c r="BK31" s="18">
        <f t="shared" si="38"/>
        <v>0</v>
      </c>
      <c r="BL31" s="31">
        <f t="shared" si="39"/>
        <v>0</v>
      </c>
      <c r="BM31" s="31"/>
      <c r="BN31" s="33">
        <f>'[4]SÃO FRANCISCO'!BN31*'[3]SF I'!$X$4</f>
        <v>0</v>
      </c>
      <c r="BO31" s="37">
        <f t="shared" si="9"/>
        <v>-1</v>
      </c>
      <c r="BP31" s="36">
        <f>[1]SFI!$M31</f>
        <v>416.8588487014901</v>
      </c>
      <c r="BQ31" s="31">
        <f t="shared" si="40"/>
        <v>416.8588487014901</v>
      </c>
      <c r="BR31" s="18">
        <f t="shared" si="41"/>
        <v>0</v>
      </c>
      <c r="BS31" s="31">
        <f t="shared" si="42"/>
        <v>0</v>
      </c>
      <c r="BT31" s="31"/>
      <c r="BU31" s="33">
        <f>'[4]SÃO FRANCISCO'!BU31*'[3]SF I'!$X$4</f>
        <v>0</v>
      </c>
      <c r="BV31" s="37">
        <f t="shared" si="10"/>
        <v>-1</v>
      </c>
      <c r="BW31" s="36">
        <f>[1]SFI!$N31</f>
        <v>416.8588487014901</v>
      </c>
      <c r="BX31" s="31">
        <f t="shared" si="43"/>
        <v>416.8588487014901</v>
      </c>
      <c r="BY31" s="18">
        <f t="shared" si="44"/>
        <v>0</v>
      </c>
      <c r="BZ31" s="31">
        <f t="shared" si="45"/>
        <v>0</v>
      </c>
      <c r="CA31" s="31"/>
      <c r="CB31" s="33">
        <f>'[4]SÃO FRANCISCO'!CB31*'[3]SF I'!$X$4</f>
        <v>0</v>
      </c>
      <c r="CC31" s="37">
        <f t="shared" si="11"/>
        <v>-1</v>
      </c>
      <c r="CD31" s="36">
        <f>[1]SFI!$O31</f>
        <v>416.8588487014901</v>
      </c>
      <c r="CE31" s="31">
        <f t="shared" si="46"/>
        <v>416.8588487014901</v>
      </c>
      <c r="CF31" s="18">
        <f t="shared" si="47"/>
        <v>0</v>
      </c>
      <c r="CG31" s="31">
        <f t="shared" si="48"/>
        <v>0</v>
      </c>
      <c r="CH31" s="31"/>
      <c r="CI31" s="33">
        <f>'[4]SÃO FRANCISCO'!CI31*'[3]SF I'!$X$4</f>
        <v>0</v>
      </c>
      <c r="CJ31" s="37">
        <f t="shared" si="12"/>
        <v>-1</v>
      </c>
      <c r="CK31" s="36">
        <f>[1]SFI!$P31</f>
        <v>416.8588487014901</v>
      </c>
      <c r="CL31" s="31">
        <f t="shared" si="49"/>
        <v>416.8588487014901</v>
      </c>
      <c r="CM31" s="18">
        <f t="shared" si="50"/>
        <v>0</v>
      </c>
      <c r="CN31" s="31">
        <f t="shared" si="51"/>
        <v>0</v>
      </c>
      <c r="CO31" s="31"/>
      <c r="CP31" s="33">
        <f>'[4]SÃO FRANCISCO'!CP31*'[3]SF I'!$X$4</f>
        <v>0</v>
      </c>
      <c r="CQ31" s="37">
        <f t="shared" si="13"/>
        <v>-1</v>
      </c>
    </row>
    <row r="32" spans="1:95" s="26" customFormat="1" ht="16" customHeight="1" thickBot="1" x14ac:dyDescent="0.25">
      <c r="A32" s="29" t="s">
        <v>202</v>
      </c>
      <c r="B32" s="30">
        <f t="shared" si="0"/>
        <v>927973.71475092927</v>
      </c>
      <c r="C32" s="31">
        <f t="shared" si="0"/>
        <v>927973.71475092927</v>
      </c>
      <c r="D32" s="32">
        <f t="shared" si="0"/>
        <v>0</v>
      </c>
      <c r="E32" s="30">
        <f t="shared" si="14"/>
        <v>927973.71475092927</v>
      </c>
      <c r="F32" s="33">
        <f t="shared" si="14"/>
        <v>927973.71475092927</v>
      </c>
      <c r="G32" s="34">
        <f t="shared" si="14"/>
        <v>0</v>
      </c>
      <c r="H32" s="31">
        <f t="shared" si="1"/>
        <v>1052089.52</v>
      </c>
      <c r="I32" s="33">
        <f t="shared" si="1"/>
        <v>0</v>
      </c>
      <c r="J32" s="33">
        <f t="shared" si="1"/>
        <v>1052089.52</v>
      </c>
      <c r="K32" s="37">
        <f t="shared" si="15"/>
        <v>0.13374926819170074</v>
      </c>
      <c r="L32" s="36">
        <f>[1]SFI!$E32</f>
        <v>214147.78032713759</v>
      </c>
      <c r="M32" s="31">
        <f t="shared" si="16"/>
        <v>214147.78032713759</v>
      </c>
      <c r="N32" s="18">
        <f t="shared" si="17"/>
        <v>0</v>
      </c>
      <c r="O32" s="31">
        <f t="shared" si="18"/>
        <v>95204.19</v>
      </c>
      <c r="P32" s="31"/>
      <c r="Q32" s="33">
        <v>95204.19</v>
      </c>
      <c r="R32" s="37">
        <f t="shared" si="2"/>
        <v>-0.55542761239661853</v>
      </c>
      <c r="S32" s="36">
        <f>[1]SFI!$F32</f>
        <v>285530.37376951671</v>
      </c>
      <c r="T32" s="31">
        <f t="shared" si="19"/>
        <v>285530.37376951671</v>
      </c>
      <c r="U32" s="18">
        <f t="shared" si="20"/>
        <v>0</v>
      </c>
      <c r="V32" s="31">
        <f t="shared" si="21"/>
        <v>195841.72</v>
      </c>
      <c r="W32" s="31"/>
      <c r="X32" s="147">
        <f>182888.32+2114.84+10838.56</f>
        <v>195841.72</v>
      </c>
      <c r="Y32" s="37">
        <f t="shared" si="3"/>
        <v>-0.3141124798229501</v>
      </c>
      <c r="Z32" s="36">
        <f>[1]SFI!$G32</f>
        <v>285530.37376951671</v>
      </c>
      <c r="AA32" s="31">
        <f t="shared" si="22"/>
        <v>285530.37376951671</v>
      </c>
      <c r="AB32" s="18">
        <f t="shared" si="23"/>
        <v>0</v>
      </c>
      <c r="AC32" s="31">
        <f t="shared" si="24"/>
        <v>256295.34</v>
      </c>
      <c r="AD32" s="31"/>
      <c r="AE32" s="27">
        <f>246706.64+8444.84+1143.86</f>
        <v>256295.34</v>
      </c>
      <c r="AF32" s="37">
        <f t="shared" si="4"/>
        <v>-0.10238852484785232</v>
      </c>
      <c r="AG32" s="36">
        <f>[1]SFI!$H32</f>
        <v>142765.18688475835</v>
      </c>
      <c r="AH32" s="31">
        <f t="shared" si="25"/>
        <v>142765.18688475835</v>
      </c>
      <c r="AI32" s="18">
        <f t="shared" si="26"/>
        <v>0</v>
      </c>
      <c r="AJ32" s="31">
        <f t="shared" si="27"/>
        <v>178754.72</v>
      </c>
      <c r="AK32" s="31"/>
      <c r="AL32" s="33">
        <v>178754.72</v>
      </c>
      <c r="AM32" s="37">
        <f t="shared" si="5"/>
        <v>0.25208899943018181</v>
      </c>
      <c r="AN32" s="36">
        <f>[1]SFI!$I32</f>
        <v>0</v>
      </c>
      <c r="AO32" s="31">
        <f t="shared" si="28"/>
        <v>0</v>
      </c>
      <c r="AP32" s="18">
        <f t="shared" si="29"/>
        <v>0</v>
      </c>
      <c r="AQ32" s="31">
        <f t="shared" si="30"/>
        <v>195616.52</v>
      </c>
      <c r="AR32" s="31"/>
      <c r="AS32" s="33">
        <v>195616.52</v>
      </c>
      <c r="AT32" s="37" t="str">
        <f t="shared" si="6"/>
        <v/>
      </c>
      <c r="AU32" s="36">
        <f>[1]SFI!$J32</f>
        <v>0</v>
      </c>
      <c r="AV32" s="31">
        <f t="shared" si="31"/>
        <v>0</v>
      </c>
      <c r="AW32" s="18">
        <f t="shared" si="32"/>
        <v>0</v>
      </c>
      <c r="AX32" s="31">
        <f t="shared" si="33"/>
        <v>130377.03</v>
      </c>
      <c r="AY32" s="31"/>
      <c r="AZ32" s="27">
        <v>130377.03</v>
      </c>
      <c r="BA32" s="37" t="str">
        <f t="shared" si="7"/>
        <v/>
      </c>
      <c r="BB32" s="36">
        <f>[1]SFI!$K32</f>
        <v>0</v>
      </c>
      <c r="BC32" s="31">
        <f t="shared" si="34"/>
        <v>0</v>
      </c>
      <c r="BD32" s="18">
        <f t="shared" si="35"/>
        <v>0</v>
      </c>
      <c r="BE32" s="31">
        <f t="shared" si="36"/>
        <v>0</v>
      </c>
      <c r="BF32" s="31"/>
      <c r="BG32" s="33">
        <f>'[4]SÃO FRANCISCO'!BG32*'[3]SF I'!$X$4</f>
        <v>0</v>
      </c>
      <c r="BH32" s="37" t="str">
        <f t="shared" si="8"/>
        <v/>
      </c>
      <c r="BI32" s="36">
        <f>[1]SFI!$L32</f>
        <v>0</v>
      </c>
      <c r="BJ32" s="31">
        <f t="shared" si="37"/>
        <v>0</v>
      </c>
      <c r="BK32" s="18">
        <f t="shared" si="38"/>
        <v>0</v>
      </c>
      <c r="BL32" s="31">
        <f t="shared" si="39"/>
        <v>0</v>
      </c>
      <c r="BM32" s="31"/>
      <c r="BN32" s="33">
        <f>'[4]SÃO FRANCISCO'!BN32*'[3]SF I'!$X$4</f>
        <v>0</v>
      </c>
      <c r="BO32" s="37" t="str">
        <f t="shared" si="9"/>
        <v/>
      </c>
      <c r="BP32" s="36">
        <f>[1]SFI!$M32</f>
        <v>0</v>
      </c>
      <c r="BQ32" s="31">
        <f t="shared" si="40"/>
        <v>0</v>
      </c>
      <c r="BR32" s="18">
        <f t="shared" si="41"/>
        <v>0</v>
      </c>
      <c r="BS32" s="31">
        <f t="shared" si="42"/>
        <v>0</v>
      </c>
      <c r="BT32" s="31"/>
      <c r="BU32" s="33">
        <f>'[4]SÃO FRANCISCO'!BU32*'[3]SF I'!$X$4</f>
        <v>0</v>
      </c>
      <c r="BV32" s="37" t="str">
        <f t="shared" si="10"/>
        <v/>
      </c>
      <c r="BW32" s="36">
        <f>[1]SFI!$N32</f>
        <v>0</v>
      </c>
      <c r="BX32" s="31">
        <f t="shared" si="43"/>
        <v>0</v>
      </c>
      <c r="BY32" s="18">
        <f t="shared" si="44"/>
        <v>0</v>
      </c>
      <c r="BZ32" s="31">
        <f t="shared" si="45"/>
        <v>0</v>
      </c>
      <c r="CA32" s="31"/>
      <c r="CB32" s="33">
        <f>'[4]SÃO FRANCISCO'!CB32*'[3]SF I'!$X$4</f>
        <v>0</v>
      </c>
      <c r="CC32" s="37" t="str">
        <f t="shared" si="11"/>
        <v/>
      </c>
      <c r="CD32" s="36">
        <f>[1]SFI!$O32</f>
        <v>0</v>
      </c>
      <c r="CE32" s="31">
        <f t="shared" si="46"/>
        <v>0</v>
      </c>
      <c r="CF32" s="18">
        <f t="shared" si="47"/>
        <v>0</v>
      </c>
      <c r="CG32" s="31">
        <f t="shared" si="48"/>
        <v>0</v>
      </c>
      <c r="CH32" s="31"/>
      <c r="CI32" s="33">
        <f>'[4]SÃO FRANCISCO'!CI32*'[3]SF I'!$X$4</f>
        <v>0</v>
      </c>
      <c r="CJ32" s="37" t="str">
        <f t="shared" si="12"/>
        <v/>
      </c>
      <c r="CK32" s="36">
        <f>[1]SFI!$P32</f>
        <v>0</v>
      </c>
      <c r="CL32" s="31">
        <f t="shared" si="49"/>
        <v>0</v>
      </c>
      <c r="CM32" s="18">
        <f t="shared" si="50"/>
        <v>0</v>
      </c>
      <c r="CN32" s="31">
        <f t="shared" si="51"/>
        <v>0</v>
      </c>
      <c r="CO32" s="31"/>
      <c r="CP32" s="33">
        <f>'[4]SÃO FRANCISCO'!CP32*'[3]SF I'!$X$4</f>
        <v>0</v>
      </c>
      <c r="CQ32" s="37" t="str">
        <f t="shared" si="13"/>
        <v/>
      </c>
    </row>
    <row r="33" spans="1:95" s="26" customFormat="1" ht="16" customHeight="1" thickBot="1" x14ac:dyDescent="0.25">
      <c r="A33" s="29" t="s">
        <v>57</v>
      </c>
      <c r="B33" s="30">
        <f t="shared" si="0"/>
        <v>530612.24489795929</v>
      </c>
      <c r="C33" s="31">
        <f t="shared" si="0"/>
        <v>530612.24489795929</v>
      </c>
      <c r="D33" s="32">
        <f t="shared" si="0"/>
        <v>0</v>
      </c>
      <c r="E33" s="30">
        <f t="shared" si="14"/>
        <v>530612.24489795929</v>
      </c>
      <c r="F33" s="33">
        <f t="shared" si="14"/>
        <v>530612.24489795929</v>
      </c>
      <c r="G33" s="34">
        <f t="shared" si="14"/>
        <v>0</v>
      </c>
      <c r="H33" s="31">
        <f t="shared" si="1"/>
        <v>1057901.73</v>
      </c>
      <c r="I33" s="33">
        <f t="shared" si="1"/>
        <v>0</v>
      </c>
      <c r="J33" s="33">
        <f t="shared" si="1"/>
        <v>1057901.73</v>
      </c>
      <c r="K33" s="37">
        <f t="shared" si="15"/>
        <v>0.99373787576923034</v>
      </c>
      <c r="L33" s="36">
        <f>[1]SFI!$E33</f>
        <v>122448.97959183673</v>
      </c>
      <c r="M33" s="31">
        <f t="shared" si="16"/>
        <v>122448.97959183673</v>
      </c>
      <c r="N33" s="18">
        <f t="shared" si="17"/>
        <v>0</v>
      </c>
      <c r="O33" s="31">
        <f t="shared" si="18"/>
        <v>36031.39</v>
      </c>
      <c r="P33" s="31"/>
      <c r="Q33" s="33">
        <v>36031.39</v>
      </c>
      <c r="R33" s="37">
        <f t="shared" si="2"/>
        <v>-0.70574364833333325</v>
      </c>
      <c r="S33" s="36">
        <f>[1]SFI!$F33</f>
        <v>163265.30612244899</v>
      </c>
      <c r="T33" s="31">
        <f t="shared" si="19"/>
        <v>163265.30612244899</v>
      </c>
      <c r="U33" s="18">
        <f t="shared" si="20"/>
        <v>0</v>
      </c>
      <c r="V33" s="31">
        <f t="shared" si="21"/>
        <v>190707.63</v>
      </c>
      <c r="W33" s="31"/>
      <c r="X33" s="147">
        <v>190707.63</v>
      </c>
      <c r="Y33" s="37">
        <f t="shared" si="3"/>
        <v>0.16808423374999992</v>
      </c>
      <c r="Z33" s="36">
        <f>[1]SFI!$G33</f>
        <v>163265.30612244899</v>
      </c>
      <c r="AA33" s="31">
        <f t="shared" si="22"/>
        <v>163265.30612244899</v>
      </c>
      <c r="AB33" s="18">
        <f t="shared" si="23"/>
        <v>0</v>
      </c>
      <c r="AC33" s="31">
        <f t="shared" si="24"/>
        <v>294717.03999999998</v>
      </c>
      <c r="AD33" s="31"/>
      <c r="AE33" s="27">
        <v>294717.03999999998</v>
      </c>
      <c r="AF33" s="37">
        <f t="shared" si="4"/>
        <v>0.8051418699999997</v>
      </c>
      <c r="AG33" s="36">
        <f>[1]SFI!$H33</f>
        <v>81632.653061224497</v>
      </c>
      <c r="AH33" s="31">
        <f t="shared" si="25"/>
        <v>81632.653061224497</v>
      </c>
      <c r="AI33" s="18">
        <f t="shared" si="26"/>
        <v>0</v>
      </c>
      <c r="AJ33" s="31">
        <f t="shared" si="27"/>
        <v>187379.57</v>
      </c>
      <c r="AK33" s="31"/>
      <c r="AL33" s="33">
        <v>187379.57</v>
      </c>
      <c r="AM33" s="37">
        <f t="shared" si="5"/>
        <v>1.2953997325</v>
      </c>
      <c r="AN33" s="36">
        <f>[1]SFI!$I33</f>
        <v>0</v>
      </c>
      <c r="AO33" s="31">
        <f t="shared" si="28"/>
        <v>0</v>
      </c>
      <c r="AP33" s="18">
        <f t="shared" si="29"/>
        <v>0</v>
      </c>
      <c r="AQ33" s="31">
        <f t="shared" si="30"/>
        <v>154334.44</v>
      </c>
      <c r="AR33" s="31"/>
      <c r="AS33" s="33">
        <v>154334.44</v>
      </c>
      <c r="AT33" s="37" t="str">
        <f t="shared" si="6"/>
        <v/>
      </c>
      <c r="AU33" s="36">
        <f>[1]SFI!$J33</f>
        <v>0</v>
      </c>
      <c r="AV33" s="31">
        <f t="shared" si="31"/>
        <v>0</v>
      </c>
      <c r="AW33" s="18">
        <f t="shared" si="32"/>
        <v>0</v>
      </c>
      <c r="AX33" s="31">
        <f t="shared" si="33"/>
        <v>194731.66</v>
      </c>
      <c r="AY33" s="31"/>
      <c r="AZ33" s="27">
        <v>194731.66</v>
      </c>
      <c r="BA33" s="37" t="str">
        <f t="shared" si="7"/>
        <v/>
      </c>
      <c r="BB33" s="36">
        <f>[1]SFI!$K33</f>
        <v>0</v>
      </c>
      <c r="BC33" s="31">
        <f t="shared" si="34"/>
        <v>0</v>
      </c>
      <c r="BD33" s="18">
        <f t="shared" si="35"/>
        <v>0</v>
      </c>
      <c r="BE33" s="31">
        <f t="shared" si="36"/>
        <v>0</v>
      </c>
      <c r="BF33" s="31"/>
      <c r="BG33" s="33">
        <f>'[4]SÃO FRANCISCO'!BG33*'[3]SF I'!$X$4</f>
        <v>0</v>
      </c>
      <c r="BH33" s="37" t="str">
        <f t="shared" si="8"/>
        <v/>
      </c>
      <c r="BI33" s="36">
        <f>[1]SFI!$L33</f>
        <v>0</v>
      </c>
      <c r="BJ33" s="31">
        <f t="shared" si="37"/>
        <v>0</v>
      </c>
      <c r="BK33" s="18">
        <f t="shared" si="38"/>
        <v>0</v>
      </c>
      <c r="BL33" s="31">
        <f t="shared" si="39"/>
        <v>0</v>
      </c>
      <c r="BM33" s="31"/>
      <c r="BN33" s="33">
        <f>'[4]SÃO FRANCISCO'!BN33*'[3]SF I'!$X$4</f>
        <v>0</v>
      </c>
      <c r="BO33" s="37" t="str">
        <f t="shared" si="9"/>
        <v/>
      </c>
      <c r="BP33" s="36">
        <f>[1]SFI!$M33</f>
        <v>0</v>
      </c>
      <c r="BQ33" s="31">
        <f t="shared" si="40"/>
        <v>0</v>
      </c>
      <c r="BR33" s="18">
        <f t="shared" si="41"/>
        <v>0</v>
      </c>
      <c r="BS33" s="31">
        <f t="shared" si="42"/>
        <v>0</v>
      </c>
      <c r="BT33" s="31"/>
      <c r="BU33" s="33">
        <f>'[4]SÃO FRANCISCO'!BU33*'[3]SF I'!$X$4</f>
        <v>0</v>
      </c>
      <c r="BV33" s="37" t="str">
        <f t="shared" si="10"/>
        <v/>
      </c>
      <c r="BW33" s="36">
        <f>[1]SFI!$N33</f>
        <v>0</v>
      </c>
      <c r="BX33" s="31">
        <f t="shared" si="43"/>
        <v>0</v>
      </c>
      <c r="BY33" s="18">
        <f t="shared" si="44"/>
        <v>0</v>
      </c>
      <c r="BZ33" s="31">
        <f t="shared" si="45"/>
        <v>0</v>
      </c>
      <c r="CA33" s="31"/>
      <c r="CB33" s="33">
        <f>'[4]SÃO FRANCISCO'!CB33*'[3]SF I'!$X$4</f>
        <v>0</v>
      </c>
      <c r="CC33" s="37" t="str">
        <f t="shared" si="11"/>
        <v/>
      </c>
      <c r="CD33" s="36">
        <f>[1]SFI!$O33</f>
        <v>0</v>
      </c>
      <c r="CE33" s="31">
        <f t="shared" si="46"/>
        <v>0</v>
      </c>
      <c r="CF33" s="18">
        <f t="shared" si="47"/>
        <v>0</v>
      </c>
      <c r="CG33" s="31">
        <f t="shared" si="48"/>
        <v>0</v>
      </c>
      <c r="CH33" s="31"/>
      <c r="CI33" s="33">
        <f>'[4]SÃO FRANCISCO'!CI33*'[3]SF I'!$X$4</f>
        <v>0</v>
      </c>
      <c r="CJ33" s="37" t="str">
        <f t="shared" si="12"/>
        <v/>
      </c>
      <c r="CK33" s="36">
        <f>[1]SFI!$P33</f>
        <v>0</v>
      </c>
      <c r="CL33" s="31">
        <f t="shared" si="49"/>
        <v>0</v>
      </c>
      <c r="CM33" s="18">
        <f t="shared" si="50"/>
        <v>0</v>
      </c>
      <c r="CN33" s="31">
        <f t="shared" si="51"/>
        <v>0</v>
      </c>
      <c r="CO33" s="31"/>
      <c r="CP33" s="33">
        <f>'[4]SÃO FRANCISCO'!CP33*'[3]SF I'!$X$4</f>
        <v>0</v>
      </c>
      <c r="CQ33" s="37" t="str">
        <f t="shared" si="13"/>
        <v/>
      </c>
    </row>
    <row r="34" spans="1:95" s="26" customFormat="1" ht="16" customHeight="1" thickBot="1" x14ac:dyDescent="0.25">
      <c r="A34" s="29" t="s">
        <v>108</v>
      </c>
      <c r="B34" s="30">
        <f t="shared" si="0"/>
        <v>0</v>
      </c>
      <c r="C34" s="31">
        <f t="shared" si="0"/>
        <v>0</v>
      </c>
      <c r="D34" s="32">
        <f t="shared" si="0"/>
        <v>0</v>
      </c>
      <c r="E34" s="30">
        <f t="shared" si="14"/>
        <v>0</v>
      </c>
      <c r="F34" s="33">
        <f t="shared" si="14"/>
        <v>0</v>
      </c>
      <c r="G34" s="34">
        <f t="shared" si="14"/>
        <v>0</v>
      </c>
      <c r="H34" s="31">
        <f t="shared" si="1"/>
        <v>0</v>
      </c>
      <c r="I34" s="33">
        <f t="shared" si="1"/>
        <v>0</v>
      </c>
      <c r="J34" s="33">
        <f t="shared" si="1"/>
        <v>0</v>
      </c>
      <c r="K34" s="37" t="str">
        <f t="shared" si="15"/>
        <v/>
      </c>
      <c r="L34" s="36">
        <f>[1]SFI!$E34</f>
        <v>0</v>
      </c>
      <c r="M34" s="31">
        <f t="shared" si="16"/>
        <v>0</v>
      </c>
      <c r="N34" s="18">
        <f t="shared" si="17"/>
        <v>0</v>
      </c>
      <c r="O34" s="31">
        <f t="shared" si="18"/>
        <v>0</v>
      </c>
      <c r="P34" s="31"/>
      <c r="Q34" s="33"/>
      <c r="R34" s="37" t="str">
        <f t="shared" si="2"/>
        <v/>
      </c>
      <c r="S34" s="36">
        <f>[1]SFI!$F34</f>
        <v>0</v>
      </c>
      <c r="T34" s="31">
        <f t="shared" si="19"/>
        <v>0</v>
      </c>
      <c r="U34" s="18">
        <f t="shared" si="20"/>
        <v>0</v>
      </c>
      <c r="V34" s="31">
        <f t="shared" si="21"/>
        <v>0</v>
      </c>
      <c r="W34" s="31"/>
      <c r="X34" s="147">
        <f>'[4]SÃO FRANCISCO'!X34*'[3]SF I'!$X$4</f>
        <v>0</v>
      </c>
      <c r="Y34" s="37" t="str">
        <f t="shared" si="3"/>
        <v/>
      </c>
      <c r="Z34" s="36">
        <f>[1]SFI!$G34</f>
        <v>0</v>
      </c>
      <c r="AA34" s="31">
        <f t="shared" si="22"/>
        <v>0</v>
      </c>
      <c r="AB34" s="18">
        <f t="shared" si="23"/>
        <v>0</v>
      </c>
      <c r="AC34" s="31">
        <f t="shared" si="24"/>
        <v>0</v>
      </c>
      <c r="AD34" s="31"/>
      <c r="AE34" s="27">
        <f>'[4]SÃO FRANCISCO'!AE34*'[2]SF I'!$X$4</f>
        <v>0</v>
      </c>
      <c r="AF34" s="37" t="str">
        <f t="shared" si="4"/>
        <v/>
      </c>
      <c r="AG34" s="36">
        <f>[1]SFI!$H34</f>
        <v>0</v>
      </c>
      <c r="AH34" s="31">
        <f t="shared" si="25"/>
        <v>0</v>
      </c>
      <c r="AI34" s="18">
        <f t="shared" si="26"/>
        <v>0</v>
      </c>
      <c r="AJ34" s="31">
        <f t="shared" si="27"/>
        <v>0</v>
      </c>
      <c r="AK34" s="31"/>
      <c r="AL34" s="33">
        <f>'[4]SÃO FRANCISCO'!AL34*'[3]SF I'!$X$4</f>
        <v>0</v>
      </c>
      <c r="AM34" s="37" t="str">
        <f t="shared" si="5"/>
        <v/>
      </c>
      <c r="AN34" s="36">
        <f>[1]SFI!$I34</f>
        <v>0</v>
      </c>
      <c r="AO34" s="31">
        <f t="shared" si="28"/>
        <v>0</v>
      </c>
      <c r="AP34" s="18">
        <f t="shared" si="29"/>
        <v>0</v>
      </c>
      <c r="AQ34" s="31">
        <f t="shared" si="30"/>
        <v>0</v>
      </c>
      <c r="AR34" s="31"/>
      <c r="AS34" s="33">
        <v>0</v>
      </c>
      <c r="AT34" s="37" t="str">
        <f t="shared" si="6"/>
        <v/>
      </c>
      <c r="AU34" s="36">
        <f>[1]SFI!$J34</f>
        <v>0</v>
      </c>
      <c r="AV34" s="31">
        <f t="shared" si="31"/>
        <v>0</v>
      </c>
      <c r="AW34" s="18">
        <f t="shared" si="32"/>
        <v>0</v>
      </c>
      <c r="AX34" s="31">
        <f t="shared" si="33"/>
        <v>0</v>
      </c>
      <c r="AY34" s="31"/>
      <c r="AZ34" s="27"/>
      <c r="BA34" s="37" t="str">
        <f t="shared" si="7"/>
        <v/>
      </c>
      <c r="BB34" s="36">
        <f>[1]SFI!$K34</f>
        <v>0</v>
      </c>
      <c r="BC34" s="31">
        <f t="shared" si="34"/>
        <v>0</v>
      </c>
      <c r="BD34" s="18">
        <f t="shared" si="35"/>
        <v>0</v>
      </c>
      <c r="BE34" s="31">
        <f t="shared" si="36"/>
        <v>0</v>
      </c>
      <c r="BF34" s="31"/>
      <c r="BG34" s="27">
        <f>'[4]SÃO FRANCISCO'!BG34*'[3]SF I'!$X$4</f>
        <v>0</v>
      </c>
      <c r="BH34" s="37" t="str">
        <f t="shared" si="8"/>
        <v/>
      </c>
      <c r="BI34" s="36">
        <f>[1]SFI!$L34</f>
        <v>0</v>
      </c>
      <c r="BJ34" s="31">
        <f t="shared" si="37"/>
        <v>0</v>
      </c>
      <c r="BK34" s="18">
        <f t="shared" si="38"/>
        <v>0</v>
      </c>
      <c r="BL34" s="31">
        <f t="shared" si="39"/>
        <v>0</v>
      </c>
      <c r="BM34" s="31"/>
      <c r="BN34" s="33">
        <f>'[4]SÃO FRANCISCO'!BN34*'[3]SF I'!$X$4</f>
        <v>0</v>
      </c>
      <c r="BO34" s="37" t="str">
        <f t="shared" si="9"/>
        <v/>
      </c>
      <c r="BP34" s="36">
        <f>[1]SFI!$M34</f>
        <v>0</v>
      </c>
      <c r="BQ34" s="31">
        <f t="shared" si="40"/>
        <v>0</v>
      </c>
      <c r="BR34" s="18">
        <f t="shared" si="41"/>
        <v>0</v>
      </c>
      <c r="BS34" s="31">
        <f t="shared" si="42"/>
        <v>0</v>
      </c>
      <c r="BT34" s="31"/>
      <c r="BU34" s="33">
        <f>'[4]SÃO FRANCISCO'!BU34*'[3]SF I'!$X$4</f>
        <v>0</v>
      </c>
      <c r="BV34" s="37" t="str">
        <f t="shared" si="10"/>
        <v/>
      </c>
      <c r="BW34" s="36">
        <f>[1]SFI!$N34</f>
        <v>0</v>
      </c>
      <c r="BX34" s="31">
        <f t="shared" si="43"/>
        <v>0</v>
      </c>
      <c r="BY34" s="18">
        <f t="shared" si="44"/>
        <v>0</v>
      </c>
      <c r="BZ34" s="31">
        <f t="shared" si="45"/>
        <v>0</v>
      </c>
      <c r="CA34" s="31"/>
      <c r="CB34" s="33">
        <f>'[4]SÃO FRANCISCO'!CB34*'[3]SF I'!$X$4</f>
        <v>0</v>
      </c>
      <c r="CC34" s="37" t="str">
        <f t="shared" si="11"/>
        <v/>
      </c>
      <c r="CD34" s="36">
        <f>[1]SFI!$O34</f>
        <v>0</v>
      </c>
      <c r="CE34" s="31">
        <f t="shared" si="46"/>
        <v>0</v>
      </c>
      <c r="CF34" s="18">
        <f t="shared" si="47"/>
        <v>0</v>
      </c>
      <c r="CG34" s="31">
        <f t="shared" si="48"/>
        <v>0</v>
      </c>
      <c r="CH34" s="31"/>
      <c r="CI34" s="33">
        <f>'[4]SÃO FRANCISCO'!CI34*'[3]SF I'!$X$4</f>
        <v>0</v>
      </c>
      <c r="CJ34" s="37" t="str">
        <f t="shared" si="12"/>
        <v/>
      </c>
      <c r="CK34" s="36">
        <f>[1]SFI!$P34</f>
        <v>0</v>
      </c>
      <c r="CL34" s="31">
        <f t="shared" si="49"/>
        <v>0</v>
      </c>
      <c r="CM34" s="18">
        <f t="shared" si="50"/>
        <v>0</v>
      </c>
      <c r="CN34" s="31">
        <f t="shared" si="51"/>
        <v>0</v>
      </c>
      <c r="CO34" s="31"/>
      <c r="CP34" s="33">
        <f>'[4]SÃO FRANCISCO'!CP34*'[3]SF I'!$X$4</f>
        <v>0</v>
      </c>
      <c r="CQ34" s="37" t="str">
        <f t="shared" si="13"/>
        <v/>
      </c>
    </row>
    <row r="35" spans="1:95" s="26" customFormat="1" ht="16" customHeight="1" thickBot="1" x14ac:dyDescent="0.25">
      <c r="A35" s="29" t="s">
        <v>59</v>
      </c>
      <c r="B35" s="30">
        <f t="shared" si="0"/>
        <v>0</v>
      </c>
      <c r="C35" s="31">
        <f t="shared" si="0"/>
        <v>0</v>
      </c>
      <c r="D35" s="32">
        <f t="shared" si="0"/>
        <v>0</v>
      </c>
      <c r="E35" s="30">
        <f t="shared" si="14"/>
        <v>0</v>
      </c>
      <c r="F35" s="33">
        <f t="shared" si="14"/>
        <v>0</v>
      </c>
      <c r="G35" s="34">
        <f t="shared" si="14"/>
        <v>0</v>
      </c>
      <c r="H35" s="31">
        <f t="shared" si="1"/>
        <v>0</v>
      </c>
      <c r="I35" s="33">
        <f t="shared" si="1"/>
        <v>0</v>
      </c>
      <c r="J35" s="33">
        <f t="shared" si="1"/>
        <v>0</v>
      </c>
      <c r="K35" s="37" t="str">
        <f t="shared" si="15"/>
        <v/>
      </c>
      <c r="L35" s="36">
        <f>[1]SFI!$E35</f>
        <v>0</v>
      </c>
      <c r="M35" s="31">
        <f t="shared" si="16"/>
        <v>0</v>
      </c>
      <c r="N35" s="18">
        <f t="shared" si="17"/>
        <v>0</v>
      </c>
      <c r="O35" s="31">
        <f t="shared" si="18"/>
        <v>0</v>
      </c>
      <c r="P35" s="31"/>
      <c r="Q35" s="33"/>
      <c r="R35" s="37" t="str">
        <f t="shared" si="2"/>
        <v/>
      </c>
      <c r="S35" s="36">
        <f>[1]SFI!$F35</f>
        <v>0</v>
      </c>
      <c r="T35" s="31">
        <f t="shared" si="19"/>
        <v>0</v>
      </c>
      <c r="U35" s="18">
        <f t="shared" si="20"/>
        <v>0</v>
      </c>
      <c r="V35" s="31">
        <f t="shared" si="21"/>
        <v>0</v>
      </c>
      <c r="W35" s="31"/>
      <c r="X35" s="147">
        <f>'[4]SÃO FRANCISCO'!X35*'[3]SF I'!$X$4</f>
        <v>0</v>
      </c>
      <c r="Y35" s="37" t="str">
        <f t="shared" si="3"/>
        <v/>
      </c>
      <c r="Z35" s="36">
        <f>[1]SFI!$G35</f>
        <v>0</v>
      </c>
      <c r="AA35" s="31">
        <f t="shared" si="22"/>
        <v>0</v>
      </c>
      <c r="AB35" s="18">
        <f t="shared" si="23"/>
        <v>0</v>
      </c>
      <c r="AC35" s="31">
        <f t="shared" si="24"/>
        <v>0</v>
      </c>
      <c r="AD35" s="31"/>
      <c r="AE35" s="27">
        <f>'[4]SÃO FRANCISCO'!AE35*'[2]SF I'!$X$4</f>
        <v>0</v>
      </c>
      <c r="AF35" s="37" t="str">
        <f t="shared" si="4"/>
        <v/>
      </c>
      <c r="AG35" s="36">
        <f>[1]SFI!$H35</f>
        <v>0</v>
      </c>
      <c r="AH35" s="31">
        <f t="shared" si="25"/>
        <v>0</v>
      </c>
      <c r="AI35" s="18">
        <f t="shared" si="26"/>
        <v>0</v>
      </c>
      <c r="AJ35" s="31">
        <f t="shared" si="27"/>
        <v>0</v>
      </c>
      <c r="AK35" s="31"/>
      <c r="AL35" s="33">
        <f>'[4]SÃO FRANCISCO'!AL35*'[3]SF I'!$X$4</f>
        <v>0</v>
      </c>
      <c r="AM35" s="37" t="str">
        <f t="shared" si="5"/>
        <v/>
      </c>
      <c r="AN35" s="36">
        <f>[1]SFI!$I35</f>
        <v>0</v>
      </c>
      <c r="AO35" s="31">
        <f t="shared" si="28"/>
        <v>0</v>
      </c>
      <c r="AP35" s="18">
        <f t="shared" si="29"/>
        <v>0</v>
      </c>
      <c r="AQ35" s="31">
        <f t="shared" si="30"/>
        <v>0</v>
      </c>
      <c r="AR35" s="31"/>
      <c r="AS35" s="33">
        <v>0</v>
      </c>
      <c r="AT35" s="37" t="str">
        <f t="shared" si="6"/>
        <v/>
      </c>
      <c r="AU35" s="36">
        <f>[1]SFI!$J35</f>
        <v>0</v>
      </c>
      <c r="AV35" s="31">
        <f t="shared" si="31"/>
        <v>0</v>
      </c>
      <c r="AW35" s="18">
        <f t="shared" si="32"/>
        <v>0</v>
      </c>
      <c r="AX35" s="31">
        <f t="shared" si="33"/>
        <v>0</v>
      </c>
      <c r="AY35" s="31"/>
      <c r="AZ35" s="27"/>
      <c r="BA35" s="37" t="str">
        <f t="shared" si="7"/>
        <v/>
      </c>
      <c r="BB35" s="36">
        <f>[1]SFI!$K35</f>
        <v>0</v>
      </c>
      <c r="BC35" s="31">
        <f t="shared" si="34"/>
        <v>0</v>
      </c>
      <c r="BD35" s="18">
        <f t="shared" si="35"/>
        <v>0</v>
      </c>
      <c r="BE35" s="31">
        <f t="shared" si="36"/>
        <v>0</v>
      </c>
      <c r="BF35" s="31"/>
      <c r="BG35" s="27">
        <f>'[4]SÃO FRANCISCO'!BG35*'[3]SF I'!$X$4</f>
        <v>0</v>
      </c>
      <c r="BH35" s="37" t="str">
        <f t="shared" si="8"/>
        <v/>
      </c>
      <c r="BI35" s="36">
        <f>[1]SFI!$L35</f>
        <v>0</v>
      </c>
      <c r="BJ35" s="31">
        <f t="shared" si="37"/>
        <v>0</v>
      </c>
      <c r="BK35" s="18">
        <f t="shared" si="38"/>
        <v>0</v>
      </c>
      <c r="BL35" s="31">
        <f t="shared" si="39"/>
        <v>0</v>
      </c>
      <c r="BM35" s="31"/>
      <c r="BN35" s="33">
        <f>'[4]SÃO FRANCISCO'!BN35*'[3]SF I'!$X$4</f>
        <v>0</v>
      </c>
      <c r="BO35" s="37" t="str">
        <f t="shared" si="9"/>
        <v/>
      </c>
      <c r="BP35" s="36">
        <f>[1]SFI!$M35</f>
        <v>0</v>
      </c>
      <c r="BQ35" s="31">
        <f t="shared" si="40"/>
        <v>0</v>
      </c>
      <c r="BR35" s="18">
        <f t="shared" si="41"/>
        <v>0</v>
      </c>
      <c r="BS35" s="31">
        <f t="shared" si="42"/>
        <v>0</v>
      </c>
      <c r="BT35" s="31"/>
      <c r="BU35" s="33">
        <f>'[4]SÃO FRANCISCO'!BU35*'[3]SF I'!$X$4</f>
        <v>0</v>
      </c>
      <c r="BV35" s="37" t="str">
        <f t="shared" si="10"/>
        <v/>
      </c>
      <c r="BW35" s="36">
        <f>[1]SFI!$N35</f>
        <v>0</v>
      </c>
      <c r="BX35" s="31">
        <f t="shared" si="43"/>
        <v>0</v>
      </c>
      <c r="BY35" s="18">
        <f t="shared" si="44"/>
        <v>0</v>
      </c>
      <c r="BZ35" s="31">
        <f t="shared" si="45"/>
        <v>0</v>
      </c>
      <c r="CA35" s="31"/>
      <c r="CB35" s="33">
        <f>'[4]SÃO FRANCISCO'!CB35*'[3]SF I'!$X$4</f>
        <v>0</v>
      </c>
      <c r="CC35" s="37" t="str">
        <f t="shared" si="11"/>
        <v/>
      </c>
      <c r="CD35" s="36">
        <f>[1]SFI!$O35</f>
        <v>0</v>
      </c>
      <c r="CE35" s="31">
        <f t="shared" si="46"/>
        <v>0</v>
      </c>
      <c r="CF35" s="18">
        <f t="shared" si="47"/>
        <v>0</v>
      </c>
      <c r="CG35" s="31">
        <f t="shared" si="48"/>
        <v>0</v>
      </c>
      <c r="CH35" s="31"/>
      <c r="CI35" s="33">
        <f>'[4]SÃO FRANCISCO'!CI35*'[3]SF I'!$X$4</f>
        <v>0</v>
      </c>
      <c r="CJ35" s="37" t="str">
        <f t="shared" si="12"/>
        <v/>
      </c>
      <c r="CK35" s="36">
        <f>[1]SFI!$P35</f>
        <v>0</v>
      </c>
      <c r="CL35" s="31">
        <f t="shared" si="49"/>
        <v>0</v>
      </c>
      <c r="CM35" s="18">
        <f t="shared" si="50"/>
        <v>0</v>
      </c>
      <c r="CN35" s="31">
        <f t="shared" si="51"/>
        <v>0</v>
      </c>
      <c r="CO35" s="31"/>
      <c r="CP35" s="33">
        <f>'[4]SÃO FRANCISCO'!CP35*'[3]SF I'!$X$4</f>
        <v>0</v>
      </c>
      <c r="CQ35" s="37" t="str">
        <f t="shared" si="13"/>
        <v/>
      </c>
    </row>
    <row r="36" spans="1:95" s="26" customFormat="1" ht="16" customHeight="1" thickBot="1" x14ac:dyDescent="0.25">
      <c r="A36" s="38" t="s">
        <v>60</v>
      </c>
      <c r="B36" s="30">
        <f t="shared" ref="B36:D54" si="52">+L36+S36+Z36+AG36+AN36+AU36+BB36+BI36+BP36+BW36+CD36+CK36</f>
        <v>100046.12368835763</v>
      </c>
      <c r="C36" s="31">
        <f t="shared" si="52"/>
        <v>100046.12368835763</v>
      </c>
      <c r="D36" s="32">
        <f t="shared" si="52"/>
        <v>0</v>
      </c>
      <c r="E36" s="30">
        <f t="shared" si="14"/>
        <v>33348.707896119202</v>
      </c>
      <c r="F36" s="33">
        <f t="shared" si="14"/>
        <v>33348.707896119202</v>
      </c>
      <c r="G36" s="34">
        <f t="shared" si="14"/>
        <v>0</v>
      </c>
      <c r="H36" s="31">
        <f t="shared" ref="H36:J54" si="53">+O36+V36+AC36+AJ36+AQ36+AX36+BE36+BL36+BS36+BZ36+CG36+CN36</f>
        <v>107056.55349305112</v>
      </c>
      <c r="I36" s="33">
        <f t="shared" si="53"/>
        <v>0</v>
      </c>
      <c r="J36" s="33">
        <f t="shared" si="53"/>
        <v>107056.55349305112</v>
      </c>
      <c r="K36" s="37">
        <f t="shared" si="15"/>
        <v>2.2102159347981609</v>
      </c>
      <c r="L36" s="36">
        <f>[1]SFI!$E36</f>
        <v>8337.1769740298005</v>
      </c>
      <c r="M36" s="31">
        <f t="shared" si="16"/>
        <v>8337.1769740298005</v>
      </c>
      <c r="N36" s="18">
        <f t="shared" si="17"/>
        <v>0</v>
      </c>
      <c r="O36" s="31">
        <f t="shared" si="18"/>
        <v>12601.2415703728</v>
      </c>
      <c r="P36" s="31"/>
      <c r="Q36" s="33">
        <v>12601.2415703728</v>
      </c>
      <c r="R36" s="37">
        <f t="shared" si="2"/>
        <v>0.51145185110325797</v>
      </c>
      <c r="S36" s="36">
        <f>[1]SFI!$F36</f>
        <v>8337.1769740298005</v>
      </c>
      <c r="T36" s="31">
        <f t="shared" si="19"/>
        <v>8337.1769740298005</v>
      </c>
      <c r="U36" s="18">
        <f t="shared" si="20"/>
        <v>0</v>
      </c>
      <c r="V36" s="31">
        <f t="shared" si="21"/>
        <v>21597.082196083353</v>
      </c>
      <c r="W36" s="31"/>
      <c r="X36" s="147">
        <f>'[4]SÃO FRANCISCO'!X36*'[3]SF I'!$X$4</f>
        <v>21597.082196083353</v>
      </c>
      <c r="Y36" s="37">
        <f t="shared" si="3"/>
        <v>1.5904550501156431</v>
      </c>
      <c r="Z36" s="36">
        <f>[1]SFI!$G36</f>
        <v>8337.1769740298005</v>
      </c>
      <c r="AA36" s="31">
        <f t="shared" si="22"/>
        <v>8337.1769740298005</v>
      </c>
      <c r="AB36" s="18">
        <f t="shared" si="23"/>
        <v>0</v>
      </c>
      <c r="AC36" s="31">
        <f t="shared" si="24"/>
        <v>21718.169969443807</v>
      </c>
      <c r="AD36" s="31"/>
      <c r="AE36" s="33">
        <f>'[4]SÃO FRANCISCO'!AE36*'[2]SF I'!$X$4</f>
        <v>21718.169969443807</v>
      </c>
      <c r="AF36" s="37">
        <f t="shared" si="4"/>
        <v>1.6049788839910235</v>
      </c>
      <c r="AG36" s="36">
        <f>[1]SFI!$H36</f>
        <v>8337.1769740298005</v>
      </c>
      <c r="AH36" s="31">
        <f t="shared" si="25"/>
        <v>8337.1769740298005</v>
      </c>
      <c r="AI36" s="18">
        <f t="shared" si="26"/>
        <v>0</v>
      </c>
      <c r="AJ36" s="31">
        <f t="shared" si="27"/>
        <v>15468.017652949156</v>
      </c>
      <c r="AK36" s="31"/>
      <c r="AL36" s="33">
        <f>'[4]SÃO FRANCISCO'!AL36*'[3]SF I'!$X$4</f>
        <v>15468.017652949156</v>
      </c>
      <c r="AM36" s="37">
        <f t="shared" si="5"/>
        <v>0.85530638261990033</v>
      </c>
      <c r="AN36" s="36">
        <f>[1]SFI!$I36</f>
        <v>8337.1769740298005</v>
      </c>
      <c r="AO36" s="31">
        <f t="shared" si="28"/>
        <v>8337.1769740298005</v>
      </c>
      <c r="AP36" s="18">
        <f t="shared" si="29"/>
        <v>0</v>
      </c>
      <c r="AQ36" s="31">
        <f t="shared" si="30"/>
        <v>19992.970678443482</v>
      </c>
      <c r="AR36" s="31"/>
      <c r="AS36" s="33">
        <v>19992.970678443482</v>
      </c>
      <c r="AT36" s="37">
        <f t="shared" si="6"/>
        <v>1.3980504121144759</v>
      </c>
      <c r="AU36" s="36">
        <f>[1]SFI!$J36</f>
        <v>8337.1769740298005</v>
      </c>
      <c r="AV36" s="31">
        <f t="shared" si="31"/>
        <v>8337.1769740298005</v>
      </c>
      <c r="AW36" s="18">
        <f t="shared" si="32"/>
        <v>0</v>
      </c>
      <c r="AX36" s="31">
        <f t="shared" si="33"/>
        <v>15679.07142575852</v>
      </c>
      <c r="AY36" s="31"/>
      <c r="AZ36" s="27">
        <v>15679.07142575852</v>
      </c>
      <c r="BA36" s="37">
        <f t="shared" si="7"/>
        <v>0.8806211592483435</v>
      </c>
      <c r="BB36" s="36">
        <f>[1]SFI!$K36</f>
        <v>8337.1769740298005</v>
      </c>
      <c r="BC36" s="31">
        <f t="shared" si="34"/>
        <v>8337.1769740298005</v>
      </c>
      <c r="BD36" s="18">
        <f t="shared" si="35"/>
        <v>0</v>
      </c>
      <c r="BE36" s="31">
        <f t="shared" si="36"/>
        <v>0</v>
      </c>
      <c r="BF36" s="31"/>
      <c r="BG36" s="33">
        <f>'[4]SÃO FRANCISCO'!BG36*'[3]SF I'!$X$4</f>
        <v>0</v>
      </c>
      <c r="BH36" s="37">
        <f t="shared" si="8"/>
        <v>-1</v>
      </c>
      <c r="BI36" s="36">
        <f>[1]SFI!$L36</f>
        <v>8337.1769740298005</v>
      </c>
      <c r="BJ36" s="31">
        <f t="shared" si="37"/>
        <v>8337.1769740298005</v>
      </c>
      <c r="BK36" s="18">
        <f t="shared" si="38"/>
        <v>0</v>
      </c>
      <c r="BL36" s="31">
        <f t="shared" si="39"/>
        <v>0</v>
      </c>
      <c r="BM36" s="31"/>
      <c r="BN36" s="33">
        <f>'[4]SÃO FRANCISCO'!BN36*'[3]SF I'!$X$4</f>
        <v>0</v>
      </c>
      <c r="BO36" s="37">
        <f t="shared" si="9"/>
        <v>-1</v>
      </c>
      <c r="BP36" s="36">
        <f>[1]SFI!$M36</f>
        <v>8337.1769740298005</v>
      </c>
      <c r="BQ36" s="31">
        <f t="shared" si="40"/>
        <v>8337.1769740298005</v>
      </c>
      <c r="BR36" s="18">
        <f t="shared" si="41"/>
        <v>0</v>
      </c>
      <c r="BS36" s="31">
        <f t="shared" si="42"/>
        <v>0</v>
      </c>
      <c r="BT36" s="31"/>
      <c r="BU36" s="33">
        <f>'[4]SÃO FRANCISCO'!BU36*'[3]SF I'!$X$4</f>
        <v>0</v>
      </c>
      <c r="BV36" s="37">
        <f t="shared" si="10"/>
        <v>-1</v>
      </c>
      <c r="BW36" s="36">
        <f>[1]SFI!$N36</f>
        <v>8337.1769740298005</v>
      </c>
      <c r="BX36" s="31">
        <f t="shared" si="43"/>
        <v>8337.1769740298005</v>
      </c>
      <c r="BY36" s="18">
        <f t="shared" si="44"/>
        <v>0</v>
      </c>
      <c r="BZ36" s="31">
        <f t="shared" si="45"/>
        <v>0</v>
      </c>
      <c r="CA36" s="31"/>
      <c r="CB36" s="33">
        <f>'[4]SÃO FRANCISCO'!CB36*'[3]SF I'!$X$4</f>
        <v>0</v>
      </c>
      <c r="CC36" s="37">
        <f t="shared" si="11"/>
        <v>-1</v>
      </c>
      <c r="CD36" s="36">
        <f>[1]SFI!$O36</f>
        <v>8337.1769740298005</v>
      </c>
      <c r="CE36" s="31">
        <f t="shared" si="46"/>
        <v>8337.1769740298005</v>
      </c>
      <c r="CF36" s="18">
        <f t="shared" si="47"/>
        <v>0</v>
      </c>
      <c r="CG36" s="31">
        <f t="shared" si="48"/>
        <v>0</v>
      </c>
      <c r="CH36" s="31"/>
      <c r="CI36" s="33">
        <f>'[4]SÃO FRANCISCO'!CI36*'[3]SF I'!$X$4</f>
        <v>0</v>
      </c>
      <c r="CJ36" s="37">
        <f t="shared" si="12"/>
        <v>-1</v>
      </c>
      <c r="CK36" s="36">
        <f>[1]SFI!$P36</f>
        <v>8337.1769740298005</v>
      </c>
      <c r="CL36" s="31">
        <f t="shared" si="49"/>
        <v>8337.1769740298005</v>
      </c>
      <c r="CM36" s="18">
        <f t="shared" si="50"/>
        <v>0</v>
      </c>
      <c r="CN36" s="31">
        <f t="shared" si="51"/>
        <v>0</v>
      </c>
      <c r="CO36" s="31"/>
      <c r="CP36" s="33">
        <f>'[4]SÃO FRANCISCO'!CP36*'[3]SF I'!$X$4</f>
        <v>0</v>
      </c>
      <c r="CQ36" s="37">
        <f t="shared" si="13"/>
        <v>-1</v>
      </c>
    </row>
    <row r="37" spans="1:95" s="26" customFormat="1" ht="16" customHeight="1" thickBot="1" x14ac:dyDescent="0.25">
      <c r="A37" s="38" t="s">
        <v>61</v>
      </c>
      <c r="B37" s="30">
        <f t="shared" si="52"/>
        <v>100046.12368835763</v>
      </c>
      <c r="C37" s="31">
        <f t="shared" si="52"/>
        <v>100046.12368835763</v>
      </c>
      <c r="D37" s="32">
        <f t="shared" si="52"/>
        <v>0</v>
      </c>
      <c r="E37" s="30">
        <f t="shared" ref="E37:G54" si="54">+L37+S37+Z37+AG37</f>
        <v>33348.707896119202</v>
      </c>
      <c r="F37" s="33">
        <f t="shared" si="54"/>
        <v>33348.707896119202</v>
      </c>
      <c r="G37" s="34">
        <f t="shared" si="54"/>
        <v>0</v>
      </c>
      <c r="H37" s="31">
        <f t="shared" si="53"/>
        <v>74660.274295816518</v>
      </c>
      <c r="I37" s="33">
        <f t="shared" si="53"/>
        <v>0</v>
      </c>
      <c r="J37" s="33">
        <f t="shared" si="53"/>
        <v>74660.274295816518</v>
      </c>
      <c r="K37" s="37">
        <f t="shared" si="15"/>
        <v>1.2387756229831246</v>
      </c>
      <c r="L37" s="36">
        <f>[1]SFI!$E37</f>
        <v>8337.1769740298005</v>
      </c>
      <c r="M37" s="31">
        <f t="shared" si="16"/>
        <v>8337.1769740298005</v>
      </c>
      <c r="N37" s="18">
        <f t="shared" si="17"/>
        <v>0</v>
      </c>
      <c r="O37" s="31">
        <f t="shared" si="18"/>
        <v>8091.582607781459</v>
      </c>
      <c r="P37" s="31"/>
      <c r="Q37" s="33">
        <v>8091.582607781459</v>
      </c>
      <c r="R37" s="37">
        <f t="shared" si="2"/>
        <v>-2.9457736955010638E-2</v>
      </c>
      <c r="S37" s="36">
        <f>[1]SFI!$F37</f>
        <v>8337.1769740298005</v>
      </c>
      <c r="T37" s="31">
        <f t="shared" si="19"/>
        <v>8337.1769740298005</v>
      </c>
      <c r="U37" s="18">
        <f t="shared" si="20"/>
        <v>0</v>
      </c>
      <c r="V37" s="31">
        <f t="shared" si="21"/>
        <v>11110.664412973467</v>
      </c>
      <c r="W37" s="31"/>
      <c r="X37" s="147">
        <f>'[4]SÃO FRANCISCO'!X37*'[3]SF I'!$X$4</f>
        <v>11110.664412973467</v>
      </c>
      <c r="Y37" s="37">
        <f t="shared" si="3"/>
        <v>0.332665055279868</v>
      </c>
      <c r="Z37" s="36">
        <f>[1]SFI!$G37</f>
        <v>8337.1769740298005</v>
      </c>
      <c r="AA37" s="31">
        <f t="shared" si="22"/>
        <v>8337.1769740298005</v>
      </c>
      <c r="AB37" s="18">
        <f t="shared" si="23"/>
        <v>0</v>
      </c>
      <c r="AC37" s="31">
        <f t="shared" si="24"/>
        <v>5612.0126063924445</v>
      </c>
      <c r="AD37" s="31"/>
      <c r="AE37" s="33">
        <f>'[4]SÃO FRANCISCO'!AE37*'[2]SF I'!$X$4</f>
        <v>5612.0126063924445</v>
      </c>
      <c r="AF37" s="37">
        <f t="shared" si="4"/>
        <v>-0.32686896009599031</v>
      </c>
      <c r="AG37" s="36">
        <f>[1]SFI!$H37</f>
        <v>8337.1769740298005</v>
      </c>
      <c r="AH37" s="31">
        <f t="shared" si="25"/>
        <v>8337.1769740298005</v>
      </c>
      <c r="AI37" s="18">
        <f t="shared" si="26"/>
        <v>0</v>
      </c>
      <c r="AJ37" s="31">
        <f t="shared" si="27"/>
        <v>14517.42243176141</v>
      </c>
      <c r="AK37" s="31"/>
      <c r="AL37" s="33">
        <f>'[4]SÃO FRANCISCO'!AL37*'[3]SF I'!$X$4</f>
        <v>14517.42243176141</v>
      </c>
      <c r="AM37" s="37">
        <f t="shared" si="5"/>
        <v>0.74128754577034828</v>
      </c>
      <c r="AN37" s="36">
        <f>[1]SFI!$I37</f>
        <v>8337.1769740298005</v>
      </c>
      <c r="AO37" s="31">
        <f t="shared" si="28"/>
        <v>8337.1769740298005</v>
      </c>
      <c r="AP37" s="18">
        <f t="shared" si="29"/>
        <v>0</v>
      </c>
      <c r="AQ37" s="31">
        <f t="shared" si="30"/>
        <v>20354.996226554678</v>
      </c>
      <c r="AR37" s="31"/>
      <c r="AS37" s="33">
        <v>20354.996226554678</v>
      </c>
      <c r="AT37" s="37">
        <f t="shared" si="6"/>
        <v>1.4414734495813426</v>
      </c>
      <c r="AU37" s="36">
        <f>[1]SFI!$J37</f>
        <v>8337.1769740298005</v>
      </c>
      <c r="AV37" s="31">
        <f t="shared" si="31"/>
        <v>8337.1769740298005</v>
      </c>
      <c r="AW37" s="18">
        <f t="shared" si="32"/>
        <v>0</v>
      </c>
      <c r="AX37" s="31">
        <f t="shared" si="33"/>
        <v>14973.596010353054</v>
      </c>
      <c r="AY37" s="31"/>
      <c r="AZ37" s="33">
        <v>14973.596010353054</v>
      </c>
      <c r="BA37" s="37">
        <f t="shared" si="7"/>
        <v>0.79600313835194014</v>
      </c>
      <c r="BB37" s="36">
        <f>[1]SFI!$K37</f>
        <v>8337.1769740298005</v>
      </c>
      <c r="BC37" s="31">
        <f t="shared" si="34"/>
        <v>8337.1769740298005</v>
      </c>
      <c r="BD37" s="18">
        <f t="shared" si="35"/>
        <v>0</v>
      </c>
      <c r="BE37" s="31">
        <f t="shared" si="36"/>
        <v>0</v>
      </c>
      <c r="BF37" s="31"/>
      <c r="BG37" s="33">
        <f>'[4]SÃO FRANCISCO'!BG37*'[3]SF I'!$X$4</f>
        <v>0</v>
      </c>
      <c r="BH37" s="37">
        <f t="shared" si="8"/>
        <v>-1</v>
      </c>
      <c r="BI37" s="36">
        <f>[1]SFI!$L37</f>
        <v>8337.1769740298005</v>
      </c>
      <c r="BJ37" s="31">
        <f t="shared" si="37"/>
        <v>8337.1769740298005</v>
      </c>
      <c r="BK37" s="18">
        <f t="shared" si="38"/>
        <v>0</v>
      </c>
      <c r="BL37" s="31">
        <f t="shared" si="39"/>
        <v>0</v>
      </c>
      <c r="BM37" s="31"/>
      <c r="BN37" s="33">
        <f>'[4]SÃO FRANCISCO'!BN37*'[3]SF I'!$X$4</f>
        <v>0</v>
      </c>
      <c r="BO37" s="37">
        <f t="shared" si="9"/>
        <v>-1</v>
      </c>
      <c r="BP37" s="36">
        <f>[1]SFI!$M37</f>
        <v>8337.1769740298005</v>
      </c>
      <c r="BQ37" s="31">
        <f t="shared" si="40"/>
        <v>8337.1769740298005</v>
      </c>
      <c r="BR37" s="18">
        <f t="shared" si="41"/>
        <v>0</v>
      </c>
      <c r="BS37" s="31">
        <f t="shared" si="42"/>
        <v>0</v>
      </c>
      <c r="BT37" s="31"/>
      <c r="BU37" s="33">
        <f>'[4]SÃO FRANCISCO'!BU37*'[3]SF I'!$X$4</f>
        <v>0</v>
      </c>
      <c r="BV37" s="37">
        <f t="shared" si="10"/>
        <v>-1</v>
      </c>
      <c r="BW37" s="36">
        <f>[1]SFI!$N37</f>
        <v>8337.1769740298005</v>
      </c>
      <c r="BX37" s="31">
        <f t="shared" si="43"/>
        <v>8337.1769740298005</v>
      </c>
      <c r="BY37" s="18">
        <f t="shared" si="44"/>
        <v>0</v>
      </c>
      <c r="BZ37" s="31">
        <f t="shared" si="45"/>
        <v>0</v>
      </c>
      <c r="CA37" s="31"/>
      <c r="CB37" s="33">
        <f>'[4]SÃO FRANCISCO'!CB37*'[3]SF I'!$X$4</f>
        <v>0</v>
      </c>
      <c r="CC37" s="37">
        <f t="shared" si="11"/>
        <v>-1</v>
      </c>
      <c r="CD37" s="36">
        <f>[1]SFI!$O37</f>
        <v>8337.1769740298005</v>
      </c>
      <c r="CE37" s="31">
        <f t="shared" si="46"/>
        <v>8337.1769740298005</v>
      </c>
      <c r="CF37" s="18">
        <f t="shared" si="47"/>
        <v>0</v>
      </c>
      <c r="CG37" s="31">
        <f t="shared" si="48"/>
        <v>0</v>
      </c>
      <c r="CH37" s="31"/>
      <c r="CI37" s="33">
        <f>'[4]SÃO FRANCISCO'!CI37*'[3]SF I'!$X$4</f>
        <v>0</v>
      </c>
      <c r="CJ37" s="37">
        <f t="shared" si="12"/>
        <v>-1</v>
      </c>
      <c r="CK37" s="36">
        <f>[1]SFI!$P37</f>
        <v>8337.1769740298005</v>
      </c>
      <c r="CL37" s="31">
        <f t="shared" si="49"/>
        <v>8337.1769740298005</v>
      </c>
      <c r="CM37" s="18">
        <f t="shared" si="50"/>
        <v>0</v>
      </c>
      <c r="CN37" s="31">
        <f t="shared" si="51"/>
        <v>0</v>
      </c>
      <c r="CO37" s="31"/>
      <c r="CP37" s="33">
        <f>'[4]SÃO FRANCISCO'!CP37*'[3]SF I'!$X$4</f>
        <v>0</v>
      </c>
      <c r="CQ37" s="37">
        <f t="shared" si="13"/>
        <v>-1</v>
      </c>
    </row>
    <row r="38" spans="1:95" s="26" customFormat="1" ht="16" customHeight="1" thickBot="1" x14ac:dyDescent="0.25">
      <c r="A38" s="38" t="s">
        <v>62</v>
      </c>
      <c r="B38" s="30">
        <f t="shared" si="52"/>
        <v>20009.224737671524</v>
      </c>
      <c r="C38" s="31">
        <f t="shared" si="52"/>
        <v>20009.224737671524</v>
      </c>
      <c r="D38" s="32">
        <f t="shared" si="52"/>
        <v>0</v>
      </c>
      <c r="E38" s="30">
        <f t="shared" si="54"/>
        <v>6669.7415792238417</v>
      </c>
      <c r="F38" s="33">
        <f t="shared" si="54"/>
        <v>6669.7415792238417</v>
      </c>
      <c r="G38" s="34">
        <f t="shared" si="54"/>
        <v>0</v>
      </c>
      <c r="H38" s="31">
        <f t="shared" si="53"/>
        <v>12692.877742444134</v>
      </c>
      <c r="I38" s="33">
        <f t="shared" si="53"/>
        <v>0</v>
      </c>
      <c r="J38" s="33">
        <f t="shared" si="53"/>
        <v>12692.877742444134</v>
      </c>
      <c r="K38" s="37">
        <f t="shared" si="15"/>
        <v>0.90305390271525421</v>
      </c>
      <c r="L38" s="36">
        <f>[1]SFI!$E38</f>
        <v>1667.4353948059604</v>
      </c>
      <c r="M38" s="31">
        <f t="shared" si="16"/>
        <v>1667.4353948059604</v>
      </c>
      <c r="N38" s="18">
        <f t="shared" si="17"/>
        <v>0</v>
      </c>
      <c r="O38" s="31">
        <f t="shared" si="18"/>
        <v>1415.1869236146786</v>
      </c>
      <c r="P38" s="31"/>
      <c r="Q38" s="33">
        <v>1415.1869236146786</v>
      </c>
      <c r="R38" s="37">
        <f t="shared" si="2"/>
        <v>-0.15127930711860416</v>
      </c>
      <c r="S38" s="36">
        <f>[1]SFI!$F38</f>
        <v>1667.4353948059604</v>
      </c>
      <c r="T38" s="31">
        <f t="shared" si="19"/>
        <v>1667.4353948059604</v>
      </c>
      <c r="U38" s="18">
        <f t="shared" si="20"/>
        <v>0</v>
      </c>
      <c r="V38" s="31">
        <f t="shared" si="21"/>
        <v>593.40244451888032</v>
      </c>
      <c r="W38" s="31"/>
      <c r="X38" s="147">
        <f>'[4]SÃO FRANCISCO'!X38*'[3]SF I'!$X$4</f>
        <v>593.40244451888032</v>
      </c>
      <c r="Y38" s="37">
        <f t="shared" si="3"/>
        <v>-0.64412267703605108</v>
      </c>
      <c r="Z38" s="36">
        <f>[1]SFI!$G38</f>
        <v>1667.4353948059604</v>
      </c>
      <c r="AA38" s="31">
        <f t="shared" si="22"/>
        <v>1667.4353948059604</v>
      </c>
      <c r="AB38" s="18">
        <f t="shared" si="23"/>
        <v>0</v>
      </c>
      <c r="AC38" s="31">
        <f t="shared" si="24"/>
        <v>2434.588250134977</v>
      </c>
      <c r="AD38" s="31"/>
      <c r="AE38" s="33">
        <f>'[4]SÃO FRANCISCO'!AE38*'[2]SF I'!$X$4</f>
        <v>2434.588250134977</v>
      </c>
      <c r="AF38" s="37">
        <f t="shared" si="4"/>
        <v>0.46007950755914617</v>
      </c>
      <c r="AG38" s="36">
        <f>[1]SFI!$H38</f>
        <v>1667.4353948059604</v>
      </c>
      <c r="AH38" s="31">
        <f t="shared" si="25"/>
        <v>1667.4353948059604</v>
      </c>
      <c r="AI38" s="18">
        <f t="shared" si="26"/>
        <v>0</v>
      </c>
      <c r="AJ38" s="31">
        <f t="shared" si="27"/>
        <v>2405.0091405538979</v>
      </c>
      <c r="AK38" s="31"/>
      <c r="AL38" s="33">
        <f>'[4]SÃO FRANCISCO'!AL38*'[3]SF I'!$X$4</f>
        <v>2405.0091405538979</v>
      </c>
      <c r="AM38" s="37">
        <f t="shared" si="5"/>
        <v>0.44234022382244609</v>
      </c>
      <c r="AN38" s="36">
        <f>[1]SFI!$I38</f>
        <v>1667.4353948059604</v>
      </c>
      <c r="AO38" s="31">
        <f t="shared" si="28"/>
        <v>1667.4353948059604</v>
      </c>
      <c r="AP38" s="18">
        <f t="shared" si="29"/>
        <v>0</v>
      </c>
      <c r="AQ38" s="31">
        <f t="shared" si="30"/>
        <v>1384.5298600066667</v>
      </c>
      <c r="AR38" s="31"/>
      <c r="AS38" s="33">
        <v>1384.5298600066667</v>
      </c>
      <c r="AT38" s="37">
        <f t="shared" si="6"/>
        <v>-0.16966506509370061</v>
      </c>
      <c r="AU38" s="36">
        <f>[1]SFI!$J38</f>
        <v>1667.4353948059604</v>
      </c>
      <c r="AV38" s="31">
        <f t="shared" si="31"/>
        <v>1667.4353948059604</v>
      </c>
      <c r="AW38" s="18">
        <f t="shared" si="32"/>
        <v>0</v>
      </c>
      <c r="AX38" s="31">
        <f t="shared" si="33"/>
        <v>4460.1611236150347</v>
      </c>
      <c r="AY38" s="31"/>
      <c r="AZ38" s="33">
        <v>4460.1611236150347</v>
      </c>
      <c r="BA38" s="37">
        <f t="shared" si="7"/>
        <v>1.674862928727781</v>
      </c>
      <c r="BB38" s="36">
        <f>[1]SFI!$K38</f>
        <v>1667.4353948059604</v>
      </c>
      <c r="BC38" s="31">
        <f t="shared" si="34"/>
        <v>1667.4353948059604</v>
      </c>
      <c r="BD38" s="18">
        <f t="shared" si="35"/>
        <v>0</v>
      </c>
      <c r="BE38" s="31">
        <f t="shared" si="36"/>
        <v>0</v>
      </c>
      <c r="BF38" s="31"/>
      <c r="BG38" s="27">
        <f>'[4]SÃO FRANCISCO'!BG38*'[3]SF I'!$X$4</f>
        <v>0</v>
      </c>
      <c r="BH38" s="37">
        <f t="shared" si="8"/>
        <v>-1</v>
      </c>
      <c r="BI38" s="36">
        <f>[1]SFI!$L38</f>
        <v>1667.4353948059604</v>
      </c>
      <c r="BJ38" s="31">
        <f t="shared" si="37"/>
        <v>1667.4353948059604</v>
      </c>
      <c r="BK38" s="18">
        <f t="shared" si="38"/>
        <v>0</v>
      </c>
      <c r="BL38" s="31">
        <f t="shared" si="39"/>
        <v>0</v>
      </c>
      <c r="BM38" s="31"/>
      <c r="BN38" s="33">
        <f>'[4]SÃO FRANCISCO'!BN38*'[3]SF I'!$X$4</f>
        <v>0</v>
      </c>
      <c r="BO38" s="37">
        <f t="shared" si="9"/>
        <v>-1</v>
      </c>
      <c r="BP38" s="36">
        <f>[1]SFI!$M38</f>
        <v>1667.4353948059604</v>
      </c>
      <c r="BQ38" s="31">
        <f t="shared" si="40"/>
        <v>1667.4353948059604</v>
      </c>
      <c r="BR38" s="18">
        <f t="shared" si="41"/>
        <v>0</v>
      </c>
      <c r="BS38" s="31">
        <f t="shared" si="42"/>
        <v>0</v>
      </c>
      <c r="BT38" s="31"/>
      <c r="BU38" s="33">
        <f>'[4]SÃO FRANCISCO'!BU38*'[3]SF I'!$X$4</f>
        <v>0</v>
      </c>
      <c r="BV38" s="37">
        <f t="shared" si="10"/>
        <v>-1</v>
      </c>
      <c r="BW38" s="36">
        <f>[1]SFI!$N38</f>
        <v>1667.4353948059604</v>
      </c>
      <c r="BX38" s="31">
        <f t="shared" si="43"/>
        <v>1667.4353948059604</v>
      </c>
      <c r="BY38" s="18">
        <f t="shared" si="44"/>
        <v>0</v>
      </c>
      <c r="BZ38" s="31">
        <f t="shared" si="45"/>
        <v>0</v>
      </c>
      <c r="CA38" s="31"/>
      <c r="CB38" s="33">
        <f>'[4]SÃO FRANCISCO'!CB38*'[3]SF I'!$X$4</f>
        <v>0</v>
      </c>
      <c r="CC38" s="37">
        <f t="shared" si="11"/>
        <v>-1</v>
      </c>
      <c r="CD38" s="36">
        <f>[1]SFI!$O38</f>
        <v>1667.4353948059604</v>
      </c>
      <c r="CE38" s="31">
        <f t="shared" si="46"/>
        <v>1667.4353948059604</v>
      </c>
      <c r="CF38" s="18">
        <f t="shared" si="47"/>
        <v>0</v>
      </c>
      <c r="CG38" s="31">
        <f t="shared" si="48"/>
        <v>0</v>
      </c>
      <c r="CH38" s="31"/>
      <c r="CI38" s="33">
        <f>'[4]SÃO FRANCISCO'!CI38*'[3]SF I'!$X$4</f>
        <v>0</v>
      </c>
      <c r="CJ38" s="37">
        <f t="shared" si="12"/>
        <v>-1</v>
      </c>
      <c r="CK38" s="36">
        <f>[1]SFI!$P38</f>
        <v>1667.4353948059604</v>
      </c>
      <c r="CL38" s="31">
        <f t="shared" si="49"/>
        <v>1667.4353948059604</v>
      </c>
      <c r="CM38" s="18">
        <f t="shared" si="50"/>
        <v>0</v>
      </c>
      <c r="CN38" s="31">
        <f t="shared" si="51"/>
        <v>0</v>
      </c>
      <c r="CO38" s="31"/>
      <c r="CP38" s="33">
        <f>'[4]SÃO FRANCISCO'!CP38*'[3]SF I'!$X$4</f>
        <v>0</v>
      </c>
      <c r="CQ38" s="37">
        <f t="shared" si="13"/>
        <v>-1</v>
      </c>
    </row>
    <row r="39" spans="1:95" s="26" customFormat="1" ht="16" customHeight="1" thickBot="1" x14ac:dyDescent="0.25">
      <c r="A39" s="38" t="s">
        <v>63</v>
      </c>
      <c r="B39" s="30">
        <f t="shared" si="52"/>
        <v>2501.1530922089405</v>
      </c>
      <c r="C39" s="31">
        <f t="shared" si="52"/>
        <v>2501.1530922089405</v>
      </c>
      <c r="D39" s="32">
        <f t="shared" si="52"/>
        <v>0</v>
      </c>
      <c r="E39" s="30">
        <f t="shared" si="54"/>
        <v>833.71769740298021</v>
      </c>
      <c r="F39" s="33">
        <f t="shared" si="54"/>
        <v>833.71769740298021</v>
      </c>
      <c r="G39" s="34">
        <f t="shared" si="54"/>
        <v>0</v>
      </c>
      <c r="H39" s="31">
        <f t="shared" si="53"/>
        <v>10558.54458810663</v>
      </c>
      <c r="I39" s="33">
        <f t="shared" si="53"/>
        <v>0</v>
      </c>
      <c r="J39" s="33">
        <f t="shared" si="53"/>
        <v>10558.54458810663</v>
      </c>
      <c r="K39" s="37">
        <f t="shared" si="15"/>
        <v>11.664412211707104</v>
      </c>
      <c r="L39" s="36">
        <f>[1]SFI!$E39</f>
        <v>208.42942435074505</v>
      </c>
      <c r="M39" s="31">
        <f t="shared" si="16"/>
        <v>208.42942435074505</v>
      </c>
      <c r="N39" s="18">
        <f t="shared" si="17"/>
        <v>0</v>
      </c>
      <c r="O39" s="31">
        <f t="shared" si="18"/>
        <v>405.19668014418158</v>
      </c>
      <c r="P39" s="31"/>
      <c r="Q39" s="33">
        <v>405.19668014418158</v>
      </c>
      <c r="R39" s="37">
        <f t="shared" si="2"/>
        <v>0.94404739832854201</v>
      </c>
      <c r="S39" s="36">
        <f>[1]SFI!$F39</f>
        <v>208.42942435074505</v>
      </c>
      <c r="T39" s="31">
        <f t="shared" si="19"/>
        <v>208.42942435074505</v>
      </c>
      <c r="U39" s="18">
        <f t="shared" si="20"/>
        <v>0</v>
      </c>
      <c r="V39" s="31">
        <f t="shared" si="21"/>
        <v>145.62023178377433</v>
      </c>
      <c r="W39" s="31"/>
      <c r="X39" s="147">
        <f>'[4]SÃO FRANCISCO'!X39*'[3]SF I'!$X$4</f>
        <v>145.62023178377433</v>
      </c>
      <c r="Y39" s="37">
        <f t="shared" si="3"/>
        <v>-0.30134513283151143</v>
      </c>
      <c r="Z39" s="36">
        <f>[1]SFI!$G39</f>
        <v>208.42942435074505</v>
      </c>
      <c r="AA39" s="31">
        <f t="shared" si="22"/>
        <v>208.42942435074505</v>
      </c>
      <c r="AB39" s="18">
        <f t="shared" si="23"/>
        <v>0</v>
      </c>
      <c r="AC39" s="31">
        <f t="shared" si="24"/>
        <v>1379.8654619573426</v>
      </c>
      <c r="AD39" s="31"/>
      <c r="AE39" s="33">
        <f>'[4]SÃO FRANCISCO'!AE39*'[2]SF I'!$X$4</f>
        <v>1379.8654619573426</v>
      </c>
      <c r="AF39" s="37">
        <f t="shared" si="4"/>
        <v>5.6203006905364044</v>
      </c>
      <c r="AG39" s="36">
        <f>[1]SFI!$H39</f>
        <v>208.42942435074505</v>
      </c>
      <c r="AH39" s="31">
        <f t="shared" si="25"/>
        <v>208.42942435074505</v>
      </c>
      <c r="AI39" s="18">
        <f t="shared" si="26"/>
        <v>0</v>
      </c>
      <c r="AJ39" s="31">
        <f t="shared" si="27"/>
        <v>823.52791705967627</v>
      </c>
      <c r="AK39" s="31"/>
      <c r="AL39" s="33">
        <f>'[4]SÃO FRANCISCO'!AL39*'[3]SF I'!$X$4</f>
        <v>823.52791705967627</v>
      </c>
      <c r="AM39" s="37">
        <f t="shared" si="5"/>
        <v>2.9511116034837932</v>
      </c>
      <c r="AN39" s="36">
        <f>[1]SFI!$I39</f>
        <v>208.42942435074505</v>
      </c>
      <c r="AO39" s="31">
        <f t="shared" si="28"/>
        <v>208.42942435074505</v>
      </c>
      <c r="AP39" s="18">
        <f t="shared" si="29"/>
        <v>0</v>
      </c>
      <c r="AQ39" s="31">
        <f t="shared" si="30"/>
        <v>4943.0833185324627</v>
      </c>
      <c r="AR39" s="31"/>
      <c r="AS39" s="33">
        <v>4943.0833185324627</v>
      </c>
      <c r="AT39" s="37">
        <f t="shared" si="6"/>
        <v>22.715861298998945</v>
      </c>
      <c r="AU39" s="36">
        <f>[1]SFI!$J39</f>
        <v>208.42942435074505</v>
      </c>
      <c r="AV39" s="31">
        <f t="shared" si="31"/>
        <v>208.42942435074505</v>
      </c>
      <c r="AW39" s="18">
        <f t="shared" si="32"/>
        <v>0</v>
      </c>
      <c r="AX39" s="31">
        <f t="shared" si="33"/>
        <v>2861.2509786291926</v>
      </c>
      <c r="AY39" s="31"/>
      <c r="AZ39" s="27">
        <v>2861.2509786291926</v>
      </c>
      <c r="BA39" s="37">
        <f t="shared" si="7"/>
        <v>12.727672988312241</v>
      </c>
      <c r="BB39" s="36">
        <f>[1]SFI!$K39</f>
        <v>208.42942435074505</v>
      </c>
      <c r="BC39" s="31">
        <f t="shared" si="34"/>
        <v>208.42942435074505</v>
      </c>
      <c r="BD39" s="18">
        <f t="shared" si="35"/>
        <v>0</v>
      </c>
      <c r="BE39" s="31">
        <f t="shared" si="36"/>
        <v>0</v>
      </c>
      <c r="BF39" s="31"/>
      <c r="BG39" s="27">
        <f>'[4]SÃO FRANCISCO'!BG39*'[3]SF I'!$X$4</f>
        <v>0</v>
      </c>
      <c r="BH39" s="37">
        <f t="shared" si="8"/>
        <v>-1</v>
      </c>
      <c r="BI39" s="36">
        <f>[1]SFI!$L39</f>
        <v>208.42942435074505</v>
      </c>
      <c r="BJ39" s="31">
        <f t="shared" si="37"/>
        <v>208.42942435074505</v>
      </c>
      <c r="BK39" s="18">
        <f t="shared" si="38"/>
        <v>0</v>
      </c>
      <c r="BL39" s="31">
        <f t="shared" si="39"/>
        <v>0</v>
      </c>
      <c r="BM39" s="31"/>
      <c r="BN39" s="33">
        <f>'[4]SÃO FRANCISCO'!BN39*'[3]SF I'!$X$4</f>
        <v>0</v>
      </c>
      <c r="BO39" s="37">
        <f t="shared" si="9"/>
        <v>-1</v>
      </c>
      <c r="BP39" s="36">
        <f>[1]SFI!$M39</f>
        <v>208.42942435074505</v>
      </c>
      <c r="BQ39" s="31">
        <f t="shared" si="40"/>
        <v>208.42942435074505</v>
      </c>
      <c r="BR39" s="18">
        <f t="shared" si="41"/>
        <v>0</v>
      </c>
      <c r="BS39" s="31">
        <f t="shared" si="42"/>
        <v>0</v>
      </c>
      <c r="BT39" s="31"/>
      <c r="BU39" s="33">
        <f>'[4]SÃO FRANCISCO'!BU39*'[3]SF I'!$X$4</f>
        <v>0</v>
      </c>
      <c r="BV39" s="37">
        <f t="shared" si="10"/>
        <v>-1</v>
      </c>
      <c r="BW39" s="36">
        <f>[1]SFI!$N39</f>
        <v>208.42942435074505</v>
      </c>
      <c r="BX39" s="31">
        <f t="shared" si="43"/>
        <v>208.42942435074505</v>
      </c>
      <c r="BY39" s="18">
        <f t="shared" si="44"/>
        <v>0</v>
      </c>
      <c r="BZ39" s="31">
        <f t="shared" si="45"/>
        <v>0</v>
      </c>
      <c r="CA39" s="31"/>
      <c r="CB39" s="33">
        <f>'[4]SÃO FRANCISCO'!CB39*'[3]SF I'!$X$4</f>
        <v>0</v>
      </c>
      <c r="CC39" s="37">
        <f t="shared" si="11"/>
        <v>-1</v>
      </c>
      <c r="CD39" s="36">
        <f>[1]SFI!$O39</f>
        <v>208.42942435074505</v>
      </c>
      <c r="CE39" s="31">
        <f t="shared" si="46"/>
        <v>208.42942435074505</v>
      </c>
      <c r="CF39" s="18">
        <f t="shared" si="47"/>
        <v>0</v>
      </c>
      <c r="CG39" s="31">
        <f t="shared" si="48"/>
        <v>0</v>
      </c>
      <c r="CH39" s="31"/>
      <c r="CI39" s="33">
        <f>'[4]SÃO FRANCISCO'!CI39*'[3]SF I'!$X$4</f>
        <v>0</v>
      </c>
      <c r="CJ39" s="37">
        <f t="shared" si="12"/>
        <v>-1</v>
      </c>
      <c r="CK39" s="36">
        <f>[1]SFI!$P39</f>
        <v>208.42942435074505</v>
      </c>
      <c r="CL39" s="31">
        <f t="shared" si="49"/>
        <v>208.42942435074505</v>
      </c>
      <c r="CM39" s="18">
        <f t="shared" si="50"/>
        <v>0</v>
      </c>
      <c r="CN39" s="31">
        <f t="shared" si="51"/>
        <v>0</v>
      </c>
      <c r="CO39" s="31"/>
      <c r="CP39" s="33">
        <f>'[4]SÃO FRANCISCO'!CP39*'[3]SF I'!$X$4</f>
        <v>0</v>
      </c>
      <c r="CQ39" s="37">
        <f t="shared" si="13"/>
        <v>-1</v>
      </c>
    </row>
    <row r="40" spans="1:95" s="26" customFormat="1" ht="16" customHeight="1" thickBot="1" x14ac:dyDescent="0.25">
      <c r="A40" s="38" t="s">
        <v>64</v>
      </c>
      <c r="B40" s="30">
        <f t="shared" si="52"/>
        <v>10004.612368835762</v>
      </c>
      <c r="C40" s="31">
        <f t="shared" si="52"/>
        <v>10004.612368835762</v>
      </c>
      <c r="D40" s="32">
        <f t="shared" si="52"/>
        <v>0</v>
      </c>
      <c r="E40" s="30">
        <f t="shared" si="54"/>
        <v>3334.8707896119208</v>
      </c>
      <c r="F40" s="33">
        <f t="shared" si="54"/>
        <v>3334.8707896119208</v>
      </c>
      <c r="G40" s="34">
        <f t="shared" si="54"/>
        <v>0</v>
      </c>
      <c r="H40" s="31">
        <f t="shared" si="53"/>
        <v>23444.18109256358</v>
      </c>
      <c r="I40" s="33">
        <f t="shared" si="53"/>
        <v>0</v>
      </c>
      <c r="J40" s="33">
        <f t="shared" si="53"/>
        <v>23444.18109256358</v>
      </c>
      <c r="K40" s="37">
        <f t="shared" si="15"/>
        <v>6.0300118270224736</v>
      </c>
      <c r="L40" s="36">
        <f>[1]SFI!$E40</f>
        <v>833.71769740298021</v>
      </c>
      <c r="M40" s="31">
        <f t="shared" si="16"/>
        <v>833.71769740298021</v>
      </c>
      <c r="N40" s="18">
        <f t="shared" si="17"/>
        <v>0</v>
      </c>
      <c r="O40" s="31">
        <f t="shared" si="18"/>
        <v>2979.19608468972</v>
      </c>
      <c r="P40" s="31"/>
      <c r="Q40" s="33">
        <v>2979.19608468972</v>
      </c>
      <c r="R40" s="37">
        <f t="shared" si="2"/>
        <v>2.5733871236869232</v>
      </c>
      <c r="S40" s="36">
        <f>[1]SFI!$F40</f>
        <v>833.71769740298021</v>
      </c>
      <c r="T40" s="31">
        <f t="shared" si="19"/>
        <v>833.71769740298021</v>
      </c>
      <c r="U40" s="18">
        <f t="shared" si="20"/>
        <v>0</v>
      </c>
      <c r="V40" s="31">
        <f t="shared" si="21"/>
        <v>1385.4399864553154</v>
      </c>
      <c r="W40" s="31"/>
      <c r="X40" s="147">
        <f>'[4]SÃO FRANCISCO'!X40*'[3]SF I'!$X$4</f>
        <v>1385.4399864553154</v>
      </c>
      <c r="Y40" s="37">
        <f t="shared" si="3"/>
        <v>0.66176151804254957</v>
      </c>
      <c r="Z40" s="36">
        <f>[1]SFI!$G40</f>
        <v>833.71769740298021</v>
      </c>
      <c r="AA40" s="31">
        <f t="shared" si="22"/>
        <v>833.71769740298021</v>
      </c>
      <c r="AB40" s="18">
        <f t="shared" si="23"/>
        <v>0</v>
      </c>
      <c r="AC40" s="31">
        <f t="shared" si="24"/>
        <v>5506.8019889286688</v>
      </c>
      <c r="AD40" s="31"/>
      <c r="AE40" s="33">
        <f>'[4]SÃO FRANCISCO'!AE40*'[2]SF I'!$X$4</f>
        <v>5506.8019889286688</v>
      </c>
      <c r="AF40" s="37">
        <f t="shared" si="4"/>
        <v>5.6051158636577894</v>
      </c>
      <c r="AG40" s="36">
        <f>[1]SFI!$H40</f>
        <v>833.71769740298021</v>
      </c>
      <c r="AH40" s="31">
        <f t="shared" si="25"/>
        <v>833.71769740298021</v>
      </c>
      <c r="AI40" s="18">
        <f t="shared" si="26"/>
        <v>0</v>
      </c>
      <c r="AJ40" s="31">
        <f t="shared" si="27"/>
        <v>9264.2317283809116</v>
      </c>
      <c r="AK40" s="31"/>
      <c r="AL40" s="33">
        <f>'[4]SÃO FRANCISCO'!AL40*'[3]SF I'!$X$4</f>
        <v>9264.2317283809116</v>
      </c>
      <c r="AM40" s="37">
        <f t="shared" si="5"/>
        <v>10.111952831562618</v>
      </c>
      <c r="AN40" s="36">
        <f>[1]SFI!$I40</f>
        <v>833.71769740298021</v>
      </c>
      <c r="AO40" s="31">
        <f t="shared" si="28"/>
        <v>833.71769740298021</v>
      </c>
      <c r="AP40" s="18">
        <f t="shared" si="29"/>
        <v>0</v>
      </c>
      <c r="AQ40" s="31">
        <f t="shared" si="30"/>
        <v>3365.647607102484</v>
      </c>
      <c r="AR40" s="31"/>
      <c r="AS40" s="33">
        <v>3365.647607102484</v>
      </c>
      <c r="AT40" s="37">
        <f t="shared" si="6"/>
        <v>3.0369151543579234</v>
      </c>
      <c r="AU40" s="36">
        <f>[1]SFI!$J40</f>
        <v>833.71769740298021</v>
      </c>
      <c r="AV40" s="31">
        <f t="shared" si="31"/>
        <v>833.71769740298021</v>
      </c>
      <c r="AW40" s="18">
        <f t="shared" si="32"/>
        <v>0</v>
      </c>
      <c r="AX40" s="31">
        <f t="shared" si="33"/>
        <v>942.86369700647924</v>
      </c>
      <c r="AY40" s="31"/>
      <c r="AZ40" s="27">
        <v>942.86369700647924</v>
      </c>
      <c r="BA40" s="37">
        <f t="shared" si="7"/>
        <v>0.13091481678209238</v>
      </c>
      <c r="BB40" s="36">
        <f>[1]SFI!$K40</f>
        <v>833.71769740298021</v>
      </c>
      <c r="BC40" s="31">
        <f t="shared" si="34"/>
        <v>833.71769740298021</v>
      </c>
      <c r="BD40" s="18">
        <f t="shared" si="35"/>
        <v>0</v>
      </c>
      <c r="BE40" s="31">
        <f t="shared" si="36"/>
        <v>0</v>
      </c>
      <c r="BF40" s="31"/>
      <c r="BG40" s="27">
        <f>'[4]SÃO FRANCISCO'!BG40*'[3]SF I'!$X$4</f>
        <v>0</v>
      </c>
      <c r="BH40" s="37">
        <f t="shared" si="8"/>
        <v>-1</v>
      </c>
      <c r="BI40" s="36">
        <f>[1]SFI!$L40</f>
        <v>833.71769740298021</v>
      </c>
      <c r="BJ40" s="31">
        <f t="shared" si="37"/>
        <v>833.71769740298021</v>
      </c>
      <c r="BK40" s="18">
        <f t="shared" si="38"/>
        <v>0</v>
      </c>
      <c r="BL40" s="31">
        <f t="shared" si="39"/>
        <v>0</v>
      </c>
      <c r="BM40" s="31"/>
      <c r="BN40" s="33">
        <f>'[4]SÃO FRANCISCO'!BN40*'[3]SF I'!$X$4</f>
        <v>0</v>
      </c>
      <c r="BO40" s="37">
        <f t="shared" si="9"/>
        <v>-1</v>
      </c>
      <c r="BP40" s="36">
        <f>[1]SFI!$M40</f>
        <v>833.71769740298021</v>
      </c>
      <c r="BQ40" s="31">
        <f t="shared" si="40"/>
        <v>833.71769740298021</v>
      </c>
      <c r="BR40" s="18">
        <f t="shared" si="41"/>
        <v>0</v>
      </c>
      <c r="BS40" s="31">
        <f t="shared" si="42"/>
        <v>0</v>
      </c>
      <c r="BT40" s="31"/>
      <c r="BU40" s="33">
        <f>'[4]SÃO FRANCISCO'!BU40*'[3]SF I'!$X$4</f>
        <v>0</v>
      </c>
      <c r="BV40" s="37">
        <f t="shared" si="10"/>
        <v>-1</v>
      </c>
      <c r="BW40" s="36">
        <f>[1]SFI!$N40</f>
        <v>833.71769740298021</v>
      </c>
      <c r="BX40" s="31">
        <f t="shared" si="43"/>
        <v>833.71769740298021</v>
      </c>
      <c r="BY40" s="18">
        <f t="shared" si="44"/>
        <v>0</v>
      </c>
      <c r="BZ40" s="31">
        <f t="shared" si="45"/>
        <v>0</v>
      </c>
      <c r="CA40" s="31"/>
      <c r="CB40" s="33">
        <f>'[4]SÃO FRANCISCO'!CB40*'[3]SF I'!$X$4</f>
        <v>0</v>
      </c>
      <c r="CC40" s="37">
        <f t="shared" si="11"/>
        <v>-1</v>
      </c>
      <c r="CD40" s="36">
        <f>[1]SFI!$O40</f>
        <v>833.71769740298021</v>
      </c>
      <c r="CE40" s="31">
        <f t="shared" si="46"/>
        <v>833.71769740298021</v>
      </c>
      <c r="CF40" s="18">
        <f t="shared" si="47"/>
        <v>0</v>
      </c>
      <c r="CG40" s="31">
        <f t="shared" si="48"/>
        <v>0</v>
      </c>
      <c r="CH40" s="31"/>
      <c r="CI40" s="33">
        <f>'[4]SÃO FRANCISCO'!CI40*'[3]SF I'!$X$4</f>
        <v>0</v>
      </c>
      <c r="CJ40" s="37">
        <f t="shared" si="12"/>
        <v>-1</v>
      </c>
      <c r="CK40" s="36">
        <f>[1]SFI!$P40</f>
        <v>833.71769740298021</v>
      </c>
      <c r="CL40" s="31">
        <f t="shared" si="49"/>
        <v>833.71769740298021</v>
      </c>
      <c r="CM40" s="18">
        <f t="shared" si="50"/>
        <v>0</v>
      </c>
      <c r="CN40" s="31">
        <f t="shared" si="51"/>
        <v>0</v>
      </c>
      <c r="CO40" s="31"/>
      <c r="CP40" s="33">
        <f>'[4]SÃO FRANCISCO'!CP40*'[3]SF I'!$X$4</f>
        <v>0</v>
      </c>
      <c r="CQ40" s="37">
        <f t="shared" si="13"/>
        <v>-1</v>
      </c>
    </row>
    <row r="41" spans="1:95" s="26" customFormat="1" ht="16" customHeight="1" thickBot="1" x14ac:dyDescent="0.25">
      <c r="A41" s="29" t="s">
        <v>65</v>
      </c>
      <c r="B41" s="30">
        <f t="shared" si="52"/>
        <v>62028.596686781711</v>
      </c>
      <c r="C41" s="31">
        <f t="shared" si="52"/>
        <v>62028.596686781711</v>
      </c>
      <c r="D41" s="32">
        <f t="shared" si="52"/>
        <v>0</v>
      </c>
      <c r="E41" s="30">
        <f t="shared" si="54"/>
        <v>20676.198895593909</v>
      </c>
      <c r="F41" s="33">
        <f t="shared" si="54"/>
        <v>20676.198895593909</v>
      </c>
      <c r="G41" s="34">
        <f t="shared" si="54"/>
        <v>0</v>
      </c>
      <c r="H41" s="31">
        <f t="shared" si="53"/>
        <v>31014.298343390859</v>
      </c>
      <c r="I41" s="33">
        <f t="shared" si="53"/>
        <v>0</v>
      </c>
      <c r="J41" s="33">
        <f t="shared" si="53"/>
        <v>31014.298343390859</v>
      </c>
      <c r="K41" s="37">
        <f t="shared" si="15"/>
        <v>0.49999999999999978</v>
      </c>
      <c r="L41" s="46">
        <f>[1]SFI!$E41</f>
        <v>5169.0497238984772</v>
      </c>
      <c r="M41" s="47">
        <f t="shared" si="16"/>
        <v>5169.0497238984772</v>
      </c>
      <c r="N41" s="18">
        <f t="shared" si="17"/>
        <v>0</v>
      </c>
      <c r="O41" s="47">
        <f t="shared" si="18"/>
        <v>5169.0497238984772</v>
      </c>
      <c r="P41" s="47"/>
      <c r="Q41" s="45">
        <v>5169.0497238984772</v>
      </c>
      <c r="R41" s="37">
        <f t="shared" si="2"/>
        <v>0</v>
      </c>
      <c r="S41" s="46">
        <f>[1]SFI!$F41</f>
        <v>5169.0497238984772</v>
      </c>
      <c r="T41" s="47">
        <f t="shared" si="19"/>
        <v>5169.0497238984772</v>
      </c>
      <c r="U41" s="18">
        <f t="shared" si="20"/>
        <v>0</v>
      </c>
      <c r="V41" s="47">
        <f t="shared" si="21"/>
        <v>5169.0497238984772</v>
      </c>
      <c r="W41" s="47"/>
      <c r="X41" s="149">
        <v>5169.0497238984772</v>
      </c>
      <c r="Y41" s="37">
        <f t="shared" si="3"/>
        <v>0</v>
      </c>
      <c r="Z41" s="46">
        <f>[1]SFI!$G41</f>
        <v>5169.0497238984772</v>
      </c>
      <c r="AA41" s="47">
        <f t="shared" si="22"/>
        <v>5169.0497238984772</v>
      </c>
      <c r="AB41" s="18">
        <f t="shared" si="23"/>
        <v>0</v>
      </c>
      <c r="AC41" s="47">
        <f t="shared" si="24"/>
        <v>5169.0497238984772</v>
      </c>
      <c r="AD41" s="47"/>
      <c r="AE41" s="48">
        <v>5169.0497238984772</v>
      </c>
      <c r="AF41" s="37">
        <f t="shared" si="4"/>
        <v>0</v>
      </c>
      <c r="AG41" s="46">
        <f>[1]SFI!$H41</f>
        <v>5169.0497238984772</v>
      </c>
      <c r="AH41" s="47">
        <f t="shared" si="25"/>
        <v>5169.0497238984772</v>
      </c>
      <c r="AI41" s="18">
        <f t="shared" si="26"/>
        <v>0</v>
      </c>
      <c r="AJ41" s="47">
        <f t="shared" si="27"/>
        <v>5169.0497238984772</v>
      </c>
      <c r="AK41" s="47"/>
      <c r="AL41" s="45">
        <v>5169.0497238984772</v>
      </c>
      <c r="AM41" s="37">
        <f t="shared" si="5"/>
        <v>0</v>
      </c>
      <c r="AN41" s="46">
        <f>[1]SFI!$I41</f>
        <v>5169.0497238984772</v>
      </c>
      <c r="AO41" s="47">
        <f t="shared" si="28"/>
        <v>5169.0497238984772</v>
      </c>
      <c r="AP41" s="18">
        <f t="shared" si="29"/>
        <v>0</v>
      </c>
      <c r="AQ41" s="47">
        <f t="shared" si="30"/>
        <v>5169.0497238984772</v>
      </c>
      <c r="AR41" s="47"/>
      <c r="AS41" s="45">
        <v>5169.0497238984772</v>
      </c>
      <c r="AT41" s="37">
        <f t="shared" si="6"/>
        <v>0</v>
      </c>
      <c r="AU41" s="46">
        <f>[1]SFI!$J41</f>
        <v>5169.0497238984772</v>
      </c>
      <c r="AV41" s="47">
        <f t="shared" si="31"/>
        <v>5169.0497238984772</v>
      </c>
      <c r="AW41" s="18">
        <f t="shared" si="32"/>
        <v>0</v>
      </c>
      <c r="AX41" s="47">
        <f t="shared" si="33"/>
        <v>5169.0497238984772</v>
      </c>
      <c r="AY41" s="47"/>
      <c r="AZ41" s="48">
        <v>5169.0497238984772</v>
      </c>
      <c r="BA41" s="37">
        <f t="shared" si="7"/>
        <v>0</v>
      </c>
      <c r="BB41" s="46">
        <f>[1]SFI!$K41</f>
        <v>5169.0497238984772</v>
      </c>
      <c r="BC41" s="47">
        <f t="shared" si="34"/>
        <v>5169.0497238984772</v>
      </c>
      <c r="BD41" s="18">
        <f t="shared" si="35"/>
        <v>0</v>
      </c>
      <c r="BE41" s="47">
        <f t="shared" si="36"/>
        <v>0</v>
      </c>
      <c r="BF41" s="47"/>
      <c r="BG41" s="48"/>
      <c r="BH41" s="37">
        <f t="shared" si="8"/>
        <v>-1</v>
      </c>
      <c r="BI41" s="46">
        <f>[1]SFI!$L41</f>
        <v>5169.0497238984772</v>
      </c>
      <c r="BJ41" s="47">
        <f t="shared" si="37"/>
        <v>5169.0497238984772</v>
      </c>
      <c r="BK41" s="18">
        <f t="shared" si="38"/>
        <v>0</v>
      </c>
      <c r="BL41" s="47">
        <f t="shared" si="39"/>
        <v>0</v>
      </c>
      <c r="BM41" s="47"/>
      <c r="BN41" s="45"/>
      <c r="BO41" s="37">
        <f t="shared" si="9"/>
        <v>-1</v>
      </c>
      <c r="BP41" s="46">
        <f>[1]SFI!$M41</f>
        <v>5169.0497238984772</v>
      </c>
      <c r="BQ41" s="47">
        <f t="shared" si="40"/>
        <v>5169.0497238984772</v>
      </c>
      <c r="BR41" s="18">
        <f t="shared" si="41"/>
        <v>0</v>
      </c>
      <c r="BS41" s="47">
        <f t="shared" si="42"/>
        <v>0</v>
      </c>
      <c r="BT41" s="47"/>
      <c r="BU41" s="45"/>
      <c r="BV41" s="37">
        <f t="shared" si="10"/>
        <v>-1</v>
      </c>
      <c r="BW41" s="46">
        <f>[1]SFI!$N41</f>
        <v>5169.0497238984772</v>
      </c>
      <c r="BX41" s="47">
        <f t="shared" si="43"/>
        <v>5169.0497238984772</v>
      </c>
      <c r="BY41" s="18">
        <f t="shared" si="44"/>
        <v>0</v>
      </c>
      <c r="BZ41" s="47">
        <f t="shared" si="45"/>
        <v>0</v>
      </c>
      <c r="CA41" s="47"/>
      <c r="CB41" s="45"/>
      <c r="CC41" s="37">
        <f t="shared" si="11"/>
        <v>-1</v>
      </c>
      <c r="CD41" s="46">
        <f>[1]SFI!$O41</f>
        <v>5169.0497238984772</v>
      </c>
      <c r="CE41" s="47">
        <f t="shared" si="46"/>
        <v>5169.0497238984772</v>
      </c>
      <c r="CF41" s="18">
        <f t="shared" si="47"/>
        <v>0</v>
      </c>
      <c r="CG41" s="47">
        <f t="shared" si="48"/>
        <v>0</v>
      </c>
      <c r="CH41" s="47"/>
      <c r="CI41" s="45"/>
      <c r="CJ41" s="37">
        <f t="shared" si="12"/>
        <v>-1</v>
      </c>
      <c r="CK41" s="46">
        <f>[1]SFI!$P41</f>
        <v>5169.0497238984772</v>
      </c>
      <c r="CL41" s="47">
        <f t="shared" si="49"/>
        <v>5169.0497238984772</v>
      </c>
      <c r="CM41" s="18">
        <f t="shared" si="50"/>
        <v>0</v>
      </c>
      <c r="CN41" s="47">
        <f t="shared" si="51"/>
        <v>0</v>
      </c>
      <c r="CO41" s="47"/>
      <c r="CP41" s="45"/>
      <c r="CQ41" s="37">
        <f t="shared" si="13"/>
        <v>-1</v>
      </c>
    </row>
    <row r="42" spans="1:95" s="26" customFormat="1" ht="16" customHeight="1" thickBot="1" x14ac:dyDescent="0.25">
      <c r="A42" s="29" t="s">
        <v>66</v>
      </c>
      <c r="B42" s="30">
        <f t="shared" si="52"/>
        <v>70489.483199999988</v>
      </c>
      <c r="C42" s="31">
        <f t="shared" si="52"/>
        <v>70489.483199999988</v>
      </c>
      <c r="D42" s="32">
        <f t="shared" si="52"/>
        <v>0</v>
      </c>
      <c r="E42" s="30">
        <f t="shared" si="54"/>
        <v>23496.494399999996</v>
      </c>
      <c r="F42" s="33">
        <f t="shared" si="54"/>
        <v>23496.494399999996</v>
      </c>
      <c r="G42" s="34">
        <f t="shared" si="54"/>
        <v>0</v>
      </c>
      <c r="H42" s="31">
        <f t="shared" si="53"/>
        <v>33309.08</v>
      </c>
      <c r="I42" s="33">
        <f t="shared" si="53"/>
        <v>0</v>
      </c>
      <c r="J42" s="33">
        <f t="shared" si="53"/>
        <v>33309.08</v>
      </c>
      <c r="K42" s="37">
        <f t="shared" si="15"/>
        <v>0.4176191321544549</v>
      </c>
      <c r="L42" s="36">
        <f>[1]SFI!$E42</f>
        <v>5874.123599999999</v>
      </c>
      <c r="M42" s="31">
        <f t="shared" si="16"/>
        <v>5874.123599999999</v>
      </c>
      <c r="N42" s="18">
        <f t="shared" si="17"/>
        <v>0</v>
      </c>
      <c r="O42" s="31">
        <f t="shared" si="18"/>
        <v>5069.08</v>
      </c>
      <c r="P42" s="31"/>
      <c r="Q42" s="33">
        <v>5069.08</v>
      </c>
      <c r="R42" s="37">
        <f t="shared" si="2"/>
        <v>-0.13704914210521535</v>
      </c>
      <c r="S42" s="36">
        <f>[1]SFI!$F42</f>
        <v>5874.123599999999</v>
      </c>
      <c r="T42" s="31">
        <f t="shared" si="19"/>
        <v>5874.123599999999</v>
      </c>
      <c r="U42" s="18">
        <f t="shared" si="20"/>
        <v>0</v>
      </c>
      <c r="V42" s="31">
        <f t="shared" si="21"/>
        <v>5648</v>
      </c>
      <c r="W42" s="31"/>
      <c r="X42" s="147">
        <v>5648</v>
      </c>
      <c r="Y42" s="37">
        <f t="shared" si="3"/>
        <v>-3.849486585539319E-2</v>
      </c>
      <c r="Z42" s="36">
        <f>[1]SFI!$G42</f>
        <v>5874.123599999999</v>
      </c>
      <c r="AA42" s="31">
        <f t="shared" si="22"/>
        <v>5874.123599999999</v>
      </c>
      <c r="AB42" s="18">
        <f t="shared" si="23"/>
        <v>0</v>
      </c>
      <c r="AC42" s="31">
        <f t="shared" si="24"/>
        <v>5648</v>
      </c>
      <c r="AD42" s="31"/>
      <c r="AE42" s="33">
        <v>5648</v>
      </c>
      <c r="AF42" s="37">
        <f t="shared" si="4"/>
        <v>-3.849486585539319E-2</v>
      </c>
      <c r="AG42" s="36">
        <f>[1]SFI!$H42</f>
        <v>5874.123599999999</v>
      </c>
      <c r="AH42" s="31">
        <f t="shared" si="25"/>
        <v>5874.123599999999</v>
      </c>
      <c r="AI42" s="18">
        <f t="shared" si="26"/>
        <v>0</v>
      </c>
      <c r="AJ42" s="31">
        <f t="shared" si="27"/>
        <v>5648</v>
      </c>
      <c r="AK42" s="31"/>
      <c r="AL42" s="33">
        <v>5648</v>
      </c>
      <c r="AM42" s="37">
        <f t="shared" si="5"/>
        <v>-3.849486585539319E-2</v>
      </c>
      <c r="AN42" s="36">
        <f>[1]SFI!$I42</f>
        <v>5874.123599999999</v>
      </c>
      <c r="AO42" s="31">
        <f t="shared" si="28"/>
        <v>5874.123599999999</v>
      </c>
      <c r="AP42" s="18">
        <f t="shared" si="29"/>
        <v>0</v>
      </c>
      <c r="AQ42" s="31">
        <f t="shared" si="30"/>
        <v>5648</v>
      </c>
      <c r="AR42" s="31"/>
      <c r="AS42" s="33">
        <v>5648</v>
      </c>
      <c r="AT42" s="37">
        <f t="shared" si="6"/>
        <v>-3.849486585539319E-2</v>
      </c>
      <c r="AU42" s="36">
        <f>[1]SFI!$J42</f>
        <v>5874.123599999999</v>
      </c>
      <c r="AV42" s="31">
        <f t="shared" si="31"/>
        <v>5874.123599999999</v>
      </c>
      <c r="AW42" s="18">
        <f t="shared" si="32"/>
        <v>0</v>
      </c>
      <c r="AX42" s="31">
        <f t="shared" si="33"/>
        <v>5648</v>
      </c>
      <c r="AY42" s="31"/>
      <c r="AZ42" s="33">
        <v>5648</v>
      </c>
      <c r="BA42" s="37">
        <f t="shared" si="7"/>
        <v>-3.849486585539319E-2</v>
      </c>
      <c r="BB42" s="36">
        <f>[1]SFI!$K42</f>
        <v>5874.123599999999</v>
      </c>
      <c r="BC42" s="31">
        <f t="shared" si="34"/>
        <v>5874.123599999999</v>
      </c>
      <c r="BD42" s="18">
        <f t="shared" si="35"/>
        <v>0</v>
      </c>
      <c r="BE42" s="31">
        <f t="shared" si="36"/>
        <v>0</v>
      </c>
      <c r="BF42" s="31"/>
      <c r="BG42" s="33"/>
      <c r="BH42" s="37">
        <f t="shared" si="8"/>
        <v>-1</v>
      </c>
      <c r="BI42" s="36">
        <f>[1]SFI!$L42</f>
        <v>5874.123599999999</v>
      </c>
      <c r="BJ42" s="31">
        <f t="shared" si="37"/>
        <v>5874.123599999999</v>
      </c>
      <c r="BK42" s="18">
        <f t="shared" si="38"/>
        <v>0</v>
      </c>
      <c r="BL42" s="31">
        <f t="shared" si="39"/>
        <v>0</v>
      </c>
      <c r="BM42" s="31"/>
      <c r="BN42" s="33"/>
      <c r="BO42" s="37">
        <f t="shared" si="9"/>
        <v>-1</v>
      </c>
      <c r="BP42" s="36">
        <f>[1]SFI!$M42</f>
        <v>5874.123599999999</v>
      </c>
      <c r="BQ42" s="31">
        <f t="shared" si="40"/>
        <v>5874.123599999999</v>
      </c>
      <c r="BR42" s="18">
        <f t="shared" si="41"/>
        <v>0</v>
      </c>
      <c r="BS42" s="31">
        <f t="shared" si="42"/>
        <v>0</v>
      </c>
      <c r="BT42" s="31"/>
      <c r="BU42" s="33"/>
      <c r="BV42" s="37">
        <f t="shared" si="10"/>
        <v>-1</v>
      </c>
      <c r="BW42" s="36">
        <f>[1]SFI!$N42</f>
        <v>5874.123599999999</v>
      </c>
      <c r="BX42" s="31">
        <f t="shared" si="43"/>
        <v>5874.123599999999</v>
      </c>
      <c r="BY42" s="18">
        <f t="shared" si="44"/>
        <v>0</v>
      </c>
      <c r="BZ42" s="31">
        <f t="shared" si="45"/>
        <v>0</v>
      </c>
      <c r="CA42" s="31"/>
      <c r="CB42" s="33"/>
      <c r="CC42" s="37">
        <f t="shared" si="11"/>
        <v>-1</v>
      </c>
      <c r="CD42" s="36">
        <f>[1]SFI!$O42</f>
        <v>5874.123599999999</v>
      </c>
      <c r="CE42" s="31">
        <f t="shared" si="46"/>
        <v>5874.123599999999</v>
      </c>
      <c r="CF42" s="18">
        <f t="shared" si="47"/>
        <v>0</v>
      </c>
      <c r="CG42" s="31">
        <f t="shared" si="48"/>
        <v>0</v>
      </c>
      <c r="CH42" s="31"/>
      <c r="CI42" s="33"/>
      <c r="CJ42" s="37">
        <f t="shared" si="12"/>
        <v>-1</v>
      </c>
      <c r="CK42" s="36">
        <f>[1]SFI!$P42</f>
        <v>5874.123599999999</v>
      </c>
      <c r="CL42" s="31">
        <f t="shared" si="49"/>
        <v>5874.123599999999</v>
      </c>
      <c r="CM42" s="18">
        <f t="shared" si="50"/>
        <v>0</v>
      </c>
      <c r="CN42" s="31">
        <f t="shared" si="51"/>
        <v>0</v>
      </c>
      <c r="CO42" s="31"/>
      <c r="CP42" s="33"/>
      <c r="CQ42" s="37">
        <f t="shared" si="13"/>
        <v>-1</v>
      </c>
    </row>
    <row r="43" spans="1:95" s="26" customFormat="1" ht="16" customHeight="1" thickBot="1" x14ac:dyDescent="0.25">
      <c r="A43" s="38" t="s">
        <v>67</v>
      </c>
      <c r="B43" s="30">
        <f t="shared" si="52"/>
        <v>41171.481050851376</v>
      </c>
      <c r="C43" s="31">
        <f t="shared" si="52"/>
        <v>41171.481050851376</v>
      </c>
      <c r="D43" s="32">
        <f t="shared" si="52"/>
        <v>0</v>
      </c>
      <c r="E43" s="30">
        <f t="shared" si="54"/>
        <v>13723.827016950456</v>
      </c>
      <c r="F43" s="33">
        <f t="shared" si="54"/>
        <v>13723.827016950456</v>
      </c>
      <c r="G43" s="34">
        <f t="shared" si="54"/>
        <v>0</v>
      </c>
      <c r="H43" s="31">
        <f t="shared" si="53"/>
        <v>41728.580715966673</v>
      </c>
      <c r="I43" s="33">
        <f t="shared" si="53"/>
        <v>0</v>
      </c>
      <c r="J43" s="33">
        <f t="shared" si="53"/>
        <v>41728.580715966673</v>
      </c>
      <c r="K43" s="37">
        <f t="shared" si="15"/>
        <v>2.0405936087963821</v>
      </c>
      <c r="L43" s="36">
        <f>[1]SFI!$E43</f>
        <v>3430.9567542376139</v>
      </c>
      <c r="M43" s="31">
        <f t="shared" si="16"/>
        <v>3430.9567542376139</v>
      </c>
      <c r="N43" s="18">
        <f t="shared" si="17"/>
        <v>0</v>
      </c>
      <c r="O43" s="31">
        <f t="shared" si="18"/>
        <v>6679.8523620183805</v>
      </c>
      <c r="P43" s="31"/>
      <c r="Q43" s="33">
        <v>6679.8523620183805</v>
      </c>
      <c r="R43" s="37">
        <f t="shared" si="2"/>
        <v>0.94693575014258591</v>
      </c>
      <c r="S43" s="36">
        <f>[1]SFI!$F43</f>
        <v>3430.9567542376139</v>
      </c>
      <c r="T43" s="31">
        <f t="shared" si="19"/>
        <v>3430.9567542376139</v>
      </c>
      <c r="U43" s="18">
        <f t="shared" si="20"/>
        <v>0</v>
      </c>
      <c r="V43" s="31">
        <f t="shared" si="21"/>
        <v>6609.9526054388953</v>
      </c>
      <c r="W43" s="31"/>
      <c r="X43" s="147">
        <f>'[4]SÃO FRANCISCO'!X43*'[3]SF I'!$X$4</f>
        <v>6609.9526054388953</v>
      </c>
      <c r="Y43" s="37">
        <f t="shared" si="3"/>
        <v>0.92656249522086442</v>
      </c>
      <c r="Z43" s="36">
        <f>[1]SFI!$G43</f>
        <v>3430.9567542376139</v>
      </c>
      <c r="AA43" s="31">
        <f t="shared" si="22"/>
        <v>3430.9567542376139</v>
      </c>
      <c r="AB43" s="18">
        <f t="shared" si="23"/>
        <v>0</v>
      </c>
      <c r="AC43" s="31">
        <f t="shared" si="24"/>
        <v>4386.0358750048499</v>
      </c>
      <c r="AD43" s="31"/>
      <c r="AE43" s="33">
        <f>'[4]SÃO FRANCISCO'!AE43*'[2]SF I'!$X$4</f>
        <v>4386.0358750048499</v>
      </c>
      <c r="AF43" s="37">
        <f t="shared" si="4"/>
        <v>0.27837107523655225</v>
      </c>
      <c r="AG43" s="36">
        <f>[1]SFI!$H43</f>
        <v>3430.9567542376139</v>
      </c>
      <c r="AH43" s="31">
        <f t="shared" si="25"/>
        <v>3430.9567542376139</v>
      </c>
      <c r="AI43" s="18">
        <f t="shared" si="26"/>
        <v>0</v>
      </c>
      <c r="AJ43" s="31">
        <f t="shared" si="27"/>
        <v>5328.6037809155187</v>
      </c>
      <c r="AK43" s="31"/>
      <c r="AL43" s="33">
        <f>'[4]SÃO FRANCISCO'!AL43*'[3]SF I'!$X$4</f>
        <v>5328.6037809155187</v>
      </c>
      <c r="AM43" s="37">
        <f t="shared" si="5"/>
        <v>0.55309558312971996</v>
      </c>
      <c r="AN43" s="36">
        <f>[1]SFI!$I43</f>
        <v>3430.9567542376139</v>
      </c>
      <c r="AO43" s="31">
        <f t="shared" si="28"/>
        <v>3430.9567542376139</v>
      </c>
      <c r="AP43" s="18">
        <f t="shared" si="29"/>
        <v>0</v>
      </c>
      <c r="AQ43" s="31">
        <f t="shared" si="30"/>
        <v>4441.1303795737931</v>
      </c>
      <c r="AR43" s="31"/>
      <c r="AS43" s="33">
        <v>4441.1303795737931</v>
      </c>
      <c r="AT43" s="37">
        <f t="shared" si="6"/>
        <v>0.29442913382353253</v>
      </c>
      <c r="AU43" s="36">
        <f>[1]SFI!$J43</f>
        <v>3430.9567542376139</v>
      </c>
      <c r="AV43" s="31">
        <f t="shared" si="31"/>
        <v>3430.9567542376139</v>
      </c>
      <c r="AW43" s="18">
        <f t="shared" si="32"/>
        <v>0</v>
      </c>
      <c r="AX43" s="31">
        <f t="shared" si="33"/>
        <v>14283.005713015235</v>
      </c>
      <c r="AY43" s="31"/>
      <c r="AZ43" s="27">
        <v>14283.005713015235</v>
      </c>
      <c r="BA43" s="37">
        <f t="shared" si="7"/>
        <v>3.162980397632273</v>
      </c>
      <c r="BB43" s="36">
        <f>[1]SFI!$K43</f>
        <v>3430.9567542376139</v>
      </c>
      <c r="BC43" s="31">
        <f t="shared" si="34"/>
        <v>3430.9567542376139</v>
      </c>
      <c r="BD43" s="18">
        <f t="shared" si="35"/>
        <v>0</v>
      </c>
      <c r="BE43" s="31">
        <f t="shared" si="36"/>
        <v>0</v>
      </c>
      <c r="BF43" s="31"/>
      <c r="BG43" s="27">
        <f>'[4]SÃO FRANCISCO'!BG43*'[3]SF I'!$X$4</f>
        <v>0</v>
      </c>
      <c r="BH43" s="37">
        <f t="shared" si="8"/>
        <v>-1</v>
      </c>
      <c r="BI43" s="36">
        <f>[1]SFI!$L43</f>
        <v>3430.9567542376139</v>
      </c>
      <c r="BJ43" s="31">
        <f t="shared" si="37"/>
        <v>3430.9567542376139</v>
      </c>
      <c r="BK43" s="18">
        <f t="shared" si="38"/>
        <v>0</v>
      </c>
      <c r="BL43" s="31">
        <f t="shared" si="39"/>
        <v>0</v>
      </c>
      <c r="BM43" s="31"/>
      <c r="BN43" s="33">
        <f>'[4]SÃO FRANCISCO'!BN43*'[3]SF I'!$X$4</f>
        <v>0</v>
      </c>
      <c r="BO43" s="37">
        <f t="shared" si="9"/>
        <v>-1</v>
      </c>
      <c r="BP43" s="36">
        <f>[1]SFI!$M43</f>
        <v>3430.9567542376139</v>
      </c>
      <c r="BQ43" s="31">
        <f t="shared" si="40"/>
        <v>3430.9567542376139</v>
      </c>
      <c r="BR43" s="18">
        <f t="shared" si="41"/>
        <v>0</v>
      </c>
      <c r="BS43" s="31">
        <f t="shared" si="42"/>
        <v>0</v>
      </c>
      <c r="BT43" s="31"/>
      <c r="BU43" s="33">
        <f>'[4]SÃO FRANCISCO'!BU43*'[3]SF I'!$X$4</f>
        <v>0</v>
      </c>
      <c r="BV43" s="37">
        <f t="shared" si="10"/>
        <v>-1</v>
      </c>
      <c r="BW43" s="36">
        <f>[1]SFI!$N43</f>
        <v>3430.9567542376139</v>
      </c>
      <c r="BX43" s="31">
        <f t="shared" si="43"/>
        <v>3430.9567542376139</v>
      </c>
      <c r="BY43" s="18">
        <f t="shared" si="44"/>
        <v>0</v>
      </c>
      <c r="BZ43" s="31">
        <f t="shared" si="45"/>
        <v>0</v>
      </c>
      <c r="CA43" s="31"/>
      <c r="CB43" s="33">
        <f>'[4]SÃO FRANCISCO'!CB43*'[3]SF I'!$X$4</f>
        <v>0</v>
      </c>
      <c r="CC43" s="37">
        <f t="shared" si="11"/>
        <v>-1</v>
      </c>
      <c r="CD43" s="36">
        <f>[1]SFI!$O43</f>
        <v>3430.9567542376139</v>
      </c>
      <c r="CE43" s="31">
        <f t="shared" si="46"/>
        <v>3430.9567542376139</v>
      </c>
      <c r="CF43" s="18">
        <f t="shared" si="47"/>
        <v>0</v>
      </c>
      <c r="CG43" s="31">
        <f t="shared" si="48"/>
        <v>0</v>
      </c>
      <c r="CH43" s="31"/>
      <c r="CI43" s="33">
        <f>'[4]SÃO FRANCISCO'!CI43*'[3]SF I'!$X$4</f>
        <v>0</v>
      </c>
      <c r="CJ43" s="37">
        <f t="shared" si="12"/>
        <v>-1</v>
      </c>
      <c r="CK43" s="36">
        <f>[1]SFI!$P43</f>
        <v>3430.9567542376139</v>
      </c>
      <c r="CL43" s="31">
        <f t="shared" si="49"/>
        <v>3430.9567542376139</v>
      </c>
      <c r="CM43" s="18">
        <f t="shared" si="50"/>
        <v>0</v>
      </c>
      <c r="CN43" s="31">
        <f t="shared" si="51"/>
        <v>0</v>
      </c>
      <c r="CO43" s="31"/>
      <c r="CP43" s="33">
        <f>'[4]SÃO FRANCISCO'!CP43*'[3]SF I'!$X$4</f>
        <v>0</v>
      </c>
      <c r="CQ43" s="37">
        <f t="shared" si="13"/>
        <v>-1</v>
      </c>
    </row>
    <row r="44" spans="1:95" s="26" customFormat="1" ht="16" customHeight="1" thickBot="1" x14ac:dyDescent="0.25">
      <c r="A44" s="29" t="s">
        <v>68</v>
      </c>
      <c r="B44" s="30">
        <f t="shared" si="52"/>
        <v>0</v>
      </c>
      <c r="C44" s="31">
        <f t="shared" si="52"/>
        <v>0</v>
      </c>
      <c r="D44" s="32">
        <f t="shared" si="52"/>
        <v>0</v>
      </c>
      <c r="E44" s="30">
        <f t="shared" si="54"/>
        <v>0</v>
      </c>
      <c r="F44" s="33">
        <f t="shared" si="54"/>
        <v>0</v>
      </c>
      <c r="G44" s="34">
        <f t="shared" si="54"/>
        <v>0</v>
      </c>
      <c r="H44" s="31">
        <f t="shared" si="53"/>
        <v>0</v>
      </c>
      <c r="I44" s="33">
        <f t="shared" si="53"/>
        <v>0</v>
      </c>
      <c r="J44" s="33">
        <f t="shared" si="53"/>
        <v>0</v>
      </c>
      <c r="K44" s="37" t="str">
        <f t="shared" si="15"/>
        <v/>
      </c>
      <c r="L44" s="36">
        <f>[1]SFI!$E44</f>
        <v>0</v>
      </c>
      <c r="M44" s="31">
        <f t="shared" si="16"/>
        <v>0</v>
      </c>
      <c r="N44" s="18">
        <f t="shared" si="17"/>
        <v>0</v>
      </c>
      <c r="O44" s="31">
        <f t="shared" si="18"/>
        <v>0</v>
      </c>
      <c r="P44" s="31"/>
      <c r="Q44" s="33">
        <v>0</v>
      </c>
      <c r="R44" s="37" t="str">
        <f t="shared" si="2"/>
        <v/>
      </c>
      <c r="S44" s="36">
        <f>[1]SFI!$F44</f>
        <v>0</v>
      </c>
      <c r="T44" s="31">
        <f t="shared" si="19"/>
        <v>0</v>
      </c>
      <c r="U44" s="18">
        <f t="shared" si="20"/>
        <v>0</v>
      </c>
      <c r="V44" s="31">
        <f t="shared" si="21"/>
        <v>0</v>
      </c>
      <c r="W44" s="31"/>
      <c r="X44" s="147">
        <f>'[4]SÃO FRANCISCO'!X44*'[3]SF I'!$X$4</f>
        <v>0</v>
      </c>
      <c r="Y44" s="37" t="str">
        <f t="shared" si="3"/>
        <v/>
      </c>
      <c r="Z44" s="36">
        <f>[1]SFI!$G44</f>
        <v>0</v>
      </c>
      <c r="AA44" s="31">
        <f t="shared" si="22"/>
        <v>0</v>
      </c>
      <c r="AB44" s="18">
        <f t="shared" si="23"/>
        <v>0</v>
      </c>
      <c r="AC44" s="31">
        <f t="shared" si="24"/>
        <v>0</v>
      </c>
      <c r="AD44" s="31"/>
      <c r="AE44" s="27">
        <f>'[4]SÃO FRANCISCO'!AE44*'[2]SF I'!$X$4</f>
        <v>0</v>
      </c>
      <c r="AF44" s="37" t="str">
        <f t="shared" si="4"/>
        <v/>
      </c>
      <c r="AG44" s="36">
        <f>[1]SFI!$H44</f>
        <v>0</v>
      </c>
      <c r="AH44" s="31">
        <f t="shared" si="25"/>
        <v>0</v>
      </c>
      <c r="AI44" s="18">
        <f t="shared" si="26"/>
        <v>0</v>
      </c>
      <c r="AJ44" s="31">
        <f t="shared" si="27"/>
        <v>0</v>
      </c>
      <c r="AK44" s="31"/>
      <c r="AL44" s="33">
        <f>'[4]SÃO FRANCISCO'!AL44*'[3]SF I'!$X$4</f>
        <v>0</v>
      </c>
      <c r="AM44" s="37" t="str">
        <f t="shared" si="5"/>
        <v/>
      </c>
      <c r="AN44" s="36">
        <f>[1]SFI!$I44</f>
        <v>0</v>
      </c>
      <c r="AO44" s="31">
        <f t="shared" si="28"/>
        <v>0</v>
      </c>
      <c r="AP44" s="18">
        <f t="shared" si="29"/>
        <v>0</v>
      </c>
      <c r="AQ44" s="31">
        <f t="shared" si="30"/>
        <v>0</v>
      </c>
      <c r="AR44" s="31"/>
      <c r="AS44" s="33">
        <v>0</v>
      </c>
      <c r="AT44" s="37" t="str">
        <f t="shared" si="6"/>
        <v/>
      </c>
      <c r="AU44" s="36">
        <f>[1]SFI!$J44</f>
        <v>0</v>
      </c>
      <c r="AV44" s="31">
        <f t="shared" si="31"/>
        <v>0</v>
      </c>
      <c r="AW44" s="18">
        <f t="shared" si="32"/>
        <v>0</v>
      </c>
      <c r="AX44" s="31">
        <f t="shared" si="33"/>
        <v>0</v>
      </c>
      <c r="AY44" s="31"/>
      <c r="AZ44" s="27">
        <v>0</v>
      </c>
      <c r="BA44" s="37" t="str">
        <f t="shared" si="7"/>
        <v/>
      </c>
      <c r="BB44" s="36">
        <f>[1]SFI!$K44</f>
        <v>0</v>
      </c>
      <c r="BC44" s="31">
        <f t="shared" si="34"/>
        <v>0</v>
      </c>
      <c r="BD44" s="18">
        <f t="shared" si="35"/>
        <v>0</v>
      </c>
      <c r="BE44" s="31">
        <f t="shared" si="36"/>
        <v>0</v>
      </c>
      <c r="BF44" s="31"/>
      <c r="BG44" s="27">
        <f>'[4]SÃO FRANCISCO'!BG44*'[3]SF I'!$X$4</f>
        <v>0</v>
      </c>
      <c r="BH44" s="37" t="str">
        <f t="shared" si="8"/>
        <v/>
      </c>
      <c r="BI44" s="36">
        <f>[1]SFI!$L44</f>
        <v>0</v>
      </c>
      <c r="BJ44" s="31">
        <f t="shared" si="37"/>
        <v>0</v>
      </c>
      <c r="BK44" s="18">
        <f t="shared" si="38"/>
        <v>0</v>
      </c>
      <c r="BL44" s="31">
        <f t="shared" si="39"/>
        <v>0</v>
      </c>
      <c r="BM44" s="31"/>
      <c r="BN44" s="33">
        <f>'[4]SÃO FRANCISCO'!BN44*'[3]SF I'!$X$4</f>
        <v>0</v>
      </c>
      <c r="BO44" s="37" t="str">
        <f t="shared" si="9"/>
        <v/>
      </c>
      <c r="BP44" s="36">
        <f>[1]SFI!$M44</f>
        <v>0</v>
      </c>
      <c r="BQ44" s="31">
        <f t="shared" si="40"/>
        <v>0</v>
      </c>
      <c r="BR44" s="18">
        <f t="shared" si="41"/>
        <v>0</v>
      </c>
      <c r="BS44" s="31">
        <f t="shared" si="42"/>
        <v>0</v>
      </c>
      <c r="BT44" s="31"/>
      <c r="BU44" s="33">
        <f>'[4]SÃO FRANCISCO'!BU44*'[3]SF I'!$X$4</f>
        <v>0</v>
      </c>
      <c r="BV44" s="37" t="str">
        <f t="shared" si="10"/>
        <v/>
      </c>
      <c r="BW44" s="36">
        <f>[1]SFI!$N44</f>
        <v>0</v>
      </c>
      <c r="BX44" s="31">
        <f t="shared" si="43"/>
        <v>0</v>
      </c>
      <c r="BY44" s="18">
        <f t="shared" si="44"/>
        <v>0</v>
      </c>
      <c r="BZ44" s="31">
        <f t="shared" si="45"/>
        <v>0</v>
      </c>
      <c r="CA44" s="31"/>
      <c r="CB44" s="33">
        <f>'[4]SÃO FRANCISCO'!CB44*'[3]SF I'!$X$4</f>
        <v>0</v>
      </c>
      <c r="CC44" s="37" t="str">
        <f t="shared" si="11"/>
        <v/>
      </c>
      <c r="CD44" s="36">
        <f>[1]SFI!$O44</f>
        <v>0</v>
      </c>
      <c r="CE44" s="31">
        <f t="shared" si="46"/>
        <v>0</v>
      </c>
      <c r="CF44" s="18">
        <f t="shared" si="47"/>
        <v>0</v>
      </c>
      <c r="CG44" s="31">
        <f t="shared" si="48"/>
        <v>0</v>
      </c>
      <c r="CH44" s="31"/>
      <c r="CI44" s="33">
        <f>'[4]SÃO FRANCISCO'!CI44*'[3]SF I'!$X$4</f>
        <v>0</v>
      </c>
      <c r="CJ44" s="37" t="str">
        <f t="shared" si="12"/>
        <v/>
      </c>
      <c r="CK44" s="36">
        <f>[1]SFI!$P44</f>
        <v>0</v>
      </c>
      <c r="CL44" s="31">
        <f t="shared" si="49"/>
        <v>0</v>
      </c>
      <c r="CM44" s="18">
        <f t="shared" si="50"/>
        <v>0</v>
      </c>
      <c r="CN44" s="31">
        <f t="shared" si="51"/>
        <v>0</v>
      </c>
      <c r="CO44" s="31"/>
      <c r="CP44" s="33">
        <f>'[4]SÃO FRANCISCO'!CP44*'[3]SF I'!$X$4</f>
        <v>0</v>
      </c>
      <c r="CQ44" s="37" t="str">
        <f t="shared" si="13"/>
        <v/>
      </c>
    </row>
    <row r="45" spans="1:95" s="26" customFormat="1" ht="16" customHeight="1" thickBot="1" x14ac:dyDescent="0.25">
      <c r="A45" s="39" t="s">
        <v>69</v>
      </c>
      <c r="B45" s="30">
        <f t="shared" si="52"/>
        <v>0</v>
      </c>
      <c r="C45" s="31">
        <f t="shared" si="52"/>
        <v>0</v>
      </c>
      <c r="D45" s="32">
        <f t="shared" si="52"/>
        <v>0</v>
      </c>
      <c r="E45" s="30">
        <f t="shared" si="54"/>
        <v>0</v>
      </c>
      <c r="F45" s="33">
        <f t="shared" si="54"/>
        <v>0</v>
      </c>
      <c r="G45" s="34">
        <f t="shared" si="54"/>
        <v>0</v>
      </c>
      <c r="H45" s="31">
        <f t="shared" si="53"/>
        <v>0</v>
      </c>
      <c r="I45" s="33">
        <f t="shared" si="53"/>
        <v>0</v>
      </c>
      <c r="J45" s="33">
        <f t="shared" si="53"/>
        <v>0</v>
      </c>
      <c r="K45" s="37" t="str">
        <f t="shared" si="15"/>
        <v/>
      </c>
      <c r="L45" s="36">
        <f>[1]SFI!$E45</f>
        <v>0</v>
      </c>
      <c r="M45" s="31">
        <f t="shared" si="16"/>
        <v>0</v>
      </c>
      <c r="N45" s="18">
        <f t="shared" si="17"/>
        <v>0</v>
      </c>
      <c r="O45" s="31">
        <f t="shared" si="18"/>
        <v>0</v>
      </c>
      <c r="P45" s="31"/>
      <c r="Q45" s="33">
        <v>0</v>
      </c>
      <c r="R45" s="37" t="str">
        <f t="shared" si="2"/>
        <v/>
      </c>
      <c r="S45" s="36">
        <f>[1]SFI!$F45</f>
        <v>0</v>
      </c>
      <c r="T45" s="31">
        <f t="shared" si="19"/>
        <v>0</v>
      </c>
      <c r="U45" s="18">
        <f t="shared" si="20"/>
        <v>0</v>
      </c>
      <c r="V45" s="31">
        <f t="shared" si="21"/>
        <v>0</v>
      </c>
      <c r="W45" s="31"/>
      <c r="X45" s="147">
        <f>'[4]SÃO FRANCISCO'!X45*'[3]SF I'!$X$4</f>
        <v>0</v>
      </c>
      <c r="Y45" s="37" t="str">
        <f t="shared" si="3"/>
        <v/>
      </c>
      <c r="Z45" s="36">
        <f>[1]SFI!$G45</f>
        <v>0</v>
      </c>
      <c r="AA45" s="31">
        <f t="shared" si="22"/>
        <v>0</v>
      </c>
      <c r="AB45" s="18">
        <f t="shared" si="23"/>
        <v>0</v>
      </c>
      <c r="AC45" s="31">
        <f t="shared" si="24"/>
        <v>0</v>
      </c>
      <c r="AD45" s="31"/>
      <c r="AE45" s="27">
        <f>'[4]SÃO FRANCISCO'!AE45*'[2]SF I'!$X$4</f>
        <v>0</v>
      </c>
      <c r="AF45" s="37" t="str">
        <f t="shared" si="4"/>
        <v/>
      </c>
      <c r="AG45" s="36">
        <f>[1]SFI!$H45</f>
        <v>0</v>
      </c>
      <c r="AH45" s="31">
        <f t="shared" si="25"/>
        <v>0</v>
      </c>
      <c r="AI45" s="18">
        <f t="shared" si="26"/>
        <v>0</v>
      </c>
      <c r="AJ45" s="31">
        <f t="shared" si="27"/>
        <v>0</v>
      </c>
      <c r="AK45" s="31"/>
      <c r="AL45" s="33">
        <f>'[4]SÃO FRANCISCO'!AL45*'[3]SF I'!$X$4</f>
        <v>0</v>
      </c>
      <c r="AM45" s="37" t="str">
        <f t="shared" si="5"/>
        <v/>
      </c>
      <c r="AN45" s="36">
        <f>[1]SFI!$I45</f>
        <v>0</v>
      </c>
      <c r="AO45" s="31">
        <f t="shared" si="28"/>
        <v>0</v>
      </c>
      <c r="AP45" s="18">
        <f t="shared" si="29"/>
        <v>0</v>
      </c>
      <c r="AQ45" s="31">
        <f t="shared" si="30"/>
        <v>0</v>
      </c>
      <c r="AR45" s="31"/>
      <c r="AS45" s="33">
        <v>0</v>
      </c>
      <c r="AT45" s="37" t="str">
        <f t="shared" si="6"/>
        <v/>
      </c>
      <c r="AU45" s="36">
        <f>[1]SFI!$J45</f>
        <v>0</v>
      </c>
      <c r="AV45" s="31">
        <f t="shared" si="31"/>
        <v>0</v>
      </c>
      <c r="AW45" s="18">
        <f t="shared" si="32"/>
        <v>0</v>
      </c>
      <c r="AX45" s="31">
        <f t="shared" si="33"/>
        <v>0</v>
      </c>
      <c r="AY45" s="31"/>
      <c r="AZ45" s="27">
        <v>0</v>
      </c>
      <c r="BA45" s="37" t="str">
        <f t="shared" si="7"/>
        <v/>
      </c>
      <c r="BB45" s="36">
        <f>[1]SFI!$K45</f>
        <v>0</v>
      </c>
      <c r="BC45" s="31">
        <f t="shared" si="34"/>
        <v>0</v>
      </c>
      <c r="BD45" s="18">
        <f t="shared" si="35"/>
        <v>0</v>
      </c>
      <c r="BE45" s="31">
        <f t="shared" si="36"/>
        <v>0</v>
      </c>
      <c r="BF45" s="31"/>
      <c r="BG45" s="27">
        <f>'[4]SÃO FRANCISCO'!BG45*'[3]SF I'!$X$4</f>
        <v>0</v>
      </c>
      <c r="BH45" s="37" t="str">
        <f t="shared" si="8"/>
        <v/>
      </c>
      <c r="BI45" s="36">
        <f>[1]SFI!$L45</f>
        <v>0</v>
      </c>
      <c r="BJ45" s="31">
        <f t="shared" si="37"/>
        <v>0</v>
      </c>
      <c r="BK45" s="18">
        <f t="shared" si="38"/>
        <v>0</v>
      </c>
      <c r="BL45" s="31">
        <f t="shared" si="39"/>
        <v>0</v>
      </c>
      <c r="BM45" s="31"/>
      <c r="BN45" s="33">
        <f>'[4]SÃO FRANCISCO'!BN45*'[3]SF I'!$X$4</f>
        <v>0</v>
      </c>
      <c r="BO45" s="37" t="str">
        <f t="shared" si="9"/>
        <v/>
      </c>
      <c r="BP45" s="36">
        <f>[1]SFI!$M45</f>
        <v>0</v>
      </c>
      <c r="BQ45" s="31">
        <f t="shared" si="40"/>
        <v>0</v>
      </c>
      <c r="BR45" s="18">
        <f t="shared" si="41"/>
        <v>0</v>
      </c>
      <c r="BS45" s="31">
        <f t="shared" si="42"/>
        <v>0</v>
      </c>
      <c r="BT45" s="31"/>
      <c r="BU45" s="33">
        <f>'[4]SÃO FRANCISCO'!BU45*'[3]SF I'!$X$4</f>
        <v>0</v>
      </c>
      <c r="BV45" s="37" t="str">
        <f t="shared" si="10"/>
        <v/>
      </c>
      <c r="BW45" s="36">
        <f>[1]SFI!$N45</f>
        <v>0</v>
      </c>
      <c r="BX45" s="31">
        <f t="shared" si="43"/>
        <v>0</v>
      </c>
      <c r="BY45" s="18">
        <f t="shared" si="44"/>
        <v>0</v>
      </c>
      <c r="BZ45" s="31">
        <f t="shared" si="45"/>
        <v>0</v>
      </c>
      <c r="CA45" s="31"/>
      <c r="CB45" s="33">
        <f>'[4]SÃO FRANCISCO'!CB45*'[3]SF I'!$X$4</f>
        <v>0</v>
      </c>
      <c r="CC45" s="37" t="str">
        <f t="shared" si="11"/>
        <v/>
      </c>
      <c r="CD45" s="36">
        <f>[1]SFI!$O45</f>
        <v>0</v>
      </c>
      <c r="CE45" s="31">
        <f t="shared" si="46"/>
        <v>0</v>
      </c>
      <c r="CF45" s="18">
        <f t="shared" si="47"/>
        <v>0</v>
      </c>
      <c r="CG45" s="31">
        <f t="shared" si="48"/>
        <v>0</v>
      </c>
      <c r="CH45" s="31"/>
      <c r="CI45" s="33">
        <f>'[4]SÃO FRANCISCO'!CI45*'[3]SF I'!$X$4</f>
        <v>0</v>
      </c>
      <c r="CJ45" s="37" t="str">
        <f t="shared" si="12"/>
        <v/>
      </c>
      <c r="CK45" s="36">
        <f>[1]SFI!$P45</f>
        <v>0</v>
      </c>
      <c r="CL45" s="31">
        <f t="shared" si="49"/>
        <v>0</v>
      </c>
      <c r="CM45" s="18">
        <f t="shared" si="50"/>
        <v>0</v>
      </c>
      <c r="CN45" s="31">
        <f t="shared" si="51"/>
        <v>0</v>
      </c>
      <c r="CO45" s="31"/>
      <c r="CP45" s="33">
        <f>'[4]SÃO FRANCISCO'!CP45*'[3]SF I'!$X$4</f>
        <v>0</v>
      </c>
      <c r="CQ45" s="37" t="str">
        <f t="shared" si="13"/>
        <v/>
      </c>
    </row>
    <row r="46" spans="1:95" s="26" customFormat="1" ht="16" customHeight="1" thickBot="1" x14ac:dyDescent="0.25">
      <c r="A46" s="38" t="s">
        <v>70</v>
      </c>
      <c r="B46" s="30">
        <f t="shared" si="52"/>
        <v>0</v>
      </c>
      <c r="C46" s="31">
        <f t="shared" si="52"/>
        <v>0</v>
      </c>
      <c r="D46" s="32">
        <f t="shared" si="52"/>
        <v>0</v>
      </c>
      <c r="E46" s="30">
        <f t="shared" si="54"/>
        <v>0</v>
      </c>
      <c r="F46" s="33">
        <f t="shared" si="54"/>
        <v>0</v>
      </c>
      <c r="G46" s="34">
        <f t="shared" si="54"/>
        <v>0</v>
      </c>
      <c r="H46" s="31">
        <f t="shared" si="53"/>
        <v>0</v>
      </c>
      <c r="I46" s="33">
        <f t="shared" si="53"/>
        <v>0</v>
      </c>
      <c r="J46" s="33">
        <f t="shared" si="53"/>
        <v>0</v>
      </c>
      <c r="K46" s="37" t="str">
        <f t="shared" si="15"/>
        <v/>
      </c>
      <c r="L46" s="36">
        <f>[1]SFI!$E46</f>
        <v>0</v>
      </c>
      <c r="M46" s="31">
        <f t="shared" si="16"/>
        <v>0</v>
      </c>
      <c r="N46" s="18">
        <f t="shared" si="17"/>
        <v>0</v>
      </c>
      <c r="O46" s="31">
        <f t="shared" si="18"/>
        <v>0</v>
      </c>
      <c r="P46" s="31"/>
      <c r="Q46" s="33">
        <v>0</v>
      </c>
      <c r="R46" s="37" t="str">
        <f t="shared" si="2"/>
        <v/>
      </c>
      <c r="S46" s="36">
        <f>[1]SFI!$F46</f>
        <v>0</v>
      </c>
      <c r="T46" s="31">
        <f t="shared" si="19"/>
        <v>0</v>
      </c>
      <c r="U46" s="18">
        <f t="shared" si="20"/>
        <v>0</v>
      </c>
      <c r="V46" s="31">
        <f t="shared" si="21"/>
        <v>0</v>
      </c>
      <c r="W46" s="31"/>
      <c r="X46" s="147">
        <f>'[4]SÃO FRANCISCO'!X46*'[3]SF I'!$X$4</f>
        <v>0</v>
      </c>
      <c r="Y46" s="37" t="str">
        <f t="shared" si="3"/>
        <v/>
      </c>
      <c r="Z46" s="36">
        <f>[1]SFI!$G46</f>
        <v>0</v>
      </c>
      <c r="AA46" s="31">
        <f t="shared" si="22"/>
        <v>0</v>
      </c>
      <c r="AB46" s="18">
        <f t="shared" si="23"/>
        <v>0</v>
      </c>
      <c r="AC46" s="31">
        <f t="shared" si="24"/>
        <v>0</v>
      </c>
      <c r="AD46" s="31"/>
      <c r="AE46" s="27">
        <f>'[4]SÃO FRANCISCO'!AE46*'[2]SF I'!$X$4</f>
        <v>0</v>
      </c>
      <c r="AF46" s="37" t="str">
        <f t="shared" si="4"/>
        <v/>
      </c>
      <c r="AG46" s="36">
        <f>[1]SFI!$H46</f>
        <v>0</v>
      </c>
      <c r="AH46" s="31">
        <f t="shared" si="25"/>
        <v>0</v>
      </c>
      <c r="AI46" s="18">
        <f t="shared" si="26"/>
        <v>0</v>
      </c>
      <c r="AJ46" s="31">
        <f t="shared" si="27"/>
        <v>0</v>
      </c>
      <c r="AK46" s="31"/>
      <c r="AL46" s="33">
        <f>'[4]SÃO FRANCISCO'!AL46*'[3]SF I'!$X$4</f>
        <v>0</v>
      </c>
      <c r="AM46" s="37" t="str">
        <f t="shared" si="5"/>
        <v/>
      </c>
      <c r="AN46" s="36">
        <f>[1]SFI!$I46</f>
        <v>0</v>
      </c>
      <c r="AO46" s="31">
        <f t="shared" si="28"/>
        <v>0</v>
      </c>
      <c r="AP46" s="18">
        <f t="shared" si="29"/>
        <v>0</v>
      </c>
      <c r="AQ46" s="31">
        <f t="shared" si="30"/>
        <v>0</v>
      </c>
      <c r="AR46" s="31"/>
      <c r="AS46" s="33">
        <v>0</v>
      </c>
      <c r="AT46" s="37" t="str">
        <f t="shared" si="6"/>
        <v/>
      </c>
      <c r="AU46" s="36">
        <f>[1]SFI!$J46</f>
        <v>0</v>
      </c>
      <c r="AV46" s="31">
        <f t="shared" si="31"/>
        <v>0</v>
      </c>
      <c r="AW46" s="18">
        <f t="shared" si="32"/>
        <v>0</v>
      </c>
      <c r="AX46" s="31">
        <f t="shared" si="33"/>
        <v>0</v>
      </c>
      <c r="AY46" s="31"/>
      <c r="AZ46" s="27">
        <v>0</v>
      </c>
      <c r="BA46" s="37" t="str">
        <f t="shared" si="7"/>
        <v/>
      </c>
      <c r="BB46" s="36">
        <f>[1]SFI!$K46</f>
        <v>0</v>
      </c>
      <c r="BC46" s="31">
        <f t="shared" si="34"/>
        <v>0</v>
      </c>
      <c r="BD46" s="18">
        <f t="shared" si="35"/>
        <v>0</v>
      </c>
      <c r="BE46" s="31">
        <f t="shared" si="36"/>
        <v>0</v>
      </c>
      <c r="BF46" s="31"/>
      <c r="BG46" s="27">
        <f>'[4]SÃO FRANCISCO'!BG46*'[3]SF I'!$X$4</f>
        <v>0</v>
      </c>
      <c r="BH46" s="37" t="str">
        <f t="shared" si="8"/>
        <v/>
      </c>
      <c r="BI46" s="36">
        <f>[1]SFI!$L46</f>
        <v>0</v>
      </c>
      <c r="BJ46" s="31">
        <f t="shared" si="37"/>
        <v>0</v>
      </c>
      <c r="BK46" s="18">
        <f t="shared" si="38"/>
        <v>0</v>
      </c>
      <c r="BL46" s="31">
        <f t="shared" si="39"/>
        <v>0</v>
      </c>
      <c r="BM46" s="31"/>
      <c r="BN46" s="33">
        <f>'[4]SÃO FRANCISCO'!BN46*'[3]SF I'!$X$4</f>
        <v>0</v>
      </c>
      <c r="BO46" s="37" t="str">
        <f t="shared" si="9"/>
        <v/>
      </c>
      <c r="BP46" s="36">
        <f>[1]SFI!$M46</f>
        <v>0</v>
      </c>
      <c r="BQ46" s="31">
        <f t="shared" si="40"/>
        <v>0</v>
      </c>
      <c r="BR46" s="18">
        <f t="shared" si="41"/>
        <v>0</v>
      </c>
      <c r="BS46" s="31">
        <f t="shared" si="42"/>
        <v>0</v>
      </c>
      <c r="BT46" s="31"/>
      <c r="BU46" s="33">
        <f>'[4]SÃO FRANCISCO'!BU46*'[3]SF I'!$X$4</f>
        <v>0</v>
      </c>
      <c r="BV46" s="37" t="str">
        <f t="shared" si="10"/>
        <v/>
      </c>
      <c r="BW46" s="36">
        <f>[1]SFI!$N46</f>
        <v>0</v>
      </c>
      <c r="BX46" s="31">
        <f t="shared" si="43"/>
        <v>0</v>
      </c>
      <c r="BY46" s="18">
        <f t="shared" si="44"/>
        <v>0</v>
      </c>
      <c r="BZ46" s="31">
        <f t="shared" si="45"/>
        <v>0</v>
      </c>
      <c r="CA46" s="31"/>
      <c r="CB46" s="33">
        <f>'[4]SÃO FRANCISCO'!CB46*'[3]SF I'!$X$4</f>
        <v>0</v>
      </c>
      <c r="CC46" s="37" t="str">
        <f t="shared" si="11"/>
        <v/>
      </c>
      <c r="CD46" s="36">
        <f>[1]SFI!$O46</f>
        <v>0</v>
      </c>
      <c r="CE46" s="31">
        <f t="shared" si="46"/>
        <v>0</v>
      </c>
      <c r="CF46" s="18">
        <f t="shared" si="47"/>
        <v>0</v>
      </c>
      <c r="CG46" s="31">
        <f t="shared" si="48"/>
        <v>0</v>
      </c>
      <c r="CH46" s="31"/>
      <c r="CI46" s="33">
        <f>'[4]SÃO FRANCISCO'!CI46*'[3]SF I'!$X$4</f>
        <v>0</v>
      </c>
      <c r="CJ46" s="37" t="str">
        <f t="shared" si="12"/>
        <v/>
      </c>
      <c r="CK46" s="36">
        <f>[1]SFI!$P46</f>
        <v>0</v>
      </c>
      <c r="CL46" s="31">
        <f t="shared" si="49"/>
        <v>0</v>
      </c>
      <c r="CM46" s="18">
        <f t="shared" si="50"/>
        <v>0</v>
      </c>
      <c r="CN46" s="31">
        <f t="shared" si="51"/>
        <v>0</v>
      </c>
      <c r="CO46" s="31"/>
      <c r="CP46" s="33">
        <f>'[4]SÃO FRANCISCO'!CP46*'[3]SF I'!$X$4</f>
        <v>0</v>
      </c>
      <c r="CQ46" s="37" t="str">
        <f t="shared" si="13"/>
        <v/>
      </c>
    </row>
    <row r="47" spans="1:95" s="26" customFormat="1" ht="16" customHeight="1" thickBot="1" x14ac:dyDescent="0.25">
      <c r="A47" s="29" t="s">
        <v>71</v>
      </c>
      <c r="B47" s="30">
        <f t="shared" si="52"/>
        <v>0</v>
      </c>
      <c r="C47" s="31">
        <f t="shared" si="52"/>
        <v>0</v>
      </c>
      <c r="D47" s="32">
        <f t="shared" si="52"/>
        <v>0</v>
      </c>
      <c r="E47" s="30">
        <f t="shared" si="54"/>
        <v>0</v>
      </c>
      <c r="F47" s="33">
        <f t="shared" si="54"/>
        <v>0</v>
      </c>
      <c r="G47" s="34">
        <f t="shared" si="54"/>
        <v>0</v>
      </c>
      <c r="H47" s="31">
        <f t="shared" si="53"/>
        <v>0</v>
      </c>
      <c r="I47" s="33">
        <f t="shared" si="53"/>
        <v>0</v>
      </c>
      <c r="J47" s="33">
        <f t="shared" si="53"/>
        <v>0</v>
      </c>
      <c r="K47" s="37" t="str">
        <f t="shared" si="15"/>
        <v/>
      </c>
      <c r="L47" s="36">
        <f>[1]SFI!$E47</f>
        <v>0</v>
      </c>
      <c r="M47" s="31">
        <f t="shared" si="16"/>
        <v>0</v>
      </c>
      <c r="N47" s="18">
        <f t="shared" si="17"/>
        <v>0</v>
      </c>
      <c r="O47" s="31">
        <f t="shared" si="18"/>
        <v>0</v>
      </c>
      <c r="P47" s="31"/>
      <c r="Q47" s="33">
        <v>0</v>
      </c>
      <c r="R47" s="37" t="str">
        <f t="shared" si="2"/>
        <v/>
      </c>
      <c r="S47" s="36">
        <f>[1]SFI!$F47</f>
        <v>0</v>
      </c>
      <c r="T47" s="31">
        <f t="shared" si="19"/>
        <v>0</v>
      </c>
      <c r="U47" s="18">
        <f t="shared" si="20"/>
        <v>0</v>
      </c>
      <c r="V47" s="31">
        <f t="shared" si="21"/>
        <v>0</v>
      </c>
      <c r="W47" s="31"/>
      <c r="X47" s="147">
        <f>'[4]SÃO FRANCISCO'!X47*'[3]SF I'!$X$4</f>
        <v>0</v>
      </c>
      <c r="Y47" s="37" t="str">
        <f t="shared" si="3"/>
        <v/>
      </c>
      <c r="Z47" s="36">
        <f>[1]SFI!$G47</f>
        <v>0</v>
      </c>
      <c r="AA47" s="31">
        <f t="shared" si="22"/>
        <v>0</v>
      </c>
      <c r="AB47" s="18">
        <f t="shared" si="23"/>
        <v>0</v>
      </c>
      <c r="AC47" s="31">
        <f t="shared" si="24"/>
        <v>0</v>
      </c>
      <c r="AD47" s="31"/>
      <c r="AE47" s="27">
        <f>'[4]SÃO FRANCISCO'!AE47*'[2]SF I'!$X$4</f>
        <v>0</v>
      </c>
      <c r="AF47" s="37" t="str">
        <f t="shared" si="4"/>
        <v/>
      </c>
      <c r="AG47" s="36">
        <f>[1]SFI!$H47</f>
        <v>0</v>
      </c>
      <c r="AH47" s="31">
        <f t="shared" si="25"/>
        <v>0</v>
      </c>
      <c r="AI47" s="18">
        <f t="shared" si="26"/>
        <v>0</v>
      </c>
      <c r="AJ47" s="31">
        <f t="shared" si="27"/>
        <v>0</v>
      </c>
      <c r="AK47" s="31"/>
      <c r="AL47" s="33">
        <f>'[4]SÃO FRANCISCO'!AL47*'[3]SF I'!$X$4</f>
        <v>0</v>
      </c>
      <c r="AM47" s="37" t="str">
        <f t="shared" si="5"/>
        <v/>
      </c>
      <c r="AN47" s="36">
        <f>[1]SFI!$I47</f>
        <v>0</v>
      </c>
      <c r="AO47" s="31">
        <f t="shared" si="28"/>
        <v>0</v>
      </c>
      <c r="AP47" s="18">
        <f t="shared" si="29"/>
        <v>0</v>
      </c>
      <c r="AQ47" s="31">
        <f t="shared" si="30"/>
        <v>0</v>
      </c>
      <c r="AR47" s="31"/>
      <c r="AS47" s="33">
        <v>0</v>
      </c>
      <c r="AT47" s="37" t="str">
        <f t="shared" si="6"/>
        <v/>
      </c>
      <c r="AU47" s="36">
        <f>[1]SFI!$J47</f>
        <v>0</v>
      </c>
      <c r="AV47" s="31">
        <f t="shared" si="31"/>
        <v>0</v>
      </c>
      <c r="AW47" s="18">
        <f t="shared" si="32"/>
        <v>0</v>
      </c>
      <c r="AX47" s="31">
        <f t="shared" si="33"/>
        <v>0</v>
      </c>
      <c r="AY47" s="31"/>
      <c r="AZ47" s="27">
        <v>0</v>
      </c>
      <c r="BA47" s="37" t="str">
        <f t="shared" si="7"/>
        <v/>
      </c>
      <c r="BB47" s="36">
        <f>[1]SFI!$K47</f>
        <v>0</v>
      </c>
      <c r="BC47" s="31">
        <f t="shared" si="34"/>
        <v>0</v>
      </c>
      <c r="BD47" s="18">
        <f t="shared" si="35"/>
        <v>0</v>
      </c>
      <c r="BE47" s="31">
        <f t="shared" si="36"/>
        <v>0</v>
      </c>
      <c r="BF47" s="31"/>
      <c r="BG47" s="27">
        <f>'[4]SÃO FRANCISCO'!BG47*'[3]SF I'!$X$4</f>
        <v>0</v>
      </c>
      <c r="BH47" s="37" t="str">
        <f t="shared" si="8"/>
        <v/>
      </c>
      <c r="BI47" s="36">
        <f>[1]SFI!$L47</f>
        <v>0</v>
      </c>
      <c r="BJ47" s="31">
        <f t="shared" si="37"/>
        <v>0</v>
      </c>
      <c r="BK47" s="18">
        <f t="shared" si="38"/>
        <v>0</v>
      </c>
      <c r="BL47" s="31">
        <f t="shared" si="39"/>
        <v>0</v>
      </c>
      <c r="BM47" s="31"/>
      <c r="BN47" s="33">
        <f>'[4]SÃO FRANCISCO'!BN47*'[3]SF I'!$X$4</f>
        <v>0</v>
      </c>
      <c r="BO47" s="37" t="str">
        <f t="shared" si="9"/>
        <v/>
      </c>
      <c r="BP47" s="36">
        <f>[1]SFI!$M47</f>
        <v>0</v>
      </c>
      <c r="BQ47" s="31">
        <f t="shared" si="40"/>
        <v>0</v>
      </c>
      <c r="BR47" s="18">
        <f t="shared" si="41"/>
        <v>0</v>
      </c>
      <c r="BS47" s="31">
        <f t="shared" si="42"/>
        <v>0</v>
      </c>
      <c r="BT47" s="31"/>
      <c r="BU47" s="33">
        <f>'[4]SÃO FRANCISCO'!BU47*'[3]SF I'!$X$4</f>
        <v>0</v>
      </c>
      <c r="BV47" s="37" t="str">
        <f t="shared" si="10"/>
        <v/>
      </c>
      <c r="BW47" s="36">
        <f>[1]SFI!$N47</f>
        <v>0</v>
      </c>
      <c r="BX47" s="31">
        <f t="shared" si="43"/>
        <v>0</v>
      </c>
      <c r="BY47" s="18">
        <f t="shared" si="44"/>
        <v>0</v>
      </c>
      <c r="BZ47" s="31">
        <f t="shared" si="45"/>
        <v>0</v>
      </c>
      <c r="CA47" s="31"/>
      <c r="CB47" s="33">
        <f>'[4]SÃO FRANCISCO'!CB47*'[3]SF I'!$X$4</f>
        <v>0</v>
      </c>
      <c r="CC47" s="37" t="str">
        <f t="shared" si="11"/>
        <v/>
      </c>
      <c r="CD47" s="36">
        <f>[1]SFI!$O47</f>
        <v>0</v>
      </c>
      <c r="CE47" s="31">
        <f t="shared" si="46"/>
        <v>0</v>
      </c>
      <c r="CF47" s="18">
        <f t="shared" si="47"/>
        <v>0</v>
      </c>
      <c r="CG47" s="31">
        <f t="shared" si="48"/>
        <v>0</v>
      </c>
      <c r="CH47" s="31"/>
      <c r="CI47" s="33">
        <f>'[4]SÃO FRANCISCO'!CI47*'[3]SF I'!$X$4</f>
        <v>0</v>
      </c>
      <c r="CJ47" s="37" t="str">
        <f t="shared" si="12"/>
        <v/>
      </c>
      <c r="CK47" s="36">
        <f>[1]SFI!$P47</f>
        <v>0</v>
      </c>
      <c r="CL47" s="31">
        <f t="shared" si="49"/>
        <v>0</v>
      </c>
      <c r="CM47" s="18">
        <f t="shared" si="50"/>
        <v>0</v>
      </c>
      <c r="CN47" s="31">
        <f t="shared" si="51"/>
        <v>0</v>
      </c>
      <c r="CO47" s="31"/>
      <c r="CP47" s="33">
        <f>'[4]SÃO FRANCISCO'!CP47*'[3]SF I'!$X$4</f>
        <v>0</v>
      </c>
      <c r="CQ47" s="37" t="str">
        <f t="shared" si="13"/>
        <v/>
      </c>
    </row>
    <row r="48" spans="1:95" s="26" customFormat="1" ht="16" customHeight="1" thickBot="1" x14ac:dyDescent="0.25">
      <c r="A48" s="38" t="s">
        <v>72</v>
      </c>
      <c r="B48" s="30">
        <f t="shared" si="52"/>
        <v>32514.990198716234</v>
      </c>
      <c r="C48" s="31">
        <f t="shared" si="52"/>
        <v>32514.990198716234</v>
      </c>
      <c r="D48" s="32">
        <f t="shared" si="52"/>
        <v>0</v>
      </c>
      <c r="E48" s="30">
        <f t="shared" si="54"/>
        <v>10838.330066238743</v>
      </c>
      <c r="F48" s="33">
        <f t="shared" si="54"/>
        <v>10838.330066238743</v>
      </c>
      <c r="G48" s="34">
        <f t="shared" si="54"/>
        <v>0</v>
      </c>
      <c r="H48" s="31">
        <f t="shared" si="53"/>
        <v>6746.5450463484131</v>
      </c>
      <c r="I48" s="33">
        <f t="shared" si="53"/>
        <v>0</v>
      </c>
      <c r="J48" s="33">
        <f t="shared" si="53"/>
        <v>6746.5450463484131</v>
      </c>
      <c r="K48" s="37">
        <f t="shared" si="15"/>
        <v>-0.37752910225867609</v>
      </c>
      <c r="L48" s="36">
        <f>[1]SFI!$E48</f>
        <v>2709.5825165596857</v>
      </c>
      <c r="M48" s="31">
        <f t="shared" si="16"/>
        <v>2709.5825165596857</v>
      </c>
      <c r="N48" s="18">
        <f t="shared" si="17"/>
        <v>0</v>
      </c>
      <c r="O48" s="31">
        <f t="shared" si="18"/>
        <v>810.66849383660917</v>
      </c>
      <c r="P48" s="31"/>
      <c r="Q48" s="33">
        <v>810.66849383660917</v>
      </c>
      <c r="R48" s="37">
        <f t="shared" si="2"/>
        <v>-0.70081424393529734</v>
      </c>
      <c r="S48" s="36">
        <f>[1]SFI!$F48</f>
        <v>2709.5825165596857</v>
      </c>
      <c r="T48" s="31">
        <f t="shared" si="19"/>
        <v>2709.5825165596857</v>
      </c>
      <c r="U48" s="18">
        <f t="shared" si="20"/>
        <v>0</v>
      </c>
      <c r="V48" s="31">
        <f t="shared" si="21"/>
        <v>0</v>
      </c>
      <c r="W48" s="31"/>
      <c r="X48" s="147">
        <f>'[4]SÃO FRANCISCO'!X48*'[3]SF I'!$X$4</f>
        <v>0</v>
      </c>
      <c r="Y48" s="37">
        <f t="shared" si="3"/>
        <v>-1</v>
      </c>
      <c r="Z48" s="36">
        <f>[1]SFI!$G48</f>
        <v>2709.5825165596857</v>
      </c>
      <c r="AA48" s="31">
        <f t="shared" si="22"/>
        <v>2709.5825165596857</v>
      </c>
      <c r="AB48" s="18">
        <f t="shared" si="23"/>
        <v>0</v>
      </c>
      <c r="AC48" s="31">
        <f t="shared" si="24"/>
        <v>1437.0896624161228</v>
      </c>
      <c r="AD48" s="31"/>
      <c r="AE48" s="33">
        <f>'[4]SÃO FRANCISCO'!AE48*'[2]SF I'!$X$4</f>
        <v>1437.0896624161228</v>
      </c>
      <c r="AF48" s="37">
        <f t="shared" si="4"/>
        <v>-0.46962690612545988</v>
      </c>
      <c r="AG48" s="36">
        <f>[1]SFI!$H48</f>
        <v>2709.5825165596857</v>
      </c>
      <c r="AH48" s="31">
        <f t="shared" si="25"/>
        <v>2709.5825165596857</v>
      </c>
      <c r="AI48" s="18">
        <f t="shared" si="26"/>
        <v>0</v>
      </c>
      <c r="AJ48" s="31">
        <f t="shared" si="27"/>
        <v>829.6803718525407</v>
      </c>
      <c r="AK48" s="31"/>
      <c r="AL48" s="33">
        <f>'[4]SÃO FRANCISCO'!AL48*'[3]SF I'!$X$4</f>
        <v>829.6803718525407</v>
      </c>
      <c r="AM48" s="37">
        <f t="shared" si="5"/>
        <v>-0.6937977098752568</v>
      </c>
      <c r="AN48" s="36">
        <f>[1]SFI!$I48</f>
        <v>2709.5825165596857</v>
      </c>
      <c r="AO48" s="31">
        <f t="shared" si="28"/>
        <v>2709.5825165596857</v>
      </c>
      <c r="AP48" s="18">
        <f t="shared" si="29"/>
        <v>0</v>
      </c>
      <c r="AQ48" s="31">
        <f t="shared" si="30"/>
        <v>2814.4522766396817</v>
      </c>
      <c r="AR48" s="31"/>
      <c r="AS48" s="33">
        <v>2814.4522766396817</v>
      </c>
      <c r="AT48" s="37">
        <f t="shared" si="6"/>
        <v>3.8703290798151269E-2</v>
      </c>
      <c r="AU48" s="36">
        <f>[1]SFI!$J48</f>
        <v>2709.5825165596857</v>
      </c>
      <c r="AV48" s="31">
        <f t="shared" si="31"/>
        <v>2709.5825165596857</v>
      </c>
      <c r="AW48" s="18">
        <f t="shared" si="32"/>
        <v>0</v>
      </c>
      <c r="AX48" s="31">
        <f t="shared" si="33"/>
        <v>854.65424160345788</v>
      </c>
      <c r="AY48" s="31"/>
      <c r="AZ48" s="33">
        <v>854.65424160345788</v>
      </c>
      <c r="BA48" s="37">
        <f t="shared" si="7"/>
        <v>-0.68458083989684182</v>
      </c>
      <c r="BB48" s="36">
        <f>[1]SFI!$K48</f>
        <v>2709.5825165596857</v>
      </c>
      <c r="BC48" s="31">
        <f t="shared" si="34"/>
        <v>2709.5825165596857</v>
      </c>
      <c r="BD48" s="18">
        <f t="shared" si="35"/>
        <v>0</v>
      </c>
      <c r="BE48" s="31">
        <f t="shared" si="36"/>
        <v>0</v>
      </c>
      <c r="BF48" s="31"/>
      <c r="BG48" s="33">
        <f>'[4]SÃO FRANCISCO'!BG48*'[3]SF I'!$X$4</f>
        <v>0</v>
      </c>
      <c r="BH48" s="37">
        <f t="shared" si="8"/>
        <v>-1</v>
      </c>
      <c r="BI48" s="36">
        <f>[1]SFI!$L48</f>
        <v>2709.5825165596857</v>
      </c>
      <c r="BJ48" s="31">
        <f t="shared" si="37"/>
        <v>2709.5825165596857</v>
      </c>
      <c r="BK48" s="18">
        <f t="shared" si="38"/>
        <v>0</v>
      </c>
      <c r="BL48" s="31">
        <f t="shared" si="39"/>
        <v>0</v>
      </c>
      <c r="BM48" s="31"/>
      <c r="BN48" s="33">
        <f>'[4]SÃO FRANCISCO'!BN48*'[3]SF I'!$X$4</f>
        <v>0</v>
      </c>
      <c r="BO48" s="37">
        <f t="shared" si="9"/>
        <v>-1</v>
      </c>
      <c r="BP48" s="36">
        <f>[1]SFI!$M48</f>
        <v>2709.5825165596857</v>
      </c>
      <c r="BQ48" s="31">
        <f t="shared" si="40"/>
        <v>2709.5825165596857</v>
      </c>
      <c r="BR48" s="18">
        <f t="shared" si="41"/>
        <v>0</v>
      </c>
      <c r="BS48" s="31">
        <f t="shared" si="42"/>
        <v>0</v>
      </c>
      <c r="BT48" s="31"/>
      <c r="BU48" s="33">
        <f>'[4]SÃO FRANCISCO'!BU48*'[3]SF I'!$X$4</f>
        <v>0</v>
      </c>
      <c r="BV48" s="37">
        <f t="shared" si="10"/>
        <v>-1</v>
      </c>
      <c r="BW48" s="36">
        <f>[1]SFI!$N48</f>
        <v>2709.5825165596857</v>
      </c>
      <c r="BX48" s="31">
        <f t="shared" si="43"/>
        <v>2709.5825165596857</v>
      </c>
      <c r="BY48" s="18">
        <f t="shared" si="44"/>
        <v>0</v>
      </c>
      <c r="BZ48" s="31">
        <f t="shared" si="45"/>
        <v>0</v>
      </c>
      <c r="CA48" s="31"/>
      <c r="CB48" s="33">
        <f>'[4]SÃO FRANCISCO'!CB48*'[3]SF I'!$X$4</f>
        <v>0</v>
      </c>
      <c r="CC48" s="37">
        <f t="shared" si="11"/>
        <v>-1</v>
      </c>
      <c r="CD48" s="36">
        <f>[1]SFI!$O48</f>
        <v>2709.5825165596857</v>
      </c>
      <c r="CE48" s="31">
        <f t="shared" si="46"/>
        <v>2709.5825165596857</v>
      </c>
      <c r="CF48" s="18">
        <f t="shared" si="47"/>
        <v>0</v>
      </c>
      <c r="CG48" s="31">
        <f t="shared" si="48"/>
        <v>0</v>
      </c>
      <c r="CH48" s="31"/>
      <c r="CI48" s="33">
        <f>'[4]SÃO FRANCISCO'!CI48*'[3]SF I'!$X$4</f>
        <v>0</v>
      </c>
      <c r="CJ48" s="37">
        <f t="shared" si="12"/>
        <v>-1</v>
      </c>
      <c r="CK48" s="36">
        <f>[1]SFI!$P48</f>
        <v>2709.5825165596857</v>
      </c>
      <c r="CL48" s="31">
        <f t="shared" si="49"/>
        <v>2709.5825165596857</v>
      </c>
      <c r="CM48" s="18">
        <f t="shared" si="50"/>
        <v>0</v>
      </c>
      <c r="CN48" s="31">
        <f t="shared" si="51"/>
        <v>0</v>
      </c>
      <c r="CO48" s="31"/>
      <c r="CP48" s="33">
        <f>'[4]SÃO FRANCISCO'!CP48*'[3]SF I'!$X$4</f>
        <v>0</v>
      </c>
      <c r="CQ48" s="37">
        <f t="shared" si="13"/>
        <v>-1</v>
      </c>
    </row>
    <row r="49" spans="1:99" s="26" customFormat="1" ht="16" customHeight="1" thickBot="1" x14ac:dyDescent="0.25">
      <c r="A49" s="29" t="s">
        <v>73</v>
      </c>
      <c r="B49" s="30">
        <f t="shared" si="52"/>
        <v>31264.413652611762</v>
      </c>
      <c r="C49" s="31">
        <f t="shared" si="52"/>
        <v>31264.413652611762</v>
      </c>
      <c r="D49" s="32">
        <f t="shared" si="52"/>
        <v>0</v>
      </c>
      <c r="E49" s="30">
        <f t="shared" si="54"/>
        <v>10421.471217537252</v>
      </c>
      <c r="F49" s="33">
        <f t="shared" si="54"/>
        <v>10421.471217537252</v>
      </c>
      <c r="G49" s="34">
        <f t="shared" si="54"/>
        <v>0</v>
      </c>
      <c r="H49" s="31">
        <f t="shared" si="53"/>
        <v>101343.02841072922</v>
      </c>
      <c r="I49" s="33">
        <f t="shared" si="53"/>
        <v>0</v>
      </c>
      <c r="J49" s="33">
        <f t="shared" si="53"/>
        <v>101343.02841072922</v>
      </c>
      <c r="K49" s="37">
        <f t="shared" si="15"/>
        <v>8.7244454545140595</v>
      </c>
      <c r="L49" s="36">
        <f>[1]SFI!$E49</f>
        <v>2605.3678043843129</v>
      </c>
      <c r="M49" s="31">
        <f t="shared" si="16"/>
        <v>2605.3678043843129</v>
      </c>
      <c r="N49" s="18">
        <f t="shared" si="17"/>
        <v>0</v>
      </c>
      <c r="O49" s="31">
        <f t="shared" si="18"/>
        <v>21155.868937424209</v>
      </c>
      <c r="P49" s="31"/>
      <c r="Q49" s="33">
        <v>21155.868937424209</v>
      </c>
      <c r="R49" s="37">
        <f t="shared" si="2"/>
        <v>7.1201083784881014</v>
      </c>
      <c r="S49" s="36">
        <f>[1]SFI!$F49</f>
        <v>2605.3678043843129</v>
      </c>
      <c r="T49" s="31">
        <f t="shared" si="19"/>
        <v>2605.3678043843129</v>
      </c>
      <c r="U49" s="18">
        <f t="shared" si="20"/>
        <v>0</v>
      </c>
      <c r="V49" s="31">
        <f t="shared" si="21"/>
        <v>14461.536117182141</v>
      </c>
      <c r="W49" s="31"/>
      <c r="X49" s="147">
        <f>'[4]SÃO FRANCISCO'!X49*'[3]SF I'!$X$4</f>
        <v>14461.536117182141</v>
      </c>
      <c r="Y49" s="37">
        <f t="shared" si="3"/>
        <v>4.5506696954058725</v>
      </c>
      <c r="Z49" s="36">
        <f>[1]SFI!$G49</f>
        <v>2605.3678043843129</v>
      </c>
      <c r="AA49" s="31">
        <f t="shared" si="22"/>
        <v>2605.3678043843129</v>
      </c>
      <c r="AB49" s="18">
        <f t="shared" si="23"/>
        <v>0</v>
      </c>
      <c r="AC49" s="31">
        <f t="shared" si="24"/>
        <v>6934.5264501881975</v>
      </c>
      <c r="AD49" s="31"/>
      <c r="AE49" s="33">
        <f>'[4]SÃO FRANCISCO'!AE49*'[2]SF I'!$X$4</f>
        <v>6934.5264501881975</v>
      </c>
      <c r="AF49" s="37">
        <f t="shared" si="4"/>
        <v>1.6616305147084325</v>
      </c>
      <c r="AG49" s="36">
        <f>[1]SFI!$H49</f>
        <v>2605.3678043843129</v>
      </c>
      <c r="AH49" s="31">
        <f t="shared" si="25"/>
        <v>2605.3678043843129</v>
      </c>
      <c r="AI49" s="18">
        <f t="shared" si="26"/>
        <v>0</v>
      </c>
      <c r="AJ49" s="31">
        <f t="shared" si="27"/>
        <v>20445.31717531856</v>
      </c>
      <c r="AK49" s="31"/>
      <c r="AL49" s="33">
        <f>'[4]SÃO FRANCISCO'!AL49*'[3]SF I'!$X$4</f>
        <v>20445.31717531856</v>
      </c>
      <c r="AM49" s="37">
        <f t="shared" si="5"/>
        <v>6.8473822931691952</v>
      </c>
      <c r="AN49" s="36">
        <f>[1]SFI!$I49</f>
        <v>2605.3678043843129</v>
      </c>
      <c r="AO49" s="31">
        <f t="shared" si="28"/>
        <v>2605.3678043843129</v>
      </c>
      <c r="AP49" s="18">
        <f t="shared" si="29"/>
        <v>0</v>
      </c>
      <c r="AQ49" s="31">
        <f t="shared" si="30"/>
        <v>15762.338894545375</v>
      </c>
      <c r="AR49" s="31"/>
      <c r="AS49" s="33">
        <v>15762.338894545375</v>
      </c>
      <c r="AT49" s="37">
        <f t="shared" si="6"/>
        <v>5.0499476764933195</v>
      </c>
      <c r="AU49" s="36">
        <f>[1]SFI!$J49</f>
        <v>2605.3678043843129</v>
      </c>
      <c r="AV49" s="31">
        <f t="shared" si="31"/>
        <v>2605.3678043843129</v>
      </c>
      <c r="AW49" s="18">
        <f t="shared" si="32"/>
        <v>0</v>
      </c>
      <c r="AX49" s="31">
        <f t="shared" si="33"/>
        <v>22583.440836070753</v>
      </c>
      <c r="AY49" s="31"/>
      <c r="AZ49" s="33">
        <v>22583.440836070753</v>
      </c>
      <c r="BA49" s="37">
        <f t="shared" si="7"/>
        <v>7.66804325979132</v>
      </c>
      <c r="BB49" s="36">
        <f>[1]SFI!$K49</f>
        <v>2605.3678043843129</v>
      </c>
      <c r="BC49" s="31">
        <f t="shared" si="34"/>
        <v>2605.3678043843129</v>
      </c>
      <c r="BD49" s="18">
        <f t="shared" si="35"/>
        <v>0</v>
      </c>
      <c r="BE49" s="31">
        <f t="shared" si="36"/>
        <v>0</v>
      </c>
      <c r="BF49" s="31"/>
      <c r="BG49" s="27">
        <f>'[4]SÃO FRANCISCO'!BG49*'[3]SF I'!$X$4</f>
        <v>0</v>
      </c>
      <c r="BH49" s="37">
        <f t="shared" si="8"/>
        <v>-1</v>
      </c>
      <c r="BI49" s="36">
        <f>[1]SFI!$L49</f>
        <v>2605.3678043843129</v>
      </c>
      <c r="BJ49" s="31">
        <f t="shared" si="37"/>
        <v>2605.3678043843129</v>
      </c>
      <c r="BK49" s="18">
        <f t="shared" si="38"/>
        <v>0</v>
      </c>
      <c r="BL49" s="31">
        <f t="shared" si="39"/>
        <v>0</v>
      </c>
      <c r="BM49" s="31"/>
      <c r="BN49" s="33">
        <f>'[4]SÃO FRANCISCO'!BN49*'[3]SF I'!$X$4</f>
        <v>0</v>
      </c>
      <c r="BO49" s="37">
        <f t="shared" si="9"/>
        <v>-1</v>
      </c>
      <c r="BP49" s="36">
        <f>[1]SFI!$M49</f>
        <v>2605.3678043843129</v>
      </c>
      <c r="BQ49" s="31">
        <f t="shared" si="40"/>
        <v>2605.3678043843129</v>
      </c>
      <c r="BR49" s="18">
        <f t="shared" si="41"/>
        <v>0</v>
      </c>
      <c r="BS49" s="31">
        <f t="shared" si="42"/>
        <v>0</v>
      </c>
      <c r="BT49" s="31"/>
      <c r="BU49" s="33">
        <f>'[4]SÃO FRANCISCO'!BU49*'[3]SF I'!$X$4</f>
        <v>0</v>
      </c>
      <c r="BV49" s="37">
        <f t="shared" si="10"/>
        <v>-1</v>
      </c>
      <c r="BW49" s="36">
        <f>[1]SFI!$N49</f>
        <v>2605.3678043843129</v>
      </c>
      <c r="BX49" s="31">
        <f t="shared" si="43"/>
        <v>2605.3678043843129</v>
      </c>
      <c r="BY49" s="18">
        <f t="shared" si="44"/>
        <v>0</v>
      </c>
      <c r="BZ49" s="31">
        <f t="shared" si="45"/>
        <v>0</v>
      </c>
      <c r="CA49" s="31"/>
      <c r="CB49" s="33">
        <f>'[4]SÃO FRANCISCO'!CB49*'[3]SF I'!$X$4</f>
        <v>0</v>
      </c>
      <c r="CC49" s="37">
        <f t="shared" si="11"/>
        <v>-1</v>
      </c>
      <c r="CD49" s="36">
        <f>[1]SFI!$O49</f>
        <v>2605.3678043843129</v>
      </c>
      <c r="CE49" s="31">
        <f t="shared" si="46"/>
        <v>2605.3678043843129</v>
      </c>
      <c r="CF49" s="18">
        <f t="shared" si="47"/>
        <v>0</v>
      </c>
      <c r="CG49" s="31">
        <f t="shared" si="48"/>
        <v>0</v>
      </c>
      <c r="CH49" s="31"/>
      <c r="CI49" s="33">
        <f>'[4]SÃO FRANCISCO'!CI49*'[3]SF I'!$X$4</f>
        <v>0</v>
      </c>
      <c r="CJ49" s="37">
        <f t="shared" si="12"/>
        <v>-1</v>
      </c>
      <c r="CK49" s="36">
        <f>[1]SFI!$P49</f>
        <v>2605.3678043843129</v>
      </c>
      <c r="CL49" s="31">
        <f t="shared" si="49"/>
        <v>2605.3678043843129</v>
      </c>
      <c r="CM49" s="18">
        <f t="shared" si="50"/>
        <v>0</v>
      </c>
      <c r="CN49" s="31">
        <f t="shared" si="51"/>
        <v>0</v>
      </c>
      <c r="CO49" s="31"/>
      <c r="CP49" s="33">
        <f>'[4]SÃO FRANCISCO'!CP49*'[3]SF I'!$X$4</f>
        <v>0</v>
      </c>
      <c r="CQ49" s="37">
        <f t="shared" si="13"/>
        <v>-1</v>
      </c>
    </row>
    <row r="50" spans="1:99" s="26" customFormat="1" ht="16" customHeight="1" thickBot="1" x14ac:dyDescent="0.25">
      <c r="A50" s="29" t="s">
        <v>74</v>
      </c>
      <c r="B50" s="30">
        <f t="shared" si="52"/>
        <v>0</v>
      </c>
      <c r="C50" s="31">
        <f t="shared" si="52"/>
        <v>0</v>
      </c>
      <c r="D50" s="32">
        <f t="shared" si="52"/>
        <v>0</v>
      </c>
      <c r="E50" s="30">
        <f t="shared" si="54"/>
        <v>0</v>
      </c>
      <c r="F50" s="33">
        <f t="shared" si="54"/>
        <v>0</v>
      </c>
      <c r="G50" s="34">
        <f t="shared" si="54"/>
        <v>0</v>
      </c>
      <c r="H50" s="31">
        <f t="shared" si="53"/>
        <v>0</v>
      </c>
      <c r="I50" s="33">
        <f t="shared" si="53"/>
        <v>0</v>
      </c>
      <c r="J50" s="33">
        <f t="shared" si="53"/>
        <v>0</v>
      </c>
      <c r="K50" s="37" t="str">
        <f t="shared" si="15"/>
        <v/>
      </c>
      <c r="L50" s="36">
        <f>[1]SFI!$E50</f>
        <v>0</v>
      </c>
      <c r="M50" s="28">
        <f t="shared" si="16"/>
        <v>0</v>
      </c>
      <c r="N50" s="18">
        <f t="shared" si="17"/>
        <v>0</v>
      </c>
      <c r="O50" s="28">
        <f t="shared" si="18"/>
        <v>0</v>
      </c>
      <c r="P50" s="28"/>
      <c r="Q50" s="150">
        <v>0</v>
      </c>
      <c r="R50" s="37" t="str">
        <f t="shared" si="2"/>
        <v/>
      </c>
      <c r="S50" s="36">
        <f>[1]SFI!$F50</f>
        <v>0</v>
      </c>
      <c r="T50" s="28">
        <f t="shared" si="19"/>
        <v>0</v>
      </c>
      <c r="U50" s="18">
        <f t="shared" si="20"/>
        <v>0</v>
      </c>
      <c r="V50" s="28">
        <f t="shared" si="21"/>
        <v>0</v>
      </c>
      <c r="W50" s="28"/>
      <c r="X50" s="151">
        <f>'[4]SÃO FRANCISCO'!X50*'[3]SF I'!$X$4</f>
        <v>0</v>
      </c>
      <c r="Y50" s="37" t="str">
        <f t="shared" si="3"/>
        <v/>
      </c>
      <c r="Z50" s="36">
        <f>[1]SFI!$G50</f>
        <v>0</v>
      </c>
      <c r="AA50" s="28">
        <f t="shared" si="22"/>
        <v>0</v>
      </c>
      <c r="AB50" s="18">
        <f t="shared" si="23"/>
        <v>0</v>
      </c>
      <c r="AC50" s="28">
        <f t="shared" si="24"/>
        <v>0</v>
      </c>
      <c r="AD50" s="28"/>
      <c r="AE50" s="152">
        <f>'[4]SÃO FRANCISCO'!AE50*'[2]SF I'!$X$4</f>
        <v>0</v>
      </c>
      <c r="AF50" s="37" t="str">
        <f t="shared" si="4"/>
        <v/>
      </c>
      <c r="AG50" s="36">
        <f>[1]SFI!$H50</f>
        <v>0</v>
      </c>
      <c r="AH50" s="28">
        <f t="shared" si="25"/>
        <v>0</v>
      </c>
      <c r="AI50" s="18">
        <f t="shared" si="26"/>
        <v>0</v>
      </c>
      <c r="AJ50" s="28">
        <f t="shared" si="27"/>
        <v>0</v>
      </c>
      <c r="AK50" s="28"/>
      <c r="AL50" s="150">
        <f>'[4]SÃO FRANCISCO'!AL50*'[3]SF I'!$X$4</f>
        <v>0</v>
      </c>
      <c r="AM50" s="37" t="str">
        <f t="shared" si="5"/>
        <v/>
      </c>
      <c r="AN50" s="36">
        <f>[1]SFI!$I50</f>
        <v>0</v>
      </c>
      <c r="AO50" s="28">
        <f t="shared" si="28"/>
        <v>0</v>
      </c>
      <c r="AP50" s="18">
        <f t="shared" si="29"/>
        <v>0</v>
      </c>
      <c r="AQ50" s="28">
        <f t="shared" si="30"/>
        <v>0</v>
      </c>
      <c r="AR50" s="28"/>
      <c r="AS50" s="150">
        <v>0</v>
      </c>
      <c r="AT50" s="37" t="str">
        <f t="shared" si="6"/>
        <v/>
      </c>
      <c r="AU50" s="36">
        <f>[1]SFI!$J50</f>
        <v>0</v>
      </c>
      <c r="AV50" s="28">
        <f t="shared" si="31"/>
        <v>0</v>
      </c>
      <c r="AW50" s="18">
        <f t="shared" si="32"/>
        <v>0</v>
      </c>
      <c r="AX50" s="28">
        <f t="shared" si="33"/>
        <v>0</v>
      </c>
      <c r="AY50" s="28"/>
      <c r="AZ50" s="152">
        <v>0</v>
      </c>
      <c r="BA50" s="37" t="str">
        <f t="shared" si="7"/>
        <v/>
      </c>
      <c r="BB50" s="36">
        <f>[1]SFI!$K50</f>
        <v>0</v>
      </c>
      <c r="BC50" s="28">
        <f t="shared" si="34"/>
        <v>0</v>
      </c>
      <c r="BD50" s="18">
        <f t="shared" si="35"/>
        <v>0</v>
      </c>
      <c r="BE50" s="28">
        <f t="shared" si="36"/>
        <v>0</v>
      </c>
      <c r="BF50" s="28"/>
      <c r="BG50" s="152">
        <f>'[4]SÃO FRANCISCO'!BG50*'[3]SF I'!$X$4</f>
        <v>0</v>
      </c>
      <c r="BH50" s="37" t="str">
        <f t="shared" si="8"/>
        <v/>
      </c>
      <c r="BI50" s="36">
        <f>[1]SFI!$L50</f>
        <v>0</v>
      </c>
      <c r="BJ50" s="28">
        <f t="shared" si="37"/>
        <v>0</v>
      </c>
      <c r="BK50" s="18">
        <f t="shared" si="38"/>
        <v>0</v>
      </c>
      <c r="BL50" s="28">
        <f t="shared" si="39"/>
        <v>0</v>
      </c>
      <c r="BM50" s="28"/>
      <c r="BN50" s="150">
        <f>'[4]SÃO FRANCISCO'!BN50*'[3]SF I'!$X$4</f>
        <v>0</v>
      </c>
      <c r="BO50" s="37" t="str">
        <f t="shared" si="9"/>
        <v/>
      </c>
      <c r="BP50" s="36">
        <f>[1]SFI!$M50</f>
        <v>0</v>
      </c>
      <c r="BQ50" s="28">
        <f t="shared" si="40"/>
        <v>0</v>
      </c>
      <c r="BR50" s="18">
        <f t="shared" si="41"/>
        <v>0</v>
      </c>
      <c r="BS50" s="28">
        <f t="shared" si="42"/>
        <v>0</v>
      </c>
      <c r="BT50" s="28"/>
      <c r="BU50" s="150">
        <f>'[4]SÃO FRANCISCO'!BU50*'[3]SF I'!$X$4</f>
        <v>0</v>
      </c>
      <c r="BV50" s="37" t="str">
        <f t="shared" si="10"/>
        <v/>
      </c>
      <c r="BW50" s="36">
        <f>[1]SFI!$N50</f>
        <v>0</v>
      </c>
      <c r="BX50" s="28">
        <f t="shared" si="43"/>
        <v>0</v>
      </c>
      <c r="BY50" s="18">
        <f t="shared" si="44"/>
        <v>0</v>
      </c>
      <c r="BZ50" s="28">
        <f t="shared" si="45"/>
        <v>0</v>
      </c>
      <c r="CA50" s="28"/>
      <c r="CB50" s="150">
        <f>'[4]SÃO FRANCISCO'!CB50*'[3]SF I'!$X$4</f>
        <v>0</v>
      </c>
      <c r="CC50" s="37" t="str">
        <f t="shared" si="11"/>
        <v/>
      </c>
      <c r="CD50" s="36">
        <f>[1]SFI!$O50</f>
        <v>0</v>
      </c>
      <c r="CE50" s="28">
        <f t="shared" si="46"/>
        <v>0</v>
      </c>
      <c r="CF50" s="18">
        <f t="shared" si="47"/>
        <v>0</v>
      </c>
      <c r="CG50" s="28">
        <f t="shared" si="48"/>
        <v>0</v>
      </c>
      <c r="CH50" s="28"/>
      <c r="CI50" s="150">
        <f>'[4]SÃO FRANCISCO'!CI50*'[3]SF I'!$X$4</f>
        <v>0</v>
      </c>
      <c r="CJ50" s="37" t="str">
        <f t="shared" si="12"/>
        <v/>
      </c>
      <c r="CK50" s="36">
        <f>[1]SFI!$P50</f>
        <v>0</v>
      </c>
      <c r="CL50" s="28">
        <f t="shared" si="49"/>
        <v>0</v>
      </c>
      <c r="CM50" s="18">
        <f t="shared" si="50"/>
        <v>0</v>
      </c>
      <c r="CN50" s="28">
        <f t="shared" si="51"/>
        <v>0</v>
      </c>
      <c r="CO50" s="28"/>
      <c r="CP50" s="150">
        <f>'[4]SÃO FRANCISCO'!CP50*'[3]SF I'!$X$4</f>
        <v>0</v>
      </c>
      <c r="CQ50" s="37" t="str">
        <f t="shared" si="13"/>
        <v/>
      </c>
    </row>
    <row r="51" spans="1:99" s="26" customFormat="1" ht="16" customHeight="1" thickBot="1" x14ac:dyDescent="0.25">
      <c r="A51" s="29" t="s">
        <v>75</v>
      </c>
      <c r="B51" s="30">
        <f t="shared" si="52"/>
        <v>0</v>
      </c>
      <c r="C51" s="31">
        <f t="shared" si="52"/>
        <v>0</v>
      </c>
      <c r="D51" s="32">
        <f t="shared" si="52"/>
        <v>0</v>
      </c>
      <c r="E51" s="30">
        <f t="shared" si="54"/>
        <v>0</v>
      </c>
      <c r="F51" s="33">
        <f t="shared" si="54"/>
        <v>0</v>
      </c>
      <c r="G51" s="34">
        <f t="shared" si="54"/>
        <v>0</v>
      </c>
      <c r="H51" s="31">
        <f t="shared" si="53"/>
        <v>0</v>
      </c>
      <c r="I51" s="33">
        <f t="shared" si="53"/>
        <v>0</v>
      </c>
      <c r="J51" s="33">
        <f t="shared" si="53"/>
        <v>0</v>
      </c>
      <c r="K51" s="37" t="str">
        <f t="shared" si="15"/>
        <v/>
      </c>
      <c r="L51" s="36">
        <f>[1]SFI!$E51</f>
        <v>0</v>
      </c>
      <c r="M51" s="31">
        <f t="shared" si="16"/>
        <v>0</v>
      </c>
      <c r="N51" s="18">
        <f t="shared" si="17"/>
        <v>0</v>
      </c>
      <c r="O51" s="31">
        <f t="shared" si="18"/>
        <v>0</v>
      </c>
      <c r="P51" s="31"/>
      <c r="Q51" s="45">
        <v>0</v>
      </c>
      <c r="R51" s="37" t="str">
        <f t="shared" si="2"/>
        <v/>
      </c>
      <c r="S51" s="36">
        <f>[1]SFI!$F51</f>
        <v>0</v>
      </c>
      <c r="T51" s="31">
        <f t="shared" si="19"/>
        <v>0</v>
      </c>
      <c r="U51" s="18">
        <f t="shared" si="20"/>
        <v>0</v>
      </c>
      <c r="V51" s="31">
        <f t="shared" si="21"/>
        <v>0</v>
      </c>
      <c r="W51" s="31"/>
      <c r="X51" s="149">
        <f>'[4]SÃO FRANCISCO'!X51*'[3]SF I'!$X$4</f>
        <v>0</v>
      </c>
      <c r="Y51" s="37" t="str">
        <f t="shared" si="3"/>
        <v/>
      </c>
      <c r="Z51" s="36">
        <f>[1]SFI!$G51</f>
        <v>0</v>
      </c>
      <c r="AA51" s="31">
        <f t="shared" si="22"/>
        <v>0</v>
      </c>
      <c r="AB51" s="18">
        <f t="shared" si="23"/>
        <v>0</v>
      </c>
      <c r="AC51" s="31">
        <f t="shared" si="24"/>
        <v>0</v>
      </c>
      <c r="AD51" s="31"/>
      <c r="AE51" s="48">
        <f>'[4]SÃO FRANCISCO'!AE51*'[2]SF I'!$X$4</f>
        <v>0</v>
      </c>
      <c r="AF51" s="37" t="str">
        <f t="shared" si="4"/>
        <v/>
      </c>
      <c r="AG51" s="36">
        <f>[1]SFI!$H51</f>
        <v>0</v>
      </c>
      <c r="AH51" s="31">
        <f t="shared" si="25"/>
        <v>0</v>
      </c>
      <c r="AI51" s="18">
        <f t="shared" si="26"/>
        <v>0</v>
      </c>
      <c r="AJ51" s="31">
        <f t="shared" si="27"/>
        <v>0</v>
      </c>
      <c r="AK51" s="31"/>
      <c r="AL51" s="45">
        <f>'[4]SÃO FRANCISCO'!AL51*'[3]SF I'!$X$4</f>
        <v>0</v>
      </c>
      <c r="AM51" s="37" t="str">
        <f t="shared" si="5"/>
        <v/>
      </c>
      <c r="AN51" s="36">
        <f>[1]SFI!$I51</f>
        <v>0</v>
      </c>
      <c r="AO51" s="31">
        <f t="shared" si="28"/>
        <v>0</v>
      </c>
      <c r="AP51" s="18">
        <f t="shared" si="29"/>
        <v>0</v>
      </c>
      <c r="AQ51" s="31">
        <f t="shared" si="30"/>
        <v>0</v>
      </c>
      <c r="AR51" s="31"/>
      <c r="AS51" s="45">
        <v>0</v>
      </c>
      <c r="AT51" s="37" t="str">
        <f t="shared" si="6"/>
        <v/>
      </c>
      <c r="AU51" s="36">
        <f>[1]SFI!$J51</f>
        <v>0</v>
      </c>
      <c r="AV51" s="31">
        <f t="shared" si="31"/>
        <v>0</v>
      </c>
      <c r="AW51" s="18">
        <f t="shared" si="32"/>
        <v>0</v>
      </c>
      <c r="AX51" s="31">
        <f t="shared" si="33"/>
        <v>0</v>
      </c>
      <c r="AY51" s="31"/>
      <c r="AZ51" s="48">
        <v>0</v>
      </c>
      <c r="BA51" s="37" t="str">
        <f t="shared" si="7"/>
        <v/>
      </c>
      <c r="BB51" s="36">
        <f>[1]SFI!$K51</f>
        <v>0</v>
      </c>
      <c r="BC51" s="31">
        <f t="shared" si="34"/>
        <v>0</v>
      </c>
      <c r="BD51" s="18">
        <f t="shared" si="35"/>
        <v>0</v>
      </c>
      <c r="BE51" s="31">
        <f t="shared" si="36"/>
        <v>0</v>
      </c>
      <c r="BF51" s="31"/>
      <c r="BG51" s="48">
        <f>'[4]SÃO FRANCISCO'!BG51*'[3]SF I'!$X$4</f>
        <v>0</v>
      </c>
      <c r="BH51" s="37" t="str">
        <f t="shared" si="8"/>
        <v/>
      </c>
      <c r="BI51" s="36">
        <f>[1]SFI!$L51</f>
        <v>0</v>
      </c>
      <c r="BJ51" s="31">
        <f t="shared" si="37"/>
        <v>0</v>
      </c>
      <c r="BK51" s="18">
        <f t="shared" si="38"/>
        <v>0</v>
      </c>
      <c r="BL51" s="31">
        <f t="shared" si="39"/>
        <v>0</v>
      </c>
      <c r="BM51" s="31"/>
      <c r="BN51" s="45">
        <f>'[4]SÃO FRANCISCO'!BN51*'[3]SF I'!$X$4</f>
        <v>0</v>
      </c>
      <c r="BO51" s="37" t="str">
        <f t="shared" si="9"/>
        <v/>
      </c>
      <c r="BP51" s="36">
        <f>[1]SFI!$M51</f>
        <v>0</v>
      </c>
      <c r="BQ51" s="31">
        <f t="shared" si="40"/>
        <v>0</v>
      </c>
      <c r="BR51" s="18">
        <f t="shared" si="41"/>
        <v>0</v>
      </c>
      <c r="BS51" s="31">
        <f t="shared" si="42"/>
        <v>0</v>
      </c>
      <c r="BT51" s="31"/>
      <c r="BU51" s="45">
        <f>'[4]SÃO FRANCISCO'!BU51*'[3]SF I'!$X$4</f>
        <v>0</v>
      </c>
      <c r="BV51" s="37" t="str">
        <f t="shared" si="10"/>
        <v/>
      </c>
      <c r="BW51" s="36">
        <f>[1]SFI!$N51</f>
        <v>0</v>
      </c>
      <c r="BX51" s="31">
        <f t="shared" si="43"/>
        <v>0</v>
      </c>
      <c r="BY51" s="18">
        <f t="shared" si="44"/>
        <v>0</v>
      </c>
      <c r="BZ51" s="31">
        <f t="shared" si="45"/>
        <v>0</v>
      </c>
      <c r="CA51" s="31"/>
      <c r="CB51" s="45">
        <f>'[4]SÃO FRANCISCO'!CB51*'[3]SF I'!$X$4</f>
        <v>0</v>
      </c>
      <c r="CC51" s="37" t="str">
        <f t="shared" si="11"/>
        <v/>
      </c>
      <c r="CD51" s="36">
        <f>[1]SFI!$O51</f>
        <v>0</v>
      </c>
      <c r="CE51" s="31">
        <f t="shared" si="46"/>
        <v>0</v>
      </c>
      <c r="CF51" s="18">
        <f t="shared" si="47"/>
        <v>0</v>
      </c>
      <c r="CG51" s="31">
        <f t="shared" si="48"/>
        <v>0</v>
      </c>
      <c r="CH51" s="31"/>
      <c r="CI51" s="45">
        <f>'[4]SÃO FRANCISCO'!CI51*'[3]SF I'!$X$4</f>
        <v>0</v>
      </c>
      <c r="CJ51" s="37" t="str">
        <f t="shared" si="12"/>
        <v/>
      </c>
      <c r="CK51" s="36">
        <f>[1]SFI!$P51</f>
        <v>0</v>
      </c>
      <c r="CL51" s="31">
        <f t="shared" si="49"/>
        <v>0</v>
      </c>
      <c r="CM51" s="18">
        <f t="shared" si="50"/>
        <v>0</v>
      </c>
      <c r="CN51" s="31">
        <f t="shared" si="51"/>
        <v>0</v>
      </c>
      <c r="CO51" s="31"/>
      <c r="CP51" s="45">
        <f>'[4]SÃO FRANCISCO'!CP51*'[3]SF I'!$X$4</f>
        <v>0</v>
      </c>
      <c r="CQ51" s="37" t="str">
        <f t="shared" si="13"/>
        <v/>
      </c>
    </row>
    <row r="52" spans="1:99" s="26" customFormat="1" ht="16" customHeight="1" thickBot="1" x14ac:dyDescent="0.25">
      <c r="A52" s="29" t="s">
        <v>76</v>
      </c>
      <c r="B52" s="30">
        <f t="shared" si="52"/>
        <v>20009.224737671524</v>
      </c>
      <c r="C52" s="31">
        <f t="shared" si="52"/>
        <v>20009.224737671524</v>
      </c>
      <c r="D52" s="32">
        <f t="shared" si="52"/>
        <v>0</v>
      </c>
      <c r="E52" s="30">
        <f t="shared" si="54"/>
        <v>6669.7415792238417</v>
      </c>
      <c r="F52" s="33">
        <f t="shared" si="54"/>
        <v>6669.7415792238417</v>
      </c>
      <c r="G52" s="34">
        <f t="shared" si="54"/>
        <v>0</v>
      </c>
      <c r="H52" s="31">
        <f t="shared" si="53"/>
        <v>67357.777042637579</v>
      </c>
      <c r="I52" s="33">
        <f t="shared" si="53"/>
        <v>0</v>
      </c>
      <c r="J52" s="33">
        <f t="shared" si="53"/>
        <v>67357.777042637579</v>
      </c>
      <c r="K52" s="37">
        <f t="shared" si="15"/>
        <v>9.0990085211781189</v>
      </c>
      <c r="L52" s="36">
        <f>[1]SFI!$E52</f>
        <v>1667.4353948059604</v>
      </c>
      <c r="M52" s="31">
        <f t="shared" si="16"/>
        <v>1667.4353948059604</v>
      </c>
      <c r="N52" s="18">
        <f t="shared" si="17"/>
        <v>0</v>
      </c>
      <c r="O52" s="31">
        <f t="shared" si="18"/>
        <v>23682.665429947028</v>
      </c>
      <c r="P52" s="31"/>
      <c r="Q52" s="33">
        <v>23682.665429947028</v>
      </c>
      <c r="R52" s="37">
        <f t="shared" si="2"/>
        <v>13.203048288238467</v>
      </c>
      <c r="S52" s="36">
        <f>[1]SFI!$F52</f>
        <v>1667.4353948059604</v>
      </c>
      <c r="T52" s="31">
        <f t="shared" si="19"/>
        <v>1667.4353948059604</v>
      </c>
      <c r="U52" s="18">
        <f t="shared" si="20"/>
        <v>0</v>
      </c>
      <c r="V52" s="31">
        <f t="shared" si="21"/>
        <v>9812.6739263365507</v>
      </c>
      <c r="W52" s="31"/>
      <c r="X52" s="147">
        <f>'[4]SÃO FRANCISCO'!X52*'[3]SF I'!$X$4</f>
        <v>9812.6739263365507</v>
      </c>
      <c r="Y52" s="37">
        <f t="shared" si="3"/>
        <v>4.884890027465473</v>
      </c>
      <c r="Z52" s="36">
        <f>[1]SFI!$G52</f>
        <v>1667.4353948059604</v>
      </c>
      <c r="AA52" s="31">
        <f t="shared" si="22"/>
        <v>1667.4353948059604</v>
      </c>
      <c r="AB52" s="18">
        <f t="shared" si="23"/>
        <v>0</v>
      </c>
      <c r="AC52" s="31">
        <f t="shared" si="24"/>
        <v>17243.510531501797</v>
      </c>
      <c r="AD52" s="31"/>
      <c r="AE52" s="33">
        <f>'[4]SÃO FRANCISCO'!AE52*'[2]SF I'!$X$4</f>
        <v>17243.510531501797</v>
      </c>
      <c r="AF52" s="37">
        <f t="shared" si="4"/>
        <v>9.341336513075774</v>
      </c>
      <c r="AG52" s="36">
        <f>[1]SFI!$H52</f>
        <v>1667.4353948059604</v>
      </c>
      <c r="AH52" s="31">
        <f t="shared" si="25"/>
        <v>1667.4353948059604</v>
      </c>
      <c r="AI52" s="18">
        <f t="shared" si="26"/>
        <v>0</v>
      </c>
      <c r="AJ52" s="31">
        <f t="shared" si="27"/>
        <v>931.65548979137191</v>
      </c>
      <c r="AK52" s="31"/>
      <c r="AL52" s="33">
        <f>'[4]SÃO FRANCISCO'!AL52*'[3]SF I'!$X$4</f>
        <v>931.65548979137191</v>
      </c>
      <c r="AM52" s="37">
        <f t="shared" si="5"/>
        <v>-0.44126441558487561</v>
      </c>
      <c r="AN52" s="36">
        <f>[1]SFI!$I52</f>
        <v>1667.4353948059604</v>
      </c>
      <c r="AO52" s="31">
        <f t="shared" si="28"/>
        <v>1667.4353948059604</v>
      </c>
      <c r="AP52" s="18">
        <f t="shared" si="29"/>
        <v>0</v>
      </c>
      <c r="AQ52" s="31">
        <f t="shared" si="30"/>
        <v>10176.000955269312</v>
      </c>
      <c r="AR52" s="31"/>
      <c r="AS52" s="33">
        <v>10176.000955269312</v>
      </c>
      <c r="AT52" s="37">
        <f t="shared" si="6"/>
        <v>5.1027857432842207</v>
      </c>
      <c r="AU52" s="36">
        <f>[1]SFI!$J52</f>
        <v>1667.4353948059604</v>
      </c>
      <c r="AV52" s="31">
        <f t="shared" si="31"/>
        <v>1667.4353948059604</v>
      </c>
      <c r="AW52" s="18">
        <f t="shared" si="32"/>
        <v>0</v>
      </c>
      <c r="AX52" s="31">
        <f t="shared" si="33"/>
        <v>5511.2707097915336</v>
      </c>
      <c r="AY52" s="31"/>
      <c r="AZ52" s="33">
        <v>5511.2707097915336</v>
      </c>
      <c r="BA52" s="37">
        <f t="shared" si="7"/>
        <v>2.3052379282334239</v>
      </c>
      <c r="BB52" s="36">
        <f>[1]SFI!$K52</f>
        <v>1667.4353948059604</v>
      </c>
      <c r="BC52" s="31">
        <f t="shared" si="34"/>
        <v>1667.4353948059604</v>
      </c>
      <c r="BD52" s="18">
        <f t="shared" si="35"/>
        <v>0</v>
      </c>
      <c r="BE52" s="31">
        <f t="shared" si="36"/>
        <v>0</v>
      </c>
      <c r="BF52" s="31"/>
      <c r="BG52" s="33">
        <f>'[4]SÃO FRANCISCO'!BG52*'[3]SF I'!$X$4</f>
        <v>0</v>
      </c>
      <c r="BH52" s="37">
        <f t="shared" si="8"/>
        <v>-1</v>
      </c>
      <c r="BI52" s="36">
        <f>[1]SFI!$L52</f>
        <v>1667.4353948059604</v>
      </c>
      <c r="BJ52" s="31">
        <f t="shared" si="37"/>
        <v>1667.4353948059604</v>
      </c>
      <c r="BK52" s="18">
        <f t="shared" si="38"/>
        <v>0</v>
      </c>
      <c r="BL52" s="31">
        <f t="shared" si="39"/>
        <v>0</v>
      </c>
      <c r="BM52" s="31"/>
      <c r="BN52" s="33">
        <f>'[4]SÃO FRANCISCO'!BN52*'[3]SF I'!$X$4</f>
        <v>0</v>
      </c>
      <c r="BO52" s="37">
        <f t="shared" si="9"/>
        <v>-1</v>
      </c>
      <c r="BP52" s="36">
        <f>[1]SFI!$M52</f>
        <v>1667.4353948059604</v>
      </c>
      <c r="BQ52" s="31">
        <f t="shared" si="40"/>
        <v>1667.4353948059604</v>
      </c>
      <c r="BR52" s="18">
        <f t="shared" si="41"/>
        <v>0</v>
      </c>
      <c r="BS52" s="31">
        <f t="shared" si="42"/>
        <v>0</v>
      </c>
      <c r="BT52" s="31"/>
      <c r="BU52" s="33">
        <f>'[4]SÃO FRANCISCO'!BU52*'[3]SF I'!$X$4</f>
        <v>0</v>
      </c>
      <c r="BV52" s="37">
        <f t="shared" si="10"/>
        <v>-1</v>
      </c>
      <c r="BW52" s="36">
        <f>[1]SFI!$N52</f>
        <v>1667.4353948059604</v>
      </c>
      <c r="BX52" s="31">
        <f t="shared" si="43"/>
        <v>1667.4353948059604</v>
      </c>
      <c r="BY52" s="18">
        <f t="shared" si="44"/>
        <v>0</v>
      </c>
      <c r="BZ52" s="31">
        <f t="shared" si="45"/>
        <v>0</v>
      </c>
      <c r="CA52" s="31"/>
      <c r="CB52" s="33">
        <f>'[4]SÃO FRANCISCO'!CB52*'[3]SF I'!$X$4</f>
        <v>0</v>
      </c>
      <c r="CC52" s="37">
        <f t="shared" si="11"/>
        <v>-1</v>
      </c>
      <c r="CD52" s="36">
        <f>[1]SFI!$O52</f>
        <v>1667.4353948059604</v>
      </c>
      <c r="CE52" s="31">
        <f t="shared" si="46"/>
        <v>1667.4353948059604</v>
      </c>
      <c r="CF52" s="18">
        <f t="shared" si="47"/>
        <v>0</v>
      </c>
      <c r="CG52" s="31">
        <f t="shared" si="48"/>
        <v>0</v>
      </c>
      <c r="CH52" s="31"/>
      <c r="CI52" s="33">
        <f>'[4]SÃO FRANCISCO'!CI52*'[3]SF I'!$X$4</f>
        <v>0</v>
      </c>
      <c r="CJ52" s="37">
        <f t="shared" si="12"/>
        <v>-1</v>
      </c>
      <c r="CK52" s="36">
        <f>[1]SFI!$P52</f>
        <v>1667.4353948059604</v>
      </c>
      <c r="CL52" s="31">
        <f t="shared" si="49"/>
        <v>1667.4353948059604</v>
      </c>
      <c r="CM52" s="18">
        <f t="shared" si="50"/>
        <v>0</v>
      </c>
      <c r="CN52" s="31">
        <f t="shared" si="51"/>
        <v>0</v>
      </c>
      <c r="CO52" s="31"/>
      <c r="CP52" s="33">
        <f>'[4]SÃO FRANCISCO'!CP52*'[3]SF I'!$X$4</f>
        <v>0</v>
      </c>
      <c r="CQ52" s="37">
        <f t="shared" si="13"/>
        <v>-1</v>
      </c>
    </row>
    <row r="53" spans="1:99" s="26" customFormat="1" ht="16" customHeight="1" thickBot="1" x14ac:dyDescent="0.25">
      <c r="A53" s="38" t="s">
        <v>77</v>
      </c>
      <c r="B53" s="30">
        <f t="shared" si="52"/>
        <v>5002.306184417881</v>
      </c>
      <c r="C53" s="31">
        <f t="shared" si="52"/>
        <v>5002.306184417881</v>
      </c>
      <c r="D53" s="32">
        <f t="shared" si="52"/>
        <v>0</v>
      </c>
      <c r="E53" s="30">
        <f t="shared" si="54"/>
        <v>1667.4353948059604</v>
      </c>
      <c r="F53" s="33">
        <f t="shared" si="54"/>
        <v>1667.4353948059604</v>
      </c>
      <c r="G53" s="34">
        <f t="shared" si="54"/>
        <v>0</v>
      </c>
      <c r="H53" s="31">
        <f t="shared" si="53"/>
        <v>4062.6588465355198</v>
      </c>
      <c r="I53" s="33">
        <f t="shared" si="53"/>
        <v>0</v>
      </c>
      <c r="J53" s="33">
        <f t="shared" si="53"/>
        <v>4062.6588465355198</v>
      </c>
      <c r="K53" s="37">
        <f t="shared" si="15"/>
        <v>1.4364715173917078</v>
      </c>
      <c r="L53" s="36">
        <f>[1]SFI!$E53</f>
        <v>416.8588487014901</v>
      </c>
      <c r="M53" s="31">
        <f t="shared" si="16"/>
        <v>416.8588487014901</v>
      </c>
      <c r="N53" s="18">
        <f t="shared" si="17"/>
        <v>0</v>
      </c>
      <c r="O53" s="31">
        <f t="shared" si="18"/>
        <v>0</v>
      </c>
      <c r="P53" s="31"/>
      <c r="Q53" s="33">
        <v>0</v>
      </c>
      <c r="R53" s="37">
        <f t="shared" si="2"/>
        <v>-1</v>
      </c>
      <c r="S53" s="36">
        <f>[1]SFI!$F53</f>
        <v>416.8588487014901</v>
      </c>
      <c r="T53" s="31">
        <f t="shared" si="19"/>
        <v>416.8588487014901</v>
      </c>
      <c r="U53" s="18">
        <f t="shared" si="20"/>
        <v>0</v>
      </c>
      <c r="V53" s="31">
        <f t="shared" si="21"/>
        <v>7.362922969567089</v>
      </c>
      <c r="W53" s="31"/>
      <c r="X53" s="147">
        <f>'[4]SÃO FRANCISCO'!X53*'[3]SF I'!$X$4</f>
        <v>7.362922969567089</v>
      </c>
      <c r="Y53" s="37">
        <f t="shared" si="3"/>
        <v>-0.98233713163939662</v>
      </c>
      <c r="Z53" s="36">
        <f>[1]SFI!$G53</f>
        <v>416.8588487014901</v>
      </c>
      <c r="AA53" s="31">
        <f t="shared" si="22"/>
        <v>416.8588487014901</v>
      </c>
      <c r="AB53" s="18">
        <f t="shared" si="23"/>
        <v>0</v>
      </c>
      <c r="AC53" s="31">
        <f t="shared" si="24"/>
        <v>0</v>
      </c>
      <c r="AD53" s="31"/>
      <c r="AE53" s="27">
        <f>'[4]SÃO FRANCISCO'!AE53*'[2]SF I'!$X$4</f>
        <v>0</v>
      </c>
      <c r="AF53" s="37">
        <f t="shared" si="4"/>
        <v>-1</v>
      </c>
      <c r="AG53" s="36">
        <f>[1]SFI!$H53</f>
        <v>416.8588487014901</v>
      </c>
      <c r="AH53" s="31">
        <f t="shared" si="25"/>
        <v>416.8588487014901</v>
      </c>
      <c r="AI53" s="18">
        <f t="shared" si="26"/>
        <v>0</v>
      </c>
      <c r="AJ53" s="31">
        <f t="shared" si="27"/>
        <v>57.702016844320575</v>
      </c>
      <c r="AK53" s="31"/>
      <c r="AL53" s="33">
        <f>'[4]SÃO FRANCISCO'!AL53*'[3]SF I'!$X$4</f>
        <v>57.702016844320575</v>
      </c>
      <c r="AM53" s="37">
        <f t="shared" si="5"/>
        <v>-0.86157900444224322</v>
      </c>
      <c r="AN53" s="36">
        <f>[1]SFI!$I53</f>
        <v>416.8588487014901</v>
      </c>
      <c r="AO53" s="31">
        <f t="shared" si="28"/>
        <v>416.8588487014901</v>
      </c>
      <c r="AP53" s="18">
        <f t="shared" si="29"/>
        <v>0</v>
      </c>
      <c r="AQ53" s="31">
        <f t="shared" si="30"/>
        <v>3997.5939067216323</v>
      </c>
      <c r="AR53" s="31"/>
      <c r="AS53" s="33">
        <v>3997.5939067216323</v>
      </c>
      <c r="AT53" s="37">
        <f t="shared" si="6"/>
        <v>8.5898022056484713</v>
      </c>
      <c r="AU53" s="36">
        <f>[1]SFI!$J53</f>
        <v>416.8588487014901</v>
      </c>
      <c r="AV53" s="31">
        <f t="shared" si="31"/>
        <v>416.8588487014901</v>
      </c>
      <c r="AW53" s="18">
        <f t="shared" si="32"/>
        <v>0</v>
      </c>
      <c r="AX53" s="31">
        <f t="shared" si="33"/>
        <v>0</v>
      </c>
      <c r="AY53" s="31"/>
      <c r="AZ53" s="27">
        <v>0</v>
      </c>
      <c r="BA53" s="37">
        <f t="shared" si="7"/>
        <v>-1</v>
      </c>
      <c r="BB53" s="36">
        <f>[1]SFI!$K53</f>
        <v>416.8588487014901</v>
      </c>
      <c r="BC53" s="31">
        <f t="shared" si="34"/>
        <v>416.8588487014901</v>
      </c>
      <c r="BD53" s="18">
        <f t="shared" si="35"/>
        <v>0</v>
      </c>
      <c r="BE53" s="31">
        <f t="shared" si="36"/>
        <v>0</v>
      </c>
      <c r="BF53" s="31"/>
      <c r="BG53" s="33">
        <f>'[4]SÃO FRANCISCO'!BG53*'[3]SF I'!$X$4</f>
        <v>0</v>
      </c>
      <c r="BH53" s="37">
        <f t="shared" si="8"/>
        <v>-1</v>
      </c>
      <c r="BI53" s="36">
        <f>[1]SFI!$L53</f>
        <v>416.8588487014901</v>
      </c>
      <c r="BJ53" s="31">
        <f t="shared" si="37"/>
        <v>416.8588487014901</v>
      </c>
      <c r="BK53" s="18">
        <f t="shared" si="38"/>
        <v>0</v>
      </c>
      <c r="BL53" s="31">
        <f t="shared" si="39"/>
        <v>0</v>
      </c>
      <c r="BM53" s="31"/>
      <c r="BN53" s="33">
        <f>'[4]SÃO FRANCISCO'!BN53*'[3]SF I'!$X$4</f>
        <v>0</v>
      </c>
      <c r="BO53" s="37">
        <f t="shared" si="9"/>
        <v>-1</v>
      </c>
      <c r="BP53" s="36">
        <f>[1]SFI!$M53</f>
        <v>416.8588487014901</v>
      </c>
      <c r="BQ53" s="31">
        <f t="shared" si="40"/>
        <v>416.8588487014901</v>
      </c>
      <c r="BR53" s="18">
        <f t="shared" si="41"/>
        <v>0</v>
      </c>
      <c r="BS53" s="31">
        <f t="shared" si="42"/>
        <v>0</v>
      </c>
      <c r="BT53" s="31"/>
      <c r="BU53" s="33">
        <f>'[4]SÃO FRANCISCO'!BU53*'[3]SF I'!$X$4</f>
        <v>0</v>
      </c>
      <c r="BV53" s="37">
        <f t="shared" si="10"/>
        <v>-1</v>
      </c>
      <c r="BW53" s="36">
        <f>[1]SFI!$N53</f>
        <v>416.8588487014901</v>
      </c>
      <c r="BX53" s="31">
        <f t="shared" si="43"/>
        <v>416.8588487014901</v>
      </c>
      <c r="BY53" s="18">
        <f t="shared" si="44"/>
        <v>0</v>
      </c>
      <c r="BZ53" s="31">
        <f t="shared" si="45"/>
        <v>0</v>
      </c>
      <c r="CA53" s="31"/>
      <c r="CB53" s="33">
        <f>'[4]SÃO FRANCISCO'!CB53*'[3]SF I'!$X$4</f>
        <v>0</v>
      </c>
      <c r="CC53" s="37">
        <f t="shared" si="11"/>
        <v>-1</v>
      </c>
      <c r="CD53" s="36">
        <f>[1]SFI!$O53</f>
        <v>416.8588487014901</v>
      </c>
      <c r="CE53" s="31">
        <f t="shared" si="46"/>
        <v>416.8588487014901</v>
      </c>
      <c r="CF53" s="18">
        <f t="shared" si="47"/>
        <v>0</v>
      </c>
      <c r="CG53" s="31">
        <f t="shared" si="48"/>
        <v>0</v>
      </c>
      <c r="CH53" s="31"/>
      <c r="CI53" s="33">
        <f>'[4]SÃO FRANCISCO'!CI53*'[3]SF I'!$X$4</f>
        <v>0</v>
      </c>
      <c r="CJ53" s="37">
        <f t="shared" si="12"/>
        <v>-1</v>
      </c>
      <c r="CK53" s="36">
        <f>[1]SFI!$P53</f>
        <v>416.8588487014901</v>
      </c>
      <c r="CL53" s="31">
        <f t="shared" si="49"/>
        <v>416.8588487014901</v>
      </c>
      <c r="CM53" s="18">
        <f t="shared" si="50"/>
        <v>0</v>
      </c>
      <c r="CN53" s="31">
        <f t="shared" si="51"/>
        <v>0</v>
      </c>
      <c r="CO53" s="31"/>
      <c r="CP53" s="33">
        <f>'[4]SÃO FRANCISCO'!CP53*'[3]SF I'!$X$4</f>
        <v>0</v>
      </c>
      <c r="CQ53" s="37">
        <f t="shared" si="13"/>
        <v>-1</v>
      </c>
    </row>
    <row r="54" spans="1:99" s="26" customFormat="1" ht="16" customHeight="1" thickBot="1" x14ac:dyDescent="0.25">
      <c r="A54" s="39" t="s">
        <v>78</v>
      </c>
      <c r="B54" s="50">
        <f t="shared" si="52"/>
        <v>71825.000000000015</v>
      </c>
      <c r="C54" s="40">
        <f t="shared" si="52"/>
        <v>71825.000000000015</v>
      </c>
      <c r="D54" s="51">
        <f t="shared" si="52"/>
        <v>0</v>
      </c>
      <c r="E54" s="52">
        <f t="shared" si="54"/>
        <v>41042.857142857145</v>
      </c>
      <c r="F54" s="53">
        <f t="shared" si="54"/>
        <v>41042.857142857145</v>
      </c>
      <c r="G54" s="54">
        <f t="shared" si="54"/>
        <v>0</v>
      </c>
      <c r="H54" s="40">
        <f t="shared" si="53"/>
        <v>14980.585781478676</v>
      </c>
      <c r="I54" s="53">
        <f t="shared" si="53"/>
        <v>0</v>
      </c>
      <c r="J54" s="53">
        <f t="shared" si="53"/>
        <v>14980.585781478676</v>
      </c>
      <c r="K54" s="60">
        <f t="shared" si="15"/>
        <v>-0.63500139063574412</v>
      </c>
      <c r="L54" s="87">
        <f>[1]SFI!$E54</f>
        <v>10260.714285714286</v>
      </c>
      <c r="M54" s="40">
        <f t="shared" si="16"/>
        <v>10260.714285714286</v>
      </c>
      <c r="N54" s="18">
        <f t="shared" si="17"/>
        <v>0</v>
      </c>
      <c r="O54" s="40">
        <f t="shared" si="18"/>
        <v>0</v>
      </c>
      <c r="P54" s="40"/>
      <c r="Q54" s="53">
        <v>0</v>
      </c>
      <c r="R54" s="60">
        <f t="shared" si="2"/>
        <v>-1</v>
      </c>
      <c r="S54" s="87">
        <f>[1]SFI!$F54</f>
        <v>10260.714285714286</v>
      </c>
      <c r="T54" s="40">
        <f t="shared" si="19"/>
        <v>10260.714285714286</v>
      </c>
      <c r="U54" s="18">
        <f t="shared" si="20"/>
        <v>0</v>
      </c>
      <c r="V54" s="40">
        <f t="shared" si="21"/>
        <v>3776.9064454533218</v>
      </c>
      <c r="W54" s="40"/>
      <c r="X54" s="153">
        <f>'[4]SÃO FRANCISCO'!X54*'[3]SF I'!$X$4</f>
        <v>3776.9064454533218</v>
      </c>
      <c r="Y54" s="60">
        <f t="shared" si="3"/>
        <v>-0.63190608954857985</v>
      </c>
      <c r="Z54" s="87">
        <f>[1]SFI!$G54</f>
        <v>10260.714285714286</v>
      </c>
      <c r="AA54" s="40">
        <f t="shared" si="22"/>
        <v>10260.714285714286</v>
      </c>
      <c r="AB54" s="18">
        <f t="shared" si="23"/>
        <v>0</v>
      </c>
      <c r="AC54" s="40">
        <f t="shared" si="24"/>
        <v>11203.679336025354</v>
      </c>
      <c r="AD54" s="40"/>
      <c r="AE54" s="61">
        <f>'[4]SÃO FRANCISCO'!AE54*'[2]SF I'!$X$4</f>
        <v>11203.679336025354</v>
      </c>
      <c r="AF54" s="60">
        <f t="shared" si="4"/>
        <v>9.1900527005603472E-2</v>
      </c>
      <c r="AG54" s="87">
        <f>[1]SFI!$H54</f>
        <v>10260.714285714286</v>
      </c>
      <c r="AH54" s="40">
        <f t="shared" si="25"/>
        <v>10260.714285714286</v>
      </c>
      <c r="AI54" s="18">
        <f t="shared" si="26"/>
        <v>0</v>
      </c>
      <c r="AJ54" s="40">
        <f t="shared" si="27"/>
        <v>0</v>
      </c>
      <c r="AK54" s="40"/>
      <c r="AL54" s="53">
        <f>'[4]SÃO FRANCISCO'!AL54*'[3]SF I'!$X$4</f>
        <v>0</v>
      </c>
      <c r="AM54" s="60">
        <f t="shared" si="5"/>
        <v>-1</v>
      </c>
      <c r="AN54" s="56">
        <f>[1]SFI!$I54</f>
        <v>10260.714285714286</v>
      </c>
      <c r="AO54" s="40">
        <f t="shared" si="28"/>
        <v>10260.714285714286</v>
      </c>
      <c r="AP54" s="18">
        <f t="shared" si="29"/>
        <v>0</v>
      </c>
      <c r="AQ54" s="40">
        <f t="shared" si="30"/>
        <v>0</v>
      </c>
      <c r="AR54" s="40"/>
      <c r="AS54" s="58">
        <v>0</v>
      </c>
      <c r="AT54" s="60">
        <f t="shared" si="6"/>
        <v>-1</v>
      </c>
      <c r="AU54" s="56">
        <f>[1]SFI!$J54</f>
        <v>10260.714285714286</v>
      </c>
      <c r="AV54" s="40">
        <f t="shared" si="31"/>
        <v>10260.714285714286</v>
      </c>
      <c r="AW54" s="18">
        <f t="shared" si="32"/>
        <v>0</v>
      </c>
      <c r="AX54" s="40">
        <f t="shared" si="33"/>
        <v>0</v>
      </c>
      <c r="AY54" s="40"/>
      <c r="AZ54" s="59">
        <v>0</v>
      </c>
      <c r="BA54" s="60">
        <f t="shared" si="7"/>
        <v>-1</v>
      </c>
      <c r="BB54" s="56">
        <f>[1]SFI!$K54</f>
        <v>10260.714285714286</v>
      </c>
      <c r="BC54" s="40">
        <f t="shared" si="34"/>
        <v>10260.714285714286</v>
      </c>
      <c r="BD54" s="18">
        <f t="shared" si="35"/>
        <v>0</v>
      </c>
      <c r="BE54" s="40">
        <f t="shared" si="36"/>
        <v>0</v>
      </c>
      <c r="BF54" s="40"/>
      <c r="BG54" s="59">
        <f>'[4]SÃO FRANCISCO'!BG54*'[3]SF I'!$X$4</f>
        <v>0</v>
      </c>
      <c r="BH54" s="60">
        <f t="shared" si="8"/>
        <v>-1</v>
      </c>
      <c r="BI54" s="56">
        <f>[1]SFI!$L54</f>
        <v>0</v>
      </c>
      <c r="BJ54" s="40">
        <f t="shared" si="37"/>
        <v>0</v>
      </c>
      <c r="BK54" s="18">
        <f t="shared" si="38"/>
        <v>0</v>
      </c>
      <c r="BL54" s="40">
        <f t="shared" si="39"/>
        <v>0</v>
      </c>
      <c r="BM54" s="40"/>
      <c r="BN54" s="58">
        <f>'[4]SÃO FRANCISCO'!BN54*'[3]SF I'!$X$4</f>
        <v>0</v>
      </c>
      <c r="BO54" s="60" t="str">
        <f t="shared" si="9"/>
        <v/>
      </c>
      <c r="BP54" s="56">
        <f>[1]SFI!$M54</f>
        <v>0</v>
      </c>
      <c r="BQ54" s="40">
        <f t="shared" si="40"/>
        <v>0</v>
      </c>
      <c r="BR54" s="18">
        <f t="shared" si="41"/>
        <v>0</v>
      </c>
      <c r="BS54" s="40">
        <f t="shared" si="42"/>
        <v>0</v>
      </c>
      <c r="BT54" s="40"/>
      <c r="BU54" s="58">
        <f>'[4]SÃO FRANCISCO'!BU54*'[3]SF I'!$X$4</f>
        <v>0</v>
      </c>
      <c r="BV54" s="60" t="str">
        <f t="shared" si="10"/>
        <v/>
      </c>
      <c r="BW54" s="87">
        <f>[1]SFI!$N54</f>
        <v>0</v>
      </c>
      <c r="BX54" s="40">
        <f t="shared" si="43"/>
        <v>0</v>
      </c>
      <c r="BY54" s="18">
        <f t="shared" si="44"/>
        <v>0</v>
      </c>
      <c r="BZ54" s="40">
        <f t="shared" si="45"/>
        <v>0</v>
      </c>
      <c r="CA54" s="40"/>
      <c r="CB54" s="53">
        <f>'[4]SÃO FRANCISCO'!CB54*'[3]SF I'!$X$4</f>
        <v>0</v>
      </c>
      <c r="CC54" s="60" t="str">
        <f t="shared" si="11"/>
        <v/>
      </c>
      <c r="CD54" s="87">
        <f>[1]SFI!$O54</f>
        <v>0</v>
      </c>
      <c r="CE54" s="40">
        <f t="shared" si="46"/>
        <v>0</v>
      </c>
      <c r="CF54" s="18">
        <f t="shared" si="47"/>
        <v>0</v>
      </c>
      <c r="CG54" s="40">
        <f t="shared" si="48"/>
        <v>0</v>
      </c>
      <c r="CH54" s="40"/>
      <c r="CI54" s="53">
        <f>'[4]SÃO FRANCISCO'!CI54*'[3]SF I'!$X$4</f>
        <v>0</v>
      </c>
      <c r="CJ54" s="60" t="str">
        <f t="shared" si="12"/>
        <v/>
      </c>
      <c r="CK54" s="87">
        <f>[1]SFI!$P54</f>
        <v>0</v>
      </c>
      <c r="CL54" s="40">
        <f t="shared" si="49"/>
        <v>0</v>
      </c>
      <c r="CM54" s="18">
        <f t="shared" si="50"/>
        <v>0</v>
      </c>
      <c r="CN54" s="40">
        <f t="shared" si="51"/>
        <v>0</v>
      </c>
      <c r="CO54" s="40"/>
      <c r="CP54" s="53">
        <f>'[4]SÃO FRANCISCO'!CP54*'[3]SF I'!$X$4</f>
        <v>0</v>
      </c>
      <c r="CQ54" s="60" t="str">
        <f t="shared" si="13"/>
        <v/>
      </c>
    </row>
    <row r="55" spans="1:99" s="26" customFormat="1" ht="16" customHeight="1" thickBot="1" x14ac:dyDescent="0.25">
      <c r="A55" s="119" t="s">
        <v>79</v>
      </c>
      <c r="B55" s="63">
        <f t="shared" ref="B55:J55" si="55">SUM(B4:B54)</f>
        <v>5168778.0689763092</v>
      </c>
      <c r="C55" s="64">
        <f t="shared" si="55"/>
        <v>5168778.0689763092</v>
      </c>
      <c r="D55" s="65">
        <f t="shared" si="55"/>
        <v>0</v>
      </c>
      <c r="E55" s="63">
        <f t="shared" si="55"/>
        <v>2753937.9844375709</v>
      </c>
      <c r="F55" s="66">
        <f t="shared" si="55"/>
        <v>2753937.9844375709</v>
      </c>
      <c r="G55" s="67">
        <f t="shared" si="55"/>
        <v>0</v>
      </c>
      <c r="H55" s="64">
        <f t="shared" si="55"/>
        <v>4114540.6350160679</v>
      </c>
      <c r="I55" s="66">
        <f t="shared" si="55"/>
        <v>0</v>
      </c>
      <c r="J55" s="66">
        <f t="shared" si="55"/>
        <v>4114540.6350160679</v>
      </c>
      <c r="K55" s="120">
        <f t="shared" si="15"/>
        <v>0.49405711322013279</v>
      </c>
      <c r="L55" s="121">
        <f t="shared" ref="L55:T55" si="56">SUM(L4:L54)</f>
        <v>579555.06976014085</v>
      </c>
      <c r="M55" s="121">
        <f t="shared" si="56"/>
        <v>579555.06976014085</v>
      </c>
      <c r="N55" s="18">
        <f t="shared" si="17"/>
        <v>0</v>
      </c>
      <c r="O55" s="122">
        <f t="shared" si="56"/>
        <v>402738.9633787151</v>
      </c>
      <c r="P55" s="122">
        <f t="shared" si="56"/>
        <v>0</v>
      </c>
      <c r="Q55" s="123">
        <f t="shared" si="56"/>
        <v>402738.9633787151</v>
      </c>
      <c r="R55" s="120">
        <f>+Q55/L55-1</f>
        <v>-0.3050893963443444</v>
      </c>
      <c r="S55" s="121">
        <f t="shared" si="56"/>
        <v>729206.10834067815</v>
      </c>
      <c r="T55" s="121">
        <f t="shared" si="56"/>
        <v>729206.10834067815</v>
      </c>
      <c r="U55" s="18">
        <f t="shared" si="20"/>
        <v>0</v>
      </c>
      <c r="V55" s="122">
        <f t="shared" ref="V55:W55" si="57">SUM(V4:V54)</f>
        <v>733483.86388990667</v>
      </c>
      <c r="W55" s="122">
        <f t="shared" si="57"/>
        <v>0</v>
      </c>
      <c r="X55" s="123">
        <f t="shared" ref="X55" si="58">SUM(X4:X54)</f>
        <v>733483.86388990667</v>
      </c>
      <c r="Y55" s="120">
        <f>+X55/S55-1</f>
        <v>5.8663188641721042E-3</v>
      </c>
      <c r="Z55" s="121">
        <f t="shared" ref="Z55:AA55" si="59">SUM(Z4:Z54)</f>
        <v>912263.49067648908</v>
      </c>
      <c r="AA55" s="121">
        <f t="shared" si="59"/>
        <v>912263.49067648908</v>
      </c>
      <c r="AB55" s="18">
        <f t="shared" si="23"/>
        <v>0</v>
      </c>
      <c r="AC55" s="122">
        <f t="shared" ref="AC55:AD55" si="60">SUM(AC4:AC54)</f>
        <v>877674.1912954842</v>
      </c>
      <c r="AD55" s="122">
        <f t="shared" si="60"/>
        <v>0</v>
      </c>
      <c r="AE55" s="123">
        <f t="shared" ref="AE55" si="61">SUM(AE4:AE54)</f>
        <v>877674.1912954842</v>
      </c>
      <c r="AF55" s="120">
        <f>+AE55/Z55-1</f>
        <v>-3.7915908873383919E-2</v>
      </c>
      <c r="AG55" s="121">
        <f t="shared" ref="AG55:AH55" si="62">SUM(AG4:AG54)</f>
        <v>532913.31566026283</v>
      </c>
      <c r="AH55" s="121">
        <f t="shared" si="62"/>
        <v>532913.31566026283</v>
      </c>
      <c r="AI55" s="18">
        <f t="shared" si="26"/>
        <v>0</v>
      </c>
      <c r="AJ55" s="122">
        <f t="shared" ref="AJ55:AK55" si="63">SUM(AJ4:AJ54)</f>
        <v>705241.89973951341</v>
      </c>
      <c r="AK55" s="122">
        <f t="shared" si="63"/>
        <v>0</v>
      </c>
      <c r="AL55" s="123">
        <f t="shared" ref="AL55" si="64">SUM(AL4:AL54)</f>
        <v>705241.89973951341</v>
      </c>
      <c r="AM55" s="120">
        <f>+AL55/AG55-1</f>
        <v>0.32337076033790013</v>
      </c>
      <c r="AN55" s="121">
        <f t="shared" ref="AN55:AO55" si="65">SUM(AN4:AN54)</f>
        <v>285387.44174851605</v>
      </c>
      <c r="AO55" s="121">
        <f t="shared" si="65"/>
        <v>285387.44174851605</v>
      </c>
      <c r="AP55" s="18">
        <f t="shared" si="29"/>
        <v>0</v>
      </c>
      <c r="AQ55" s="122">
        <f t="shared" ref="AQ55:AR55" si="66">SUM(AQ4:AQ54)</f>
        <v>687707.11181199003</v>
      </c>
      <c r="AR55" s="122">
        <f t="shared" si="66"/>
        <v>0</v>
      </c>
      <c r="AS55" s="123">
        <f t="shared" ref="AS55" si="67">SUM(AS4:AS54)</f>
        <v>687707.11181199003</v>
      </c>
      <c r="AT55" s="120">
        <f>+AS55/AN55-1</f>
        <v>1.4097315130565513</v>
      </c>
      <c r="AU55" s="121">
        <f t="shared" ref="AU55:AV55" si="68">SUM(AU4:AU54)</f>
        <v>285509.83709179051</v>
      </c>
      <c r="AV55" s="121">
        <f t="shared" si="68"/>
        <v>285509.83709179051</v>
      </c>
      <c r="AW55" s="18">
        <f t="shared" si="32"/>
        <v>0</v>
      </c>
      <c r="AX55" s="122">
        <f t="shared" ref="AX55:AY55" si="69">SUM(AX4:AX54)</f>
        <v>707694.60490045825</v>
      </c>
      <c r="AY55" s="122">
        <f t="shared" si="69"/>
        <v>0</v>
      </c>
      <c r="AZ55" s="124">
        <f t="shared" ref="AZ55" si="70">SUM(AZ4:AZ54)</f>
        <v>707694.60490045825</v>
      </c>
      <c r="BA55" s="120">
        <f>+AZ55/AU55-1</f>
        <v>1.478704804391509</v>
      </c>
      <c r="BB55" s="121">
        <f t="shared" ref="BB55:BC55" si="71">SUM(BB4:BB54)</f>
        <v>408271.96016886015</v>
      </c>
      <c r="BC55" s="121">
        <f t="shared" si="71"/>
        <v>408271.96016886015</v>
      </c>
      <c r="BD55" s="18">
        <f t="shared" si="35"/>
        <v>0</v>
      </c>
      <c r="BE55" s="122">
        <f t="shared" ref="BE55:BF55" si="72">SUM(BE4:BE54)</f>
        <v>0</v>
      </c>
      <c r="BF55" s="122">
        <f t="shared" si="72"/>
        <v>0</v>
      </c>
      <c r="BG55" s="123">
        <f t="shared" ref="BG55" si="73">SUM(BG4:BG54)</f>
        <v>0</v>
      </c>
      <c r="BH55" s="120">
        <f>+BG55/BB55-1</f>
        <v>-1</v>
      </c>
      <c r="BI55" s="121">
        <f t="shared" ref="BI55:BJ55" si="74">SUM(BI4:BI54)</f>
        <v>286603.63436979777</v>
      </c>
      <c r="BJ55" s="121">
        <f t="shared" si="74"/>
        <v>286603.63436979777</v>
      </c>
      <c r="BK55" s="18">
        <f t="shared" si="38"/>
        <v>0</v>
      </c>
      <c r="BL55" s="122">
        <f t="shared" ref="BL55:BM55" si="75">SUM(BL4:BL54)</f>
        <v>0</v>
      </c>
      <c r="BM55" s="122">
        <f t="shared" si="75"/>
        <v>0</v>
      </c>
      <c r="BN55" s="123">
        <f t="shared" ref="BN55" si="76">SUM(BN4:BN54)</f>
        <v>0</v>
      </c>
      <c r="BO55" s="120">
        <f>+BN55/BI55-1</f>
        <v>-1</v>
      </c>
      <c r="BP55" s="121">
        <f t="shared" ref="BP55:BQ55" si="77">SUM(BP4:BP54)</f>
        <v>394930.83989544143</v>
      </c>
      <c r="BQ55" s="121">
        <f t="shared" si="77"/>
        <v>394930.83989544143</v>
      </c>
      <c r="BR55" s="18">
        <f t="shared" si="41"/>
        <v>0</v>
      </c>
      <c r="BS55" s="122">
        <f t="shared" ref="BS55:BT55" si="78">SUM(BS4:BS54)</f>
        <v>0</v>
      </c>
      <c r="BT55" s="122">
        <f t="shared" si="78"/>
        <v>0</v>
      </c>
      <c r="BU55" s="123">
        <f t="shared" ref="BU55" si="79">SUM(BU4:BU54)</f>
        <v>0</v>
      </c>
      <c r="BV55" s="120">
        <f>+BU55/BP55-1</f>
        <v>-1</v>
      </c>
      <c r="BW55" s="121">
        <f t="shared" ref="BW55:BX55" si="80">SUM(BW4:BW54)</f>
        <v>278584.00573094818</v>
      </c>
      <c r="BX55" s="121">
        <f t="shared" si="80"/>
        <v>278584.00573094818</v>
      </c>
      <c r="BY55" s="18">
        <f t="shared" si="44"/>
        <v>0</v>
      </c>
      <c r="BZ55" s="122">
        <f t="shared" ref="BZ55:CA55" si="81">SUM(BZ4:BZ54)</f>
        <v>0</v>
      </c>
      <c r="CA55" s="122">
        <f t="shared" si="81"/>
        <v>0</v>
      </c>
      <c r="CB55" s="123">
        <f t="shared" ref="CB55" si="82">SUM(CB4:CB54)</f>
        <v>0</v>
      </c>
      <c r="CC55" s="120">
        <f>+CB55/BW55-1</f>
        <v>-1</v>
      </c>
      <c r="CD55" s="121">
        <f t="shared" ref="CD55:CE55" si="83">SUM(CD4:CD54)</f>
        <v>216638.84579992431</v>
      </c>
      <c r="CE55" s="121">
        <f t="shared" si="83"/>
        <v>216638.84579992431</v>
      </c>
      <c r="CF55" s="18">
        <f t="shared" si="47"/>
        <v>0</v>
      </c>
      <c r="CG55" s="122">
        <f t="shared" ref="CG55:CH55" si="84">SUM(CG4:CG54)</f>
        <v>0</v>
      </c>
      <c r="CH55" s="122">
        <f t="shared" si="84"/>
        <v>0</v>
      </c>
      <c r="CI55" s="123">
        <f t="shared" ref="CI55" si="85">SUM(CI4:CI54)</f>
        <v>0</v>
      </c>
      <c r="CJ55" s="120">
        <f>+CI55/CD55-1</f>
        <v>-1</v>
      </c>
      <c r="CK55" s="121">
        <f t="shared" ref="CK55:CL55" si="86">SUM(CK4:CK54)</f>
        <v>258913.51973345823</v>
      </c>
      <c r="CL55" s="121">
        <f t="shared" si="86"/>
        <v>258913.51973345823</v>
      </c>
      <c r="CM55" s="18">
        <f t="shared" si="50"/>
        <v>0</v>
      </c>
      <c r="CN55" s="122">
        <f t="shared" ref="CN55:CO55" si="87">SUM(CN4:CN54)</f>
        <v>0</v>
      </c>
      <c r="CO55" s="122">
        <f t="shared" si="87"/>
        <v>0</v>
      </c>
      <c r="CP55" s="123">
        <f t="shared" ref="CP55" si="88">SUM(CP4:CP54)</f>
        <v>0</v>
      </c>
      <c r="CQ55" s="120">
        <f>+CP55/CK55-1</f>
        <v>-1</v>
      </c>
      <c r="CR55" s="72"/>
      <c r="CS55" s="72"/>
      <c r="CT55" s="72"/>
      <c r="CU55" s="72"/>
    </row>
    <row r="56" spans="1:99" s="26" customFormat="1" ht="16" customHeight="1" thickBot="1" x14ac:dyDescent="0.25">
      <c r="A56" s="125" t="s">
        <v>80</v>
      </c>
      <c r="B56" s="75">
        <f>+L56+S56+Z56+AG56+AN56+AU56+BB56+BI56+BP56+BW56+CD56+CK56</f>
        <v>-33752.584981366315</v>
      </c>
      <c r="C56" s="76">
        <f t="shared" ref="C56:D57" si="89">+M56+T56+AA56+AH56+AO56+AV56+BC56+BJ56+BQ56+BX56+CE56+CL56</f>
        <v>-33752.584981366315</v>
      </c>
      <c r="D56" s="77">
        <f t="shared" si="89"/>
        <v>0</v>
      </c>
      <c r="E56" s="75">
        <f>+L56+S56+Z56+AG56</f>
        <v>-11250.861660455439</v>
      </c>
      <c r="F56" s="78">
        <f t="shared" ref="F56:G57" si="90">+M56+T56+AA56+AH56</f>
        <v>-11250.861660455439</v>
      </c>
      <c r="G56" s="79">
        <f t="shared" si="90"/>
        <v>0</v>
      </c>
      <c r="H56" s="76">
        <f t="shared" ref="H56:J57" si="91">+O56+V56+AC56+AJ56+AQ56+AX56+BE56+BL56+BS56+BZ56+CG56+CN56</f>
        <v>0</v>
      </c>
      <c r="I56" s="78">
        <f t="shared" si="91"/>
        <v>0</v>
      </c>
      <c r="J56" s="78">
        <f t="shared" si="91"/>
        <v>0</v>
      </c>
      <c r="K56" s="25">
        <f>IF(E56=0,"",(+J56/E56-1))</f>
        <v>-1</v>
      </c>
      <c r="L56" s="23">
        <f>[1]SFI!$E56</f>
        <v>-2812.7154151138598</v>
      </c>
      <c r="M56" s="18">
        <f t="shared" ref="M56:M57" si="92">L56-N56</f>
        <v>-2812.7154151138598</v>
      </c>
      <c r="N56" s="18">
        <f t="shared" si="17"/>
        <v>0</v>
      </c>
      <c r="O56" s="18">
        <f t="shared" ref="O56:O57" si="93">+Q56-P56</f>
        <v>0</v>
      </c>
      <c r="P56" s="18"/>
      <c r="Q56" s="20">
        <v>0</v>
      </c>
      <c r="R56" s="25">
        <f t="shared" ref="R56:R57" si="94">IF(L56=0,"",(+Q56/L56-1))</f>
        <v>-1</v>
      </c>
      <c r="S56" s="23">
        <f>[1]SFI!$F56</f>
        <v>-2812.7154151138598</v>
      </c>
      <c r="T56" s="18">
        <f t="shared" ref="T56:T57" si="95">S56-U56</f>
        <v>-2812.7154151138598</v>
      </c>
      <c r="U56" s="18">
        <f t="shared" si="20"/>
        <v>0</v>
      </c>
      <c r="V56" s="18">
        <f t="shared" ref="V56:V57" si="96">+X56-W56</f>
        <v>0</v>
      </c>
      <c r="W56" s="18"/>
      <c r="X56" s="20">
        <f>'[4]SÃO FRANCISCO'!X56*'[3]SF I'!$X$4</f>
        <v>0</v>
      </c>
      <c r="Y56" s="25">
        <f>IF(S56=0,"",(+X56/S56-1))</f>
        <v>-1</v>
      </c>
      <c r="Z56" s="23">
        <f>[1]SFI!$G56</f>
        <v>-2812.7154151138598</v>
      </c>
      <c r="AA56" s="18">
        <f t="shared" ref="AA56:AA57" si="97">Z56-AB56</f>
        <v>-2812.7154151138598</v>
      </c>
      <c r="AB56" s="18">
        <f t="shared" si="23"/>
        <v>0</v>
      </c>
      <c r="AC56" s="18">
        <f t="shared" ref="AC56:AC57" si="98">+AE56-AD56</f>
        <v>0</v>
      </c>
      <c r="AD56" s="18"/>
      <c r="AE56" s="24">
        <f>'[4]SÃO FRANCISCO'!AE56*'[2]SF I'!$X$4</f>
        <v>0</v>
      </c>
      <c r="AF56" s="25">
        <f t="shared" ref="AF56:AF57" si="99">IF(Z56=0,"",(+AE56/Z56-1))</f>
        <v>-1</v>
      </c>
      <c r="AG56" s="23">
        <f>[1]SFI!$H56</f>
        <v>-2812.7154151138598</v>
      </c>
      <c r="AH56" s="18">
        <f t="shared" ref="AH56:AH57" si="100">AG56-AI56</f>
        <v>-2812.7154151138598</v>
      </c>
      <c r="AI56" s="18">
        <f t="shared" si="26"/>
        <v>0</v>
      </c>
      <c r="AJ56" s="18">
        <f t="shared" ref="AJ56:AJ57" si="101">+AL56-AK56</f>
        <v>0</v>
      </c>
      <c r="AK56" s="18"/>
      <c r="AL56" s="20">
        <f>'[4]SÃO FRANCISCO'!AL56*'[3]SF I'!$X$4</f>
        <v>0</v>
      </c>
      <c r="AM56" s="25">
        <f t="shared" ref="AM56:AM57" si="102">IF(AG56=0,"",(+AL56/AG56-1))</f>
        <v>-1</v>
      </c>
      <c r="AN56" s="23">
        <f>[1]SFI!$I56</f>
        <v>-2812.7154151138598</v>
      </c>
      <c r="AO56" s="18">
        <f t="shared" ref="AO56:AO57" si="103">AN56-AP56</f>
        <v>-2812.7154151138598</v>
      </c>
      <c r="AP56" s="18">
        <f t="shared" si="29"/>
        <v>0</v>
      </c>
      <c r="AQ56" s="18">
        <f t="shared" ref="AQ56:AQ57" si="104">+AS56-AR56</f>
        <v>0</v>
      </c>
      <c r="AR56" s="18"/>
      <c r="AS56" s="20">
        <f>'[4]SÃO FRANCISCO'!AS56*'[3]SF I'!$X$4</f>
        <v>0</v>
      </c>
      <c r="AT56" s="25">
        <f t="shared" ref="AT56:AT57" si="105">IF(AN56=0,"",(+AS56/AN56-1))</f>
        <v>-1</v>
      </c>
      <c r="AU56" s="23">
        <f>[1]SFI!$J56</f>
        <v>-2812.7154151138598</v>
      </c>
      <c r="AV56" s="18">
        <f t="shared" ref="AV56:AV57" si="106">AU56-AW56</f>
        <v>-2812.7154151138598</v>
      </c>
      <c r="AW56" s="18">
        <f t="shared" si="32"/>
        <v>0</v>
      </c>
      <c r="AX56" s="18">
        <f t="shared" ref="AX56:AX57" si="107">+AZ56-AY56</f>
        <v>0</v>
      </c>
      <c r="AY56" s="18"/>
      <c r="AZ56" s="24">
        <f>'[4]SÃO FRANCISCO'!AZ56*'[3]SF I'!$X$4</f>
        <v>0</v>
      </c>
      <c r="BA56" s="25">
        <f t="shared" ref="BA56:BA57" si="108">IF(AU56=0,"",(+AZ56/AU56-1))</f>
        <v>-1</v>
      </c>
      <c r="BB56" s="23">
        <f>[1]SFI!$K56</f>
        <v>-2812.7154151138598</v>
      </c>
      <c r="BC56" s="18">
        <f t="shared" ref="BC56:BC57" si="109">BB56-BD56</f>
        <v>-2812.7154151138598</v>
      </c>
      <c r="BD56" s="18">
        <f t="shared" si="35"/>
        <v>0</v>
      </c>
      <c r="BE56" s="18">
        <f t="shared" ref="BE56:BE57" si="110">+BG56-BF56</f>
        <v>0</v>
      </c>
      <c r="BF56" s="18"/>
      <c r="BG56" s="20">
        <f>'[4]SÃO FRANCISCO'!BG56*'[3]SF I'!$X$4</f>
        <v>0</v>
      </c>
      <c r="BH56" s="25">
        <f t="shared" ref="BH56:BH57" si="111">IF(BB56=0,"",(+BG56/BB56-1))</f>
        <v>-1</v>
      </c>
      <c r="BI56" s="23">
        <f>[1]SFI!$L56</f>
        <v>-2812.7154151138598</v>
      </c>
      <c r="BJ56" s="18">
        <f t="shared" ref="BJ56:BJ57" si="112">BI56-BK56</f>
        <v>-2812.7154151138598</v>
      </c>
      <c r="BK56" s="18">
        <f t="shared" si="38"/>
        <v>0</v>
      </c>
      <c r="BL56" s="18">
        <f t="shared" ref="BL56:BL57" si="113">+BN56-BM56</f>
        <v>0</v>
      </c>
      <c r="BM56" s="18"/>
      <c r="BN56" s="20">
        <f>'[4]SÃO FRANCISCO'!BN56*'[3]SF I'!$X$4</f>
        <v>0</v>
      </c>
      <c r="BO56" s="25">
        <f t="shared" ref="BO56:BO57" si="114">IF(BI56=0,"",(+BN56/BI56-1))</f>
        <v>-1</v>
      </c>
      <c r="BP56" s="23">
        <f>[1]SFI!$M56</f>
        <v>-2812.7154151138598</v>
      </c>
      <c r="BQ56" s="18">
        <f t="shared" ref="BQ56:BQ57" si="115">BP56-BR56</f>
        <v>-2812.7154151138598</v>
      </c>
      <c r="BR56" s="18">
        <f t="shared" si="41"/>
        <v>0</v>
      </c>
      <c r="BS56" s="18">
        <f t="shared" ref="BS56:BS57" si="116">+BU56-BT56</f>
        <v>0</v>
      </c>
      <c r="BT56" s="18"/>
      <c r="BU56" s="20">
        <f>'[4]SÃO FRANCISCO'!BU56*'[3]SF I'!$X$4</f>
        <v>0</v>
      </c>
      <c r="BV56" s="25">
        <f t="shared" ref="BV56:BV57" si="117">IF(BP56=0,"",(+BU56/BP56-1))</f>
        <v>-1</v>
      </c>
      <c r="BW56" s="23">
        <f>[1]SFI!$N56</f>
        <v>-2812.7154151138598</v>
      </c>
      <c r="BX56" s="18">
        <f t="shared" ref="BX56:BX57" si="118">BW56-BY56</f>
        <v>-2812.7154151138598</v>
      </c>
      <c r="BY56" s="18">
        <f t="shared" si="44"/>
        <v>0</v>
      </c>
      <c r="BZ56" s="18">
        <f t="shared" ref="BZ56:BZ57" si="119">+CB56-CA56</f>
        <v>0</v>
      </c>
      <c r="CA56" s="18"/>
      <c r="CB56" s="20">
        <f>'[4]SÃO FRANCISCO'!CB56*'[3]SF I'!$X$4</f>
        <v>0</v>
      </c>
      <c r="CC56" s="25">
        <f t="shared" ref="CC56:CC57" si="120">IF(BW56=0,"",(+CB56/BW56-1))</f>
        <v>-1</v>
      </c>
      <c r="CD56" s="23">
        <f>[1]SFI!$O56</f>
        <v>-2812.7154151138598</v>
      </c>
      <c r="CE56" s="18">
        <f t="shared" ref="CE56:CE57" si="121">CD56-CF56</f>
        <v>-2812.7154151138598</v>
      </c>
      <c r="CF56" s="18">
        <f t="shared" si="47"/>
        <v>0</v>
      </c>
      <c r="CG56" s="18">
        <f t="shared" ref="CG56:CG57" si="122">+CI56-CH56</f>
        <v>0</v>
      </c>
      <c r="CH56" s="18"/>
      <c r="CI56" s="20">
        <f>'[4]SÃO FRANCISCO'!CI56*'[3]SF I'!$X$4</f>
        <v>0</v>
      </c>
      <c r="CJ56" s="25">
        <f t="shared" ref="CJ56:CJ57" si="123">IF(CD56=0,"",(+CI56/CD56-1))</f>
        <v>-1</v>
      </c>
      <c r="CK56" s="23">
        <f>[1]SFI!$P56</f>
        <v>-2812.7154151138598</v>
      </c>
      <c r="CL56" s="18">
        <f t="shared" ref="CL56:CL57" si="124">CK56-CM56</f>
        <v>-2812.7154151138598</v>
      </c>
      <c r="CM56" s="18">
        <f t="shared" si="50"/>
        <v>0</v>
      </c>
      <c r="CN56" s="18">
        <f t="shared" ref="CN56:CN57" si="125">+CP56-CO56</f>
        <v>0</v>
      </c>
      <c r="CO56" s="18"/>
      <c r="CP56" s="20">
        <f>'[4]SÃO FRANCISCO'!CP56*'[3]SF I'!$X$4</f>
        <v>0</v>
      </c>
      <c r="CQ56" s="25">
        <f t="shared" ref="CQ56:CQ57" si="126">IF(CK56=0,"",(+CP56/CK56-1))</f>
        <v>-1</v>
      </c>
    </row>
    <row r="57" spans="1:99" s="26" customFormat="1" ht="16" customHeight="1" thickBot="1" x14ac:dyDescent="0.25">
      <c r="A57" s="126" t="s">
        <v>81</v>
      </c>
      <c r="B57" s="52">
        <f>+L57+S57+Z57+AG57+AN57+AU57+BB57+BI57+BP57+BW57+CD57+CK57</f>
        <v>-11250.861660455439</v>
      </c>
      <c r="C57" s="40">
        <f t="shared" si="89"/>
        <v>-11250.861660455439</v>
      </c>
      <c r="D57" s="51">
        <f t="shared" si="89"/>
        <v>0</v>
      </c>
      <c r="E57" s="50">
        <f>+L57+S57+Z57+AG57</f>
        <v>-3750.2872201518135</v>
      </c>
      <c r="F57" s="58">
        <f t="shared" si="90"/>
        <v>-3750.2872201518135</v>
      </c>
      <c r="G57" s="85">
        <f t="shared" si="90"/>
        <v>0</v>
      </c>
      <c r="H57" s="57">
        <f t="shared" si="91"/>
        <v>0</v>
      </c>
      <c r="I57" s="58">
        <f t="shared" si="91"/>
        <v>0</v>
      </c>
      <c r="J57" s="58">
        <f t="shared" si="91"/>
        <v>0</v>
      </c>
      <c r="K57" s="127">
        <f>IF(E57=0,"",(+J57/E57-1))</f>
        <v>-1</v>
      </c>
      <c r="L57" s="56">
        <f>[1]SFI!$E57</f>
        <v>-937.57180503795337</v>
      </c>
      <c r="M57" s="57">
        <f t="shared" si="92"/>
        <v>-937.57180503795337</v>
      </c>
      <c r="N57" s="18">
        <f t="shared" si="17"/>
        <v>0</v>
      </c>
      <c r="O57" s="57">
        <f t="shared" si="93"/>
        <v>0</v>
      </c>
      <c r="P57" s="57"/>
      <c r="Q57" s="58">
        <v>0</v>
      </c>
      <c r="R57" s="127">
        <f t="shared" si="94"/>
        <v>-1</v>
      </c>
      <c r="S57" s="56">
        <f>[1]SFI!$F57</f>
        <v>-937.57180503795337</v>
      </c>
      <c r="T57" s="57">
        <f t="shared" si="95"/>
        <v>-937.57180503795337</v>
      </c>
      <c r="U57" s="18">
        <f t="shared" si="20"/>
        <v>0</v>
      </c>
      <c r="V57" s="57">
        <f t="shared" si="96"/>
        <v>0</v>
      </c>
      <c r="W57" s="57"/>
      <c r="X57" s="58">
        <f>'[4]SÃO FRANCISCO'!X57*'[3]SF I'!$X$4</f>
        <v>0</v>
      </c>
      <c r="Y57" s="127">
        <f>IF(S57=0,"",(+X57/S57-1))</f>
        <v>-1</v>
      </c>
      <c r="Z57" s="56">
        <f>[1]SFI!$G57</f>
        <v>-937.57180503795337</v>
      </c>
      <c r="AA57" s="57">
        <f t="shared" si="97"/>
        <v>-937.57180503795337</v>
      </c>
      <c r="AB57" s="18">
        <f t="shared" si="23"/>
        <v>0</v>
      </c>
      <c r="AC57" s="57">
        <f t="shared" si="98"/>
        <v>0</v>
      </c>
      <c r="AD57" s="57"/>
      <c r="AE57" s="59">
        <f>'[4]SÃO FRANCISCO'!AE57*'[2]SF I'!$X$4</f>
        <v>0</v>
      </c>
      <c r="AF57" s="127">
        <f t="shared" si="99"/>
        <v>-1</v>
      </c>
      <c r="AG57" s="56">
        <f>[1]SFI!$H57</f>
        <v>-937.57180503795337</v>
      </c>
      <c r="AH57" s="57">
        <f t="shared" si="100"/>
        <v>-937.57180503795337</v>
      </c>
      <c r="AI57" s="18">
        <f t="shared" si="26"/>
        <v>0</v>
      </c>
      <c r="AJ57" s="57">
        <f t="shared" si="101"/>
        <v>0</v>
      </c>
      <c r="AK57" s="57"/>
      <c r="AL57" s="58">
        <f>'[4]SÃO FRANCISCO'!AL57*'[3]SF I'!$X$4</f>
        <v>0</v>
      </c>
      <c r="AM57" s="127">
        <f t="shared" si="102"/>
        <v>-1</v>
      </c>
      <c r="AN57" s="56">
        <f>[1]SFI!$I57</f>
        <v>-937.57180503795337</v>
      </c>
      <c r="AO57" s="57">
        <f t="shared" si="103"/>
        <v>-937.57180503795337</v>
      </c>
      <c r="AP57" s="18">
        <f t="shared" si="29"/>
        <v>0</v>
      </c>
      <c r="AQ57" s="57">
        <f t="shared" si="104"/>
        <v>0</v>
      </c>
      <c r="AR57" s="57"/>
      <c r="AS57" s="58">
        <f>'[4]SÃO FRANCISCO'!AS57*'[3]SF I'!$X$4</f>
        <v>0</v>
      </c>
      <c r="AT57" s="127">
        <f t="shared" si="105"/>
        <v>-1</v>
      </c>
      <c r="AU57" s="56">
        <f>[1]SFI!$J57</f>
        <v>-937.57180503795337</v>
      </c>
      <c r="AV57" s="57">
        <f t="shared" si="106"/>
        <v>-937.57180503795337</v>
      </c>
      <c r="AW57" s="18">
        <f t="shared" si="32"/>
        <v>0</v>
      </c>
      <c r="AX57" s="57">
        <f t="shared" si="107"/>
        <v>0</v>
      </c>
      <c r="AY57" s="57"/>
      <c r="AZ57" s="59">
        <f>'[4]SÃO FRANCISCO'!AZ57*'[3]SF I'!$X$4</f>
        <v>0</v>
      </c>
      <c r="BA57" s="127">
        <f t="shared" si="108"/>
        <v>-1</v>
      </c>
      <c r="BB57" s="56">
        <f>[1]SFI!$K57</f>
        <v>-937.57180503795337</v>
      </c>
      <c r="BC57" s="57">
        <f t="shared" si="109"/>
        <v>-937.57180503795337</v>
      </c>
      <c r="BD57" s="18">
        <f t="shared" si="35"/>
        <v>0</v>
      </c>
      <c r="BE57" s="57">
        <f t="shared" si="110"/>
        <v>0</v>
      </c>
      <c r="BF57" s="57"/>
      <c r="BG57" s="58">
        <f>'[4]SÃO FRANCISCO'!BG57*'[3]SF I'!$X$4</f>
        <v>0</v>
      </c>
      <c r="BH57" s="127">
        <f t="shared" si="111"/>
        <v>-1</v>
      </c>
      <c r="BI57" s="56">
        <f>[1]SFI!$L57</f>
        <v>-937.57180503795337</v>
      </c>
      <c r="BJ57" s="57">
        <f t="shared" si="112"/>
        <v>-937.57180503795337</v>
      </c>
      <c r="BK57" s="18">
        <f t="shared" si="38"/>
        <v>0</v>
      </c>
      <c r="BL57" s="57">
        <f t="shared" si="113"/>
        <v>0</v>
      </c>
      <c r="BM57" s="57"/>
      <c r="BN57" s="58">
        <f>'[4]SÃO FRANCISCO'!BN57*'[3]SF I'!$X$4</f>
        <v>0</v>
      </c>
      <c r="BO57" s="127">
        <f t="shared" si="114"/>
        <v>-1</v>
      </c>
      <c r="BP57" s="56">
        <f>[1]SFI!$M57</f>
        <v>-937.57180503795337</v>
      </c>
      <c r="BQ57" s="57">
        <f t="shared" si="115"/>
        <v>-937.57180503795337</v>
      </c>
      <c r="BR57" s="18">
        <f t="shared" si="41"/>
        <v>0</v>
      </c>
      <c r="BS57" s="57">
        <f t="shared" si="116"/>
        <v>0</v>
      </c>
      <c r="BT57" s="57"/>
      <c r="BU57" s="58">
        <f>'[4]SÃO FRANCISCO'!BU57*'[3]SF I'!$X$4</f>
        <v>0</v>
      </c>
      <c r="BV57" s="127">
        <f t="shared" si="117"/>
        <v>-1</v>
      </c>
      <c r="BW57" s="56">
        <f>[1]SFI!$N57</f>
        <v>-937.57180503795337</v>
      </c>
      <c r="BX57" s="57">
        <f t="shared" si="118"/>
        <v>-937.57180503795337</v>
      </c>
      <c r="BY57" s="18">
        <f t="shared" si="44"/>
        <v>0</v>
      </c>
      <c r="BZ57" s="57">
        <f t="shared" si="119"/>
        <v>0</v>
      </c>
      <c r="CA57" s="57"/>
      <c r="CB57" s="58">
        <f>'[4]SÃO FRANCISCO'!CB57*'[3]SF I'!$X$4</f>
        <v>0</v>
      </c>
      <c r="CC57" s="127">
        <f t="shared" si="120"/>
        <v>-1</v>
      </c>
      <c r="CD57" s="56">
        <f>[1]SFI!$O57</f>
        <v>-937.57180503795337</v>
      </c>
      <c r="CE57" s="57">
        <f t="shared" si="121"/>
        <v>-937.57180503795337</v>
      </c>
      <c r="CF57" s="18">
        <f t="shared" si="47"/>
        <v>0</v>
      </c>
      <c r="CG57" s="57">
        <f t="shared" si="122"/>
        <v>0</v>
      </c>
      <c r="CH57" s="57"/>
      <c r="CI57" s="58">
        <f>'[4]SÃO FRANCISCO'!CI57*'[3]SF I'!$X$4</f>
        <v>0</v>
      </c>
      <c r="CJ57" s="127">
        <f t="shared" si="123"/>
        <v>-1</v>
      </c>
      <c r="CK57" s="56">
        <f>[1]SFI!$P57</f>
        <v>-937.57180503795337</v>
      </c>
      <c r="CL57" s="57">
        <f t="shared" si="124"/>
        <v>-937.57180503795337</v>
      </c>
      <c r="CM57" s="18">
        <f t="shared" si="50"/>
        <v>0</v>
      </c>
      <c r="CN57" s="57">
        <f t="shared" si="125"/>
        <v>0</v>
      </c>
      <c r="CO57" s="57"/>
      <c r="CP57" s="58">
        <f>'[4]SÃO FRANCISCO'!CP57*'[3]SF I'!$X$4</f>
        <v>0</v>
      </c>
      <c r="CQ57" s="127">
        <f t="shared" si="126"/>
        <v>-1</v>
      </c>
    </row>
    <row r="58" spans="1:99" s="26" customFormat="1" ht="16" customHeight="1" thickBot="1" x14ac:dyDescent="0.25">
      <c r="A58" s="131" t="s">
        <v>82</v>
      </c>
      <c r="B58" s="89">
        <f>+B55+B56+B57</f>
        <v>5123774.6223344877</v>
      </c>
      <c r="C58" s="90">
        <f t="shared" ref="C58:D58" si="127">+C55+C56+C57</f>
        <v>5123774.6223344877</v>
      </c>
      <c r="D58" s="91">
        <f t="shared" si="127"/>
        <v>0</v>
      </c>
      <c r="E58" s="92">
        <f t="shared" ref="E58:J58" si="128">SUM(E55:E57)</f>
        <v>2738936.8355569639</v>
      </c>
      <c r="F58" s="93">
        <f t="shared" si="128"/>
        <v>2738936.8355569639</v>
      </c>
      <c r="G58" s="94">
        <f t="shared" si="128"/>
        <v>0</v>
      </c>
      <c r="H58" s="95">
        <f t="shared" si="128"/>
        <v>4114540.6350160679</v>
      </c>
      <c r="I58" s="96">
        <f t="shared" si="128"/>
        <v>0</v>
      </c>
      <c r="J58" s="96">
        <f t="shared" si="128"/>
        <v>4114540.6350160679</v>
      </c>
      <c r="K58" s="132">
        <f t="shared" si="15"/>
        <v>0.50224005957383611</v>
      </c>
      <c r="L58" s="133">
        <f t="shared" ref="L58:T58" si="129">SUM(L55:L57)</f>
        <v>575804.7825399891</v>
      </c>
      <c r="M58" s="133">
        <f t="shared" si="129"/>
        <v>575804.7825399891</v>
      </c>
      <c r="N58" s="18">
        <f t="shared" si="17"/>
        <v>0</v>
      </c>
      <c r="O58" s="95">
        <f t="shared" si="129"/>
        <v>402738.9633787151</v>
      </c>
      <c r="P58" s="95">
        <f t="shared" si="129"/>
        <v>0</v>
      </c>
      <c r="Q58" s="96">
        <f t="shared" si="129"/>
        <v>402738.9633787151</v>
      </c>
      <c r="R58" s="132">
        <f>+Q58/L55-1</f>
        <v>-0.3050893963443444</v>
      </c>
      <c r="S58" s="133">
        <f t="shared" si="129"/>
        <v>725455.82112052641</v>
      </c>
      <c r="T58" s="133">
        <f t="shared" si="129"/>
        <v>725455.82112052641</v>
      </c>
      <c r="U58" s="18">
        <f t="shared" si="20"/>
        <v>0</v>
      </c>
      <c r="V58" s="95">
        <f t="shared" ref="V58:W58" si="130">SUM(V55:V57)</f>
        <v>733483.86388990667</v>
      </c>
      <c r="W58" s="95">
        <f t="shared" si="130"/>
        <v>0</v>
      </c>
      <c r="X58" s="96">
        <f t="shared" ref="X58" si="131">SUM(X55:X57)</f>
        <v>733483.86388990667</v>
      </c>
      <c r="Y58" s="132">
        <f>+X58/S55-1</f>
        <v>5.8663188641721042E-3</v>
      </c>
      <c r="Z58" s="133">
        <f t="shared" ref="Z58:AA58" si="132">SUM(Z55:Z57)</f>
        <v>908513.20345633733</v>
      </c>
      <c r="AA58" s="133">
        <f t="shared" si="132"/>
        <v>908513.20345633733</v>
      </c>
      <c r="AB58" s="18">
        <f t="shared" si="23"/>
        <v>0</v>
      </c>
      <c r="AC58" s="95">
        <f t="shared" ref="AC58:AD58" si="133">SUM(AC55:AC57)</f>
        <v>877674.1912954842</v>
      </c>
      <c r="AD58" s="95">
        <f t="shared" si="133"/>
        <v>0</v>
      </c>
      <c r="AE58" s="96">
        <f t="shared" ref="AE58" si="134">SUM(AE55:AE57)</f>
        <v>877674.1912954842</v>
      </c>
      <c r="AF58" s="132">
        <f>+AE58/Z55-1</f>
        <v>-3.7915908873383919E-2</v>
      </c>
      <c r="AG58" s="133">
        <f t="shared" ref="AG58:AH58" si="135">SUM(AG55:AG57)</f>
        <v>529163.02844011108</v>
      </c>
      <c r="AH58" s="133">
        <f t="shared" si="135"/>
        <v>529163.02844011108</v>
      </c>
      <c r="AI58" s="18">
        <f t="shared" si="26"/>
        <v>0</v>
      </c>
      <c r="AJ58" s="95">
        <f t="shared" ref="AJ58:AK58" si="136">SUM(AJ55:AJ57)</f>
        <v>705241.89973951341</v>
      </c>
      <c r="AK58" s="95">
        <f t="shared" si="136"/>
        <v>0</v>
      </c>
      <c r="AL58" s="96">
        <f t="shared" ref="AL58" si="137">SUM(AL55:AL57)</f>
        <v>705241.89973951341</v>
      </c>
      <c r="AM58" s="132">
        <f>+AL58/AG55-1</f>
        <v>0.32337076033790013</v>
      </c>
      <c r="AN58" s="133">
        <f t="shared" ref="AN58:AO58" si="138">SUM(AN55:AN57)</f>
        <v>281637.15452836425</v>
      </c>
      <c r="AO58" s="133">
        <f t="shared" si="138"/>
        <v>281637.15452836425</v>
      </c>
      <c r="AP58" s="18">
        <f t="shared" si="29"/>
        <v>0</v>
      </c>
      <c r="AQ58" s="95">
        <f t="shared" ref="AQ58:AR58" si="139">SUM(AQ55:AQ57)</f>
        <v>687707.11181199003</v>
      </c>
      <c r="AR58" s="95">
        <f t="shared" si="139"/>
        <v>0</v>
      </c>
      <c r="AS58" s="96">
        <f t="shared" ref="AS58" si="140">SUM(AS55:AS57)</f>
        <v>687707.11181199003</v>
      </c>
      <c r="AT58" s="132">
        <f>+AS58/AN55-1</f>
        <v>1.4097315130565513</v>
      </c>
      <c r="AU58" s="133">
        <f t="shared" ref="AU58:AV58" si="141">SUM(AU55:AU57)</f>
        <v>281759.54987163871</v>
      </c>
      <c r="AV58" s="133">
        <f t="shared" si="141"/>
        <v>281759.54987163871</v>
      </c>
      <c r="AW58" s="18">
        <f t="shared" si="32"/>
        <v>0</v>
      </c>
      <c r="AX58" s="95">
        <f t="shared" ref="AX58:AY58" si="142">SUM(AX55:AX57)</f>
        <v>707694.60490045825</v>
      </c>
      <c r="AY58" s="95">
        <f t="shared" si="142"/>
        <v>0</v>
      </c>
      <c r="AZ58" s="137">
        <f t="shared" ref="AZ58" si="143">SUM(AZ55:AZ57)</f>
        <v>707694.60490045825</v>
      </c>
      <c r="BA58" s="132">
        <f>+AZ58/AU55-1</f>
        <v>1.478704804391509</v>
      </c>
      <c r="BB58" s="133">
        <f t="shared" ref="BB58:BC58" si="144">SUM(BB55:BB57)</f>
        <v>404521.67294870835</v>
      </c>
      <c r="BC58" s="133">
        <f t="shared" si="144"/>
        <v>404521.67294870835</v>
      </c>
      <c r="BD58" s="18">
        <f t="shared" si="35"/>
        <v>0</v>
      </c>
      <c r="BE58" s="95">
        <f t="shared" ref="BE58:BF58" si="145">SUM(BE55:BE57)</f>
        <v>0</v>
      </c>
      <c r="BF58" s="95">
        <f t="shared" si="145"/>
        <v>0</v>
      </c>
      <c r="BG58" s="96">
        <f t="shared" ref="BG58" si="146">SUM(BG55:BG57)</f>
        <v>0</v>
      </c>
      <c r="BH58" s="132">
        <f>+BG58/BB55-1</f>
        <v>-1</v>
      </c>
      <c r="BI58" s="133">
        <f t="shared" ref="BI58:BJ58" si="147">SUM(BI55:BI57)</f>
        <v>282853.34714964597</v>
      </c>
      <c r="BJ58" s="133">
        <f t="shared" si="147"/>
        <v>282853.34714964597</v>
      </c>
      <c r="BK58" s="18">
        <f t="shared" si="38"/>
        <v>0</v>
      </c>
      <c r="BL58" s="95">
        <f t="shared" ref="BL58:BM58" si="148">SUM(BL55:BL57)</f>
        <v>0</v>
      </c>
      <c r="BM58" s="95">
        <f t="shared" si="148"/>
        <v>0</v>
      </c>
      <c r="BN58" s="96">
        <f t="shared" ref="BN58" si="149">SUM(BN55:BN57)</f>
        <v>0</v>
      </c>
      <c r="BO58" s="132">
        <f>+BN58/BI55-1</f>
        <v>-1</v>
      </c>
      <c r="BP58" s="133">
        <f t="shared" ref="BP58:BQ58" si="150">SUM(BP55:BP57)</f>
        <v>391180.55267528963</v>
      </c>
      <c r="BQ58" s="133">
        <f t="shared" si="150"/>
        <v>391180.55267528963</v>
      </c>
      <c r="BR58" s="18">
        <f t="shared" si="41"/>
        <v>0</v>
      </c>
      <c r="BS58" s="95">
        <f t="shared" ref="BS58:BT58" si="151">SUM(BS55:BS57)</f>
        <v>0</v>
      </c>
      <c r="BT58" s="95">
        <f t="shared" si="151"/>
        <v>0</v>
      </c>
      <c r="BU58" s="96">
        <f t="shared" ref="BU58" si="152">SUM(BU55:BU57)</f>
        <v>0</v>
      </c>
      <c r="BV58" s="132">
        <f>+BU58/BP55-1</f>
        <v>-1</v>
      </c>
      <c r="BW58" s="133">
        <f t="shared" ref="BW58:BX58" si="153">SUM(BW55:BW57)</f>
        <v>274833.71851079637</v>
      </c>
      <c r="BX58" s="133">
        <f t="shared" si="153"/>
        <v>274833.71851079637</v>
      </c>
      <c r="BY58" s="18">
        <f t="shared" si="44"/>
        <v>0</v>
      </c>
      <c r="BZ58" s="95">
        <f t="shared" ref="BZ58:CA58" si="154">SUM(BZ55:BZ57)</f>
        <v>0</v>
      </c>
      <c r="CA58" s="95">
        <f t="shared" si="154"/>
        <v>0</v>
      </c>
      <c r="CB58" s="96">
        <f t="shared" ref="CB58" si="155">SUM(CB55:CB57)</f>
        <v>0</v>
      </c>
      <c r="CC58" s="132">
        <f>+CB58/BW55-1</f>
        <v>-1</v>
      </c>
      <c r="CD58" s="133">
        <f t="shared" ref="CD58:CE58" si="156">SUM(CD55:CD57)</f>
        <v>212888.55857977248</v>
      </c>
      <c r="CE58" s="133">
        <f t="shared" si="156"/>
        <v>212888.55857977248</v>
      </c>
      <c r="CF58" s="18">
        <f t="shared" si="47"/>
        <v>0</v>
      </c>
      <c r="CG58" s="95">
        <f t="shared" ref="CG58:CH58" si="157">SUM(CG55:CG57)</f>
        <v>0</v>
      </c>
      <c r="CH58" s="95">
        <f t="shared" si="157"/>
        <v>0</v>
      </c>
      <c r="CI58" s="96">
        <f t="shared" ref="CI58" si="158">SUM(CI55:CI57)</f>
        <v>0</v>
      </c>
      <c r="CJ58" s="132">
        <f>+CI58/CD55-1</f>
        <v>-1</v>
      </c>
      <c r="CK58" s="133">
        <f t="shared" ref="CK58:CL58" si="159">SUM(CK55:CK57)</f>
        <v>255163.2325133064</v>
      </c>
      <c r="CL58" s="133">
        <f t="shared" si="159"/>
        <v>255163.2325133064</v>
      </c>
      <c r="CM58" s="18">
        <f t="shared" si="50"/>
        <v>0</v>
      </c>
      <c r="CN58" s="95">
        <f t="shared" ref="CN58:CO58" si="160">SUM(CN55:CN57)</f>
        <v>0</v>
      </c>
      <c r="CO58" s="95">
        <f t="shared" si="160"/>
        <v>0</v>
      </c>
      <c r="CP58" s="96">
        <f t="shared" ref="CP58" si="161">SUM(CP55:CP57)</f>
        <v>0</v>
      </c>
      <c r="CQ58" s="132">
        <f>+CP58/CK55-1</f>
        <v>-1</v>
      </c>
    </row>
    <row r="59" spans="1:99" ht="14.25" customHeight="1" x14ac:dyDescent="0.2">
      <c r="B59" s="155"/>
      <c r="C59" s="155"/>
      <c r="D59" s="155"/>
      <c r="J59" s="139">
        <f>J58-'[2]SF I'!$N$58</f>
        <v>1395401.7167124473</v>
      </c>
      <c r="K59" s="139"/>
      <c r="L59" s="139"/>
      <c r="M59" s="139"/>
      <c r="N59" s="139"/>
      <c r="O59" s="139"/>
      <c r="P59" s="139"/>
      <c r="Q59" s="139">
        <f>Q58-'[2]SF I'!$N$125</f>
        <v>0</v>
      </c>
      <c r="R59" s="139"/>
      <c r="S59" s="139"/>
      <c r="T59" s="139"/>
      <c r="U59" s="139"/>
      <c r="V59" s="139"/>
      <c r="W59" s="139"/>
      <c r="X59" s="139">
        <f>X58-'[2]SF I'!$N$189</f>
        <v>0</v>
      </c>
      <c r="AE59" s="139">
        <f>AE58-'[2]SF I'!$N$253</f>
        <v>0</v>
      </c>
      <c r="AL59" s="139">
        <f>AL58-'[2]SF I'!$N$318</f>
        <v>0</v>
      </c>
      <c r="AS59" s="202"/>
      <c r="AZ59" s="139"/>
      <c r="BG59" s="202"/>
      <c r="BI59" s="139"/>
      <c r="BJ59" s="139"/>
      <c r="BK59" s="139"/>
      <c r="BL59" s="139"/>
      <c r="BM59" s="139"/>
      <c r="BN59" s="202"/>
      <c r="BU59" s="202"/>
      <c r="CB59" s="139"/>
      <c r="CI59" s="164"/>
      <c r="CP59" s="202"/>
    </row>
    <row r="60" spans="1:99" ht="14.25" customHeight="1" x14ac:dyDescent="0.2">
      <c r="L60" s="256"/>
      <c r="M60" s="256"/>
      <c r="N60" s="256"/>
      <c r="O60" s="256"/>
      <c r="P60" s="256"/>
      <c r="Q60" s="258"/>
      <c r="R60" s="258"/>
      <c r="S60" s="256"/>
      <c r="T60" s="256"/>
      <c r="U60" s="256"/>
      <c r="V60" s="256"/>
      <c r="W60" s="256"/>
      <c r="X60" s="258"/>
      <c r="Y60" s="258"/>
      <c r="Z60" s="256"/>
      <c r="AA60" s="256"/>
      <c r="AB60" s="256"/>
      <c r="AC60" s="256"/>
      <c r="AD60" s="256"/>
      <c r="AE60" s="258"/>
      <c r="AF60" s="258"/>
      <c r="AG60" s="256"/>
      <c r="AH60" s="256"/>
      <c r="AI60" s="256"/>
      <c r="AJ60" s="256"/>
      <c r="AK60" s="256"/>
      <c r="AL60" s="258"/>
      <c r="AM60" s="258"/>
      <c r="AN60" s="256"/>
      <c r="AO60" s="256"/>
      <c r="AP60" s="256"/>
      <c r="AQ60" s="256"/>
      <c r="AR60" s="256"/>
      <c r="AS60" s="258"/>
      <c r="AT60" s="258"/>
      <c r="AU60" s="256"/>
      <c r="AV60" s="256"/>
      <c r="AW60" s="256"/>
      <c r="AX60" s="256"/>
      <c r="AY60" s="256"/>
      <c r="AZ60" s="258"/>
      <c r="BA60" s="258"/>
      <c r="BB60" s="256"/>
      <c r="BC60" s="256"/>
      <c r="BD60" s="256"/>
      <c r="BE60" s="256"/>
      <c r="BF60" s="256"/>
      <c r="BG60" s="258"/>
      <c r="BH60" s="258"/>
      <c r="BI60" s="256"/>
      <c r="BJ60" s="256"/>
      <c r="BK60" s="256"/>
      <c r="BL60" s="256"/>
      <c r="BM60" s="256"/>
      <c r="BN60" s="258"/>
      <c r="BO60" s="258"/>
      <c r="BP60" s="256"/>
      <c r="BQ60" s="256"/>
      <c r="BR60" s="256"/>
      <c r="BS60" s="256"/>
      <c r="BT60" s="256"/>
      <c r="BU60" s="258"/>
      <c r="BV60" s="258"/>
      <c r="BW60" s="256"/>
      <c r="BX60" s="256"/>
      <c r="BY60" s="256"/>
      <c r="BZ60" s="256"/>
      <c r="CA60" s="256"/>
      <c r="CB60" s="258"/>
      <c r="CC60" s="258"/>
      <c r="CD60" s="256"/>
      <c r="CE60" s="256"/>
      <c r="CF60" s="256"/>
      <c r="CG60" s="256"/>
      <c r="CH60" s="256"/>
      <c r="CI60" s="258"/>
      <c r="CJ60" s="258"/>
      <c r="CK60" s="256"/>
      <c r="CL60" s="256"/>
      <c r="CM60" s="256"/>
      <c r="CN60" s="256"/>
      <c r="CO60" s="256"/>
      <c r="CP60" s="258"/>
      <c r="CQ60" s="258"/>
    </row>
    <row r="61" spans="1:99" ht="14.25" customHeight="1" x14ac:dyDescent="0.2">
      <c r="A61" s="207"/>
      <c r="L61" s="208"/>
      <c r="M61" s="208"/>
      <c r="N61" s="208"/>
      <c r="O61" s="208"/>
      <c r="P61" s="208"/>
      <c r="Q61" s="139"/>
      <c r="R61" s="208"/>
      <c r="S61" s="208"/>
      <c r="T61" s="208"/>
      <c r="U61" s="208"/>
      <c r="V61" s="208"/>
      <c r="W61" s="208"/>
      <c r="X61" s="139"/>
      <c r="Y61" s="208"/>
      <c r="Z61" s="208"/>
      <c r="AA61" s="208"/>
      <c r="AB61" s="208"/>
      <c r="AC61" s="208"/>
      <c r="AD61" s="208"/>
      <c r="AE61" s="208"/>
      <c r="AF61" s="208"/>
      <c r="AG61" s="208"/>
      <c r="AH61" s="208"/>
      <c r="AI61" s="208"/>
      <c r="AJ61" s="208"/>
      <c r="AK61" s="208"/>
      <c r="AL61" s="208"/>
      <c r="AM61" s="208"/>
      <c r="AN61" s="208"/>
      <c r="AO61" s="208"/>
      <c r="AP61" s="208"/>
      <c r="AQ61" s="208"/>
      <c r="AR61" s="208"/>
      <c r="AS61" s="208"/>
      <c r="AT61" s="208"/>
      <c r="AU61" s="208"/>
      <c r="AV61" s="208"/>
      <c r="AW61" s="208"/>
      <c r="AX61" s="208"/>
      <c r="AY61" s="208"/>
      <c r="AZ61" s="208"/>
      <c r="BA61" s="208"/>
      <c r="BB61" s="208"/>
      <c r="BC61" s="208"/>
      <c r="BD61" s="208"/>
      <c r="BE61" s="208"/>
      <c r="BF61" s="208"/>
      <c r="BG61" s="208"/>
      <c r="BH61" s="208"/>
      <c r="BI61" s="208"/>
      <c r="BJ61" s="208"/>
      <c r="BK61" s="208"/>
      <c r="BL61" s="208"/>
      <c r="BM61" s="208"/>
      <c r="BN61" s="208"/>
      <c r="BO61" s="208"/>
      <c r="BP61" s="208"/>
      <c r="BQ61" s="208"/>
      <c r="BR61" s="208"/>
      <c r="BS61" s="208"/>
      <c r="BT61" s="208"/>
      <c r="BU61" s="208"/>
      <c r="BV61" s="208"/>
      <c r="BW61" s="208"/>
      <c r="BX61" s="208"/>
      <c r="BY61" s="208"/>
      <c r="BZ61" s="208"/>
      <c r="CA61" s="208"/>
      <c r="CB61" s="208"/>
      <c r="CC61" s="208"/>
      <c r="CD61" s="208"/>
      <c r="CE61" s="208"/>
      <c r="CF61" s="208"/>
      <c r="CG61" s="208"/>
      <c r="CH61" s="208"/>
      <c r="CI61" s="208"/>
      <c r="CJ61" s="208"/>
      <c r="CK61" s="208"/>
      <c r="CL61" s="208"/>
      <c r="CM61" s="208"/>
      <c r="CN61" s="208"/>
      <c r="CO61" s="208"/>
      <c r="CP61" s="208"/>
      <c r="CQ61" s="208"/>
    </row>
    <row r="62" spans="1:99" ht="14.25" customHeight="1" x14ac:dyDescent="0.2">
      <c r="L62" s="208"/>
      <c r="M62" s="208"/>
      <c r="N62" s="208"/>
      <c r="O62" s="208"/>
      <c r="P62" s="208"/>
      <c r="Q62" s="208"/>
      <c r="R62" s="208"/>
      <c r="S62" s="208"/>
      <c r="T62" s="208"/>
      <c r="U62" s="208"/>
      <c r="V62" s="208"/>
      <c r="W62" s="208"/>
      <c r="X62" s="208"/>
      <c r="Y62" s="208"/>
      <c r="Z62" s="208"/>
      <c r="AA62" s="208"/>
      <c r="AB62" s="208"/>
      <c r="AC62" s="208"/>
      <c r="AD62" s="208"/>
      <c r="AE62" s="208"/>
      <c r="AF62" s="208"/>
      <c r="AG62" s="208"/>
      <c r="AH62" s="208"/>
      <c r="AI62" s="208"/>
      <c r="AJ62" s="208"/>
      <c r="AK62" s="208"/>
      <c r="AL62" s="208"/>
      <c r="AM62" s="208"/>
      <c r="AN62" s="208"/>
      <c r="AO62" s="208"/>
      <c r="AP62" s="208"/>
      <c r="AQ62" s="208"/>
      <c r="AR62" s="208"/>
      <c r="AS62" s="208"/>
      <c r="AT62" s="208"/>
      <c r="AU62" s="208"/>
      <c r="AV62" s="208"/>
      <c r="AW62" s="208"/>
      <c r="AX62" s="208"/>
      <c r="AY62" s="208"/>
      <c r="AZ62" s="208"/>
      <c r="BA62" s="208"/>
      <c r="BB62" s="208"/>
      <c r="BC62" s="208"/>
      <c r="BD62" s="208"/>
      <c r="BE62" s="208"/>
      <c r="BF62" s="208"/>
      <c r="BG62" s="208"/>
      <c r="BH62" s="208"/>
      <c r="BI62" s="208"/>
      <c r="BJ62" s="208"/>
      <c r="BK62" s="208"/>
      <c r="BL62" s="208"/>
      <c r="BM62" s="208"/>
      <c r="BN62" s="208"/>
      <c r="BO62" s="208"/>
      <c r="BP62" s="208"/>
      <c r="BQ62" s="208"/>
      <c r="BR62" s="208"/>
      <c r="BS62" s="208"/>
      <c r="BT62" s="208"/>
      <c r="BU62" s="208"/>
      <c r="BV62" s="208"/>
      <c r="BW62" s="208"/>
      <c r="BX62" s="208"/>
      <c r="BY62" s="208"/>
      <c r="BZ62" s="208"/>
      <c r="CA62" s="208"/>
      <c r="CB62" s="208"/>
      <c r="CC62" s="208"/>
      <c r="CD62" s="208"/>
      <c r="CE62" s="208"/>
      <c r="CF62" s="208"/>
      <c r="CG62" s="208"/>
      <c r="CH62" s="208"/>
      <c r="CI62" s="208"/>
      <c r="CJ62" s="208"/>
      <c r="CK62" s="208"/>
      <c r="CL62" s="208"/>
      <c r="CM62" s="208"/>
      <c r="CN62" s="208"/>
      <c r="CO62" s="208"/>
      <c r="CP62" s="208"/>
      <c r="CQ62" s="208"/>
    </row>
    <row r="63" spans="1:99" ht="14.25" customHeight="1" x14ac:dyDescent="0.2">
      <c r="L63" s="208"/>
      <c r="M63" s="208"/>
      <c r="N63" s="208"/>
      <c r="O63" s="208"/>
      <c r="P63" s="208"/>
      <c r="Q63" s="208"/>
      <c r="R63" s="104"/>
      <c r="S63" s="208"/>
      <c r="T63" s="208"/>
      <c r="U63" s="208"/>
      <c r="V63" s="208"/>
      <c r="W63" s="208"/>
      <c r="X63" s="208"/>
      <c r="Y63" s="104"/>
      <c r="Z63" s="208"/>
      <c r="AA63" s="208"/>
      <c r="AB63" s="208"/>
      <c r="AC63" s="208"/>
      <c r="AD63" s="208"/>
      <c r="AE63" s="208"/>
      <c r="AF63" s="104"/>
      <c r="AG63" s="208"/>
      <c r="AH63" s="208"/>
      <c r="AI63" s="208"/>
      <c r="AJ63" s="208"/>
      <c r="AK63" s="208"/>
      <c r="AL63" s="208"/>
      <c r="AM63" s="104"/>
      <c r="AN63" s="208"/>
      <c r="AO63" s="208"/>
      <c r="AP63" s="208"/>
      <c r="AQ63" s="208"/>
      <c r="AR63" s="208"/>
      <c r="AS63" s="208"/>
      <c r="AT63" s="104"/>
      <c r="AU63" s="208"/>
      <c r="AV63" s="208"/>
      <c r="AW63" s="208"/>
      <c r="AX63" s="208"/>
      <c r="AY63" s="208"/>
      <c r="AZ63" s="208"/>
      <c r="BA63" s="104"/>
      <c r="BB63" s="208"/>
      <c r="BC63" s="208"/>
      <c r="BD63" s="208"/>
      <c r="BE63" s="208"/>
      <c r="BF63" s="208"/>
      <c r="BG63" s="208"/>
      <c r="BH63" s="104"/>
      <c r="BI63" s="208"/>
      <c r="BJ63" s="208"/>
      <c r="BK63" s="208"/>
      <c r="BL63" s="208"/>
      <c r="BM63" s="208"/>
      <c r="BN63" s="208"/>
      <c r="BO63" s="104"/>
      <c r="BP63" s="208"/>
      <c r="BQ63" s="208"/>
      <c r="BR63" s="208"/>
      <c r="BS63" s="208"/>
      <c r="BT63" s="208"/>
      <c r="BU63" s="208"/>
      <c r="BV63" s="104"/>
      <c r="BW63" s="208"/>
      <c r="BX63" s="208"/>
      <c r="BY63" s="208"/>
      <c r="BZ63" s="208"/>
      <c r="CA63" s="208"/>
      <c r="CB63" s="208"/>
      <c r="CC63" s="104"/>
      <c r="CD63" s="208"/>
      <c r="CE63" s="208"/>
      <c r="CF63" s="208"/>
      <c r="CG63" s="208"/>
      <c r="CH63" s="208"/>
      <c r="CI63" s="208"/>
      <c r="CJ63" s="104"/>
      <c r="CK63" s="208"/>
      <c r="CL63" s="208"/>
      <c r="CM63" s="208"/>
      <c r="CN63" s="208"/>
      <c r="CO63" s="208"/>
      <c r="CP63" s="208"/>
      <c r="CQ63" s="104"/>
    </row>
    <row r="64" spans="1:99" ht="14.25" customHeight="1" x14ac:dyDescent="0.2">
      <c r="L64" s="208"/>
      <c r="M64" s="208"/>
      <c r="N64" s="208"/>
      <c r="O64" s="208"/>
      <c r="P64" s="208"/>
      <c r="Q64" s="208"/>
      <c r="R64" s="208"/>
      <c r="S64" s="208"/>
      <c r="T64" s="208"/>
      <c r="U64" s="208"/>
      <c r="V64" s="208"/>
      <c r="W64" s="208"/>
      <c r="X64" s="208"/>
      <c r="Y64" s="208"/>
      <c r="Z64" s="208"/>
      <c r="AA64" s="208"/>
      <c r="AB64" s="208"/>
      <c r="AC64" s="208"/>
      <c r="AD64" s="208"/>
      <c r="AE64" s="208"/>
      <c r="AF64" s="208"/>
      <c r="AG64" s="208"/>
      <c r="AH64" s="208"/>
      <c r="AI64" s="208"/>
      <c r="AJ64" s="208"/>
      <c r="AK64" s="208"/>
      <c r="AL64" s="208"/>
      <c r="AM64" s="208"/>
      <c r="AN64" s="208"/>
      <c r="AO64" s="208"/>
      <c r="AP64" s="208"/>
      <c r="AQ64" s="208"/>
      <c r="AR64" s="208"/>
      <c r="AS64" s="208"/>
      <c r="AT64" s="208"/>
      <c r="AU64" s="208"/>
      <c r="AV64" s="208"/>
      <c r="AW64" s="208"/>
      <c r="AX64" s="208"/>
      <c r="AY64" s="208"/>
      <c r="AZ64" s="208"/>
      <c r="BA64" s="208"/>
      <c r="BB64" s="208"/>
      <c r="BC64" s="208"/>
      <c r="BD64" s="208"/>
      <c r="BE64" s="208"/>
      <c r="BF64" s="208"/>
      <c r="BG64" s="208"/>
      <c r="BH64" s="208"/>
      <c r="BI64" s="208"/>
      <c r="BJ64" s="208"/>
      <c r="BK64" s="208"/>
      <c r="BL64" s="208"/>
      <c r="BM64" s="208"/>
      <c r="BN64" s="208"/>
      <c r="BO64" s="208"/>
      <c r="BP64" s="208"/>
      <c r="BQ64" s="208"/>
      <c r="BR64" s="208"/>
      <c r="BS64" s="208"/>
      <c r="BT64" s="208"/>
      <c r="BU64" s="208"/>
      <c r="BV64" s="208"/>
      <c r="BW64" s="208"/>
      <c r="BX64" s="208"/>
      <c r="BY64" s="208"/>
      <c r="BZ64" s="208"/>
      <c r="CA64" s="208"/>
      <c r="CB64" s="208"/>
      <c r="CC64" s="208"/>
      <c r="CD64" s="208"/>
      <c r="CE64" s="208"/>
      <c r="CF64" s="208"/>
      <c r="CG64" s="208"/>
      <c r="CH64" s="208"/>
      <c r="CI64" s="208"/>
      <c r="CJ64" s="208"/>
      <c r="CK64" s="208"/>
      <c r="CL64" s="208"/>
      <c r="CM64" s="208"/>
      <c r="CN64" s="208"/>
      <c r="CO64" s="208"/>
      <c r="CP64" s="208"/>
      <c r="CQ64" s="208"/>
    </row>
    <row r="65" spans="12:99" ht="14.25" customHeight="1" x14ac:dyDescent="0.2">
      <c r="L65" s="208"/>
      <c r="M65" s="208"/>
      <c r="N65" s="208"/>
      <c r="O65" s="208"/>
      <c r="P65" s="208"/>
      <c r="Q65" s="208"/>
      <c r="R65" s="208"/>
      <c r="S65" s="208"/>
      <c r="T65" s="208"/>
      <c r="U65" s="208"/>
      <c r="V65" s="208"/>
      <c r="W65" s="208"/>
      <c r="X65" s="208"/>
      <c r="Y65" s="208"/>
      <c r="Z65" s="208"/>
      <c r="AA65" s="208"/>
      <c r="AB65" s="208"/>
      <c r="AC65" s="208"/>
      <c r="AD65" s="208"/>
      <c r="AE65" s="208"/>
      <c r="AF65" s="208"/>
      <c r="AG65" s="208"/>
      <c r="AH65" s="208"/>
      <c r="AI65" s="208"/>
      <c r="AJ65" s="208"/>
      <c r="AK65" s="208"/>
      <c r="AL65" s="208"/>
      <c r="AM65" s="208"/>
      <c r="AN65" s="208"/>
      <c r="AO65" s="208"/>
      <c r="AP65" s="208"/>
      <c r="AQ65" s="208"/>
      <c r="AR65" s="208"/>
      <c r="AS65" s="208"/>
      <c r="AT65" s="208"/>
      <c r="AU65" s="208"/>
      <c r="AV65" s="208"/>
      <c r="AW65" s="208"/>
      <c r="AX65" s="208"/>
      <c r="AY65" s="208"/>
      <c r="AZ65" s="208"/>
      <c r="BA65" s="208"/>
      <c r="BB65" s="208"/>
      <c r="BC65" s="208"/>
      <c r="BD65" s="208"/>
      <c r="BE65" s="208"/>
      <c r="BF65" s="208"/>
      <c r="BG65" s="208"/>
      <c r="BH65" s="208"/>
      <c r="BI65" s="208"/>
      <c r="BJ65" s="208"/>
      <c r="BK65" s="208"/>
      <c r="BL65" s="208"/>
      <c r="BM65" s="208"/>
      <c r="BN65" s="208"/>
      <c r="BO65" s="208"/>
      <c r="BP65" s="208"/>
      <c r="BQ65" s="208"/>
      <c r="BR65" s="208"/>
      <c r="BS65" s="208"/>
      <c r="BT65" s="208"/>
      <c r="BU65" s="208"/>
      <c r="BV65" s="208"/>
      <c r="BW65" s="208"/>
      <c r="BX65" s="208"/>
      <c r="BY65" s="208"/>
      <c r="BZ65" s="208"/>
      <c r="CA65" s="208"/>
      <c r="CB65" s="208"/>
      <c r="CC65" s="208"/>
      <c r="CD65" s="208"/>
      <c r="CE65" s="208"/>
      <c r="CF65" s="208"/>
      <c r="CG65" s="208"/>
      <c r="CH65" s="208"/>
      <c r="CI65" s="208"/>
      <c r="CJ65" s="208"/>
      <c r="CK65" s="208"/>
      <c r="CL65" s="208"/>
      <c r="CM65" s="208"/>
      <c r="CN65" s="208"/>
      <c r="CO65" s="208"/>
      <c r="CP65" s="208"/>
      <c r="CQ65" s="208"/>
    </row>
    <row r="66" spans="12:99" ht="14.25" customHeight="1" x14ac:dyDescent="0.2">
      <c r="L66" s="208"/>
      <c r="M66" s="208"/>
      <c r="N66" s="208"/>
      <c r="O66" s="208"/>
      <c r="P66" s="208"/>
      <c r="Q66" s="208"/>
      <c r="R66" s="208"/>
      <c r="S66" s="208"/>
      <c r="T66" s="208"/>
      <c r="U66" s="208"/>
      <c r="V66" s="208"/>
      <c r="W66" s="208"/>
      <c r="X66" s="208"/>
      <c r="Y66" s="208"/>
      <c r="Z66" s="208"/>
      <c r="AA66" s="208"/>
      <c r="AB66" s="208"/>
      <c r="AC66" s="208"/>
      <c r="AD66" s="208"/>
      <c r="AE66" s="208"/>
      <c r="AF66" s="208"/>
      <c r="AG66" s="208"/>
      <c r="AH66" s="208"/>
      <c r="AI66" s="208"/>
      <c r="AJ66" s="208"/>
      <c r="AK66" s="208"/>
      <c r="AL66" s="208"/>
      <c r="AM66" s="208"/>
      <c r="AN66" s="208"/>
      <c r="AO66" s="208"/>
      <c r="AP66" s="208"/>
      <c r="AQ66" s="208"/>
      <c r="AR66" s="208"/>
      <c r="AS66" s="208"/>
      <c r="AT66" s="208"/>
      <c r="AU66" s="208"/>
      <c r="AV66" s="208"/>
      <c r="AW66" s="208"/>
      <c r="AX66" s="208"/>
      <c r="AY66" s="208"/>
      <c r="AZ66" s="208"/>
      <c r="BA66" s="208"/>
      <c r="BB66" s="208"/>
      <c r="BC66" s="208"/>
      <c r="BD66" s="208"/>
      <c r="BE66" s="208"/>
      <c r="BF66" s="208"/>
      <c r="BG66" s="208"/>
      <c r="BH66" s="208"/>
      <c r="BI66" s="208"/>
      <c r="BJ66" s="208"/>
      <c r="BK66" s="208"/>
      <c r="BL66" s="208"/>
      <c r="BM66" s="208"/>
      <c r="BN66" s="208"/>
      <c r="BO66" s="208"/>
      <c r="BP66" s="208"/>
      <c r="BQ66" s="208"/>
      <c r="BR66" s="208"/>
      <c r="BS66" s="208"/>
      <c r="BT66" s="208"/>
      <c r="BU66" s="208"/>
      <c r="BV66" s="208"/>
      <c r="BW66" s="208"/>
      <c r="BX66" s="208"/>
      <c r="BY66" s="208"/>
      <c r="BZ66" s="208"/>
      <c r="CA66" s="208"/>
      <c r="CB66" s="208"/>
      <c r="CC66" s="208"/>
      <c r="CD66" s="208"/>
      <c r="CE66" s="208"/>
      <c r="CF66" s="208"/>
      <c r="CG66" s="208"/>
      <c r="CH66" s="208"/>
      <c r="CI66" s="208"/>
      <c r="CJ66" s="208"/>
      <c r="CK66" s="208"/>
      <c r="CL66" s="208"/>
      <c r="CM66" s="208"/>
      <c r="CN66" s="208"/>
      <c r="CO66" s="208"/>
      <c r="CP66" s="208"/>
      <c r="CQ66" s="208"/>
    </row>
    <row r="67" spans="12:99" ht="14.25" customHeight="1" x14ac:dyDescent="0.2">
      <c r="L67" s="208"/>
      <c r="M67" s="208"/>
      <c r="N67" s="208"/>
      <c r="O67" s="208"/>
      <c r="P67" s="208"/>
      <c r="Q67" s="208"/>
      <c r="R67" s="208"/>
      <c r="S67" s="208"/>
      <c r="T67" s="208"/>
      <c r="U67" s="208"/>
      <c r="V67" s="208"/>
      <c r="W67" s="208"/>
      <c r="X67" s="208"/>
      <c r="Y67" s="208"/>
      <c r="Z67" s="208"/>
      <c r="AA67" s="208"/>
      <c r="AB67" s="208"/>
      <c r="AC67" s="208"/>
      <c r="AD67" s="208"/>
      <c r="AE67" s="208"/>
      <c r="AF67" s="208"/>
      <c r="AG67" s="208"/>
      <c r="AH67" s="208"/>
      <c r="AI67" s="208"/>
      <c r="AJ67" s="208"/>
      <c r="AK67" s="208"/>
      <c r="AL67" s="208"/>
      <c r="AM67" s="208"/>
      <c r="AN67" s="208"/>
      <c r="AO67" s="208"/>
      <c r="AP67" s="208"/>
      <c r="AQ67" s="208"/>
      <c r="AR67" s="208"/>
      <c r="AS67" s="208"/>
      <c r="AT67" s="208"/>
      <c r="AU67" s="208"/>
      <c r="AV67" s="208"/>
      <c r="AW67" s="208"/>
      <c r="AX67" s="208"/>
      <c r="AY67" s="208"/>
      <c r="AZ67" s="208"/>
      <c r="BA67" s="208"/>
      <c r="BB67" s="208"/>
      <c r="BC67" s="208"/>
      <c r="BD67" s="208"/>
      <c r="BE67" s="208"/>
      <c r="BF67" s="208"/>
      <c r="BG67" s="208"/>
      <c r="BH67" s="208"/>
      <c r="BI67" s="208"/>
      <c r="BJ67" s="208"/>
      <c r="BK67" s="208"/>
      <c r="BL67" s="208"/>
      <c r="BM67" s="208"/>
      <c r="BN67" s="208"/>
      <c r="BO67" s="208"/>
      <c r="BP67" s="208"/>
      <c r="BQ67" s="208"/>
      <c r="BR67" s="208"/>
      <c r="BS67" s="208"/>
      <c r="BT67" s="208"/>
      <c r="BU67" s="208"/>
      <c r="BV67" s="208"/>
      <c r="BW67" s="208"/>
      <c r="BX67" s="208"/>
      <c r="BY67" s="208"/>
      <c r="BZ67" s="208"/>
      <c r="CA67" s="208"/>
      <c r="CB67" s="208"/>
      <c r="CC67" s="208"/>
      <c r="CD67" s="208"/>
      <c r="CE67" s="208"/>
      <c r="CF67" s="208"/>
      <c r="CG67" s="208"/>
      <c r="CH67" s="208"/>
      <c r="CI67" s="208"/>
      <c r="CJ67" s="208"/>
      <c r="CK67" s="208"/>
      <c r="CL67" s="208"/>
      <c r="CM67" s="208"/>
      <c r="CN67" s="208"/>
      <c r="CO67" s="208"/>
      <c r="CP67" s="208"/>
      <c r="CQ67" s="208"/>
    </row>
    <row r="68" spans="12:99" ht="14.25" customHeight="1" x14ac:dyDescent="0.2">
      <c r="L68" s="208"/>
      <c r="M68" s="208"/>
      <c r="N68" s="208"/>
      <c r="O68" s="208"/>
      <c r="P68" s="208"/>
      <c r="Q68" s="208"/>
      <c r="R68" s="208"/>
      <c r="S68" s="208"/>
      <c r="T68" s="208"/>
      <c r="U68" s="208"/>
      <c r="V68" s="208"/>
      <c r="W68" s="208"/>
      <c r="X68" s="208"/>
      <c r="Y68" s="208"/>
      <c r="Z68" s="208"/>
      <c r="AA68" s="208"/>
      <c r="AB68" s="208"/>
      <c r="AC68" s="208"/>
      <c r="AD68" s="208"/>
      <c r="AE68" s="208"/>
      <c r="AF68" s="208"/>
      <c r="AG68" s="208"/>
      <c r="AH68" s="208"/>
      <c r="AI68" s="208"/>
      <c r="AJ68" s="208"/>
      <c r="AK68" s="208"/>
      <c r="AL68" s="208"/>
      <c r="AM68" s="208"/>
      <c r="AN68" s="208"/>
      <c r="AO68" s="208"/>
      <c r="AP68" s="208"/>
      <c r="AQ68" s="208"/>
      <c r="AR68" s="208"/>
      <c r="AS68" s="208"/>
      <c r="AT68" s="208"/>
      <c r="AU68" s="208"/>
      <c r="AV68" s="208"/>
      <c r="AW68" s="208"/>
      <c r="AX68" s="208"/>
      <c r="AY68" s="208"/>
      <c r="AZ68" s="208"/>
      <c r="BA68" s="208"/>
      <c r="BB68" s="208"/>
      <c r="BC68" s="208"/>
      <c r="BD68" s="208"/>
      <c r="BE68" s="208"/>
      <c r="BF68" s="208"/>
      <c r="BG68" s="208"/>
      <c r="BH68" s="208"/>
      <c r="BI68" s="208"/>
      <c r="BJ68" s="208"/>
      <c r="BK68" s="208"/>
      <c r="BL68" s="208"/>
      <c r="BM68" s="208"/>
      <c r="BN68" s="208"/>
      <c r="BO68" s="208"/>
      <c r="BP68" s="208"/>
      <c r="BQ68" s="208"/>
      <c r="BR68" s="208"/>
      <c r="BS68" s="208"/>
      <c r="BT68" s="208"/>
      <c r="BU68" s="208"/>
      <c r="BV68" s="208"/>
      <c r="BW68" s="208"/>
      <c r="BX68" s="208"/>
      <c r="BY68" s="208"/>
      <c r="BZ68" s="208"/>
      <c r="CA68" s="208"/>
      <c r="CB68" s="208"/>
      <c r="CC68" s="208"/>
      <c r="CD68" s="208"/>
      <c r="CE68" s="208"/>
      <c r="CF68" s="208"/>
      <c r="CG68" s="208"/>
      <c r="CH68" s="208"/>
      <c r="CI68" s="208"/>
      <c r="CJ68" s="208"/>
      <c r="CK68" s="208"/>
      <c r="CL68" s="208"/>
      <c r="CM68" s="208"/>
      <c r="CN68" s="208"/>
      <c r="CO68" s="208"/>
      <c r="CP68" s="208"/>
      <c r="CQ68" s="208"/>
    </row>
    <row r="69" spans="12:99" ht="14.25" customHeight="1" x14ac:dyDescent="0.2">
      <c r="L69" s="208"/>
      <c r="M69" s="208"/>
      <c r="N69" s="208"/>
      <c r="O69" s="208"/>
      <c r="P69" s="208"/>
      <c r="Q69" s="208"/>
      <c r="R69" s="208"/>
      <c r="S69" s="208"/>
      <c r="T69" s="208"/>
      <c r="U69" s="208"/>
      <c r="V69" s="208"/>
      <c r="W69" s="208"/>
      <c r="X69" s="208"/>
      <c r="Y69" s="208"/>
      <c r="Z69" s="208"/>
      <c r="AA69" s="208"/>
      <c r="AB69" s="208"/>
      <c r="AC69" s="208"/>
      <c r="AD69" s="208"/>
      <c r="AE69" s="208"/>
      <c r="AF69" s="208"/>
      <c r="AG69" s="208"/>
      <c r="AH69" s="208"/>
      <c r="AI69" s="208"/>
      <c r="AJ69" s="208"/>
      <c r="AK69" s="208"/>
      <c r="AL69" s="208"/>
      <c r="AM69" s="208"/>
      <c r="AN69" s="208"/>
      <c r="AO69" s="208"/>
      <c r="AP69" s="208"/>
      <c r="AQ69" s="208"/>
      <c r="AR69" s="208"/>
      <c r="AS69" s="208"/>
      <c r="AT69" s="208"/>
      <c r="AU69" s="208"/>
      <c r="AV69" s="208"/>
      <c r="AW69" s="208"/>
      <c r="AX69" s="208"/>
      <c r="AY69" s="208"/>
      <c r="AZ69" s="208"/>
      <c r="BA69" s="208"/>
      <c r="BB69" s="208"/>
      <c r="BC69" s="208"/>
      <c r="BD69" s="208"/>
      <c r="BE69" s="208"/>
      <c r="BF69" s="208"/>
      <c r="BG69" s="208"/>
      <c r="BH69" s="208"/>
      <c r="BI69" s="208"/>
      <c r="BJ69" s="208"/>
      <c r="BK69" s="208"/>
      <c r="BL69" s="208"/>
      <c r="BM69" s="208"/>
      <c r="BN69" s="208"/>
      <c r="BO69" s="208"/>
      <c r="BP69" s="208"/>
      <c r="BQ69" s="208"/>
      <c r="BR69" s="208"/>
      <c r="BS69" s="208"/>
      <c r="BT69" s="208"/>
      <c r="BU69" s="208"/>
      <c r="BV69" s="208"/>
      <c r="BW69" s="208"/>
      <c r="BX69" s="208"/>
      <c r="BY69" s="208"/>
      <c r="BZ69" s="208"/>
      <c r="CA69" s="208"/>
      <c r="CB69" s="208"/>
      <c r="CC69" s="208"/>
      <c r="CD69" s="208"/>
      <c r="CE69" s="208"/>
      <c r="CF69" s="208"/>
      <c r="CG69" s="208"/>
      <c r="CH69" s="208"/>
      <c r="CI69" s="208"/>
      <c r="CJ69" s="208"/>
      <c r="CK69" s="208"/>
      <c r="CL69" s="208"/>
      <c r="CM69" s="208"/>
      <c r="CN69" s="208"/>
      <c r="CO69" s="208"/>
      <c r="CP69" s="208"/>
      <c r="CQ69" s="208"/>
    </row>
    <row r="70" spans="12:99" ht="14.25" customHeight="1" x14ac:dyDescent="0.2">
      <c r="L70" s="208"/>
      <c r="M70" s="208"/>
      <c r="N70" s="208"/>
      <c r="O70" s="208"/>
      <c r="P70" s="208"/>
      <c r="Q70" s="208"/>
      <c r="R70" s="208"/>
      <c r="S70" s="208"/>
      <c r="T70" s="208"/>
      <c r="U70" s="208"/>
      <c r="V70" s="208"/>
      <c r="W70" s="208"/>
      <c r="X70" s="208"/>
      <c r="Y70" s="208"/>
      <c r="Z70" s="208"/>
      <c r="AA70" s="208"/>
      <c r="AB70" s="208"/>
      <c r="AC70" s="208"/>
      <c r="AD70" s="208"/>
      <c r="AE70" s="208"/>
      <c r="AF70" s="208"/>
      <c r="AG70" s="208"/>
      <c r="AH70" s="208"/>
      <c r="AI70" s="208"/>
      <c r="AJ70" s="208"/>
      <c r="AK70" s="208"/>
      <c r="AL70" s="208"/>
      <c r="AM70" s="208"/>
      <c r="AN70" s="208"/>
      <c r="AO70" s="208"/>
      <c r="AP70" s="208"/>
      <c r="AQ70" s="208"/>
      <c r="AR70" s="208"/>
      <c r="AS70" s="208"/>
      <c r="AT70" s="208"/>
      <c r="AU70" s="208"/>
      <c r="AV70" s="208"/>
      <c r="AW70" s="208"/>
      <c r="AX70" s="208"/>
      <c r="AY70" s="208"/>
      <c r="AZ70" s="208"/>
      <c r="BA70" s="208"/>
      <c r="BB70" s="208"/>
      <c r="BC70" s="208"/>
      <c r="BD70" s="208"/>
      <c r="BE70" s="208"/>
      <c r="BF70" s="208"/>
      <c r="BG70" s="208"/>
      <c r="BH70" s="208"/>
      <c r="BI70" s="208"/>
      <c r="BJ70" s="208"/>
      <c r="BK70" s="208"/>
      <c r="BL70" s="208"/>
      <c r="BM70" s="208"/>
      <c r="BN70" s="208"/>
      <c r="BO70" s="208"/>
      <c r="BP70" s="208"/>
      <c r="BQ70" s="208"/>
      <c r="BR70" s="208"/>
      <c r="BS70" s="208"/>
      <c r="BT70" s="208"/>
      <c r="BU70" s="208"/>
      <c r="BV70" s="208"/>
      <c r="BW70" s="208"/>
      <c r="BX70" s="208"/>
      <c r="BY70" s="208"/>
      <c r="BZ70" s="208"/>
      <c r="CA70" s="208"/>
      <c r="CB70" s="208"/>
      <c r="CC70" s="208"/>
      <c r="CD70" s="208"/>
      <c r="CE70" s="208"/>
      <c r="CF70" s="208"/>
      <c r="CG70" s="208"/>
      <c r="CH70" s="208"/>
      <c r="CI70" s="208"/>
      <c r="CJ70" s="208"/>
      <c r="CK70" s="208"/>
      <c r="CL70" s="208"/>
      <c r="CM70" s="208"/>
      <c r="CN70" s="208"/>
      <c r="CO70" s="208"/>
      <c r="CP70" s="208"/>
      <c r="CQ70" s="208"/>
    </row>
    <row r="71" spans="12:99" ht="14.25" customHeight="1" x14ac:dyDescent="0.2">
      <c r="L71" s="208"/>
      <c r="M71" s="208"/>
      <c r="N71" s="208"/>
      <c r="O71" s="208"/>
      <c r="P71" s="208"/>
      <c r="Q71" s="208"/>
      <c r="R71" s="208"/>
      <c r="S71" s="208"/>
      <c r="T71" s="208"/>
      <c r="U71" s="208"/>
      <c r="V71" s="208"/>
      <c r="W71" s="208"/>
      <c r="X71" s="208"/>
      <c r="Y71" s="208"/>
      <c r="Z71" s="208"/>
      <c r="AA71" s="208"/>
      <c r="AB71" s="208"/>
      <c r="AC71" s="208"/>
      <c r="AD71" s="208"/>
      <c r="AE71" s="208"/>
      <c r="AF71" s="208"/>
      <c r="AG71" s="208"/>
      <c r="AH71" s="208"/>
      <c r="AI71" s="208"/>
      <c r="AJ71" s="208"/>
      <c r="AK71" s="208"/>
      <c r="AL71" s="208"/>
      <c r="AM71" s="208"/>
      <c r="AN71" s="208"/>
      <c r="AO71" s="208"/>
      <c r="AP71" s="208"/>
      <c r="AQ71" s="208"/>
      <c r="AR71" s="208"/>
      <c r="AS71" s="208"/>
      <c r="AT71" s="208"/>
      <c r="AU71" s="208"/>
      <c r="AV71" s="208"/>
      <c r="AW71" s="208"/>
      <c r="AX71" s="208"/>
      <c r="AY71" s="208"/>
      <c r="AZ71" s="208"/>
      <c r="BA71" s="208"/>
      <c r="BB71" s="208"/>
      <c r="BC71" s="208"/>
      <c r="BD71" s="208"/>
      <c r="BE71" s="208"/>
      <c r="BF71" s="208"/>
      <c r="BG71" s="208"/>
      <c r="BH71" s="208"/>
      <c r="BI71" s="208"/>
      <c r="BJ71" s="208"/>
      <c r="BK71" s="208"/>
      <c r="BL71" s="208"/>
      <c r="BM71" s="208"/>
      <c r="BN71" s="208"/>
      <c r="BO71" s="208"/>
      <c r="BP71" s="208"/>
      <c r="BQ71" s="208"/>
      <c r="BR71" s="208"/>
      <c r="BS71" s="208"/>
      <c r="BT71" s="208"/>
      <c r="BU71" s="208"/>
      <c r="BV71" s="208"/>
      <c r="BW71" s="208"/>
      <c r="BX71" s="208"/>
      <c r="BY71" s="208"/>
      <c r="BZ71" s="208"/>
      <c r="CA71" s="208"/>
      <c r="CB71" s="208"/>
      <c r="CC71" s="208"/>
      <c r="CD71" s="208"/>
      <c r="CE71" s="208"/>
      <c r="CF71" s="208"/>
      <c r="CG71" s="208"/>
      <c r="CH71" s="208"/>
      <c r="CI71" s="208"/>
      <c r="CJ71" s="208"/>
      <c r="CK71" s="208"/>
      <c r="CL71" s="208"/>
      <c r="CM71" s="208"/>
      <c r="CN71" s="208"/>
      <c r="CO71" s="208"/>
      <c r="CP71" s="208"/>
      <c r="CQ71" s="208"/>
    </row>
    <row r="72" spans="12:99" ht="14.25" customHeight="1" x14ac:dyDescent="0.2">
      <c r="L72" s="208"/>
      <c r="M72" s="208"/>
      <c r="N72" s="208"/>
      <c r="O72" s="208"/>
      <c r="P72" s="208"/>
      <c r="Q72" s="208"/>
      <c r="R72" s="209"/>
      <c r="S72" s="208"/>
      <c r="T72" s="208"/>
      <c r="U72" s="208"/>
      <c r="V72" s="208"/>
      <c r="W72" s="208"/>
      <c r="X72" s="208"/>
      <c r="Y72" s="209"/>
      <c r="Z72" s="208"/>
      <c r="AA72" s="208"/>
      <c r="AB72" s="208"/>
      <c r="AC72" s="208"/>
      <c r="AD72" s="208"/>
      <c r="AE72" s="208"/>
      <c r="AF72" s="209"/>
      <c r="AG72" s="208"/>
      <c r="AH72" s="208"/>
      <c r="AI72" s="208"/>
      <c r="AJ72" s="208"/>
      <c r="AK72" s="208"/>
      <c r="AL72" s="208"/>
      <c r="AM72" s="209"/>
      <c r="AN72" s="208"/>
      <c r="AO72" s="208"/>
      <c r="AP72" s="208"/>
      <c r="AQ72" s="208"/>
      <c r="AR72" s="208"/>
      <c r="AS72" s="208"/>
      <c r="AT72" s="209"/>
      <c r="AU72" s="208"/>
      <c r="AV72" s="208"/>
      <c r="AW72" s="208"/>
      <c r="AX72" s="208"/>
      <c r="AY72" s="208"/>
      <c r="AZ72" s="208"/>
      <c r="BA72" s="209"/>
      <c r="BB72" s="208"/>
      <c r="BC72" s="208"/>
      <c r="BD72" s="208"/>
      <c r="BE72" s="208"/>
      <c r="BF72" s="208"/>
      <c r="BG72" s="208"/>
      <c r="BH72" s="209"/>
      <c r="BI72" s="208"/>
      <c r="BJ72" s="208"/>
      <c r="BK72" s="208"/>
      <c r="BL72" s="208"/>
      <c r="BM72" s="208"/>
      <c r="BN72" s="208"/>
      <c r="BO72" s="209"/>
      <c r="BP72" s="208"/>
      <c r="BQ72" s="208"/>
      <c r="BR72" s="208"/>
      <c r="BS72" s="208"/>
      <c r="BT72" s="208"/>
      <c r="BU72" s="208"/>
      <c r="BV72" s="209"/>
      <c r="BW72" s="208"/>
      <c r="BX72" s="208"/>
      <c r="BY72" s="208"/>
      <c r="BZ72" s="208"/>
      <c r="CA72" s="208"/>
      <c r="CB72" s="208"/>
      <c r="CC72" s="209"/>
      <c r="CD72" s="208"/>
      <c r="CE72" s="208"/>
      <c r="CF72" s="208"/>
      <c r="CG72" s="208"/>
      <c r="CH72" s="208"/>
      <c r="CI72" s="208"/>
      <c r="CJ72" s="209"/>
      <c r="CK72" s="208"/>
      <c r="CL72" s="208"/>
      <c r="CM72" s="208"/>
      <c r="CN72" s="208"/>
      <c r="CO72" s="208"/>
      <c r="CP72" s="208"/>
      <c r="CQ72" s="209"/>
      <c r="CU72" s="154"/>
    </row>
    <row r="73" spans="12:99" ht="14.25" customHeight="1" x14ac:dyDescent="0.2">
      <c r="L73" s="208"/>
      <c r="M73" s="208"/>
      <c r="N73" s="208"/>
      <c r="O73" s="208"/>
      <c r="P73" s="208"/>
      <c r="Q73" s="208"/>
      <c r="R73" s="208"/>
      <c r="S73" s="208"/>
      <c r="T73" s="208"/>
      <c r="U73" s="208"/>
      <c r="V73" s="208"/>
      <c r="W73" s="208"/>
      <c r="X73" s="208"/>
      <c r="Y73" s="208"/>
      <c r="Z73" s="208"/>
      <c r="AA73" s="208"/>
      <c r="AB73" s="208"/>
      <c r="AC73" s="208"/>
      <c r="AD73" s="208"/>
      <c r="AE73" s="208"/>
      <c r="AF73" s="208"/>
      <c r="AG73" s="208"/>
      <c r="AH73" s="208"/>
      <c r="AI73" s="208"/>
      <c r="AJ73" s="208"/>
      <c r="AK73" s="208"/>
      <c r="AL73" s="208"/>
      <c r="AM73" s="208"/>
      <c r="AN73" s="208"/>
      <c r="AO73" s="208"/>
      <c r="AP73" s="208"/>
      <c r="AQ73" s="208"/>
      <c r="AR73" s="208"/>
      <c r="AS73" s="208"/>
      <c r="AT73" s="208"/>
      <c r="AU73" s="208"/>
      <c r="AV73" s="208"/>
      <c r="AW73" s="208"/>
      <c r="AX73" s="208"/>
      <c r="AY73" s="208"/>
      <c r="AZ73" s="208"/>
      <c r="BA73" s="208"/>
      <c r="BB73" s="208"/>
      <c r="BC73" s="208"/>
      <c r="BD73" s="208"/>
      <c r="BE73" s="208"/>
      <c r="BF73" s="208"/>
      <c r="BG73" s="208"/>
      <c r="BH73" s="208"/>
      <c r="BI73" s="208"/>
      <c r="BJ73" s="208"/>
      <c r="BK73" s="208"/>
      <c r="BL73" s="208"/>
      <c r="BM73" s="208"/>
      <c r="BN73" s="208"/>
      <c r="BO73" s="208"/>
      <c r="BP73" s="208"/>
      <c r="BQ73" s="208"/>
      <c r="BR73" s="208"/>
      <c r="BS73" s="208"/>
      <c r="BT73" s="208"/>
      <c r="BU73" s="208"/>
      <c r="BV73" s="208"/>
      <c r="BW73" s="208"/>
      <c r="BX73" s="208"/>
      <c r="BY73" s="208"/>
      <c r="BZ73" s="208"/>
      <c r="CA73" s="208"/>
      <c r="CB73" s="208"/>
      <c r="CC73" s="208"/>
      <c r="CD73" s="208"/>
      <c r="CE73" s="208"/>
      <c r="CF73" s="208"/>
      <c r="CG73" s="208"/>
      <c r="CH73" s="208"/>
      <c r="CI73" s="208"/>
      <c r="CJ73" s="208"/>
      <c r="CK73" s="208"/>
      <c r="CL73" s="208"/>
      <c r="CM73" s="208"/>
      <c r="CN73" s="208"/>
      <c r="CO73" s="208"/>
      <c r="CP73" s="208"/>
      <c r="CQ73" s="208"/>
      <c r="CU73" s="154"/>
    </row>
    <row r="74" spans="12:99" ht="14.25" customHeight="1" x14ac:dyDescent="0.2">
      <c r="L74" s="208"/>
      <c r="M74" s="208"/>
      <c r="N74" s="208"/>
      <c r="O74" s="208"/>
      <c r="P74" s="208"/>
      <c r="Q74" s="208"/>
      <c r="R74" s="208"/>
      <c r="S74" s="208"/>
      <c r="T74" s="208"/>
      <c r="U74" s="208"/>
      <c r="V74" s="208"/>
      <c r="W74" s="208"/>
      <c r="X74" s="208"/>
      <c r="Y74" s="208"/>
      <c r="Z74" s="208"/>
      <c r="AA74" s="208"/>
      <c r="AB74" s="208"/>
      <c r="AC74" s="208"/>
      <c r="AD74" s="208"/>
      <c r="AE74" s="208"/>
      <c r="AF74" s="208"/>
      <c r="AG74" s="208"/>
      <c r="AH74" s="208"/>
      <c r="AI74" s="208"/>
      <c r="AJ74" s="208"/>
      <c r="AK74" s="208"/>
      <c r="AL74" s="208"/>
      <c r="AM74" s="208"/>
      <c r="AN74" s="208"/>
      <c r="AO74" s="208"/>
      <c r="AP74" s="208"/>
      <c r="AQ74" s="208"/>
      <c r="AR74" s="208"/>
      <c r="AS74" s="208"/>
      <c r="AT74" s="208"/>
      <c r="AU74" s="208"/>
      <c r="AV74" s="208"/>
      <c r="AW74" s="208"/>
      <c r="AX74" s="208"/>
      <c r="AY74" s="208"/>
      <c r="AZ74" s="208"/>
      <c r="BA74" s="208"/>
      <c r="BB74" s="208"/>
      <c r="BC74" s="208"/>
      <c r="BD74" s="208"/>
      <c r="BE74" s="208"/>
      <c r="BF74" s="208"/>
      <c r="BG74" s="208"/>
      <c r="BH74" s="208"/>
      <c r="BI74" s="208"/>
      <c r="BJ74" s="208"/>
      <c r="BK74" s="208"/>
      <c r="BL74" s="208"/>
      <c r="BM74" s="208"/>
      <c r="BN74" s="208"/>
      <c r="BO74" s="208"/>
      <c r="BP74" s="208"/>
      <c r="BQ74" s="208"/>
      <c r="BR74" s="208"/>
      <c r="BS74" s="208"/>
      <c r="BT74" s="208"/>
      <c r="BU74" s="208"/>
      <c r="BV74" s="208"/>
      <c r="BW74" s="208"/>
      <c r="BX74" s="208"/>
      <c r="BY74" s="208"/>
      <c r="BZ74" s="208"/>
      <c r="CA74" s="208"/>
      <c r="CB74" s="208"/>
      <c r="CC74" s="208"/>
      <c r="CD74" s="208"/>
      <c r="CE74" s="208"/>
      <c r="CF74" s="208"/>
      <c r="CG74" s="208"/>
      <c r="CH74" s="208"/>
      <c r="CI74" s="208"/>
      <c r="CJ74" s="208"/>
      <c r="CK74" s="208"/>
      <c r="CL74" s="208"/>
      <c r="CM74" s="208"/>
      <c r="CN74" s="208"/>
      <c r="CO74" s="208"/>
      <c r="CP74" s="208"/>
      <c r="CQ74" s="208"/>
      <c r="CU74" s="154"/>
    </row>
    <row r="75" spans="12:99" ht="14.25" customHeight="1" x14ac:dyDescent="0.2">
      <c r="L75" s="208"/>
      <c r="M75" s="208"/>
      <c r="N75" s="208"/>
      <c r="O75" s="208"/>
      <c r="P75" s="208"/>
      <c r="Q75" s="208"/>
      <c r="R75" s="208"/>
      <c r="S75" s="208"/>
      <c r="T75" s="208"/>
      <c r="U75" s="208"/>
      <c r="V75" s="208"/>
      <c r="W75" s="208"/>
      <c r="X75" s="208"/>
      <c r="Y75" s="208"/>
      <c r="Z75" s="208"/>
      <c r="AA75" s="208"/>
      <c r="AB75" s="208"/>
      <c r="AC75" s="208"/>
      <c r="AD75" s="208"/>
      <c r="AE75" s="208"/>
      <c r="AF75" s="208"/>
      <c r="AG75" s="208"/>
      <c r="AH75" s="208"/>
      <c r="AI75" s="208"/>
      <c r="AJ75" s="208"/>
      <c r="AK75" s="208"/>
      <c r="AL75" s="208"/>
      <c r="AM75" s="208"/>
      <c r="AN75" s="208"/>
      <c r="AO75" s="208"/>
      <c r="AP75" s="208"/>
      <c r="AQ75" s="208"/>
      <c r="AR75" s="208"/>
      <c r="AS75" s="208"/>
      <c r="AT75" s="208"/>
      <c r="AU75" s="208"/>
      <c r="AV75" s="208"/>
      <c r="AW75" s="208"/>
      <c r="AX75" s="208"/>
      <c r="AY75" s="208"/>
      <c r="AZ75" s="208"/>
      <c r="BA75" s="208"/>
      <c r="BB75" s="208"/>
      <c r="BC75" s="208"/>
      <c r="BD75" s="208"/>
      <c r="BE75" s="208"/>
      <c r="BF75" s="208"/>
      <c r="BG75" s="208"/>
      <c r="BH75" s="208"/>
      <c r="BI75" s="208"/>
      <c r="BJ75" s="208"/>
      <c r="BK75" s="208"/>
      <c r="BL75" s="208"/>
      <c r="BM75" s="208"/>
      <c r="BN75" s="208"/>
      <c r="BO75" s="208"/>
      <c r="BP75" s="208"/>
      <c r="BQ75" s="208"/>
      <c r="BR75" s="208"/>
      <c r="BS75" s="208"/>
      <c r="BT75" s="208"/>
      <c r="BU75" s="208"/>
      <c r="BV75" s="208"/>
      <c r="BW75" s="208"/>
      <c r="BX75" s="208"/>
      <c r="BY75" s="208"/>
      <c r="BZ75" s="208"/>
      <c r="CA75" s="208"/>
      <c r="CB75" s="208"/>
      <c r="CC75" s="208"/>
      <c r="CD75" s="208"/>
      <c r="CE75" s="208"/>
      <c r="CF75" s="208"/>
      <c r="CG75" s="208"/>
      <c r="CH75" s="208"/>
      <c r="CI75" s="208"/>
      <c r="CJ75" s="208"/>
      <c r="CK75" s="208"/>
      <c r="CL75" s="208"/>
      <c r="CM75" s="208"/>
      <c r="CN75" s="208"/>
      <c r="CO75" s="208"/>
      <c r="CP75" s="208"/>
      <c r="CQ75" s="208"/>
      <c r="CU75" s="154"/>
    </row>
    <row r="76" spans="12:99" ht="14.25" customHeight="1" x14ac:dyDescent="0.2">
      <c r="L76" s="208"/>
      <c r="M76" s="208"/>
      <c r="N76" s="208"/>
      <c r="O76" s="208"/>
      <c r="P76" s="208"/>
      <c r="Q76" s="208"/>
      <c r="R76" s="208"/>
      <c r="S76" s="208"/>
      <c r="T76" s="208"/>
      <c r="U76" s="208"/>
      <c r="V76" s="208"/>
      <c r="W76" s="208"/>
      <c r="X76" s="208"/>
      <c r="Y76" s="208"/>
      <c r="Z76" s="208"/>
      <c r="AA76" s="208"/>
      <c r="AB76" s="208"/>
      <c r="AC76" s="208"/>
      <c r="AD76" s="208"/>
      <c r="AE76" s="208"/>
      <c r="AF76" s="208"/>
      <c r="AG76" s="208"/>
      <c r="AH76" s="208"/>
      <c r="AI76" s="208"/>
      <c r="AJ76" s="208"/>
      <c r="AK76" s="208"/>
      <c r="AL76" s="208"/>
      <c r="AM76" s="208"/>
      <c r="AN76" s="208"/>
      <c r="AO76" s="208"/>
      <c r="AP76" s="208"/>
      <c r="AQ76" s="208"/>
      <c r="AR76" s="208"/>
      <c r="AS76" s="208"/>
      <c r="AT76" s="208"/>
      <c r="AU76" s="208"/>
      <c r="AV76" s="208"/>
      <c r="AW76" s="208"/>
      <c r="AX76" s="208"/>
      <c r="AY76" s="208"/>
      <c r="AZ76" s="208"/>
      <c r="BA76" s="208"/>
      <c r="BB76" s="208"/>
      <c r="BC76" s="208"/>
      <c r="BD76" s="208"/>
      <c r="BE76" s="208"/>
      <c r="BF76" s="208"/>
      <c r="BG76" s="208"/>
      <c r="BH76" s="208"/>
      <c r="BI76" s="208"/>
      <c r="BJ76" s="208"/>
      <c r="BK76" s="208"/>
      <c r="BL76" s="208"/>
      <c r="BM76" s="208"/>
      <c r="BN76" s="208"/>
      <c r="BO76" s="208"/>
      <c r="BP76" s="208"/>
      <c r="BQ76" s="208"/>
      <c r="BR76" s="208"/>
      <c r="BS76" s="208"/>
      <c r="BT76" s="208"/>
      <c r="BU76" s="208"/>
      <c r="BV76" s="208"/>
      <c r="BW76" s="208"/>
      <c r="BX76" s="208"/>
      <c r="BY76" s="208"/>
      <c r="BZ76" s="208"/>
      <c r="CA76" s="208"/>
      <c r="CB76" s="208"/>
      <c r="CC76" s="208"/>
      <c r="CD76" s="208"/>
      <c r="CE76" s="208"/>
      <c r="CF76" s="208"/>
      <c r="CG76" s="208"/>
      <c r="CH76" s="208"/>
      <c r="CI76" s="208"/>
      <c r="CJ76" s="208"/>
      <c r="CK76" s="208"/>
      <c r="CL76" s="208"/>
      <c r="CM76" s="208"/>
      <c r="CN76" s="208"/>
      <c r="CO76" s="208"/>
      <c r="CP76" s="208"/>
      <c r="CQ76" s="208"/>
      <c r="CU76" s="154"/>
    </row>
    <row r="77" spans="12:99" ht="14.25" customHeight="1" x14ac:dyDescent="0.2">
      <c r="L77" s="208"/>
      <c r="M77" s="208"/>
      <c r="N77" s="208"/>
      <c r="O77" s="208"/>
      <c r="P77" s="208"/>
      <c r="Q77" s="208"/>
      <c r="R77" s="208"/>
      <c r="S77" s="208"/>
      <c r="T77" s="208"/>
      <c r="U77" s="208"/>
      <c r="V77" s="208"/>
      <c r="W77" s="208"/>
      <c r="X77" s="208"/>
      <c r="Y77" s="208"/>
      <c r="Z77" s="208"/>
      <c r="AA77" s="208"/>
      <c r="AB77" s="208"/>
      <c r="AC77" s="208"/>
      <c r="AD77" s="208"/>
      <c r="AE77" s="208"/>
      <c r="AF77" s="208"/>
      <c r="AG77" s="208"/>
      <c r="AH77" s="208"/>
      <c r="AI77" s="208"/>
      <c r="AJ77" s="208"/>
      <c r="AK77" s="208"/>
      <c r="AL77" s="208"/>
      <c r="AM77" s="208"/>
      <c r="AN77" s="208"/>
      <c r="AO77" s="208"/>
      <c r="AP77" s="208"/>
      <c r="AQ77" s="208"/>
      <c r="AR77" s="208"/>
      <c r="AS77" s="208"/>
      <c r="AT77" s="208"/>
      <c r="AU77" s="208"/>
      <c r="AV77" s="208"/>
      <c r="AW77" s="208"/>
      <c r="AX77" s="208"/>
      <c r="AY77" s="208"/>
      <c r="AZ77" s="208"/>
      <c r="BA77" s="208"/>
      <c r="BB77" s="208"/>
      <c r="BC77" s="208"/>
      <c r="BD77" s="208"/>
      <c r="BE77" s="208"/>
      <c r="BF77" s="208"/>
      <c r="BG77" s="208"/>
      <c r="BH77" s="208"/>
      <c r="BI77" s="208"/>
      <c r="BJ77" s="208"/>
      <c r="BK77" s="208"/>
      <c r="BL77" s="208"/>
      <c r="BM77" s="208"/>
      <c r="BN77" s="208"/>
      <c r="BO77" s="208"/>
      <c r="BP77" s="208"/>
      <c r="BQ77" s="208"/>
      <c r="BR77" s="208"/>
      <c r="BS77" s="208"/>
      <c r="BT77" s="208"/>
      <c r="BU77" s="208"/>
      <c r="BV77" s="208"/>
      <c r="BW77" s="208"/>
      <c r="BX77" s="208"/>
      <c r="BY77" s="208"/>
      <c r="BZ77" s="208"/>
      <c r="CA77" s="208"/>
      <c r="CB77" s="208"/>
      <c r="CC77" s="208"/>
      <c r="CD77" s="208"/>
      <c r="CE77" s="208"/>
      <c r="CF77" s="208"/>
      <c r="CG77" s="208"/>
      <c r="CH77" s="208"/>
      <c r="CI77" s="208"/>
      <c r="CJ77" s="208"/>
      <c r="CK77" s="208"/>
      <c r="CL77" s="208"/>
      <c r="CM77" s="208"/>
      <c r="CN77" s="208"/>
      <c r="CO77" s="208"/>
      <c r="CP77" s="208"/>
      <c r="CQ77" s="208"/>
      <c r="CU77" s="154"/>
    </row>
    <row r="78" spans="12:99" ht="14.25" customHeight="1" x14ac:dyDescent="0.2">
      <c r="L78" s="208"/>
      <c r="M78" s="208"/>
      <c r="N78" s="208"/>
      <c r="O78" s="208"/>
      <c r="P78" s="208"/>
      <c r="Q78" s="208"/>
      <c r="R78" s="208"/>
      <c r="S78" s="208"/>
      <c r="T78" s="208"/>
      <c r="U78" s="208"/>
      <c r="V78" s="208"/>
      <c r="W78" s="208"/>
      <c r="X78" s="208"/>
      <c r="Y78" s="208"/>
      <c r="Z78" s="208"/>
      <c r="AA78" s="208"/>
      <c r="AB78" s="208"/>
      <c r="AC78" s="208"/>
      <c r="AD78" s="208"/>
      <c r="AE78" s="208"/>
      <c r="AF78" s="208"/>
      <c r="AG78" s="208"/>
      <c r="AH78" s="208"/>
      <c r="AI78" s="208"/>
      <c r="AJ78" s="208"/>
      <c r="AK78" s="208"/>
      <c r="AL78" s="208"/>
      <c r="AM78" s="208"/>
      <c r="AN78" s="208"/>
      <c r="AO78" s="208"/>
      <c r="AP78" s="208"/>
      <c r="AQ78" s="208"/>
      <c r="AR78" s="208"/>
      <c r="AS78" s="208"/>
      <c r="AT78" s="208"/>
      <c r="AU78" s="208"/>
      <c r="AV78" s="208"/>
      <c r="AW78" s="208"/>
      <c r="AX78" s="208"/>
      <c r="AY78" s="208"/>
      <c r="AZ78" s="208"/>
      <c r="BA78" s="208"/>
      <c r="BB78" s="208"/>
      <c r="BC78" s="208"/>
      <c r="BD78" s="208"/>
      <c r="BE78" s="208"/>
      <c r="BF78" s="208"/>
      <c r="BG78" s="208"/>
      <c r="BH78" s="208"/>
      <c r="BI78" s="208"/>
      <c r="BJ78" s="208"/>
      <c r="BK78" s="208"/>
      <c r="BL78" s="208"/>
      <c r="BM78" s="208"/>
      <c r="BN78" s="208"/>
      <c r="BO78" s="208"/>
      <c r="BP78" s="208"/>
      <c r="BQ78" s="208"/>
      <c r="BR78" s="208"/>
      <c r="BS78" s="208"/>
      <c r="BT78" s="208"/>
      <c r="BU78" s="208"/>
      <c r="BV78" s="208"/>
      <c r="BW78" s="208"/>
      <c r="BX78" s="208"/>
      <c r="BY78" s="208"/>
      <c r="BZ78" s="208"/>
      <c r="CA78" s="208"/>
      <c r="CB78" s="208"/>
      <c r="CC78" s="208"/>
      <c r="CD78" s="208"/>
      <c r="CE78" s="208"/>
      <c r="CF78" s="208"/>
      <c r="CG78" s="208"/>
      <c r="CH78" s="208"/>
      <c r="CI78" s="208"/>
      <c r="CJ78" s="208"/>
      <c r="CK78" s="208"/>
      <c r="CL78" s="208"/>
      <c r="CM78" s="208"/>
      <c r="CN78" s="208"/>
      <c r="CO78" s="208"/>
      <c r="CP78" s="208"/>
      <c r="CQ78" s="208"/>
      <c r="CU78" s="154"/>
    </row>
    <row r="79" spans="12:99" ht="14.25" customHeight="1" x14ac:dyDescent="0.2">
      <c r="L79" s="208"/>
      <c r="M79" s="208"/>
      <c r="N79" s="208"/>
      <c r="O79" s="208"/>
      <c r="P79" s="208"/>
      <c r="Q79" s="208"/>
      <c r="R79" s="208"/>
      <c r="S79" s="208"/>
      <c r="T79" s="208"/>
      <c r="U79" s="208"/>
      <c r="V79" s="208"/>
      <c r="W79" s="208"/>
      <c r="X79" s="208"/>
      <c r="Y79" s="208"/>
      <c r="Z79" s="208"/>
      <c r="AA79" s="208"/>
      <c r="AB79" s="208"/>
      <c r="AC79" s="208"/>
      <c r="AD79" s="208"/>
      <c r="AE79" s="208"/>
      <c r="AF79" s="208"/>
      <c r="AG79" s="208"/>
      <c r="AH79" s="208"/>
      <c r="AI79" s="208"/>
      <c r="AJ79" s="208"/>
      <c r="AK79" s="208"/>
      <c r="AL79" s="208"/>
      <c r="AM79" s="208"/>
      <c r="AN79" s="208"/>
      <c r="AO79" s="208"/>
      <c r="AP79" s="208"/>
      <c r="AQ79" s="208"/>
      <c r="AR79" s="208"/>
      <c r="AS79" s="208"/>
      <c r="AT79" s="208"/>
      <c r="AU79" s="208"/>
      <c r="AV79" s="208"/>
      <c r="AW79" s="208"/>
      <c r="AX79" s="208"/>
      <c r="AY79" s="208"/>
      <c r="AZ79" s="208"/>
      <c r="BA79" s="208"/>
      <c r="BB79" s="208"/>
      <c r="BC79" s="208"/>
      <c r="BD79" s="208"/>
      <c r="BE79" s="208"/>
      <c r="BF79" s="208"/>
      <c r="BG79" s="208"/>
      <c r="BH79" s="208"/>
      <c r="BI79" s="208"/>
      <c r="BJ79" s="208"/>
      <c r="BK79" s="208"/>
      <c r="BL79" s="208"/>
      <c r="BM79" s="208"/>
      <c r="BN79" s="208"/>
      <c r="BO79" s="208"/>
      <c r="BP79" s="208"/>
      <c r="BQ79" s="208"/>
      <c r="BR79" s="208"/>
      <c r="BS79" s="208"/>
      <c r="BT79" s="208"/>
      <c r="BU79" s="208"/>
      <c r="BV79" s="208"/>
      <c r="BW79" s="208"/>
      <c r="BX79" s="208"/>
      <c r="BY79" s="208"/>
      <c r="BZ79" s="208"/>
      <c r="CA79" s="208"/>
      <c r="CB79" s="208"/>
      <c r="CC79" s="208"/>
      <c r="CD79" s="208"/>
      <c r="CE79" s="208"/>
      <c r="CF79" s="208"/>
      <c r="CG79" s="208"/>
      <c r="CH79" s="208"/>
      <c r="CI79" s="208"/>
      <c r="CJ79" s="208"/>
      <c r="CK79" s="208"/>
      <c r="CL79" s="208"/>
      <c r="CM79" s="208"/>
      <c r="CN79" s="208"/>
      <c r="CO79" s="208"/>
      <c r="CP79" s="208"/>
      <c r="CQ79" s="208"/>
      <c r="CU79" s="154"/>
    </row>
    <row r="80" spans="12:99" ht="14.25" customHeight="1" x14ac:dyDescent="0.2">
      <c r="L80" s="208"/>
      <c r="M80" s="208"/>
      <c r="N80" s="208"/>
      <c r="O80" s="208"/>
      <c r="P80" s="208"/>
      <c r="Q80" s="208"/>
      <c r="R80" s="208"/>
      <c r="S80" s="208"/>
      <c r="T80" s="208"/>
      <c r="U80" s="208"/>
      <c r="V80" s="208"/>
      <c r="W80" s="208"/>
      <c r="X80" s="208"/>
      <c r="Y80" s="208"/>
      <c r="Z80" s="208"/>
      <c r="AA80" s="208"/>
      <c r="AB80" s="208"/>
      <c r="AC80" s="208"/>
      <c r="AD80" s="208"/>
      <c r="AE80" s="208"/>
      <c r="AF80" s="208"/>
      <c r="AG80" s="208"/>
      <c r="AH80" s="208"/>
      <c r="AI80" s="208"/>
      <c r="AJ80" s="208"/>
      <c r="AK80" s="208"/>
      <c r="AL80" s="208"/>
      <c r="AM80" s="208"/>
      <c r="AN80" s="208"/>
      <c r="AO80" s="208"/>
      <c r="AP80" s="208"/>
      <c r="AQ80" s="208"/>
      <c r="AR80" s="208"/>
      <c r="AS80" s="208"/>
      <c r="AT80" s="208"/>
      <c r="AU80" s="208"/>
      <c r="AV80" s="208"/>
      <c r="AW80" s="208"/>
      <c r="AX80" s="208"/>
      <c r="AY80" s="208"/>
      <c r="AZ80" s="208"/>
      <c r="BA80" s="208"/>
      <c r="BB80" s="208"/>
      <c r="BC80" s="208"/>
      <c r="BD80" s="208"/>
      <c r="BE80" s="208"/>
      <c r="BF80" s="208"/>
      <c r="BG80" s="208"/>
      <c r="BH80" s="208"/>
      <c r="BI80" s="208"/>
      <c r="BJ80" s="208"/>
      <c r="BK80" s="208"/>
      <c r="BL80" s="208"/>
      <c r="BM80" s="208"/>
      <c r="BN80" s="208"/>
      <c r="BO80" s="208"/>
      <c r="BP80" s="208"/>
      <c r="BQ80" s="208"/>
      <c r="BR80" s="208"/>
      <c r="BS80" s="208"/>
      <c r="BT80" s="208"/>
      <c r="BU80" s="208"/>
      <c r="BV80" s="208"/>
      <c r="BW80" s="208"/>
      <c r="BX80" s="208"/>
      <c r="BY80" s="208"/>
      <c r="BZ80" s="208"/>
      <c r="CA80" s="208"/>
      <c r="CB80" s="208"/>
      <c r="CC80" s="208"/>
      <c r="CD80" s="208"/>
      <c r="CE80" s="208"/>
      <c r="CF80" s="208"/>
      <c r="CG80" s="208"/>
      <c r="CH80" s="208"/>
      <c r="CI80" s="208"/>
      <c r="CJ80" s="208"/>
      <c r="CK80" s="208"/>
      <c r="CL80" s="208"/>
      <c r="CM80" s="208"/>
      <c r="CN80" s="208"/>
      <c r="CO80" s="208"/>
      <c r="CP80" s="208"/>
      <c r="CQ80" s="208"/>
    </row>
    <row r="81" spans="12:99" ht="14.25" customHeight="1" x14ac:dyDescent="0.2">
      <c r="L81" s="208"/>
      <c r="M81" s="208"/>
      <c r="N81" s="208"/>
      <c r="O81" s="208"/>
      <c r="P81" s="208"/>
      <c r="Q81" s="208"/>
      <c r="R81" s="208"/>
      <c r="S81" s="208"/>
      <c r="T81" s="208"/>
      <c r="U81" s="208"/>
      <c r="V81" s="208"/>
      <c r="W81" s="208"/>
      <c r="X81" s="208"/>
      <c r="Y81" s="208"/>
      <c r="Z81" s="208"/>
      <c r="AA81" s="208"/>
      <c r="AB81" s="208"/>
      <c r="AC81" s="208"/>
      <c r="AD81" s="208"/>
      <c r="AE81" s="208"/>
      <c r="AF81" s="208"/>
      <c r="AG81" s="208"/>
      <c r="AH81" s="208"/>
      <c r="AI81" s="208"/>
      <c r="AJ81" s="208"/>
      <c r="AK81" s="208"/>
      <c r="AL81" s="208"/>
      <c r="AM81" s="208"/>
      <c r="AN81" s="208"/>
      <c r="AO81" s="208"/>
      <c r="AP81" s="208"/>
      <c r="AQ81" s="208"/>
      <c r="AR81" s="208"/>
      <c r="AS81" s="208"/>
      <c r="AT81" s="208"/>
      <c r="AU81" s="208"/>
      <c r="AV81" s="208"/>
      <c r="AW81" s="208"/>
      <c r="AX81" s="208"/>
      <c r="AY81" s="208"/>
      <c r="AZ81" s="208"/>
      <c r="BA81" s="208"/>
      <c r="BB81" s="208"/>
      <c r="BC81" s="208"/>
      <c r="BD81" s="208"/>
      <c r="BE81" s="208"/>
      <c r="BF81" s="208"/>
      <c r="BG81" s="208"/>
      <c r="BH81" s="208"/>
      <c r="BI81" s="208"/>
      <c r="BJ81" s="208"/>
      <c r="BK81" s="208"/>
      <c r="BL81" s="208"/>
      <c r="BM81" s="208"/>
      <c r="BN81" s="208"/>
      <c r="BO81" s="208"/>
      <c r="BP81" s="208"/>
      <c r="BQ81" s="208"/>
      <c r="BR81" s="208"/>
      <c r="BS81" s="208"/>
      <c r="BT81" s="208"/>
      <c r="BU81" s="208"/>
      <c r="BV81" s="208"/>
      <c r="BW81" s="208"/>
      <c r="BX81" s="208"/>
      <c r="BY81" s="208"/>
      <c r="BZ81" s="208"/>
      <c r="CA81" s="208"/>
      <c r="CB81" s="208"/>
      <c r="CC81" s="208"/>
      <c r="CD81" s="208"/>
      <c r="CE81" s="208"/>
      <c r="CF81" s="208"/>
      <c r="CG81" s="208"/>
      <c r="CH81" s="208"/>
      <c r="CI81" s="208"/>
      <c r="CJ81" s="208"/>
      <c r="CK81" s="208"/>
      <c r="CL81" s="208"/>
      <c r="CM81" s="208"/>
      <c r="CN81" s="208"/>
      <c r="CO81" s="208"/>
      <c r="CP81" s="208"/>
      <c r="CQ81" s="208"/>
    </row>
    <row r="82" spans="12:99" ht="14.25" customHeight="1" x14ac:dyDescent="0.2">
      <c r="L82" s="208"/>
      <c r="M82" s="208"/>
      <c r="N82" s="208"/>
      <c r="O82" s="208"/>
      <c r="P82" s="208"/>
      <c r="Q82" s="208"/>
      <c r="R82" s="208"/>
      <c r="S82" s="208"/>
      <c r="T82" s="208"/>
      <c r="U82" s="208"/>
      <c r="V82" s="208"/>
      <c r="W82" s="208"/>
      <c r="X82" s="208"/>
      <c r="Y82" s="208"/>
      <c r="Z82" s="208"/>
      <c r="AA82" s="208"/>
      <c r="AB82" s="208"/>
      <c r="AC82" s="208"/>
      <c r="AD82" s="208"/>
      <c r="AE82" s="208"/>
      <c r="AF82" s="208"/>
      <c r="AG82" s="208"/>
      <c r="AH82" s="208"/>
      <c r="AI82" s="208"/>
      <c r="AJ82" s="208"/>
      <c r="AK82" s="208"/>
      <c r="AL82" s="208"/>
      <c r="AM82" s="208"/>
      <c r="AN82" s="208"/>
      <c r="AO82" s="208"/>
      <c r="AP82" s="208"/>
      <c r="AQ82" s="208"/>
      <c r="AR82" s="208"/>
      <c r="AS82" s="208"/>
      <c r="AT82" s="208"/>
      <c r="AU82" s="208"/>
      <c r="AV82" s="208"/>
      <c r="AW82" s="208"/>
      <c r="AX82" s="208"/>
      <c r="AY82" s="208"/>
      <c r="AZ82" s="208"/>
      <c r="BA82" s="208"/>
      <c r="BB82" s="208"/>
      <c r="BC82" s="208"/>
      <c r="BD82" s="208"/>
      <c r="BE82" s="208"/>
      <c r="BF82" s="208"/>
      <c r="BG82" s="208"/>
      <c r="BH82" s="208"/>
      <c r="BI82" s="208"/>
      <c r="BJ82" s="208"/>
      <c r="BK82" s="208"/>
      <c r="BL82" s="208"/>
      <c r="BM82" s="208"/>
      <c r="BN82" s="208"/>
      <c r="BO82" s="208"/>
      <c r="BP82" s="208"/>
      <c r="BQ82" s="208"/>
      <c r="BR82" s="208"/>
      <c r="BS82" s="208"/>
      <c r="BT82" s="208"/>
      <c r="BU82" s="208"/>
      <c r="BV82" s="208"/>
      <c r="BW82" s="208"/>
      <c r="BX82" s="208"/>
      <c r="BY82" s="208"/>
      <c r="BZ82" s="208"/>
      <c r="CA82" s="208"/>
      <c r="CB82" s="208"/>
      <c r="CC82" s="208"/>
      <c r="CD82" s="208"/>
      <c r="CE82" s="208"/>
      <c r="CF82" s="208"/>
      <c r="CG82" s="208"/>
      <c r="CH82" s="208"/>
      <c r="CI82" s="208"/>
      <c r="CJ82" s="208"/>
      <c r="CK82" s="208"/>
      <c r="CL82" s="208"/>
      <c r="CM82" s="208"/>
      <c r="CN82" s="208"/>
      <c r="CO82" s="208"/>
      <c r="CP82" s="208"/>
      <c r="CQ82" s="208"/>
    </row>
    <row r="83" spans="12:99" ht="14.25" customHeight="1" x14ac:dyDescent="0.2">
      <c r="L83" s="208"/>
      <c r="M83" s="208"/>
      <c r="N83" s="208"/>
      <c r="O83" s="208"/>
      <c r="P83" s="208"/>
      <c r="Q83" s="208"/>
      <c r="R83" s="208"/>
      <c r="S83" s="208"/>
      <c r="T83" s="208"/>
      <c r="U83" s="208"/>
      <c r="V83" s="208"/>
      <c r="W83" s="208"/>
      <c r="X83" s="208"/>
      <c r="Y83" s="208"/>
      <c r="Z83" s="208"/>
      <c r="AA83" s="208"/>
      <c r="AB83" s="208"/>
      <c r="AC83" s="208"/>
      <c r="AD83" s="208"/>
      <c r="AE83" s="208"/>
      <c r="AF83" s="208"/>
      <c r="AG83" s="208"/>
      <c r="AH83" s="208"/>
      <c r="AI83" s="208"/>
      <c r="AJ83" s="208"/>
      <c r="AK83" s="208"/>
      <c r="AL83" s="208"/>
      <c r="AM83" s="208"/>
      <c r="AN83" s="208"/>
      <c r="AO83" s="208"/>
      <c r="AP83" s="208"/>
      <c r="AQ83" s="208"/>
      <c r="AR83" s="208"/>
      <c r="AS83" s="208"/>
      <c r="AT83" s="208"/>
      <c r="AU83" s="208"/>
      <c r="AV83" s="208"/>
      <c r="AW83" s="208"/>
      <c r="AX83" s="208"/>
      <c r="AY83" s="208"/>
      <c r="AZ83" s="208"/>
      <c r="BA83" s="208"/>
      <c r="BB83" s="208"/>
      <c r="BC83" s="208"/>
      <c r="BD83" s="208"/>
      <c r="BE83" s="208"/>
      <c r="BF83" s="208"/>
      <c r="BG83" s="208"/>
      <c r="BH83" s="208"/>
      <c r="BI83" s="208"/>
      <c r="BJ83" s="208"/>
      <c r="BK83" s="208"/>
      <c r="BL83" s="208"/>
      <c r="BM83" s="208"/>
      <c r="BN83" s="208"/>
      <c r="BO83" s="208"/>
      <c r="BP83" s="208"/>
      <c r="BQ83" s="208"/>
      <c r="BR83" s="208"/>
      <c r="BS83" s="208"/>
      <c r="BT83" s="208"/>
      <c r="BU83" s="208"/>
      <c r="BV83" s="208"/>
      <c r="BW83" s="208"/>
      <c r="BX83" s="208"/>
      <c r="BY83" s="208"/>
      <c r="BZ83" s="208"/>
      <c r="CA83" s="208"/>
      <c r="CB83" s="208"/>
      <c r="CC83" s="208"/>
      <c r="CD83" s="208"/>
      <c r="CE83" s="208"/>
      <c r="CF83" s="208"/>
      <c r="CG83" s="208"/>
      <c r="CH83" s="208"/>
      <c r="CI83" s="208"/>
      <c r="CJ83" s="208"/>
      <c r="CK83" s="208"/>
      <c r="CL83" s="208"/>
      <c r="CM83" s="208"/>
      <c r="CN83" s="208"/>
      <c r="CO83" s="208"/>
      <c r="CP83" s="208"/>
      <c r="CQ83" s="208"/>
    </row>
    <row r="84" spans="12:99" ht="14.25" customHeight="1" x14ac:dyDescent="0.2">
      <c r="L84" s="208"/>
      <c r="M84" s="208"/>
      <c r="N84" s="208"/>
      <c r="O84" s="208"/>
      <c r="P84" s="208"/>
      <c r="Q84" s="208"/>
      <c r="R84" s="208"/>
      <c r="S84" s="208"/>
      <c r="T84" s="208"/>
      <c r="U84" s="208"/>
      <c r="V84" s="208"/>
      <c r="W84" s="208"/>
      <c r="X84" s="208"/>
      <c r="Y84" s="208"/>
      <c r="Z84" s="208"/>
      <c r="AA84" s="208"/>
      <c r="AB84" s="208"/>
      <c r="AC84" s="208"/>
      <c r="AD84" s="208"/>
      <c r="AE84" s="208"/>
      <c r="AF84" s="208"/>
      <c r="AG84" s="208"/>
      <c r="AH84" s="208"/>
      <c r="AI84" s="208"/>
      <c r="AJ84" s="208"/>
      <c r="AK84" s="208"/>
      <c r="AL84" s="208"/>
      <c r="AM84" s="208"/>
      <c r="AN84" s="208"/>
      <c r="AO84" s="208"/>
      <c r="AP84" s="208"/>
      <c r="AQ84" s="208"/>
      <c r="AR84" s="208"/>
      <c r="AS84" s="208"/>
      <c r="AT84" s="208"/>
      <c r="AU84" s="208"/>
      <c r="AV84" s="208"/>
      <c r="AW84" s="208"/>
      <c r="AX84" s="208"/>
      <c r="AY84" s="208"/>
      <c r="AZ84" s="208"/>
      <c r="BA84" s="208"/>
      <c r="BB84" s="208"/>
      <c r="BC84" s="208"/>
      <c r="BD84" s="208"/>
      <c r="BE84" s="208"/>
      <c r="BF84" s="208"/>
      <c r="BG84" s="208"/>
      <c r="BH84" s="208"/>
      <c r="BI84" s="208"/>
      <c r="BJ84" s="208"/>
      <c r="BK84" s="208"/>
      <c r="BL84" s="208"/>
      <c r="BM84" s="208"/>
      <c r="BN84" s="208"/>
      <c r="BO84" s="208"/>
      <c r="BP84" s="208"/>
      <c r="BQ84" s="208"/>
      <c r="BR84" s="208"/>
      <c r="BS84" s="208"/>
      <c r="BT84" s="208"/>
      <c r="BU84" s="208"/>
      <c r="BV84" s="208"/>
      <c r="BW84" s="208"/>
      <c r="BX84" s="208"/>
      <c r="BY84" s="208"/>
      <c r="BZ84" s="208"/>
      <c r="CA84" s="208"/>
      <c r="CB84" s="208"/>
      <c r="CC84" s="208"/>
      <c r="CD84" s="208"/>
      <c r="CE84" s="208"/>
      <c r="CF84" s="208"/>
      <c r="CG84" s="208"/>
      <c r="CH84" s="208"/>
      <c r="CI84" s="208"/>
      <c r="CJ84" s="208"/>
      <c r="CK84" s="208"/>
      <c r="CL84" s="208"/>
      <c r="CM84" s="208"/>
      <c r="CN84" s="208"/>
      <c r="CO84" s="208"/>
      <c r="CP84" s="208"/>
      <c r="CQ84" s="208"/>
    </row>
    <row r="85" spans="12:99" ht="14.25" customHeight="1" x14ac:dyDescent="0.2">
      <c r="AT85" s="139"/>
      <c r="BV85" s="139"/>
      <c r="CC85" s="140"/>
      <c r="CJ85" s="155"/>
      <c r="CQ85" s="155"/>
    </row>
    <row r="86" spans="12:99" ht="14.25" customHeight="1" x14ac:dyDescent="0.2">
      <c r="AT86" s="139"/>
      <c r="BV86" s="139"/>
      <c r="CC86" s="139"/>
      <c r="CJ86" s="155"/>
      <c r="CQ86" s="155"/>
    </row>
    <row r="87" spans="12:99" ht="14.25" customHeight="1" x14ac:dyDescent="0.2">
      <c r="AT87" s="139"/>
      <c r="BV87" s="139"/>
      <c r="CC87" s="139"/>
      <c r="CJ87" s="155"/>
      <c r="CQ87" s="155"/>
    </row>
    <row r="88" spans="12:99" ht="14.25" customHeight="1" x14ac:dyDescent="0.2">
      <c r="AT88" s="139"/>
      <c r="BV88" s="155"/>
      <c r="CJ88" s="155"/>
      <c r="CQ88" s="155"/>
    </row>
    <row r="89" spans="12:99" ht="14.25" customHeight="1" x14ac:dyDescent="0.2">
      <c r="AT89" s="139"/>
      <c r="BA89" s="155"/>
      <c r="BV89" s="140"/>
      <c r="CJ89" s="155"/>
      <c r="CQ89" s="155"/>
    </row>
    <row r="90" spans="12:99" ht="14.25" customHeight="1" x14ac:dyDescent="0.2">
      <c r="AT90" s="139"/>
      <c r="BA90" s="140"/>
      <c r="CJ90" s="155"/>
      <c r="CQ90" s="155"/>
    </row>
    <row r="91" spans="12:99" ht="14.25" customHeight="1" x14ac:dyDescent="0.2">
      <c r="AT91" s="139"/>
      <c r="CJ91" s="140"/>
      <c r="CQ91" s="140"/>
    </row>
    <row r="92" spans="12:99" ht="14.25" customHeight="1" x14ac:dyDescent="0.2">
      <c r="AT92" s="139"/>
      <c r="BA92" s="139"/>
    </row>
    <row r="93" spans="12:99" ht="14.25" customHeight="1" x14ac:dyDescent="0.2">
      <c r="AT93" s="139"/>
      <c r="BA93" s="139"/>
    </row>
    <row r="94" spans="12:99" ht="14.25" customHeight="1" x14ac:dyDescent="0.2">
      <c r="AT94" s="140"/>
      <c r="BA94" s="139"/>
    </row>
    <row r="95" spans="12:99" ht="14.25" customHeight="1" x14ac:dyDescent="0.2">
      <c r="BA95" s="139"/>
      <c r="CU95" s="154"/>
    </row>
    <row r="96" spans="12:99" ht="14.25" customHeight="1" x14ac:dyDescent="0.2">
      <c r="BA96" s="139"/>
    </row>
    <row r="97" spans="53:53" ht="14.25" customHeight="1" x14ac:dyDescent="0.2">
      <c r="BA97" s="139"/>
    </row>
    <row r="98" spans="53:53" ht="14.25" customHeight="1" x14ac:dyDescent="0.2">
      <c r="BA98" s="139"/>
    </row>
    <row r="99" spans="53:53" ht="14.25" customHeight="1" x14ac:dyDescent="0.2">
      <c r="BA99" s="139"/>
    </row>
    <row r="100" spans="53:53" ht="14.25" customHeight="1" x14ac:dyDescent="0.2">
      <c r="BA100" s="139"/>
    </row>
    <row r="101" spans="53:53" ht="14.25" customHeight="1" x14ac:dyDescent="0.2">
      <c r="BA101" s="139"/>
    </row>
    <row r="102" spans="53:53" ht="14.25" customHeight="1" x14ac:dyDescent="0.2">
      <c r="BA102" s="139"/>
    </row>
    <row r="103" spans="53:53" ht="14.25" customHeight="1" x14ac:dyDescent="0.2">
      <c r="BA103" s="139"/>
    </row>
    <row r="104" spans="53:53" ht="14.25" customHeight="1" x14ac:dyDescent="0.2">
      <c r="BA104" s="139"/>
    </row>
    <row r="105" spans="53:53" ht="14.25" customHeight="1" x14ac:dyDescent="0.2">
      <c r="BA105" s="139"/>
    </row>
    <row r="106" spans="53:53" ht="14.25" customHeight="1" x14ac:dyDescent="0.2">
      <c r="BA106" s="139"/>
    </row>
    <row r="107" spans="53:53" ht="14.25" customHeight="1" x14ac:dyDescent="0.2">
      <c r="BA107" s="139"/>
    </row>
    <row r="108" spans="53:53" ht="14.25" customHeight="1" x14ac:dyDescent="0.2">
      <c r="BA108" s="139"/>
    </row>
    <row r="109" spans="53:53" ht="14.25" customHeight="1" x14ac:dyDescent="0.2">
      <c r="BA109" s="139"/>
    </row>
    <row r="110" spans="53:53" ht="14.25" customHeight="1" x14ac:dyDescent="0.2">
      <c r="BA110" s="139"/>
    </row>
    <row r="111" spans="53:53" ht="14.25" customHeight="1" x14ac:dyDescent="0.2">
      <c r="BA111" s="139"/>
    </row>
    <row r="112" spans="53:53" ht="14.25" customHeight="1" x14ac:dyDescent="0.2">
      <c r="BA112" s="139"/>
    </row>
    <row r="113" spans="53:53" ht="14.25" customHeight="1" x14ac:dyDescent="0.2">
      <c r="BA113" s="139"/>
    </row>
    <row r="114" spans="53:53" ht="14.25" customHeight="1" x14ac:dyDescent="0.2"/>
    <row r="115" spans="53:53" ht="14.25" customHeight="1" x14ac:dyDescent="0.2"/>
    <row r="116" spans="53:53" ht="14.25" customHeight="1" x14ac:dyDescent="0.2"/>
    <row r="117" spans="53:53" ht="14.25" customHeight="1" x14ac:dyDescent="0.2"/>
    <row r="118" spans="53:53" ht="14.25" customHeight="1" x14ac:dyDescent="0.2"/>
    <row r="119" spans="53:53" ht="14.25" customHeight="1" x14ac:dyDescent="0.2"/>
    <row r="120" spans="53:53" ht="14.25" customHeight="1" x14ac:dyDescent="0.2"/>
    <row r="121" spans="53:53" ht="14.25" customHeight="1" x14ac:dyDescent="0.2"/>
    <row r="122" spans="53:53" ht="14.25" customHeight="1" x14ac:dyDescent="0.2"/>
    <row r="123" spans="53:53" ht="14.25" customHeight="1" x14ac:dyDescent="0.2"/>
    <row r="124" spans="53:53" ht="14.25" customHeight="1" x14ac:dyDescent="0.2"/>
    <row r="125" spans="53:53" ht="14.25" customHeight="1" x14ac:dyDescent="0.2"/>
    <row r="126" spans="53:53" ht="14.25" customHeight="1" x14ac:dyDescent="0.2"/>
    <row r="127" spans="53:53" ht="14.25" customHeight="1" x14ac:dyDescent="0.2"/>
    <row r="128" spans="53:53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spans="99:99" ht="14.25" customHeight="1" x14ac:dyDescent="0.2"/>
    <row r="194" spans="99:99" ht="14.25" customHeight="1" x14ac:dyDescent="0.2"/>
    <row r="195" spans="99:99" ht="14.25" customHeight="1" x14ac:dyDescent="0.2"/>
    <row r="196" spans="99:99" ht="14.25" customHeight="1" x14ac:dyDescent="0.2"/>
    <row r="197" spans="99:99" ht="14.25" customHeight="1" x14ac:dyDescent="0.2"/>
    <row r="198" spans="99:99" ht="14.25" customHeight="1" x14ac:dyDescent="0.2"/>
    <row r="199" spans="99:99" ht="14.25" customHeight="1" x14ac:dyDescent="0.2"/>
    <row r="200" spans="99:99" ht="14.25" customHeight="1" x14ac:dyDescent="0.2"/>
    <row r="201" spans="99:99" ht="14.25" customHeight="1" x14ac:dyDescent="0.2"/>
    <row r="202" spans="99:99" ht="14.25" customHeight="1" x14ac:dyDescent="0.2"/>
    <row r="203" spans="99:99" ht="14.25" customHeight="1" x14ac:dyDescent="0.2">
      <c r="CU203" s="154"/>
    </row>
    <row r="204" spans="99:99" ht="14.25" customHeight="1" x14ac:dyDescent="0.2">
      <c r="CU204" s="154"/>
    </row>
    <row r="205" spans="99:99" ht="14.25" customHeight="1" x14ac:dyDescent="0.2">
      <c r="CU205" s="154"/>
    </row>
    <row r="206" spans="99:99" ht="14.25" customHeight="1" x14ac:dyDescent="0.2">
      <c r="CU206" s="154"/>
    </row>
    <row r="207" spans="99:99" ht="14.25" customHeight="1" x14ac:dyDescent="0.2">
      <c r="CU207" s="154"/>
    </row>
    <row r="208" spans="99:99" ht="14.25" customHeight="1" x14ac:dyDescent="0.2">
      <c r="CU208" s="154"/>
    </row>
    <row r="209" spans="99:99" ht="14.25" customHeight="1" x14ac:dyDescent="0.2">
      <c r="CU209" s="154"/>
    </row>
    <row r="210" spans="99:99" ht="14.25" customHeight="1" x14ac:dyDescent="0.2">
      <c r="CU210" s="154"/>
    </row>
    <row r="211" spans="99:99" ht="14.25" customHeight="1" x14ac:dyDescent="0.2">
      <c r="CU211" s="154"/>
    </row>
    <row r="212" spans="99:99" ht="14.25" customHeight="1" x14ac:dyDescent="0.2">
      <c r="CU212" s="154"/>
    </row>
    <row r="213" spans="99:99" ht="14.25" customHeight="1" x14ac:dyDescent="0.2">
      <c r="CU213" s="154"/>
    </row>
    <row r="214" spans="99:99" ht="14.25" customHeight="1" x14ac:dyDescent="0.2">
      <c r="CU214" s="154"/>
    </row>
    <row r="215" spans="99:99" ht="14.25" customHeight="1" x14ac:dyDescent="0.2">
      <c r="CU215" s="154"/>
    </row>
    <row r="216" spans="99:99" ht="14.25" customHeight="1" x14ac:dyDescent="0.2">
      <c r="CU216" s="154"/>
    </row>
    <row r="217" spans="99:99" ht="14.25" customHeight="1" x14ac:dyDescent="0.2">
      <c r="CU217" s="154"/>
    </row>
    <row r="218" spans="99:99" ht="14.25" customHeight="1" x14ac:dyDescent="0.2">
      <c r="CU218" s="154"/>
    </row>
    <row r="219" spans="99:99" ht="14.25" customHeight="1" x14ac:dyDescent="0.2">
      <c r="CU219" s="154"/>
    </row>
    <row r="220" spans="99:99" ht="14.25" customHeight="1" x14ac:dyDescent="0.2">
      <c r="CU220" s="154"/>
    </row>
    <row r="221" spans="99:99" ht="14.25" customHeight="1" x14ac:dyDescent="0.2">
      <c r="CU221" s="154"/>
    </row>
    <row r="222" spans="99:99" ht="14.25" customHeight="1" x14ac:dyDescent="0.2">
      <c r="CU222" s="154"/>
    </row>
    <row r="223" spans="99:99" ht="14.25" customHeight="1" x14ac:dyDescent="0.2">
      <c r="CU223" s="154"/>
    </row>
    <row r="224" spans="99:99" ht="14.25" customHeight="1" x14ac:dyDescent="0.2">
      <c r="CU224" s="154"/>
    </row>
    <row r="225" spans="99:99" ht="14.25" customHeight="1" x14ac:dyDescent="0.2">
      <c r="CU225" s="154"/>
    </row>
    <row r="226" spans="99:99" ht="14.25" customHeight="1" x14ac:dyDescent="0.2">
      <c r="CU226" s="154"/>
    </row>
    <row r="227" spans="99:99" ht="14.25" customHeight="1" x14ac:dyDescent="0.2">
      <c r="CU227" s="154"/>
    </row>
    <row r="228" spans="99:99" ht="14.25" customHeight="1" x14ac:dyDescent="0.2">
      <c r="CU228" s="154"/>
    </row>
    <row r="229" spans="99:99" ht="14.25" customHeight="1" x14ac:dyDescent="0.2">
      <c r="CU229" s="154"/>
    </row>
    <row r="230" spans="99:99" ht="14.25" customHeight="1" x14ac:dyDescent="0.2">
      <c r="CU230" s="154"/>
    </row>
    <row r="231" spans="99:99" ht="14.25" customHeight="1" x14ac:dyDescent="0.2">
      <c r="CU231" s="154"/>
    </row>
    <row r="232" spans="99:99" ht="14.25" customHeight="1" x14ac:dyDescent="0.2">
      <c r="CU232" s="154"/>
    </row>
    <row r="233" spans="99:99" ht="14.25" customHeight="1" x14ac:dyDescent="0.2">
      <c r="CU233" s="154"/>
    </row>
    <row r="234" spans="99:99" ht="14.25" customHeight="1" x14ac:dyDescent="0.2">
      <c r="CU234" s="154"/>
    </row>
    <row r="235" spans="99:99" ht="14.25" customHeight="1" x14ac:dyDescent="0.2">
      <c r="CU235" s="154"/>
    </row>
    <row r="236" spans="99:99" ht="14.25" customHeight="1" x14ac:dyDescent="0.2">
      <c r="CU236" s="154"/>
    </row>
    <row r="237" spans="99:99" ht="14.25" customHeight="1" x14ac:dyDescent="0.2">
      <c r="CU237" s="154"/>
    </row>
    <row r="238" spans="99:99" ht="14.25" customHeight="1" x14ac:dyDescent="0.2">
      <c r="CU238" s="154"/>
    </row>
    <row r="239" spans="99:99" ht="14.25" customHeight="1" x14ac:dyDescent="0.2">
      <c r="CU239" s="154"/>
    </row>
    <row r="240" spans="99:99" ht="14.25" customHeight="1" x14ac:dyDescent="0.2">
      <c r="CU240" s="154"/>
    </row>
    <row r="241" spans="99:99" ht="14.25" customHeight="1" x14ac:dyDescent="0.2">
      <c r="CU241" s="154"/>
    </row>
    <row r="242" spans="99:99" ht="14.25" customHeight="1" x14ac:dyDescent="0.2">
      <c r="CU242" s="154"/>
    </row>
    <row r="243" spans="99:99" ht="14.25" customHeight="1" x14ac:dyDescent="0.2">
      <c r="CU243" s="154"/>
    </row>
    <row r="244" spans="99:99" ht="14.25" customHeight="1" x14ac:dyDescent="0.2">
      <c r="CU244" s="154"/>
    </row>
    <row r="245" spans="99:99" ht="14.25" customHeight="1" x14ac:dyDescent="0.2">
      <c r="CU245" s="154"/>
    </row>
    <row r="246" spans="99:99" ht="14.25" customHeight="1" x14ac:dyDescent="0.2">
      <c r="CU246" s="154"/>
    </row>
    <row r="247" spans="99:99" ht="14.25" customHeight="1" x14ac:dyDescent="0.2">
      <c r="CU247" s="154"/>
    </row>
    <row r="248" spans="99:99" ht="14.25" customHeight="1" x14ac:dyDescent="0.2">
      <c r="CU248" s="154"/>
    </row>
    <row r="249" spans="99:99" ht="14.25" customHeight="1" x14ac:dyDescent="0.2">
      <c r="CU249" s="154"/>
    </row>
    <row r="250" spans="99:99" ht="14.25" customHeight="1" x14ac:dyDescent="0.2">
      <c r="CU250" s="154"/>
    </row>
    <row r="251" spans="99:99" ht="14.25" customHeight="1" x14ac:dyDescent="0.2">
      <c r="CU251" s="154"/>
    </row>
    <row r="252" spans="99:99" ht="14.25" customHeight="1" x14ac:dyDescent="0.2">
      <c r="CU252" s="154"/>
    </row>
    <row r="253" spans="99:99" ht="14.25" customHeight="1" x14ac:dyDescent="0.2">
      <c r="CU253" s="154"/>
    </row>
    <row r="254" spans="99:99" ht="14.25" customHeight="1" x14ac:dyDescent="0.2">
      <c r="CU254" s="154"/>
    </row>
    <row r="255" spans="99:99" ht="14.25" customHeight="1" x14ac:dyDescent="0.2">
      <c r="CU255" s="154"/>
    </row>
    <row r="256" spans="99:99" ht="14.25" customHeight="1" x14ac:dyDescent="0.2">
      <c r="CU256" s="154"/>
    </row>
    <row r="257" spans="99:99" ht="14.25" customHeight="1" x14ac:dyDescent="0.2">
      <c r="CU257" s="154"/>
    </row>
    <row r="258" spans="99:99" ht="14.25" customHeight="1" x14ac:dyDescent="0.2">
      <c r="CU258" s="154"/>
    </row>
    <row r="259" spans="99:99" ht="14.25" customHeight="1" x14ac:dyDescent="0.2">
      <c r="CU259" s="154"/>
    </row>
    <row r="260" spans="99:99" ht="14.25" customHeight="1" x14ac:dyDescent="0.2">
      <c r="CU260" s="154"/>
    </row>
    <row r="261" spans="99:99" ht="14.25" customHeight="1" x14ac:dyDescent="0.2">
      <c r="CU261" s="154"/>
    </row>
    <row r="262" spans="99:99" ht="14.25" customHeight="1" x14ac:dyDescent="0.2">
      <c r="CU262" s="154"/>
    </row>
    <row r="263" spans="99:99" ht="14.25" customHeight="1" x14ac:dyDescent="0.2">
      <c r="CU263" s="154"/>
    </row>
    <row r="264" spans="99:99" ht="14.25" customHeight="1" x14ac:dyDescent="0.2">
      <c r="CU264" s="154"/>
    </row>
    <row r="265" spans="99:99" ht="14.25" customHeight="1" x14ac:dyDescent="0.2">
      <c r="CU265" s="154"/>
    </row>
    <row r="266" spans="99:99" ht="14.25" customHeight="1" x14ac:dyDescent="0.2">
      <c r="CU266" s="154"/>
    </row>
    <row r="267" spans="99:99" ht="14.25" customHeight="1" x14ac:dyDescent="0.2">
      <c r="CU267" s="154"/>
    </row>
    <row r="268" spans="99:99" ht="14.25" customHeight="1" x14ac:dyDescent="0.2">
      <c r="CU268" s="154"/>
    </row>
    <row r="269" spans="99:99" ht="14.25" customHeight="1" x14ac:dyDescent="0.2">
      <c r="CU269" s="154"/>
    </row>
    <row r="270" spans="99:99" ht="14.25" customHeight="1" x14ac:dyDescent="0.2">
      <c r="CU270" s="154"/>
    </row>
    <row r="271" spans="99:99" ht="14.25" customHeight="1" x14ac:dyDescent="0.2">
      <c r="CU271" s="154"/>
    </row>
    <row r="272" spans="99:99" ht="14.25" customHeight="1" x14ac:dyDescent="0.2">
      <c r="CU272" s="154"/>
    </row>
    <row r="273" spans="99:99" ht="14.25" customHeight="1" x14ac:dyDescent="0.2">
      <c r="CU273" s="154"/>
    </row>
    <row r="274" spans="99:99" ht="14.25" customHeight="1" x14ac:dyDescent="0.2">
      <c r="CU274" s="154"/>
    </row>
    <row r="275" spans="99:99" ht="14.25" customHeight="1" x14ac:dyDescent="0.2">
      <c r="CU275" s="154"/>
    </row>
    <row r="276" spans="99:99" ht="14.25" customHeight="1" x14ac:dyDescent="0.2">
      <c r="CU276" s="154"/>
    </row>
    <row r="277" spans="99:99" ht="14.25" customHeight="1" x14ac:dyDescent="0.2">
      <c r="CU277" s="154"/>
    </row>
    <row r="278" spans="99:99" ht="14.25" customHeight="1" x14ac:dyDescent="0.2">
      <c r="CU278" s="154"/>
    </row>
    <row r="279" spans="99:99" ht="14.25" customHeight="1" x14ac:dyDescent="0.2">
      <c r="CU279" s="154"/>
    </row>
    <row r="280" spans="99:99" ht="14.25" customHeight="1" x14ac:dyDescent="0.2">
      <c r="CU280" s="154"/>
    </row>
    <row r="281" spans="99:99" ht="14.25" customHeight="1" x14ac:dyDescent="0.2">
      <c r="CU281" s="154"/>
    </row>
    <row r="282" spans="99:99" ht="14.25" customHeight="1" x14ac:dyDescent="0.2">
      <c r="CU282" s="154"/>
    </row>
    <row r="283" spans="99:99" ht="14.25" customHeight="1" x14ac:dyDescent="0.2">
      <c r="CU283" s="154"/>
    </row>
    <row r="284" spans="99:99" ht="14.25" customHeight="1" x14ac:dyDescent="0.2">
      <c r="CU284" s="154"/>
    </row>
    <row r="285" spans="99:99" ht="14.25" customHeight="1" x14ac:dyDescent="0.2">
      <c r="CU285" s="154"/>
    </row>
    <row r="286" spans="99:99" ht="14.25" customHeight="1" x14ac:dyDescent="0.2">
      <c r="CU286" s="154"/>
    </row>
    <row r="287" spans="99:99" ht="14.25" customHeight="1" x14ac:dyDescent="0.2">
      <c r="CU287" s="154"/>
    </row>
    <row r="288" spans="99:99" ht="14.25" customHeight="1" x14ac:dyDescent="0.2">
      <c r="CU288" s="154"/>
    </row>
    <row r="289" spans="99:99" ht="14.25" customHeight="1" x14ac:dyDescent="0.2">
      <c r="CU289" s="154"/>
    </row>
    <row r="290" spans="99:99" ht="14.25" customHeight="1" x14ac:dyDescent="0.2">
      <c r="CU290" s="154"/>
    </row>
    <row r="291" spans="99:99" ht="14.25" customHeight="1" x14ac:dyDescent="0.2">
      <c r="CU291" s="154"/>
    </row>
    <row r="292" spans="99:99" ht="14.25" customHeight="1" x14ac:dyDescent="0.2">
      <c r="CU292" s="154"/>
    </row>
    <row r="293" spans="99:99" ht="14.25" customHeight="1" x14ac:dyDescent="0.2">
      <c r="CU293" s="154"/>
    </row>
    <row r="294" spans="99:99" ht="14.25" customHeight="1" x14ac:dyDescent="0.2">
      <c r="CU294" s="154"/>
    </row>
    <row r="295" spans="99:99" ht="14.25" customHeight="1" x14ac:dyDescent="0.2">
      <c r="CU295" s="154"/>
    </row>
    <row r="296" spans="99:99" ht="14.25" customHeight="1" x14ac:dyDescent="0.2">
      <c r="CU296" s="154"/>
    </row>
    <row r="297" spans="99:99" ht="14.25" customHeight="1" x14ac:dyDescent="0.2">
      <c r="CU297" s="154"/>
    </row>
    <row r="298" spans="99:99" ht="14.25" customHeight="1" x14ac:dyDescent="0.2">
      <c r="CU298" s="154"/>
    </row>
    <row r="299" spans="99:99" ht="14.25" customHeight="1" x14ac:dyDescent="0.2">
      <c r="CU299" s="154"/>
    </row>
    <row r="300" spans="99:99" ht="14.25" customHeight="1" x14ac:dyDescent="0.2">
      <c r="CU300" s="154"/>
    </row>
    <row r="301" spans="99:99" ht="14.25" customHeight="1" x14ac:dyDescent="0.2">
      <c r="CU301" s="154"/>
    </row>
    <row r="302" spans="99:99" ht="14.25" customHeight="1" x14ac:dyDescent="0.2">
      <c r="CU302" s="154"/>
    </row>
    <row r="303" spans="99:99" ht="14.25" customHeight="1" x14ac:dyDescent="0.2">
      <c r="CU303" s="154"/>
    </row>
    <row r="304" spans="99:99" ht="14.25" customHeight="1" x14ac:dyDescent="0.2">
      <c r="CU304" s="154"/>
    </row>
    <row r="305" spans="99:99" ht="14.25" customHeight="1" x14ac:dyDescent="0.2">
      <c r="CU305" s="154"/>
    </row>
    <row r="306" spans="99:99" ht="14.25" customHeight="1" x14ac:dyDescent="0.2">
      <c r="CU306" s="154"/>
    </row>
    <row r="307" spans="99:99" ht="14.25" customHeight="1" x14ac:dyDescent="0.2">
      <c r="CU307" s="154"/>
    </row>
    <row r="308" spans="99:99" ht="14.25" customHeight="1" x14ac:dyDescent="0.2">
      <c r="CU308" s="154"/>
    </row>
    <row r="309" spans="99:99" ht="14.25" customHeight="1" x14ac:dyDescent="0.2">
      <c r="CU309" s="154"/>
    </row>
    <row r="310" spans="99:99" ht="14.25" customHeight="1" x14ac:dyDescent="0.2">
      <c r="CU310" s="154"/>
    </row>
    <row r="311" spans="99:99" ht="14.25" customHeight="1" x14ac:dyDescent="0.2">
      <c r="CU311" s="154"/>
    </row>
    <row r="312" spans="99:99" ht="14.25" customHeight="1" x14ac:dyDescent="0.2">
      <c r="CU312" s="154"/>
    </row>
    <row r="313" spans="99:99" ht="14.25" customHeight="1" x14ac:dyDescent="0.2">
      <c r="CU313" s="154"/>
    </row>
    <row r="314" spans="99:99" ht="14.25" customHeight="1" x14ac:dyDescent="0.2">
      <c r="CU314" s="154"/>
    </row>
    <row r="315" spans="99:99" ht="14.25" customHeight="1" x14ac:dyDescent="0.2">
      <c r="CU315" s="154"/>
    </row>
    <row r="316" spans="99:99" ht="14.25" customHeight="1" x14ac:dyDescent="0.2">
      <c r="CU316" s="154"/>
    </row>
    <row r="317" spans="99:99" ht="14.25" customHeight="1" x14ac:dyDescent="0.2">
      <c r="CU317" s="154"/>
    </row>
    <row r="318" spans="99:99" ht="14.25" customHeight="1" x14ac:dyDescent="0.2">
      <c r="CU318" s="154"/>
    </row>
    <row r="319" spans="99:99" ht="14.25" customHeight="1" x14ac:dyDescent="0.2">
      <c r="CU319" s="154"/>
    </row>
    <row r="320" spans="99:99" ht="14.25" customHeight="1" x14ac:dyDescent="0.2">
      <c r="CU320" s="154"/>
    </row>
    <row r="321" spans="99:99" ht="14.25" customHeight="1" x14ac:dyDescent="0.2">
      <c r="CU321" s="154"/>
    </row>
    <row r="322" spans="99:99" ht="14.25" customHeight="1" x14ac:dyDescent="0.2">
      <c r="CU322" s="154"/>
    </row>
    <row r="323" spans="99:99" ht="14.25" customHeight="1" x14ac:dyDescent="0.2">
      <c r="CU323" s="154"/>
    </row>
    <row r="324" spans="99:99" ht="14.25" customHeight="1" x14ac:dyDescent="0.2">
      <c r="CU324" s="154"/>
    </row>
    <row r="325" spans="99:99" ht="14.25" customHeight="1" x14ac:dyDescent="0.2">
      <c r="CU325" s="154"/>
    </row>
    <row r="326" spans="99:99" ht="14.25" customHeight="1" x14ac:dyDescent="0.2">
      <c r="CU326" s="154"/>
    </row>
    <row r="327" spans="99:99" ht="14.25" customHeight="1" x14ac:dyDescent="0.2">
      <c r="CU327" s="154"/>
    </row>
    <row r="328" spans="99:99" ht="14.25" customHeight="1" x14ac:dyDescent="0.2">
      <c r="CU328" s="154"/>
    </row>
    <row r="329" spans="99:99" ht="14.25" customHeight="1" x14ac:dyDescent="0.2">
      <c r="CU329" s="154"/>
    </row>
    <row r="330" spans="99:99" ht="14.25" customHeight="1" x14ac:dyDescent="0.2">
      <c r="CU330" s="154"/>
    </row>
    <row r="331" spans="99:99" ht="14.25" customHeight="1" x14ac:dyDescent="0.2">
      <c r="CU331" s="154"/>
    </row>
    <row r="332" spans="99:99" ht="14.25" customHeight="1" x14ac:dyDescent="0.2">
      <c r="CU332" s="154"/>
    </row>
    <row r="333" spans="99:99" ht="14.25" customHeight="1" x14ac:dyDescent="0.2">
      <c r="CU333" s="154"/>
    </row>
    <row r="334" spans="99:99" ht="14.25" customHeight="1" x14ac:dyDescent="0.2">
      <c r="CU334" s="154"/>
    </row>
    <row r="335" spans="99:99" ht="14.25" customHeight="1" x14ac:dyDescent="0.2">
      <c r="CU335" s="154"/>
    </row>
    <row r="336" spans="99:99" ht="14.25" customHeight="1" x14ac:dyDescent="0.2">
      <c r="CU336" s="154"/>
    </row>
    <row r="337" spans="99:99" ht="14.25" customHeight="1" x14ac:dyDescent="0.2">
      <c r="CU337" s="154"/>
    </row>
    <row r="338" spans="99:99" ht="14.25" customHeight="1" x14ac:dyDescent="0.2">
      <c r="CU338" s="154"/>
    </row>
    <row r="339" spans="99:99" ht="14.25" customHeight="1" x14ac:dyDescent="0.2">
      <c r="CU339" s="154"/>
    </row>
    <row r="340" spans="99:99" ht="14.25" customHeight="1" x14ac:dyDescent="0.2">
      <c r="CU340" s="154"/>
    </row>
    <row r="341" spans="99:99" ht="14.25" customHeight="1" x14ac:dyDescent="0.2">
      <c r="CU341" s="154"/>
    </row>
    <row r="342" spans="99:99" ht="14.25" customHeight="1" x14ac:dyDescent="0.2">
      <c r="CU342" s="154"/>
    </row>
    <row r="343" spans="99:99" ht="14.25" customHeight="1" x14ac:dyDescent="0.2">
      <c r="CU343" s="154"/>
    </row>
    <row r="344" spans="99:99" ht="14.25" customHeight="1" x14ac:dyDescent="0.2">
      <c r="CU344" s="154"/>
    </row>
    <row r="345" spans="99:99" ht="14.25" customHeight="1" x14ac:dyDescent="0.2">
      <c r="CU345" s="154"/>
    </row>
    <row r="346" spans="99:99" ht="14.25" customHeight="1" x14ac:dyDescent="0.2">
      <c r="CU346" s="154"/>
    </row>
    <row r="347" spans="99:99" ht="14.25" customHeight="1" x14ac:dyDescent="0.2">
      <c r="CU347" s="154"/>
    </row>
    <row r="348" spans="99:99" ht="14.25" customHeight="1" x14ac:dyDescent="0.2">
      <c r="CU348" s="154"/>
    </row>
    <row r="349" spans="99:99" ht="14.25" customHeight="1" x14ac:dyDescent="0.2">
      <c r="CU349" s="154"/>
    </row>
    <row r="350" spans="99:99" ht="14.25" customHeight="1" x14ac:dyDescent="0.2">
      <c r="CU350" s="154"/>
    </row>
    <row r="351" spans="99:99" ht="14.25" customHeight="1" x14ac:dyDescent="0.2">
      <c r="CU351" s="154"/>
    </row>
    <row r="352" spans="99:99" ht="14.25" customHeight="1" x14ac:dyDescent="0.2">
      <c r="CU352" s="154"/>
    </row>
    <row r="353" spans="99:99" ht="14.25" customHeight="1" x14ac:dyDescent="0.2">
      <c r="CU353" s="154"/>
    </row>
    <row r="354" spans="99:99" ht="14.25" customHeight="1" x14ac:dyDescent="0.2">
      <c r="CU354" s="154"/>
    </row>
    <row r="355" spans="99:99" ht="14.25" customHeight="1" x14ac:dyDescent="0.2">
      <c r="CU355" s="154"/>
    </row>
    <row r="356" spans="99:99" ht="14.25" customHeight="1" x14ac:dyDescent="0.2">
      <c r="CU356" s="154"/>
    </row>
    <row r="357" spans="99:99" ht="14.25" customHeight="1" x14ac:dyDescent="0.2">
      <c r="CU357" s="154"/>
    </row>
    <row r="358" spans="99:99" ht="14.25" customHeight="1" x14ac:dyDescent="0.2">
      <c r="CU358" s="154"/>
    </row>
    <row r="359" spans="99:99" ht="14.25" customHeight="1" x14ac:dyDescent="0.2">
      <c r="CU359" s="154"/>
    </row>
    <row r="360" spans="99:99" ht="14.25" customHeight="1" x14ac:dyDescent="0.2">
      <c r="CU360" s="154"/>
    </row>
    <row r="361" spans="99:99" ht="14.25" customHeight="1" x14ac:dyDescent="0.2">
      <c r="CU361" s="154"/>
    </row>
    <row r="362" spans="99:99" ht="14.25" customHeight="1" x14ac:dyDescent="0.2">
      <c r="CU362" s="154"/>
    </row>
    <row r="363" spans="99:99" ht="14.25" customHeight="1" x14ac:dyDescent="0.2">
      <c r="CU363" s="154"/>
    </row>
    <row r="364" spans="99:99" ht="14.25" customHeight="1" x14ac:dyDescent="0.2">
      <c r="CU364" s="154"/>
    </row>
    <row r="365" spans="99:99" ht="14.25" customHeight="1" x14ac:dyDescent="0.2">
      <c r="CU365" s="154"/>
    </row>
    <row r="366" spans="99:99" ht="14.25" customHeight="1" x14ac:dyDescent="0.2">
      <c r="CU366" s="154"/>
    </row>
    <row r="367" spans="99:99" ht="14.25" customHeight="1" x14ac:dyDescent="0.2">
      <c r="CU367" s="154"/>
    </row>
    <row r="368" spans="99:99" ht="14.25" customHeight="1" x14ac:dyDescent="0.2">
      <c r="CU368" s="154"/>
    </row>
    <row r="369" spans="99:99" ht="14.25" customHeight="1" x14ac:dyDescent="0.2">
      <c r="CU369" s="154"/>
    </row>
    <row r="370" spans="99:99" ht="14.25" customHeight="1" x14ac:dyDescent="0.2">
      <c r="CU370" s="154"/>
    </row>
    <row r="371" spans="99:99" ht="14.25" customHeight="1" x14ac:dyDescent="0.2">
      <c r="CU371" s="154"/>
    </row>
    <row r="372" spans="99:99" ht="14.25" customHeight="1" x14ac:dyDescent="0.2">
      <c r="CU372" s="154"/>
    </row>
    <row r="373" spans="99:99" ht="14.25" customHeight="1" x14ac:dyDescent="0.2">
      <c r="CU373" s="154"/>
    </row>
    <row r="374" spans="99:99" ht="14.25" customHeight="1" x14ac:dyDescent="0.2">
      <c r="CU374" s="154"/>
    </row>
    <row r="375" spans="99:99" ht="14.25" customHeight="1" x14ac:dyDescent="0.2">
      <c r="CU375" s="154"/>
    </row>
    <row r="376" spans="99:99" ht="14.25" customHeight="1" x14ac:dyDescent="0.2">
      <c r="CU376" s="154"/>
    </row>
    <row r="377" spans="99:99" ht="14.25" customHeight="1" x14ac:dyDescent="0.2">
      <c r="CU377" s="154"/>
    </row>
    <row r="378" spans="99:99" ht="14.25" customHeight="1" x14ac:dyDescent="0.2">
      <c r="CU378" s="154"/>
    </row>
    <row r="379" spans="99:99" ht="14.25" customHeight="1" x14ac:dyDescent="0.2">
      <c r="CU379" s="154"/>
    </row>
    <row r="380" spans="99:99" ht="14.25" customHeight="1" x14ac:dyDescent="0.2">
      <c r="CU380" s="154"/>
    </row>
    <row r="381" spans="99:99" ht="14.25" customHeight="1" x14ac:dyDescent="0.2">
      <c r="CU381" s="154"/>
    </row>
    <row r="382" spans="99:99" ht="14.25" customHeight="1" x14ac:dyDescent="0.2">
      <c r="CU382" s="154"/>
    </row>
    <row r="383" spans="99:99" ht="14.25" customHeight="1" x14ac:dyDescent="0.2">
      <c r="CU383" s="154"/>
    </row>
    <row r="384" spans="99:99" ht="14.25" customHeight="1" x14ac:dyDescent="0.2">
      <c r="CU384" s="154"/>
    </row>
    <row r="385" spans="99:99" ht="14.25" customHeight="1" x14ac:dyDescent="0.2">
      <c r="CU385" s="154"/>
    </row>
    <row r="386" spans="99:99" ht="14.25" customHeight="1" x14ac:dyDescent="0.2">
      <c r="CU386" s="154"/>
    </row>
    <row r="387" spans="99:99" ht="14.25" customHeight="1" x14ac:dyDescent="0.2">
      <c r="CU387" s="154"/>
    </row>
    <row r="388" spans="99:99" ht="14.25" customHeight="1" x14ac:dyDescent="0.2">
      <c r="CU388" s="154"/>
    </row>
    <row r="389" spans="99:99" ht="14.25" customHeight="1" x14ac:dyDescent="0.2">
      <c r="CU389" s="154"/>
    </row>
    <row r="390" spans="99:99" ht="14.25" customHeight="1" x14ac:dyDescent="0.2">
      <c r="CU390" s="154"/>
    </row>
    <row r="391" spans="99:99" ht="14.25" customHeight="1" x14ac:dyDescent="0.2">
      <c r="CU391" s="154"/>
    </row>
    <row r="392" spans="99:99" ht="14.25" customHeight="1" x14ac:dyDescent="0.2">
      <c r="CU392" s="154"/>
    </row>
    <row r="393" spans="99:99" ht="14.25" customHeight="1" x14ac:dyDescent="0.2">
      <c r="CU393" s="154"/>
    </row>
    <row r="394" spans="99:99" ht="14.25" customHeight="1" x14ac:dyDescent="0.2">
      <c r="CU394" s="154"/>
    </row>
    <row r="395" spans="99:99" ht="14.25" customHeight="1" x14ac:dyDescent="0.2">
      <c r="CU395" s="154"/>
    </row>
    <row r="396" spans="99:99" ht="14.25" customHeight="1" x14ac:dyDescent="0.2">
      <c r="CU396" s="154"/>
    </row>
    <row r="397" spans="99:99" ht="14.25" customHeight="1" x14ac:dyDescent="0.2">
      <c r="CU397" s="154"/>
    </row>
    <row r="398" spans="99:99" ht="14.25" customHeight="1" x14ac:dyDescent="0.2">
      <c r="CU398" s="154"/>
    </row>
    <row r="399" spans="99:99" ht="14.25" customHeight="1" x14ac:dyDescent="0.2">
      <c r="CU399" s="154"/>
    </row>
    <row r="400" spans="99:99" ht="14.25" customHeight="1" x14ac:dyDescent="0.2">
      <c r="CU400" s="154"/>
    </row>
    <row r="401" spans="99:99" ht="14.25" customHeight="1" x14ac:dyDescent="0.2">
      <c r="CU401" s="154"/>
    </row>
    <row r="402" spans="99:99" ht="14.25" customHeight="1" x14ac:dyDescent="0.2">
      <c r="CU402" s="154"/>
    </row>
    <row r="403" spans="99:99" ht="14.25" customHeight="1" x14ac:dyDescent="0.2">
      <c r="CU403" s="154"/>
    </row>
    <row r="404" spans="99:99" ht="14.25" customHeight="1" x14ac:dyDescent="0.2">
      <c r="CU404" s="154"/>
    </row>
    <row r="405" spans="99:99" ht="14.25" customHeight="1" x14ac:dyDescent="0.2">
      <c r="CU405" s="154"/>
    </row>
    <row r="406" spans="99:99" ht="14.25" customHeight="1" x14ac:dyDescent="0.2">
      <c r="CU406" s="154"/>
    </row>
    <row r="407" spans="99:99" ht="14.25" customHeight="1" x14ac:dyDescent="0.2">
      <c r="CU407" s="154"/>
    </row>
    <row r="408" spans="99:99" ht="14.25" customHeight="1" x14ac:dyDescent="0.2">
      <c r="CU408" s="154"/>
    </row>
    <row r="409" spans="99:99" ht="14.25" customHeight="1" x14ac:dyDescent="0.2">
      <c r="CU409" s="154"/>
    </row>
    <row r="410" spans="99:99" ht="14.25" customHeight="1" x14ac:dyDescent="0.2">
      <c r="CU410" s="154"/>
    </row>
    <row r="411" spans="99:99" ht="14.25" customHeight="1" x14ac:dyDescent="0.2">
      <c r="CU411" s="154"/>
    </row>
    <row r="412" spans="99:99" ht="14.25" customHeight="1" x14ac:dyDescent="0.2">
      <c r="CU412" s="154"/>
    </row>
    <row r="413" spans="99:99" ht="14.25" customHeight="1" x14ac:dyDescent="0.2">
      <c r="CU413" s="154"/>
    </row>
    <row r="414" spans="99:99" ht="14.25" customHeight="1" x14ac:dyDescent="0.2">
      <c r="CU414" s="154"/>
    </row>
    <row r="415" spans="99:99" ht="14.25" customHeight="1" x14ac:dyDescent="0.2">
      <c r="CU415" s="154"/>
    </row>
    <row r="416" spans="99:99" ht="14.25" customHeight="1" x14ac:dyDescent="0.2">
      <c r="CU416" s="154"/>
    </row>
    <row r="417" spans="99:99" ht="14.25" customHeight="1" x14ac:dyDescent="0.2">
      <c r="CU417" s="154"/>
    </row>
    <row r="418" spans="99:99" ht="14.25" customHeight="1" x14ac:dyDescent="0.2">
      <c r="CU418" s="154"/>
    </row>
    <row r="419" spans="99:99" ht="14.25" customHeight="1" x14ac:dyDescent="0.2">
      <c r="CU419" s="154"/>
    </row>
    <row r="420" spans="99:99" ht="14.25" customHeight="1" x14ac:dyDescent="0.2">
      <c r="CU420" s="154"/>
    </row>
    <row r="421" spans="99:99" ht="14.25" customHeight="1" x14ac:dyDescent="0.2">
      <c r="CU421" s="154"/>
    </row>
    <row r="422" spans="99:99" ht="14.25" customHeight="1" x14ac:dyDescent="0.2">
      <c r="CU422" s="154"/>
    </row>
    <row r="423" spans="99:99" ht="14.25" customHeight="1" x14ac:dyDescent="0.2">
      <c r="CU423" s="154"/>
    </row>
    <row r="424" spans="99:99" ht="14.25" customHeight="1" x14ac:dyDescent="0.2">
      <c r="CU424" s="154"/>
    </row>
    <row r="425" spans="99:99" ht="14.25" customHeight="1" x14ac:dyDescent="0.2">
      <c r="CU425" s="154"/>
    </row>
    <row r="426" spans="99:99" ht="14.25" customHeight="1" x14ac:dyDescent="0.2">
      <c r="CU426" s="154"/>
    </row>
    <row r="427" spans="99:99" ht="14.25" customHeight="1" x14ac:dyDescent="0.2">
      <c r="CU427" s="154"/>
    </row>
    <row r="428" spans="99:99" ht="14.25" customHeight="1" x14ac:dyDescent="0.2">
      <c r="CU428" s="154"/>
    </row>
    <row r="429" spans="99:99" ht="14.25" customHeight="1" x14ac:dyDescent="0.2">
      <c r="CU429" s="154"/>
    </row>
    <row r="430" spans="99:99" ht="14.25" customHeight="1" x14ac:dyDescent="0.2">
      <c r="CU430" s="154"/>
    </row>
    <row r="431" spans="99:99" ht="14.25" customHeight="1" x14ac:dyDescent="0.2">
      <c r="CU431" s="154"/>
    </row>
    <row r="432" spans="99:99" ht="14.25" customHeight="1" x14ac:dyDescent="0.2">
      <c r="CU432" s="154"/>
    </row>
    <row r="433" spans="99:99" ht="14.25" customHeight="1" x14ac:dyDescent="0.2">
      <c r="CU433" s="154"/>
    </row>
    <row r="434" spans="99:99" ht="14.25" customHeight="1" x14ac:dyDescent="0.2">
      <c r="CU434" s="154"/>
    </row>
    <row r="435" spans="99:99" ht="14.25" customHeight="1" x14ac:dyDescent="0.2">
      <c r="CU435" s="154"/>
    </row>
    <row r="436" spans="99:99" ht="14.25" customHeight="1" x14ac:dyDescent="0.2">
      <c r="CU436" s="154"/>
    </row>
    <row r="437" spans="99:99" ht="14.25" customHeight="1" x14ac:dyDescent="0.2">
      <c r="CU437" s="154"/>
    </row>
    <row r="438" spans="99:99" ht="14.25" customHeight="1" x14ac:dyDescent="0.2">
      <c r="CU438" s="154"/>
    </row>
    <row r="439" spans="99:99" ht="14.25" customHeight="1" x14ac:dyDescent="0.2">
      <c r="CU439" s="154"/>
    </row>
    <row r="440" spans="99:99" ht="14.25" customHeight="1" x14ac:dyDescent="0.2">
      <c r="CU440" s="154"/>
    </row>
    <row r="441" spans="99:99" ht="14.25" customHeight="1" x14ac:dyDescent="0.2">
      <c r="CU441" s="154"/>
    </row>
    <row r="442" spans="99:99" ht="14.25" customHeight="1" x14ac:dyDescent="0.2">
      <c r="CU442" s="154"/>
    </row>
    <row r="443" spans="99:99" ht="14.25" customHeight="1" x14ac:dyDescent="0.2">
      <c r="CU443" s="154"/>
    </row>
    <row r="444" spans="99:99" ht="14.25" customHeight="1" x14ac:dyDescent="0.2">
      <c r="CU444" s="154"/>
    </row>
    <row r="445" spans="99:99" ht="14.25" customHeight="1" x14ac:dyDescent="0.2">
      <c r="CU445" s="154"/>
    </row>
    <row r="446" spans="99:99" ht="14.25" customHeight="1" x14ac:dyDescent="0.2">
      <c r="CU446" s="154"/>
    </row>
    <row r="447" spans="99:99" ht="14.25" customHeight="1" x14ac:dyDescent="0.2">
      <c r="CU447" s="154"/>
    </row>
    <row r="448" spans="99:99" ht="14.25" customHeight="1" x14ac:dyDescent="0.2">
      <c r="CU448" s="154"/>
    </row>
    <row r="449" spans="99:99" ht="14.25" customHeight="1" x14ac:dyDescent="0.2">
      <c r="CU449" s="154"/>
    </row>
    <row r="450" spans="99:99" ht="14.25" customHeight="1" x14ac:dyDescent="0.2">
      <c r="CU450" s="154"/>
    </row>
    <row r="451" spans="99:99" ht="14.25" customHeight="1" x14ac:dyDescent="0.2">
      <c r="CU451" s="154"/>
    </row>
    <row r="452" spans="99:99" ht="14.25" customHeight="1" x14ac:dyDescent="0.2">
      <c r="CU452" s="154"/>
    </row>
    <row r="453" spans="99:99" ht="14.25" customHeight="1" x14ac:dyDescent="0.2">
      <c r="CU453" s="154"/>
    </row>
    <row r="454" spans="99:99" ht="14.25" customHeight="1" x14ac:dyDescent="0.2">
      <c r="CU454" s="154"/>
    </row>
    <row r="455" spans="99:99" ht="14.25" customHeight="1" x14ac:dyDescent="0.2">
      <c r="CU455" s="154"/>
    </row>
    <row r="456" spans="99:99" ht="14.25" customHeight="1" x14ac:dyDescent="0.2">
      <c r="CU456" s="154"/>
    </row>
    <row r="457" spans="99:99" ht="14.25" customHeight="1" x14ac:dyDescent="0.2">
      <c r="CU457" s="154"/>
    </row>
    <row r="458" spans="99:99" ht="14.25" customHeight="1" x14ac:dyDescent="0.2">
      <c r="CU458" s="154"/>
    </row>
    <row r="459" spans="99:99" ht="14.25" customHeight="1" x14ac:dyDescent="0.2">
      <c r="CU459" s="154"/>
    </row>
    <row r="460" spans="99:99" ht="14.25" customHeight="1" x14ac:dyDescent="0.2">
      <c r="CU460" s="154"/>
    </row>
    <row r="461" spans="99:99" ht="14.25" customHeight="1" x14ac:dyDescent="0.2">
      <c r="CU461" s="154"/>
    </row>
    <row r="462" spans="99:99" ht="14.25" customHeight="1" x14ac:dyDescent="0.2">
      <c r="CU462" s="154"/>
    </row>
    <row r="463" spans="99:99" ht="14.25" customHeight="1" x14ac:dyDescent="0.2">
      <c r="CU463" s="154"/>
    </row>
    <row r="464" spans="99:99" ht="14.25" customHeight="1" x14ac:dyDescent="0.2">
      <c r="CU464" s="154"/>
    </row>
    <row r="465" spans="99:99" ht="14.25" customHeight="1" x14ac:dyDescent="0.2">
      <c r="CU465" s="154"/>
    </row>
    <row r="466" spans="99:99" ht="14.25" customHeight="1" x14ac:dyDescent="0.2">
      <c r="CU466" s="154"/>
    </row>
    <row r="467" spans="99:99" ht="14.25" customHeight="1" x14ac:dyDescent="0.2">
      <c r="CU467" s="154"/>
    </row>
    <row r="468" spans="99:99" ht="14.25" customHeight="1" x14ac:dyDescent="0.2">
      <c r="CU468" s="154"/>
    </row>
    <row r="469" spans="99:99" ht="14.25" customHeight="1" x14ac:dyDescent="0.2">
      <c r="CU469" s="154"/>
    </row>
    <row r="470" spans="99:99" ht="14.25" customHeight="1" x14ac:dyDescent="0.2">
      <c r="CU470" s="154"/>
    </row>
    <row r="471" spans="99:99" ht="14.25" customHeight="1" x14ac:dyDescent="0.2">
      <c r="CU471" s="154"/>
    </row>
    <row r="472" spans="99:99" ht="14.25" customHeight="1" x14ac:dyDescent="0.2">
      <c r="CU472" s="154"/>
    </row>
    <row r="473" spans="99:99" ht="14.25" customHeight="1" x14ac:dyDescent="0.2">
      <c r="CU473" s="154"/>
    </row>
    <row r="474" spans="99:99" ht="14.25" customHeight="1" x14ac:dyDescent="0.2">
      <c r="CU474" s="154"/>
    </row>
    <row r="475" spans="99:99" ht="14.25" customHeight="1" x14ac:dyDescent="0.2">
      <c r="CU475" s="154"/>
    </row>
    <row r="476" spans="99:99" ht="14.25" customHeight="1" x14ac:dyDescent="0.2">
      <c r="CU476" s="154"/>
    </row>
    <row r="477" spans="99:99" ht="14.25" customHeight="1" x14ac:dyDescent="0.2">
      <c r="CU477" s="154"/>
    </row>
    <row r="478" spans="99:99" ht="14.25" customHeight="1" x14ac:dyDescent="0.2">
      <c r="CU478" s="154"/>
    </row>
    <row r="479" spans="99:99" ht="14.25" customHeight="1" x14ac:dyDescent="0.2">
      <c r="CU479" s="154"/>
    </row>
    <row r="480" spans="99:99" ht="14.25" customHeight="1" x14ac:dyDescent="0.2">
      <c r="CU480" s="154"/>
    </row>
    <row r="481" spans="99:99" ht="14.25" customHeight="1" x14ac:dyDescent="0.2">
      <c r="CU481" s="154"/>
    </row>
    <row r="482" spans="99:99" ht="14.25" customHeight="1" x14ac:dyDescent="0.2">
      <c r="CU482" s="154"/>
    </row>
    <row r="483" spans="99:99" ht="14.25" customHeight="1" x14ac:dyDescent="0.2">
      <c r="CU483" s="154"/>
    </row>
    <row r="484" spans="99:99" ht="14.25" customHeight="1" x14ac:dyDescent="0.2">
      <c r="CU484" s="154"/>
    </row>
    <row r="485" spans="99:99" ht="14.25" customHeight="1" x14ac:dyDescent="0.2">
      <c r="CU485" s="154"/>
    </row>
    <row r="486" spans="99:99" ht="14.25" customHeight="1" x14ac:dyDescent="0.2">
      <c r="CU486" s="154"/>
    </row>
    <row r="487" spans="99:99" ht="14.25" customHeight="1" x14ac:dyDescent="0.2">
      <c r="CU487" s="154"/>
    </row>
    <row r="488" spans="99:99" ht="14.25" customHeight="1" x14ac:dyDescent="0.2">
      <c r="CU488" s="154"/>
    </row>
    <row r="489" spans="99:99" ht="14.25" customHeight="1" x14ac:dyDescent="0.2">
      <c r="CU489" s="154"/>
    </row>
    <row r="490" spans="99:99" ht="14.25" customHeight="1" x14ac:dyDescent="0.2">
      <c r="CU490" s="154"/>
    </row>
    <row r="491" spans="99:99" ht="14.25" customHeight="1" x14ac:dyDescent="0.2">
      <c r="CU491" s="154"/>
    </row>
    <row r="492" spans="99:99" ht="14.25" customHeight="1" x14ac:dyDescent="0.2">
      <c r="CU492" s="154"/>
    </row>
    <row r="493" spans="99:99" ht="14.25" customHeight="1" x14ac:dyDescent="0.2">
      <c r="CU493" s="154"/>
    </row>
    <row r="494" spans="99:99" ht="14.25" customHeight="1" x14ac:dyDescent="0.2">
      <c r="CU494" s="154"/>
    </row>
    <row r="495" spans="99:99" ht="14.25" customHeight="1" x14ac:dyDescent="0.2">
      <c r="CU495" s="154"/>
    </row>
    <row r="496" spans="99:99" ht="14.25" customHeight="1" x14ac:dyDescent="0.2">
      <c r="CU496" s="154"/>
    </row>
    <row r="497" spans="99:99" ht="14.25" customHeight="1" x14ac:dyDescent="0.2">
      <c r="CU497" s="154"/>
    </row>
    <row r="498" spans="99:99" ht="14.25" customHeight="1" x14ac:dyDescent="0.2">
      <c r="CU498" s="154"/>
    </row>
    <row r="499" spans="99:99" ht="14.25" customHeight="1" x14ac:dyDescent="0.2">
      <c r="CU499" s="154"/>
    </row>
    <row r="500" spans="99:99" ht="14.25" customHeight="1" x14ac:dyDescent="0.2">
      <c r="CU500" s="154"/>
    </row>
    <row r="501" spans="99:99" ht="14.25" customHeight="1" x14ac:dyDescent="0.2">
      <c r="CU501" s="154"/>
    </row>
    <row r="502" spans="99:99" ht="14.25" customHeight="1" x14ac:dyDescent="0.2">
      <c r="CU502" s="154"/>
    </row>
    <row r="503" spans="99:99" ht="14.25" customHeight="1" x14ac:dyDescent="0.2">
      <c r="CU503" s="154"/>
    </row>
    <row r="504" spans="99:99" ht="14.25" customHeight="1" x14ac:dyDescent="0.2">
      <c r="CU504" s="154"/>
    </row>
    <row r="505" spans="99:99" ht="14.25" customHeight="1" x14ac:dyDescent="0.2">
      <c r="CU505" s="154"/>
    </row>
    <row r="506" spans="99:99" ht="14.25" customHeight="1" x14ac:dyDescent="0.2">
      <c r="CU506" s="154"/>
    </row>
    <row r="507" spans="99:99" ht="14.25" customHeight="1" x14ac:dyDescent="0.2">
      <c r="CU507" s="154"/>
    </row>
    <row r="508" spans="99:99" ht="14.25" customHeight="1" x14ac:dyDescent="0.2">
      <c r="CU508" s="154"/>
    </row>
    <row r="509" spans="99:99" ht="14.25" customHeight="1" x14ac:dyDescent="0.2">
      <c r="CU509" s="154"/>
    </row>
    <row r="510" spans="99:99" ht="14.25" customHeight="1" x14ac:dyDescent="0.2">
      <c r="CU510" s="154"/>
    </row>
    <row r="511" spans="99:99" ht="14.25" customHeight="1" x14ac:dyDescent="0.2">
      <c r="CU511" s="154"/>
    </row>
    <row r="512" spans="99:99" ht="14.25" customHeight="1" x14ac:dyDescent="0.2">
      <c r="CU512" s="154"/>
    </row>
    <row r="513" spans="99:99" ht="14.25" customHeight="1" x14ac:dyDescent="0.2">
      <c r="CU513" s="154"/>
    </row>
    <row r="514" spans="99:99" ht="14.25" customHeight="1" x14ac:dyDescent="0.2">
      <c r="CU514" s="154"/>
    </row>
    <row r="515" spans="99:99" ht="14.25" customHeight="1" x14ac:dyDescent="0.2">
      <c r="CU515" s="154"/>
    </row>
    <row r="516" spans="99:99" ht="14.25" customHeight="1" x14ac:dyDescent="0.2">
      <c r="CU516" s="154"/>
    </row>
    <row r="517" spans="99:99" ht="14.25" customHeight="1" x14ac:dyDescent="0.2">
      <c r="CU517" s="154"/>
    </row>
    <row r="518" spans="99:99" ht="14.25" customHeight="1" x14ac:dyDescent="0.2">
      <c r="CU518" s="154"/>
    </row>
    <row r="519" spans="99:99" ht="14.25" customHeight="1" x14ac:dyDescent="0.2">
      <c r="CU519" s="154"/>
    </row>
    <row r="520" spans="99:99" ht="14.25" customHeight="1" x14ac:dyDescent="0.2">
      <c r="CU520" s="154"/>
    </row>
    <row r="521" spans="99:99" ht="14.25" customHeight="1" x14ac:dyDescent="0.2">
      <c r="CU521" s="154"/>
    </row>
    <row r="522" spans="99:99" ht="14.25" customHeight="1" x14ac:dyDescent="0.2">
      <c r="CU522" s="154"/>
    </row>
    <row r="523" spans="99:99" ht="14.25" customHeight="1" x14ac:dyDescent="0.2">
      <c r="CU523" s="154"/>
    </row>
    <row r="524" spans="99:99" ht="14.25" customHeight="1" x14ac:dyDescent="0.2">
      <c r="CU524" s="154"/>
    </row>
    <row r="525" spans="99:99" ht="14.25" customHeight="1" x14ac:dyDescent="0.2">
      <c r="CU525" s="154"/>
    </row>
    <row r="526" spans="99:99" ht="14.25" customHeight="1" x14ac:dyDescent="0.2">
      <c r="CU526" s="154"/>
    </row>
    <row r="527" spans="99:99" ht="14.25" customHeight="1" x14ac:dyDescent="0.2">
      <c r="CU527" s="154"/>
    </row>
    <row r="528" spans="99:99" ht="14.25" customHeight="1" x14ac:dyDescent="0.2">
      <c r="CU528" s="154"/>
    </row>
    <row r="529" spans="99:99" ht="14.25" customHeight="1" x14ac:dyDescent="0.2">
      <c r="CU529" s="154"/>
    </row>
    <row r="530" spans="99:99" ht="14.25" customHeight="1" x14ac:dyDescent="0.2">
      <c r="CU530" s="154"/>
    </row>
    <row r="531" spans="99:99" ht="14.25" customHeight="1" x14ac:dyDescent="0.2">
      <c r="CU531" s="154"/>
    </row>
    <row r="532" spans="99:99" ht="14.25" customHeight="1" x14ac:dyDescent="0.2">
      <c r="CU532" s="154"/>
    </row>
    <row r="533" spans="99:99" ht="14.25" customHeight="1" x14ac:dyDescent="0.2">
      <c r="CU533" s="154"/>
    </row>
    <row r="534" spans="99:99" ht="14.25" customHeight="1" x14ac:dyDescent="0.2">
      <c r="CU534" s="154"/>
    </row>
    <row r="535" spans="99:99" ht="14.25" customHeight="1" x14ac:dyDescent="0.2">
      <c r="CU535" s="154"/>
    </row>
    <row r="536" spans="99:99" ht="14.25" customHeight="1" x14ac:dyDescent="0.2">
      <c r="CU536" s="154"/>
    </row>
    <row r="537" spans="99:99" ht="14.25" customHeight="1" x14ac:dyDescent="0.2">
      <c r="CU537" s="154"/>
    </row>
    <row r="538" spans="99:99" ht="14.25" customHeight="1" x14ac:dyDescent="0.2">
      <c r="CU538" s="154"/>
    </row>
    <row r="539" spans="99:99" ht="14.25" customHeight="1" x14ac:dyDescent="0.2">
      <c r="CU539" s="154"/>
    </row>
    <row r="540" spans="99:99" ht="14.25" customHeight="1" x14ac:dyDescent="0.2">
      <c r="CU540" s="154"/>
    </row>
    <row r="541" spans="99:99" ht="14.25" customHeight="1" x14ac:dyDescent="0.2">
      <c r="CU541" s="154"/>
    </row>
    <row r="542" spans="99:99" ht="14.25" customHeight="1" x14ac:dyDescent="0.2">
      <c r="CU542" s="154"/>
    </row>
    <row r="543" spans="99:99" ht="14.25" customHeight="1" x14ac:dyDescent="0.2">
      <c r="CU543" s="154"/>
    </row>
    <row r="544" spans="99:99" ht="14.25" customHeight="1" x14ac:dyDescent="0.2">
      <c r="CU544" s="154"/>
    </row>
    <row r="545" spans="99:99" ht="14.25" customHeight="1" x14ac:dyDescent="0.2">
      <c r="CU545" s="154"/>
    </row>
    <row r="546" spans="99:99" ht="14.25" customHeight="1" x14ac:dyDescent="0.2">
      <c r="CU546" s="154"/>
    </row>
    <row r="547" spans="99:99" ht="14.25" customHeight="1" x14ac:dyDescent="0.2">
      <c r="CU547" s="154"/>
    </row>
    <row r="548" spans="99:99" ht="14.25" customHeight="1" x14ac:dyDescent="0.2">
      <c r="CU548" s="154"/>
    </row>
    <row r="549" spans="99:99" ht="14.25" customHeight="1" x14ac:dyDescent="0.2">
      <c r="CU549" s="154"/>
    </row>
    <row r="550" spans="99:99" ht="14.25" customHeight="1" x14ac:dyDescent="0.2">
      <c r="CU550" s="154"/>
    </row>
    <row r="551" spans="99:99" ht="14.25" customHeight="1" x14ac:dyDescent="0.2">
      <c r="CU551" s="154"/>
    </row>
    <row r="552" spans="99:99" ht="14.25" customHeight="1" x14ac:dyDescent="0.2">
      <c r="CU552" s="154"/>
    </row>
    <row r="553" spans="99:99" ht="14.25" customHeight="1" x14ac:dyDescent="0.2">
      <c r="CU553" s="154"/>
    </row>
    <row r="554" spans="99:99" ht="14.25" customHeight="1" x14ac:dyDescent="0.2">
      <c r="CU554" s="154"/>
    </row>
    <row r="555" spans="99:99" ht="14.25" customHeight="1" x14ac:dyDescent="0.2">
      <c r="CU555" s="154"/>
    </row>
    <row r="556" spans="99:99" ht="14.25" customHeight="1" x14ac:dyDescent="0.2">
      <c r="CU556" s="154"/>
    </row>
    <row r="557" spans="99:99" ht="14.25" customHeight="1" x14ac:dyDescent="0.2">
      <c r="CU557" s="154"/>
    </row>
    <row r="558" spans="99:99" ht="14.25" customHeight="1" x14ac:dyDescent="0.2">
      <c r="CU558" s="154"/>
    </row>
    <row r="559" spans="99:99" ht="14.25" customHeight="1" x14ac:dyDescent="0.2">
      <c r="CU559" s="154"/>
    </row>
    <row r="560" spans="99:99" ht="14.25" customHeight="1" x14ac:dyDescent="0.2">
      <c r="CU560" s="154"/>
    </row>
    <row r="561" spans="99:99" ht="14.25" customHeight="1" x14ac:dyDescent="0.2">
      <c r="CU561" s="154"/>
    </row>
    <row r="562" spans="99:99" ht="14.25" customHeight="1" x14ac:dyDescent="0.2">
      <c r="CU562" s="154"/>
    </row>
    <row r="563" spans="99:99" ht="14.25" customHeight="1" x14ac:dyDescent="0.2">
      <c r="CU563" s="154"/>
    </row>
    <row r="564" spans="99:99" ht="14.25" customHeight="1" x14ac:dyDescent="0.2">
      <c r="CU564" s="154"/>
    </row>
    <row r="565" spans="99:99" ht="14.25" customHeight="1" x14ac:dyDescent="0.2">
      <c r="CU565" s="154"/>
    </row>
    <row r="566" spans="99:99" ht="14.25" customHeight="1" x14ac:dyDescent="0.2">
      <c r="CU566" s="154"/>
    </row>
    <row r="567" spans="99:99" ht="14.25" customHeight="1" x14ac:dyDescent="0.2">
      <c r="CU567" s="154"/>
    </row>
    <row r="568" spans="99:99" ht="14.25" customHeight="1" x14ac:dyDescent="0.2">
      <c r="CU568" s="154"/>
    </row>
    <row r="569" spans="99:99" ht="14.25" customHeight="1" x14ac:dyDescent="0.2">
      <c r="CU569" s="154"/>
    </row>
    <row r="570" spans="99:99" ht="14.25" customHeight="1" x14ac:dyDescent="0.2">
      <c r="CU570" s="154"/>
    </row>
    <row r="571" spans="99:99" ht="14.25" customHeight="1" x14ac:dyDescent="0.2">
      <c r="CU571" s="154"/>
    </row>
    <row r="572" spans="99:99" ht="14.25" customHeight="1" x14ac:dyDescent="0.2">
      <c r="CU572" s="154"/>
    </row>
    <row r="573" spans="99:99" ht="14.25" customHeight="1" x14ac:dyDescent="0.2">
      <c r="CU573" s="154"/>
    </row>
    <row r="574" spans="99:99" ht="14.25" customHeight="1" x14ac:dyDescent="0.2">
      <c r="CU574" s="154"/>
    </row>
    <row r="575" spans="99:99" ht="14.25" customHeight="1" x14ac:dyDescent="0.2">
      <c r="CU575" s="154"/>
    </row>
    <row r="576" spans="99:99" ht="14.25" customHeight="1" x14ac:dyDescent="0.2">
      <c r="CU576" s="154"/>
    </row>
    <row r="577" spans="99:99" ht="14.25" customHeight="1" x14ac:dyDescent="0.2">
      <c r="CU577" s="154"/>
    </row>
    <row r="578" spans="99:99" ht="14.25" customHeight="1" x14ac:dyDescent="0.2">
      <c r="CU578" s="154"/>
    </row>
    <row r="579" spans="99:99" ht="14.25" customHeight="1" x14ac:dyDescent="0.2">
      <c r="CU579" s="154"/>
    </row>
    <row r="580" spans="99:99" ht="14.25" customHeight="1" x14ac:dyDescent="0.2">
      <c r="CU580" s="154"/>
    </row>
    <row r="581" spans="99:99" ht="14.25" customHeight="1" x14ac:dyDescent="0.2">
      <c r="CU581" s="154"/>
    </row>
    <row r="582" spans="99:99" ht="14.25" customHeight="1" x14ac:dyDescent="0.2">
      <c r="CU582" s="154"/>
    </row>
    <row r="583" spans="99:99" ht="14.25" customHeight="1" x14ac:dyDescent="0.2">
      <c r="CU583" s="154"/>
    </row>
    <row r="584" spans="99:99" ht="14.25" customHeight="1" x14ac:dyDescent="0.2">
      <c r="CU584" s="154"/>
    </row>
    <row r="585" spans="99:99" ht="14.25" customHeight="1" x14ac:dyDescent="0.2">
      <c r="CU585" s="154"/>
    </row>
    <row r="586" spans="99:99" ht="14.25" customHeight="1" x14ac:dyDescent="0.2">
      <c r="CU586" s="154"/>
    </row>
    <row r="587" spans="99:99" ht="14.25" customHeight="1" x14ac:dyDescent="0.2">
      <c r="CU587" s="154"/>
    </row>
    <row r="588" spans="99:99" ht="14.25" customHeight="1" x14ac:dyDescent="0.2">
      <c r="CU588" s="154"/>
    </row>
    <row r="589" spans="99:99" ht="14.25" customHeight="1" x14ac:dyDescent="0.2">
      <c r="CU589" s="154"/>
    </row>
    <row r="590" spans="99:99" ht="14.25" customHeight="1" x14ac:dyDescent="0.2">
      <c r="CU590" s="154"/>
    </row>
    <row r="591" spans="99:99" ht="14.25" customHeight="1" x14ac:dyDescent="0.2">
      <c r="CU591" s="154"/>
    </row>
    <row r="592" spans="99:99" ht="14.25" customHeight="1" x14ac:dyDescent="0.2">
      <c r="CU592" s="154"/>
    </row>
    <row r="593" spans="99:99" ht="14.25" customHeight="1" x14ac:dyDescent="0.2">
      <c r="CU593" s="154"/>
    </row>
    <row r="594" spans="99:99" ht="14.25" customHeight="1" x14ac:dyDescent="0.2">
      <c r="CU594" s="154"/>
    </row>
    <row r="595" spans="99:99" ht="14.25" customHeight="1" x14ac:dyDescent="0.2">
      <c r="CU595" s="154"/>
    </row>
    <row r="596" spans="99:99" ht="14.25" customHeight="1" x14ac:dyDescent="0.2">
      <c r="CU596" s="154"/>
    </row>
    <row r="597" spans="99:99" ht="14.25" customHeight="1" x14ac:dyDescent="0.2">
      <c r="CU597" s="154"/>
    </row>
    <row r="598" spans="99:99" ht="14.25" customHeight="1" x14ac:dyDescent="0.2">
      <c r="CU598" s="154"/>
    </row>
    <row r="599" spans="99:99" ht="14.25" customHeight="1" x14ac:dyDescent="0.2">
      <c r="CU599" s="154"/>
    </row>
    <row r="600" spans="99:99" ht="14.25" customHeight="1" x14ac:dyDescent="0.2">
      <c r="CU600" s="154"/>
    </row>
    <row r="601" spans="99:99" ht="14.25" customHeight="1" x14ac:dyDescent="0.2">
      <c r="CU601" s="154"/>
    </row>
    <row r="602" spans="99:99" ht="14.25" customHeight="1" x14ac:dyDescent="0.2">
      <c r="CU602" s="154"/>
    </row>
    <row r="603" spans="99:99" ht="14.25" customHeight="1" x14ac:dyDescent="0.2">
      <c r="CU603" s="154"/>
    </row>
    <row r="604" spans="99:99" ht="14.25" customHeight="1" x14ac:dyDescent="0.2">
      <c r="CU604" s="154"/>
    </row>
    <row r="605" spans="99:99" ht="14.25" customHeight="1" x14ac:dyDescent="0.2">
      <c r="CU605" s="154"/>
    </row>
    <row r="606" spans="99:99" ht="14.25" customHeight="1" x14ac:dyDescent="0.2">
      <c r="CU606" s="154"/>
    </row>
    <row r="607" spans="99:99" ht="14.25" customHeight="1" x14ac:dyDescent="0.2">
      <c r="CU607" s="154"/>
    </row>
    <row r="608" spans="99:99" ht="14.25" customHeight="1" x14ac:dyDescent="0.2">
      <c r="CU608" s="154"/>
    </row>
    <row r="609" spans="99:99" ht="14.25" customHeight="1" x14ac:dyDescent="0.2">
      <c r="CU609" s="154"/>
    </row>
    <row r="610" spans="99:99" ht="14.25" customHeight="1" x14ac:dyDescent="0.2">
      <c r="CU610" s="154"/>
    </row>
    <row r="611" spans="99:99" ht="14.25" customHeight="1" x14ac:dyDescent="0.2">
      <c r="CU611" s="154"/>
    </row>
    <row r="612" spans="99:99" ht="14.25" customHeight="1" x14ac:dyDescent="0.2">
      <c r="CU612" s="154"/>
    </row>
    <row r="613" spans="99:99" ht="14.25" customHeight="1" x14ac:dyDescent="0.2">
      <c r="CU613" s="154"/>
    </row>
    <row r="614" spans="99:99" ht="14.25" customHeight="1" x14ac:dyDescent="0.2">
      <c r="CU614" s="154"/>
    </row>
    <row r="615" spans="99:99" ht="14.25" customHeight="1" x14ac:dyDescent="0.2">
      <c r="CU615" s="154"/>
    </row>
    <row r="616" spans="99:99" ht="14.25" customHeight="1" x14ac:dyDescent="0.2">
      <c r="CU616" s="154"/>
    </row>
    <row r="617" spans="99:99" ht="14.25" customHeight="1" x14ac:dyDescent="0.2">
      <c r="CU617" s="154"/>
    </row>
    <row r="618" spans="99:99" ht="14.25" customHeight="1" x14ac:dyDescent="0.2">
      <c r="CU618" s="154"/>
    </row>
    <row r="619" spans="99:99" ht="14.25" customHeight="1" x14ac:dyDescent="0.2">
      <c r="CU619" s="154"/>
    </row>
    <row r="620" spans="99:99" ht="14.25" customHeight="1" x14ac:dyDescent="0.2">
      <c r="CU620" s="154"/>
    </row>
    <row r="621" spans="99:99" ht="14.25" customHeight="1" x14ac:dyDescent="0.2">
      <c r="CU621" s="154"/>
    </row>
    <row r="622" spans="99:99" ht="14.25" customHeight="1" x14ac:dyDescent="0.2">
      <c r="CU622" s="154"/>
    </row>
    <row r="623" spans="99:99" ht="14.25" customHeight="1" x14ac:dyDescent="0.2">
      <c r="CU623" s="154"/>
    </row>
    <row r="624" spans="99:99" ht="14.25" customHeight="1" x14ac:dyDescent="0.2">
      <c r="CU624" s="154"/>
    </row>
    <row r="625" spans="99:99" ht="14.25" customHeight="1" x14ac:dyDescent="0.2">
      <c r="CU625" s="154"/>
    </row>
    <row r="626" spans="99:99" ht="14.25" customHeight="1" x14ac:dyDescent="0.2">
      <c r="CU626" s="154"/>
    </row>
    <row r="627" spans="99:99" ht="14.25" customHeight="1" x14ac:dyDescent="0.2">
      <c r="CU627" s="154"/>
    </row>
    <row r="628" spans="99:99" ht="14.25" customHeight="1" x14ac:dyDescent="0.2">
      <c r="CU628" s="154"/>
    </row>
    <row r="629" spans="99:99" ht="14.25" customHeight="1" x14ac:dyDescent="0.2">
      <c r="CU629" s="154"/>
    </row>
    <row r="630" spans="99:99" ht="14.25" customHeight="1" x14ac:dyDescent="0.2">
      <c r="CU630" s="154"/>
    </row>
    <row r="631" spans="99:99" ht="14.25" customHeight="1" x14ac:dyDescent="0.2">
      <c r="CU631" s="154"/>
    </row>
    <row r="632" spans="99:99" ht="14.25" customHeight="1" x14ac:dyDescent="0.2">
      <c r="CU632" s="154"/>
    </row>
    <row r="633" spans="99:99" ht="14.25" customHeight="1" x14ac:dyDescent="0.2">
      <c r="CU633" s="154"/>
    </row>
    <row r="634" spans="99:99" ht="14.25" customHeight="1" x14ac:dyDescent="0.2">
      <c r="CU634" s="154"/>
    </row>
    <row r="635" spans="99:99" ht="14.25" customHeight="1" x14ac:dyDescent="0.2">
      <c r="CU635" s="154"/>
    </row>
    <row r="636" spans="99:99" ht="14.25" customHeight="1" x14ac:dyDescent="0.2">
      <c r="CU636" s="154"/>
    </row>
    <row r="637" spans="99:99" ht="14.25" customHeight="1" x14ac:dyDescent="0.2">
      <c r="CU637" s="154"/>
    </row>
    <row r="638" spans="99:99" ht="14.25" customHeight="1" x14ac:dyDescent="0.2">
      <c r="CU638" s="154"/>
    </row>
    <row r="639" spans="99:99" ht="14.25" customHeight="1" x14ac:dyDescent="0.2">
      <c r="CU639" s="154"/>
    </row>
    <row r="640" spans="99:99" ht="14.25" customHeight="1" x14ac:dyDescent="0.2">
      <c r="CU640" s="154"/>
    </row>
    <row r="641" spans="99:99" ht="14.25" customHeight="1" x14ac:dyDescent="0.2">
      <c r="CU641" s="154"/>
    </row>
    <row r="642" spans="99:99" ht="14.25" customHeight="1" x14ac:dyDescent="0.2">
      <c r="CU642" s="154"/>
    </row>
    <row r="643" spans="99:99" ht="14.25" customHeight="1" x14ac:dyDescent="0.2">
      <c r="CU643" s="154"/>
    </row>
    <row r="644" spans="99:99" ht="14.25" customHeight="1" x14ac:dyDescent="0.2">
      <c r="CU644" s="154"/>
    </row>
    <row r="645" spans="99:99" ht="14.25" customHeight="1" x14ac:dyDescent="0.2">
      <c r="CU645" s="154"/>
    </row>
    <row r="646" spans="99:99" ht="14.25" customHeight="1" x14ac:dyDescent="0.2">
      <c r="CU646" s="154"/>
    </row>
    <row r="647" spans="99:99" ht="14.25" customHeight="1" x14ac:dyDescent="0.2">
      <c r="CU647" s="154"/>
    </row>
    <row r="648" spans="99:99" ht="14.25" customHeight="1" x14ac:dyDescent="0.2">
      <c r="CU648" s="154"/>
    </row>
    <row r="649" spans="99:99" ht="14.25" customHeight="1" x14ac:dyDescent="0.2">
      <c r="CU649" s="154"/>
    </row>
    <row r="650" spans="99:99" ht="14.25" customHeight="1" x14ac:dyDescent="0.2">
      <c r="CU650" s="154"/>
    </row>
    <row r="651" spans="99:99" ht="14.25" customHeight="1" x14ac:dyDescent="0.2">
      <c r="CU651" s="154"/>
    </row>
    <row r="652" spans="99:99" ht="14.25" customHeight="1" x14ac:dyDescent="0.2">
      <c r="CU652" s="154"/>
    </row>
    <row r="653" spans="99:99" ht="14.25" customHeight="1" x14ac:dyDescent="0.2">
      <c r="CU653" s="154"/>
    </row>
    <row r="654" spans="99:99" ht="14.25" customHeight="1" x14ac:dyDescent="0.2">
      <c r="CU654" s="154"/>
    </row>
    <row r="655" spans="99:99" ht="14.25" customHeight="1" x14ac:dyDescent="0.2">
      <c r="CU655" s="154"/>
    </row>
    <row r="656" spans="99:99" ht="14.25" customHeight="1" x14ac:dyDescent="0.2">
      <c r="CU656" s="154"/>
    </row>
    <row r="657" spans="99:99" ht="14.25" customHeight="1" x14ac:dyDescent="0.2">
      <c r="CU657" s="154"/>
    </row>
    <row r="658" spans="99:99" ht="14.25" customHeight="1" x14ac:dyDescent="0.2">
      <c r="CU658" s="154"/>
    </row>
    <row r="659" spans="99:99" ht="14.25" customHeight="1" x14ac:dyDescent="0.2">
      <c r="CU659" s="154"/>
    </row>
    <row r="660" spans="99:99" ht="14.25" customHeight="1" x14ac:dyDescent="0.2">
      <c r="CU660" s="154"/>
    </row>
    <row r="661" spans="99:99" ht="14.25" customHeight="1" x14ac:dyDescent="0.2">
      <c r="CU661" s="154"/>
    </row>
    <row r="662" spans="99:99" ht="14.25" customHeight="1" x14ac:dyDescent="0.2">
      <c r="CU662" s="154"/>
    </row>
    <row r="663" spans="99:99" ht="14.25" customHeight="1" x14ac:dyDescent="0.2">
      <c r="CU663" s="154"/>
    </row>
    <row r="664" spans="99:99" ht="14.25" customHeight="1" x14ac:dyDescent="0.2">
      <c r="CU664" s="154"/>
    </row>
    <row r="665" spans="99:99" ht="14.25" customHeight="1" x14ac:dyDescent="0.2">
      <c r="CU665" s="154"/>
    </row>
    <row r="666" spans="99:99" ht="14.25" customHeight="1" x14ac:dyDescent="0.2">
      <c r="CU666" s="154"/>
    </row>
    <row r="667" spans="99:99" ht="14.25" customHeight="1" x14ac:dyDescent="0.2">
      <c r="CU667" s="154"/>
    </row>
    <row r="668" spans="99:99" ht="14.25" customHeight="1" x14ac:dyDescent="0.2">
      <c r="CU668" s="154"/>
    </row>
    <row r="669" spans="99:99" ht="14.25" customHeight="1" x14ac:dyDescent="0.2">
      <c r="CU669" s="154"/>
    </row>
    <row r="670" spans="99:99" ht="14.25" customHeight="1" x14ac:dyDescent="0.2">
      <c r="CU670" s="154"/>
    </row>
    <row r="671" spans="99:99" ht="14.25" customHeight="1" x14ac:dyDescent="0.2">
      <c r="CU671" s="154"/>
    </row>
    <row r="672" spans="99:99" ht="14.25" customHeight="1" x14ac:dyDescent="0.2">
      <c r="CU672" s="154"/>
    </row>
    <row r="673" spans="99:99" ht="14.25" customHeight="1" x14ac:dyDescent="0.2">
      <c r="CU673" s="154"/>
    </row>
    <row r="674" spans="99:99" ht="14.25" customHeight="1" x14ac:dyDescent="0.2">
      <c r="CU674" s="154"/>
    </row>
    <row r="675" spans="99:99" ht="14.25" customHeight="1" x14ac:dyDescent="0.2">
      <c r="CU675" s="154"/>
    </row>
    <row r="676" spans="99:99" ht="14.25" customHeight="1" x14ac:dyDescent="0.2">
      <c r="CU676" s="154"/>
    </row>
    <row r="677" spans="99:99" ht="14.25" customHeight="1" x14ac:dyDescent="0.2">
      <c r="CU677" s="154"/>
    </row>
    <row r="678" spans="99:99" ht="14.25" customHeight="1" x14ac:dyDescent="0.2">
      <c r="CU678" s="154"/>
    </row>
    <row r="679" spans="99:99" ht="14.25" customHeight="1" x14ac:dyDescent="0.2">
      <c r="CU679" s="154"/>
    </row>
    <row r="680" spans="99:99" ht="14.25" customHeight="1" x14ac:dyDescent="0.2">
      <c r="CU680" s="154"/>
    </row>
    <row r="681" spans="99:99" ht="14.25" customHeight="1" x14ac:dyDescent="0.2">
      <c r="CU681" s="154"/>
    </row>
    <row r="682" spans="99:99" ht="14.25" customHeight="1" x14ac:dyDescent="0.2">
      <c r="CU682" s="154"/>
    </row>
    <row r="683" spans="99:99" ht="14.25" customHeight="1" x14ac:dyDescent="0.2">
      <c r="CU683" s="154"/>
    </row>
    <row r="684" spans="99:99" ht="14.25" customHeight="1" x14ac:dyDescent="0.2">
      <c r="CU684" s="154"/>
    </row>
    <row r="685" spans="99:99" ht="14.25" customHeight="1" x14ac:dyDescent="0.2">
      <c r="CU685" s="154"/>
    </row>
    <row r="686" spans="99:99" ht="14.25" customHeight="1" x14ac:dyDescent="0.2">
      <c r="CU686" s="154"/>
    </row>
    <row r="687" spans="99:99" ht="14.25" customHeight="1" x14ac:dyDescent="0.2">
      <c r="CU687" s="154"/>
    </row>
    <row r="688" spans="99:99" ht="14.25" customHeight="1" x14ac:dyDescent="0.2">
      <c r="CU688" s="154"/>
    </row>
    <row r="689" spans="99:99" ht="14.25" customHeight="1" x14ac:dyDescent="0.2">
      <c r="CU689" s="154"/>
    </row>
    <row r="690" spans="99:99" ht="14.25" customHeight="1" x14ac:dyDescent="0.2">
      <c r="CU690" s="154"/>
    </row>
    <row r="691" spans="99:99" ht="14.25" customHeight="1" x14ac:dyDescent="0.2">
      <c r="CU691" s="154"/>
    </row>
    <row r="692" spans="99:99" ht="14.25" customHeight="1" x14ac:dyDescent="0.2">
      <c r="CU692" s="154"/>
    </row>
    <row r="693" spans="99:99" ht="14.25" customHeight="1" x14ac:dyDescent="0.2">
      <c r="CU693" s="154"/>
    </row>
    <row r="694" spans="99:99" ht="14.25" customHeight="1" x14ac:dyDescent="0.2">
      <c r="CU694" s="154"/>
    </row>
    <row r="695" spans="99:99" ht="14.25" customHeight="1" x14ac:dyDescent="0.2">
      <c r="CU695" s="154"/>
    </row>
    <row r="696" spans="99:99" ht="14.25" customHeight="1" x14ac:dyDescent="0.2">
      <c r="CU696" s="154"/>
    </row>
    <row r="697" spans="99:99" ht="14.25" customHeight="1" x14ac:dyDescent="0.2">
      <c r="CU697" s="154"/>
    </row>
    <row r="698" spans="99:99" ht="14.25" customHeight="1" x14ac:dyDescent="0.2">
      <c r="CU698" s="154"/>
    </row>
    <row r="699" spans="99:99" ht="14.25" customHeight="1" x14ac:dyDescent="0.2">
      <c r="CU699" s="154"/>
    </row>
    <row r="700" spans="99:99" ht="14.25" customHeight="1" x14ac:dyDescent="0.2">
      <c r="CU700" s="154"/>
    </row>
    <row r="701" spans="99:99" ht="14.25" customHeight="1" x14ac:dyDescent="0.2">
      <c r="CU701" s="154"/>
    </row>
    <row r="702" spans="99:99" ht="14.25" customHeight="1" x14ac:dyDescent="0.2">
      <c r="CU702" s="154"/>
    </row>
    <row r="703" spans="99:99" ht="14.25" customHeight="1" x14ac:dyDescent="0.2">
      <c r="CU703" s="154"/>
    </row>
    <row r="704" spans="99:99" ht="14.25" customHeight="1" x14ac:dyDescent="0.2">
      <c r="CU704" s="154"/>
    </row>
    <row r="705" spans="99:99" ht="14.25" customHeight="1" x14ac:dyDescent="0.2">
      <c r="CU705" s="154"/>
    </row>
    <row r="706" spans="99:99" ht="14.25" customHeight="1" x14ac:dyDescent="0.2">
      <c r="CU706" s="154"/>
    </row>
    <row r="707" spans="99:99" ht="14.25" customHeight="1" x14ac:dyDescent="0.2">
      <c r="CU707" s="154"/>
    </row>
    <row r="708" spans="99:99" ht="14.25" customHeight="1" x14ac:dyDescent="0.2">
      <c r="CU708" s="154"/>
    </row>
    <row r="709" spans="99:99" ht="14.25" customHeight="1" x14ac:dyDescent="0.2">
      <c r="CU709" s="154"/>
    </row>
    <row r="710" spans="99:99" ht="14.25" customHeight="1" x14ac:dyDescent="0.2">
      <c r="CU710" s="154"/>
    </row>
    <row r="711" spans="99:99" ht="14.25" customHeight="1" x14ac:dyDescent="0.2">
      <c r="CU711" s="154"/>
    </row>
    <row r="712" spans="99:99" ht="14.25" customHeight="1" x14ac:dyDescent="0.2">
      <c r="CU712" s="154"/>
    </row>
    <row r="713" spans="99:99" ht="14.25" customHeight="1" x14ac:dyDescent="0.2">
      <c r="CU713" s="154"/>
    </row>
    <row r="714" spans="99:99" ht="14.25" customHeight="1" x14ac:dyDescent="0.2">
      <c r="CU714" s="154"/>
    </row>
    <row r="715" spans="99:99" ht="14.25" customHeight="1" x14ac:dyDescent="0.2">
      <c r="CU715" s="154"/>
    </row>
    <row r="716" spans="99:99" ht="14.25" customHeight="1" x14ac:dyDescent="0.2">
      <c r="CU716" s="154"/>
    </row>
    <row r="717" spans="99:99" ht="14.25" customHeight="1" x14ac:dyDescent="0.2">
      <c r="CU717" s="154"/>
    </row>
    <row r="718" spans="99:99" ht="14.25" customHeight="1" x14ac:dyDescent="0.2">
      <c r="CU718" s="154"/>
    </row>
    <row r="719" spans="99:99" ht="14.25" customHeight="1" x14ac:dyDescent="0.2">
      <c r="CU719" s="154"/>
    </row>
    <row r="720" spans="99:99" ht="14.25" customHeight="1" x14ac:dyDescent="0.2">
      <c r="CU720" s="154"/>
    </row>
    <row r="721" spans="99:99" ht="14.25" customHeight="1" x14ac:dyDescent="0.2">
      <c r="CU721" s="154"/>
    </row>
    <row r="722" spans="99:99" ht="14.25" customHeight="1" x14ac:dyDescent="0.2">
      <c r="CU722" s="154"/>
    </row>
    <row r="723" spans="99:99" ht="14.25" customHeight="1" x14ac:dyDescent="0.2">
      <c r="CU723" s="154"/>
    </row>
    <row r="724" spans="99:99" ht="14.25" customHeight="1" x14ac:dyDescent="0.2">
      <c r="CU724" s="154"/>
    </row>
    <row r="725" spans="99:99" ht="14.25" customHeight="1" x14ac:dyDescent="0.2">
      <c r="CU725" s="154"/>
    </row>
    <row r="726" spans="99:99" ht="14.25" customHeight="1" x14ac:dyDescent="0.2">
      <c r="CU726" s="154"/>
    </row>
    <row r="727" spans="99:99" ht="14.25" customHeight="1" x14ac:dyDescent="0.2">
      <c r="CU727" s="154"/>
    </row>
    <row r="728" spans="99:99" ht="14.25" customHeight="1" x14ac:dyDescent="0.2">
      <c r="CU728" s="154"/>
    </row>
    <row r="729" spans="99:99" ht="14.25" customHeight="1" x14ac:dyDescent="0.2">
      <c r="CU729" s="154"/>
    </row>
    <row r="730" spans="99:99" ht="14.25" customHeight="1" x14ac:dyDescent="0.2">
      <c r="CU730" s="154"/>
    </row>
    <row r="731" spans="99:99" ht="14.25" customHeight="1" x14ac:dyDescent="0.2">
      <c r="CU731" s="154"/>
    </row>
    <row r="732" spans="99:99" ht="14.25" customHeight="1" x14ac:dyDescent="0.2">
      <c r="CU732" s="154"/>
    </row>
    <row r="733" spans="99:99" ht="14.25" customHeight="1" x14ac:dyDescent="0.2">
      <c r="CU733" s="154"/>
    </row>
    <row r="734" spans="99:99" ht="14.25" customHeight="1" x14ac:dyDescent="0.2">
      <c r="CU734" s="154"/>
    </row>
    <row r="735" spans="99:99" ht="14.25" customHeight="1" x14ac:dyDescent="0.2">
      <c r="CU735" s="154"/>
    </row>
    <row r="736" spans="99:99" ht="14.25" customHeight="1" x14ac:dyDescent="0.2">
      <c r="CU736" s="154"/>
    </row>
    <row r="737" spans="99:99" ht="14.25" customHeight="1" x14ac:dyDescent="0.2">
      <c r="CU737" s="154"/>
    </row>
    <row r="738" spans="99:99" ht="14.25" customHeight="1" x14ac:dyDescent="0.2">
      <c r="CU738" s="154"/>
    </row>
    <row r="739" spans="99:99" ht="14.25" customHeight="1" x14ac:dyDescent="0.2">
      <c r="CU739" s="154"/>
    </row>
    <row r="740" spans="99:99" ht="14.25" customHeight="1" x14ac:dyDescent="0.2">
      <c r="CU740" s="154"/>
    </row>
    <row r="741" spans="99:99" ht="14.25" customHeight="1" x14ac:dyDescent="0.2">
      <c r="CU741" s="154"/>
    </row>
    <row r="742" spans="99:99" ht="14.25" customHeight="1" x14ac:dyDescent="0.2">
      <c r="CU742" s="154"/>
    </row>
    <row r="743" spans="99:99" ht="14.25" customHeight="1" x14ac:dyDescent="0.2">
      <c r="CU743" s="154"/>
    </row>
    <row r="744" spans="99:99" ht="14.25" customHeight="1" x14ac:dyDescent="0.2">
      <c r="CU744" s="154"/>
    </row>
    <row r="745" spans="99:99" ht="14.25" customHeight="1" x14ac:dyDescent="0.2">
      <c r="CU745" s="154"/>
    </row>
    <row r="746" spans="99:99" ht="14.25" customHeight="1" x14ac:dyDescent="0.2">
      <c r="CU746" s="154"/>
    </row>
    <row r="747" spans="99:99" ht="14.25" customHeight="1" x14ac:dyDescent="0.2">
      <c r="CU747" s="154"/>
    </row>
    <row r="748" spans="99:99" ht="14.25" customHeight="1" x14ac:dyDescent="0.2">
      <c r="CU748" s="154"/>
    </row>
    <row r="749" spans="99:99" ht="14.25" customHeight="1" x14ac:dyDescent="0.2">
      <c r="CU749" s="154"/>
    </row>
    <row r="750" spans="99:99" ht="14.25" customHeight="1" x14ac:dyDescent="0.2">
      <c r="CU750" s="154"/>
    </row>
    <row r="751" spans="99:99" ht="14.25" customHeight="1" x14ac:dyDescent="0.2">
      <c r="CU751" s="154"/>
    </row>
    <row r="752" spans="99:99" ht="14.25" customHeight="1" x14ac:dyDescent="0.2">
      <c r="CU752" s="154"/>
    </row>
    <row r="753" spans="99:99" ht="14.25" customHeight="1" x14ac:dyDescent="0.2">
      <c r="CU753" s="154"/>
    </row>
    <row r="754" spans="99:99" ht="14.25" customHeight="1" x14ac:dyDescent="0.2">
      <c r="CU754" s="154"/>
    </row>
    <row r="755" spans="99:99" ht="14.25" customHeight="1" x14ac:dyDescent="0.2">
      <c r="CU755" s="154"/>
    </row>
    <row r="756" spans="99:99" ht="14.25" customHeight="1" x14ac:dyDescent="0.2">
      <c r="CU756" s="154"/>
    </row>
    <row r="757" spans="99:99" ht="14.25" customHeight="1" x14ac:dyDescent="0.2">
      <c r="CU757" s="154"/>
    </row>
    <row r="758" spans="99:99" ht="14.25" customHeight="1" x14ac:dyDescent="0.2">
      <c r="CU758" s="154"/>
    </row>
    <row r="759" spans="99:99" ht="14.25" customHeight="1" x14ac:dyDescent="0.2">
      <c r="CU759" s="154"/>
    </row>
    <row r="760" spans="99:99" ht="14.25" customHeight="1" x14ac:dyDescent="0.2">
      <c r="CU760" s="154"/>
    </row>
    <row r="761" spans="99:99" ht="14.25" customHeight="1" x14ac:dyDescent="0.2">
      <c r="CU761" s="154"/>
    </row>
    <row r="762" spans="99:99" ht="14.25" customHeight="1" x14ac:dyDescent="0.2">
      <c r="CU762" s="154"/>
    </row>
    <row r="763" spans="99:99" ht="14.25" customHeight="1" x14ac:dyDescent="0.2">
      <c r="CU763" s="154"/>
    </row>
    <row r="764" spans="99:99" ht="14.25" customHeight="1" x14ac:dyDescent="0.2">
      <c r="CU764" s="154"/>
    </row>
    <row r="765" spans="99:99" ht="14.25" customHeight="1" x14ac:dyDescent="0.2">
      <c r="CU765" s="154"/>
    </row>
    <row r="766" spans="99:99" ht="14.25" customHeight="1" x14ac:dyDescent="0.2">
      <c r="CU766" s="154"/>
    </row>
    <row r="767" spans="99:99" ht="14.25" customHeight="1" x14ac:dyDescent="0.2">
      <c r="CU767" s="154"/>
    </row>
    <row r="768" spans="99:99" ht="14.25" customHeight="1" x14ac:dyDescent="0.2">
      <c r="CU768" s="154"/>
    </row>
    <row r="769" spans="99:99" ht="14.25" customHeight="1" x14ac:dyDescent="0.2">
      <c r="CU769" s="154"/>
    </row>
    <row r="770" spans="99:99" ht="14.25" customHeight="1" x14ac:dyDescent="0.2">
      <c r="CU770" s="154"/>
    </row>
    <row r="771" spans="99:99" ht="14.25" customHeight="1" x14ac:dyDescent="0.2">
      <c r="CU771" s="154"/>
    </row>
    <row r="772" spans="99:99" ht="14.25" customHeight="1" x14ac:dyDescent="0.2">
      <c r="CU772" s="154"/>
    </row>
    <row r="773" spans="99:99" ht="14.25" customHeight="1" x14ac:dyDescent="0.2">
      <c r="CU773" s="154"/>
    </row>
    <row r="774" spans="99:99" ht="14.25" customHeight="1" x14ac:dyDescent="0.2">
      <c r="CU774" s="154"/>
    </row>
    <row r="775" spans="99:99" ht="14.25" customHeight="1" x14ac:dyDescent="0.2">
      <c r="CU775" s="154"/>
    </row>
    <row r="776" spans="99:99" ht="14.25" customHeight="1" x14ac:dyDescent="0.2">
      <c r="CU776" s="154"/>
    </row>
    <row r="777" spans="99:99" ht="14.25" customHeight="1" x14ac:dyDescent="0.2">
      <c r="CU777" s="154"/>
    </row>
    <row r="778" spans="99:99" ht="14.25" customHeight="1" x14ac:dyDescent="0.2">
      <c r="CU778" s="154"/>
    </row>
    <row r="779" spans="99:99" ht="14.25" customHeight="1" x14ac:dyDescent="0.2">
      <c r="CU779" s="154"/>
    </row>
    <row r="780" spans="99:99" ht="14.25" customHeight="1" x14ac:dyDescent="0.2">
      <c r="CU780" s="154"/>
    </row>
    <row r="781" spans="99:99" ht="14.25" customHeight="1" x14ac:dyDescent="0.2">
      <c r="CU781" s="154"/>
    </row>
    <row r="782" spans="99:99" ht="14.25" customHeight="1" x14ac:dyDescent="0.2">
      <c r="CU782" s="154"/>
    </row>
    <row r="783" spans="99:99" ht="14.25" customHeight="1" x14ac:dyDescent="0.2">
      <c r="CU783" s="154"/>
    </row>
    <row r="784" spans="99:99" ht="14.25" customHeight="1" x14ac:dyDescent="0.2">
      <c r="CU784" s="154"/>
    </row>
    <row r="785" spans="99:99" ht="14.25" customHeight="1" x14ac:dyDescent="0.2">
      <c r="CU785" s="154"/>
    </row>
    <row r="786" spans="99:99" ht="14.25" customHeight="1" x14ac:dyDescent="0.2">
      <c r="CU786" s="154"/>
    </row>
    <row r="787" spans="99:99" ht="14.25" customHeight="1" x14ac:dyDescent="0.2">
      <c r="CU787" s="154"/>
    </row>
    <row r="788" spans="99:99" ht="14.25" customHeight="1" x14ac:dyDescent="0.2">
      <c r="CU788" s="154"/>
    </row>
    <row r="789" spans="99:99" ht="14.25" customHeight="1" x14ac:dyDescent="0.2">
      <c r="CU789" s="154"/>
    </row>
    <row r="790" spans="99:99" ht="14.25" customHeight="1" x14ac:dyDescent="0.2">
      <c r="CU790" s="154"/>
    </row>
    <row r="791" spans="99:99" ht="14.25" customHeight="1" x14ac:dyDescent="0.2">
      <c r="CU791" s="154"/>
    </row>
    <row r="792" spans="99:99" ht="14.25" customHeight="1" x14ac:dyDescent="0.2">
      <c r="CU792" s="154"/>
    </row>
    <row r="793" spans="99:99" ht="14.25" customHeight="1" x14ac:dyDescent="0.2">
      <c r="CU793" s="154"/>
    </row>
    <row r="794" spans="99:99" ht="14.25" customHeight="1" x14ac:dyDescent="0.2">
      <c r="CU794" s="154"/>
    </row>
    <row r="795" spans="99:99" ht="14.25" customHeight="1" x14ac:dyDescent="0.2">
      <c r="CU795" s="154"/>
    </row>
    <row r="796" spans="99:99" ht="14.25" customHeight="1" x14ac:dyDescent="0.2">
      <c r="CU796" s="154"/>
    </row>
    <row r="797" spans="99:99" ht="14.25" customHeight="1" x14ac:dyDescent="0.2">
      <c r="CU797" s="154"/>
    </row>
    <row r="798" spans="99:99" ht="14.25" customHeight="1" x14ac:dyDescent="0.2">
      <c r="CU798" s="154"/>
    </row>
    <row r="799" spans="99:99" ht="14.25" customHeight="1" x14ac:dyDescent="0.2">
      <c r="CU799" s="154"/>
    </row>
    <row r="800" spans="99:99" ht="14.25" customHeight="1" x14ac:dyDescent="0.2">
      <c r="CU800" s="154"/>
    </row>
    <row r="801" spans="99:99" ht="14.25" customHeight="1" x14ac:dyDescent="0.2">
      <c r="CU801" s="154"/>
    </row>
    <row r="802" spans="99:99" ht="14.25" customHeight="1" x14ac:dyDescent="0.2">
      <c r="CU802" s="154"/>
    </row>
    <row r="803" spans="99:99" ht="14.25" customHeight="1" x14ac:dyDescent="0.2">
      <c r="CU803" s="154"/>
    </row>
    <row r="804" spans="99:99" ht="14.25" customHeight="1" x14ac:dyDescent="0.2">
      <c r="CU804" s="154"/>
    </row>
    <row r="805" spans="99:99" ht="14.25" customHeight="1" x14ac:dyDescent="0.2">
      <c r="CU805" s="154"/>
    </row>
    <row r="806" spans="99:99" ht="14.25" customHeight="1" x14ac:dyDescent="0.2">
      <c r="CU806" s="154"/>
    </row>
    <row r="807" spans="99:99" ht="14.25" customHeight="1" x14ac:dyDescent="0.2">
      <c r="CU807" s="154"/>
    </row>
    <row r="808" spans="99:99" ht="14.25" customHeight="1" x14ac:dyDescent="0.2">
      <c r="CU808" s="154"/>
    </row>
    <row r="809" spans="99:99" ht="14.25" customHeight="1" x14ac:dyDescent="0.2">
      <c r="CU809" s="154"/>
    </row>
    <row r="810" spans="99:99" ht="14.25" customHeight="1" x14ac:dyDescent="0.2">
      <c r="CU810" s="154"/>
    </row>
    <row r="811" spans="99:99" ht="14.25" customHeight="1" x14ac:dyDescent="0.2">
      <c r="CU811" s="154"/>
    </row>
    <row r="812" spans="99:99" ht="14.25" customHeight="1" x14ac:dyDescent="0.2">
      <c r="CU812" s="154"/>
    </row>
    <row r="813" spans="99:99" ht="14.25" customHeight="1" x14ac:dyDescent="0.2">
      <c r="CU813" s="154"/>
    </row>
    <row r="814" spans="99:99" ht="14.25" customHeight="1" x14ac:dyDescent="0.2">
      <c r="CU814" s="154"/>
    </row>
    <row r="815" spans="99:99" ht="14.25" customHeight="1" x14ac:dyDescent="0.2">
      <c r="CU815" s="154"/>
    </row>
    <row r="816" spans="99:99" ht="14.25" customHeight="1" x14ac:dyDescent="0.2">
      <c r="CU816" s="154"/>
    </row>
    <row r="817" spans="99:99" ht="14.25" customHeight="1" x14ac:dyDescent="0.2">
      <c r="CU817" s="154"/>
    </row>
    <row r="818" spans="99:99" ht="14.25" customHeight="1" x14ac:dyDescent="0.2">
      <c r="CU818" s="154"/>
    </row>
    <row r="819" spans="99:99" ht="14.25" customHeight="1" x14ac:dyDescent="0.2">
      <c r="CU819" s="154"/>
    </row>
    <row r="820" spans="99:99" ht="14.25" customHeight="1" x14ac:dyDescent="0.2">
      <c r="CU820" s="154"/>
    </row>
    <row r="821" spans="99:99" ht="14.25" customHeight="1" x14ac:dyDescent="0.2">
      <c r="CU821" s="154"/>
    </row>
    <row r="822" spans="99:99" ht="14.25" customHeight="1" x14ac:dyDescent="0.2">
      <c r="CU822" s="154"/>
    </row>
    <row r="823" spans="99:99" ht="14.25" customHeight="1" x14ac:dyDescent="0.2">
      <c r="CU823" s="154"/>
    </row>
    <row r="824" spans="99:99" ht="14.25" customHeight="1" x14ac:dyDescent="0.2">
      <c r="CU824" s="154"/>
    </row>
    <row r="825" spans="99:99" ht="14.25" customHeight="1" x14ac:dyDescent="0.2">
      <c r="CU825" s="154"/>
    </row>
    <row r="826" spans="99:99" ht="14.25" customHeight="1" x14ac:dyDescent="0.2">
      <c r="CU826" s="154"/>
    </row>
    <row r="827" spans="99:99" ht="14.25" customHeight="1" x14ac:dyDescent="0.2">
      <c r="CU827" s="154"/>
    </row>
    <row r="828" spans="99:99" ht="14.25" customHeight="1" x14ac:dyDescent="0.2">
      <c r="CU828" s="154"/>
    </row>
    <row r="829" spans="99:99" ht="14.25" customHeight="1" x14ac:dyDescent="0.2">
      <c r="CU829" s="154"/>
    </row>
    <row r="830" spans="99:99" ht="14.25" customHeight="1" x14ac:dyDescent="0.2">
      <c r="CU830" s="154"/>
    </row>
    <row r="831" spans="99:99" ht="14.25" customHeight="1" x14ac:dyDescent="0.2">
      <c r="CU831" s="154"/>
    </row>
    <row r="832" spans="99:99" ht="14.25" customHeight="1" x14ac:dyDescent="0.2">
      <c r="CU832" s="154"/>
    </row>
    <row r="833" spans="99:99" ht="14.25" customHeight="1" x14ac:dyDescent="0.2">
      <c r="CU833" s="154"/>
    </row>
    <row r="834" spans="99:99" ht="14.25" customHeight="1" x14ac:dyDescent="0.2">
      <c r="CU834" s="154"/>
    </row>
    <row r="835" spans="99:99" ht="14.25" customHeight="1" x14ac:dyDescent="0.2">
      <c r="CU835" s="154"/>
    </row>
    <row r="836" spans="99:99" ht="14.25" customHeight="1" x14ac:dyDescent="0.2">
      <c r="CU836" s="154"/>
    </row>
    <row r="837" spans="99:99" ht="14.25" customHeight="1" x14ac:dyDescent="0.2">
      <c r="CU837" s="154"/>
    </row>
    <row r="838" spans="99:99" ht="14.25" customHeight="1" x14ac:dyDescent="0.2">
      <c r="CU838" s="154"/>
    </row>
    <row r="839" spans="99:99" ht="14.25" customHeight="1" x14ac:dyDescent="0.2">
      <c r="CU839" s="154"/>
    </row>
    <row r="840" spans="99:99" ht="14.25" customHeight="1" x14ac:dyDescent="0.2">
      <c r="CU840" s="154"/>
    </row>
    <row r="841" spans="99:99" ht="14.25" customHeight="1" x14ac:dyDescent="0.2">
      <c r="CU841" s="154"/>
    </row>
    <row r="842" spans="99:99" ht="14.25" customHeight="1" x14ac:dyDescent="0.2">
      <c r="CU842" s="154"/>
    </row>
    <row r="843" spans="99:99" ht="14.25" customHeight="1" x14ac:dyDescent="0.2">
      <c r="CU843" s="154"/>
    </row>
    <row r="844" spans="99:99" ht="14.25" customHeight="1" x14ac:dyDescent="0.2">
      <c r="CU844" s="154"/>
    </row>
    <row r="845" spans="99:99" ht="14.25" customHeight="1" x14ac:dyDescent="0.2">
      <c r="CU845" s="154"/>
    </row>
    <row r="846" spans="99:99" ht="14.25" customHeight="1" x14ac:dyDescent="0.2">
      <c r="CU846" s="154"/>
    </row>
    <row r="847" spans="99:99" ht="14.25" customHeight="1" x14ac:dyDescent="0.2">
      <c r="CU847" s="154"/>
    </row>
    <row r="848" spans="99:99" ht="14.25" customHeight="1" x14ac:dyDescent="0.2">
      <c r="CU848" s="154"/>
    </row>
    <row r="849" spans="99:99" ht="14.25" customHeight="1" x14ac:dyDescent="0.2">
      <c r="CU849" s="154"/>
    </row>
    <row r="850" spans="99:99" ht="14.25" customHeight="1" x14ac:dyDescent="0.2">
      <c r="CU850" s="154"/>
    </row>
    <row r="851" spans="99:99" ht="14.25" customHeight="1" x14ac:dyDescent="0.2">
      <c r="CU851" s="154"/>
    </row>
    <row r="852" spans="99:99" ht="14.25" customHeight="1" x14ac:dyDescent="0.2">
      <c r="CU852" s="154"/>
    </row>
    <row r="853" spans="99:99" ht="14.25" customHeight="1" x14ac:dyDescent="0.2">
      <c r="CU853" s="154"/>
    </row>
    <row r="854" spans="99:99" ht="14.25" customHeight="1" x14ac:dyDescent="0.2">
      <c r="CU854" s="154"/>
    </row>
    <row r="855" spans="99:99" ht="14.25" customHeight="1" x14ac:dyDescent="0.2">
      <c r="CU855" s="154"/>
    </row>
    <row r="856" spans="99:99" ht="14.25" customHeight="1" x14ac:dyDescent="0.2">
      <c r="CU856" s="154"/>
    </row>
    <row r="857" spans="99:99" ht="14.25" customHeight="1" x14ac:dyDescent="0.2">
      <c r="CU857" s="154"/>
    </row>
    <row r="858" spans="99:99" ht="14.25" customHeight="1" x14ac:dyDescent="0.2">
      <c r="CU858" s="154"/>
    </row>
    <row r="859" spans="99:99" ht="14.25" customHeight="1" x14ac:dyDescent="0.2">
      <c r="CU859" s="154"/>
    </row>
    <row r="860" spans="99:99" ht="14.25" customHeight="1" x14ac:dyDescent="0.2">
      <c r="CU860" s="154"/>
    </row>
    <row r="861" spans="99:99" ht="14.25" customHeight="1" x14ac:dyDescent="0.2">
      <c r="CU861" s="154"/>
    </row>
    <row r="862" spans="99:99" ht="14.25" customHeight="1" x14ac:dyDescent="0.2">
      <c r="CU862" s="154"/>
    </row>
    <row r="863" spans="99:99" ht="14.25" customHeight="1" x14ac:dyDescent="0.2">
      <c r="CU863" s="154"/>
    </row>
    <row r="864" spans="99:99" ht="14.25" customHeight="1" x14ac:dyDescent="0.2">
      <c r="CU864" s="154"/>
    </row>
    <row r="865" spans="99:99" ht="14.25" customHeight="1" x14ac:dyDescent="0.2">
      <c r="CU865" s="154"/>
    </row>
    <row r="866" spans="99:99" ht="14.25" customHeight="1" x14ac:dyDescent="0.2">
      <c r="CU866" s="154"/>
    </row>
    <row r="867" spans="99:99" ht="14.25" customHeight="1" x14ac:dyDescent="0.2">
      <c r="CU867" s="154"/>
    </row>
    <row r="868" spans="99:99" ht="14.25" customHeight="1" x14ac:dyDescent="0.2">
      <c r="CU868" s="154"/>
    </row>
    <row r="869" spans="99:99" ht="14.25" customHeight="1" x14ac:dyDescent="0.2">
      <c r="CU869" s="154"/>
    </row>
    <row r="870" spans="99:99" ht="14.25" customHeight="1" x14ac:dyDescent="0.2">
      <c r="CU870" s="154"/>
    </row>
    <row r="871" spans="99:99" ht="14.25" customHeight="1" x14ac:dyDescent="0.2">
      <c r="CU871" s="154"/>
    </row>
    <row r="872" spans="99:99" ht="14.25" customHeight="1" x14ac:dyDescent="0.2">
      <c r="CU872" s="154"/>
    </row>
    <row r="873" spans="99:99" ht="14.25" customHeight="1" x14ac:dyDescent="0.2">
      <c r="CU873" s="154"/>
    </row>
    <row r="874" spans="99:99" ht="14.25" customHeight="1" x14ac:dyDescent="0.2">
      <c r="CU874" s="154"/>
    </row>
    <row r="875" spans="99:99" ht="14.25" customHeight="1" x14ac:dyDescent="0.2">
      <c r="CU875" s="154"/>
    </row>
    <row r="876" spans="99:99" ht="14.25" customHeight="1" x14ac:dyDescent="0.2">
      <c r="CU876" s="154"/>
    </row>
    <row r="877" spans="99:99" ht="14.25" customHeight="1" x14ac:dyDescent="0.2">
      <c r="CU877" s="154"/>
    </row>
    <row r="878" spans="99:99" ht="14.25" customHeight="1" x14ac:dyDescent="0.2">
      <c r="CU878" s="154"/>
    </row>
    <row r="879" spans="99:99" ht="14.25" customHeight="1" x14ac:dyDescent="0.2">
      <c r="CU879" s="154"/>
    </row>
    <row r="880" spans="99:99" ht="14.25" customHeight="1" x14ac:dyDescent="0.2">
      <c r="CU880" s="154"/>
    </row>
    <row r="881" spans="99:99" ht="14.25" customHeight="1" x14ac:dyDescent="0.2">
      <c r="CU881" s="154"/>
    </row>
    <row r="882" spans="99:99" ht="14.25" customHeight="1" x14ac:dyDescent="0.2">
      <c r="CU882" s="154"/>
    </row>
    <row r="883" spans="99:99" ht="14.25" customHeight="1" x14ac:dyDescent="0.2">
      <c r="CU883" s="154"/>
    </row>
    <row r="884" spans="99:99" ht="14.25" customHeight="1" x14ac:dyDescent="0.2">
      <c r="CU884" s="154"/>
    </row>
    <row r="885" spans="99:99" ht="14.25" customHeight="1" x14ac:dyDescent="0.2">
      <c r="CU885" s="154"/>
    </row>
    <row r="886" spans="99:99" ht="14.25" customHeight="1" x14ac:dyDescent="0.2">
      <c r="CU886" s="154"/>
    </row>
    <row r="887" spans="99:99" ht="14.25" customHeight="1" x14ac:dyDescent="0.2">
      <c r="CU887" s="154"/>
    </row>
    <row r="888" spans="99:99" ht="14.25" customHeight="1" x14ac:dyDescent="0.2">
      <c r="CU888" s="154"/>
    </row>
    <row r="889" spans="99:99" ht="14.25" customHeight="1" x14ac:dyDescent="0.2">
      <c r="CU889" s="154"/>
    </row>
    <row r="890" spans="99:99" ht="14.25" customHeight="1" x14ac:dyDescent="0.2">
      <c r="CU890" s="154"/>
    </row>
    <row r="891" spans="99:99" ht="14.25" customHeight="1" x14ac:dyDescent="0.2">
      <c r="CU891" s="154"/>
    </row>
    <row r="892" spans="99:99" ht="14.25" customHeight="1" x14ac:dyDescent="0.2">
      <c r="CU892" s="154"/>
    </row>
    <row r="893" spans="99:99" ht="14.25" customHeight="1" x14ac:dyDescent="0.2">
      <c r="CU893" s="154"/>
    </row>
    <row r="894" spans="99:99" ht="14.25" customHeight="1" x14ac:dyDescent="0.2">
      <c r="CU894" s="154"/>
    </row>
    <row r="895" spans="99:99" ht="14.25" customHeight="1" x14ac:dyDescent="0.2">
      <c r="CU895" s="154"/>
    </row>
    <row r="896" spans="99:99" ht="14.25" customHeight="1" x14ac:dyDescent="0.2">
      <c r="CU896" s="154"/>
    </row>
    <row r="897" spans="99:99" ht="14.25" customHeight="1" x14ac:dyDescent="0.2">
      <c r="CU897" s="154"/>
    </row>
    <row r="898" spans="99:99" ht="14.25" customHeight="1" x14ac:dyDescent="0.2">
      <c r="CU898" s="154"/>
    </row>
    <row r="899" spans="99:99" ht="14.25" customHeight="1" x14ac:dyDescent="0.2">
      <c r="CU899" s="154"/>
    </row>
    <row r="900" spans="99:99" ht="14.25" customHeight="1" x14ac:dyDescent="0.2">
      <c r="CU900" s="154"/>
    </row>
    <row r="901" spans="99:99" ht="14.25" customHeight="1" x14ac:dyDescent="0.2">
      <c r="CU901" s="154"/>
    </row>
    <row r="902" spans="99:99" ht="14.25" customHeight="1" x14ac:dyDescent="0.2">
      <c r="CU902" s="154"/>
    </row>
    <row r="903" spans="99:99" ht="14.25" customHeight="1" x14ac:dyDescent="0.2">
      <c r="CU903" s="154"/>
    </row>
    <row r="904" spans="99:99" ht="14.25" customHeight="1" x14ac:dyDescent="0.2">
      <c r="CU904" s="154"/>
    </row>
    <row r="905" spans="99:99" ht="14.25" customHeight="1" x14ac:dyDescent="0.2">
      <c r="CU905" s="154"/>
    </row>
    <row r="906" spans="99:99" ht="14.25" customHeight="1" x14ac:dyDescent="0.2">
      <c r="CU906" s="154"/>
    </row>
    <row r="907" spans="99:99" ht="14.25" customHeight="1" x14ac:dyDescent="0.2">
      <c r="CU907" s="154"/>
    </row>
    <row r="908" spans="99:99" ht="14.25" customHeight="1" x14ac:dyDescent="0.2">
      <c r="CU908" s="154"/>
    </row>
    <row r="909" spans="99:99" ht="14.25" customHeight="1" x14ac:dyDescent="0.2">
      <c r="CU909" s="154"/>
    </row>
    <row r="910" spans="99:99" ht="14.25" customHeight="1" x14ac:dyDescent="0.2">
      <c r="CU910" s="154"/>
    </row>
    <row r="911" spans="99:99" ht="14.25" customHeight="1" x14ac:dyDescent="0.2">
      <c r="CU911" s="154"/>
    </row>
    <row r="912" spans="99:99" ht="14.25" customHeight="1" x14ac:dyDescent="0.2">
      <c r="CU912" s="154"/>
    </row>
    <row r="913" spans="99:99" ht="14.25" customHeight="1" x14ac:dyDescent="0.2">
      <c r="CU913" s="154"/>
    </row>
    <row r="914" spans="99:99" ht="14.25" customHeight="1" x14ac:dyDescent="0.2">
      <c r="CU914" s="154"/>
    </row>
    <row r="915" spans="99:99" ht="14.25" customHeight="1" x14ac:dyDescent="0.2">
      <c r="CU915" s="154"/>
    </row>
    <row r="916" spans="99:99" ht="14.25" customHeight="1" x14ac:dyDescent="0.2">
      <c r="CU916" s="154"/>
    </row>
    <row r="917" spans="99:99" ht="14.25" customHeight="1" x14ac:dyDescent="0.2">
      <c r="CU917" s="154"/>
    </row>
    <row r="918" spans="99:99" ht="14.25" customHeight="1" x14ac:dyDescent="0.2">
      <c r="CU918" s="154"/>
    </row>
    <row r="919" spans="99:99" ht="14.25" customHeight="1" x14ac:dyDescent="0.2">
      <c r="CU919" s="154"/>
    </row>
    <row r="920" spans="99:99" ht="14.25" customHeight="1" x14ac:dyDescent="0.2">
      <c r="CU920" s="154"/>
    </row>
    <row r="921" spans="99:99" ht="14.25" customHeight="1" x14ac:dyDescent="0.2">
      <c r="CU921" s="154"/>
    </row>
    <row r="922" spans="99:99" ht="14.25" customHeight="1" x14ac:dyDescent="0.2">
      <c r="CU922" s="154"/>
    </row>
    <row r="923" spans="99:99" ht="14.25" customHeight="1" x14ac:dyDescent="0.2">
      <c r="CU923" s="154"/>
    </row>
    <row r="924" spans="99:99" ht="14.25" customHeight="1" x14ac:dyDescent="0.2">
      <c r="CU924" s="154"/>
    </row>
    <row r="925" spans="99:99" ht="14.25" customHeight="1" x14ac:dyDescent="0.2">
      <c r="CU925" s="154"/>
    </row>
    <row r="926" spans="99:99" ht="14.25" customHeight="1" x14ac:dyDescent="0.2">
      <c r="CU926" s="154"/>
    </row>
    <row r="927" spans="99:99" ht="14.25" customHeight="1" x14ac:dyDescent="0.2">
      <c r="CU927" s="154"/>
    </row>
    <row r="928" spans="99:99" ht="14.25" customHeight="1" x14ac:dyDescent="0.2">
      <c r="CU928" s="154"/>
    </row>
    <row r="929" spans="99:99" ht="14.25" customHeight="1" x14ac:dyDescent="0.2">
      <c r="CU929" s="154"/>
    </row>
    <row r="930" spans="99:99" ht="14.25" customHeight="1" x14ac:dyDescent="0.2">
      <c r="CU930" s="154"/>
    </row>
    <row r="931" spans="99:99" ht="14.25" customHeight="1" x14ac:dyDescent="0.2">
      <c r="CU931" s="154"/>
    </row>
    <row r="932" spans="99:99" ht="14.25" customHeight="1" x14ac:dyDescent="0.2">
      <c r="CU932" s="154"/>
    </row>
    <row r="933" spans="99:99" ht="14.25" customHeight="1" x14ac:dyDescent="0.2">
      <c r="CU933" s="154"/>
    </row>
    <row r="934" spans="99:99" ht="14.25" customHeight="1" x14ac:dyDescent="0.2">
      <c r="CU934" s="154"/>
    </row>
    <row r="935" spans="99:99" ht="14.25" customHeight="1" x14ac:dyDescent="0.2">
      <c r="CU935" s="154"/>
    </row>
    <row r="936" spans="99:99" ht="14.25" customHeight="1" x14ac:dyDescent="0.2">
      <c r="CU936" s="154"/>
    </row>
    <row r="937" spans="99:99" ht="14.25" customHeight="1" x14ac:dyDescent="0.2">
      <c r="CU937" s="154"/>
    </row>
    <row r="938" spans="99:99" ht="14.25" customHeight="1" x14ac:dyDescent="0.2">
      <c r="CU938" s="154"/>
    </row>
    <row r="939" spans="99:99" ht="14.25" customHeight="1" x14ac:dyDescent="0.2">
      <c r="CU939" s="154"/>
    </row>
    <row r="940" spans="99:99" ht="14.25" customHeight="1" x14ac:dyDescent="0.2">
      <c r="CU940" s="154"/>
    </row>
    <row r="941" spans="99:99" ht="14.25" customHeight="1" x14ac:dyDescent="0.2">
      <c r="CU941" s="154"/>
    </row>
    <row r="942" spans="99:99" ht="14.25" customHeight="1" x14ac:dyDescent="0.2">
      <c r="CU942" s="154"/>
    </row>
    <row r="943" spans="99:99" ht="14.25" customHeight="1" x14ac:dyDescent="0.2">
      <c r="CU943" s="154"/>
    </row>
    <row r="944" spans="99:99" ht="14.25" customHeight="1" x14ac:dyDescent="0.2">
      <c r="CU944" s="154"/>
    </row>
    <row r="945" spans="99:99" ht="14.25" customHeight="1" x14ac:dyDescent="0.2">
      <c r="CU945" s="154"/>
    </row>
    <row r="946" spans="99:99" ht="14.25" customHeight="1" x14ac:dyDescent="0.2">
      <c r="CU946" s="154"/>
    </row>
    <row r="947" spans="99:99" ht="14.25" customHeight="1" x14ac:dyDescent="0.2">
      <c r="CU947" s="154"/>
    </row>
    <row r="948" spans="99:99" ht="14.25" customHeight="1" x14ac:dyDescent="0.2">
      <c r="CU948" s="154"/>
    </row>
    <row r="949" spans="99:99" ht="14.25" customHeight="1" x14ac:dyDescent="0.2">
      <c r="CU949" s="154"/>
    </row>
    <row r="950" spans="99:99" ht="14.25" customHeight="1" x14ac:dyDescent="0.2">
      <c r="CU950" s="154"/>
    </row>
    <row r="951" spans="99:99" ht="14.25" customHeight="1" x14ac:dyDescent="0.2">
      <c r="CU951" s="154"/>
    </row>
    <row r="952" spans="99:99" ht="14.25" customHeight="1" x14ac:dyDescent="0.2">
      <c r="CU952" s="154"/>
    </row>
    <row r="953" spans="99:99" ht="14.25" customHeight="1" x14ac:dyDescent="0.2">
      <c r="CU953" s="154"/>
    </row>
    <row r="954" spans="99:99" ht="14.25" customHeight="1" x14ac:dyDescent="0.2">
      <c r="CU954" s="154"/>
    </row>
    <row r="955" spans="99:99" ht="14.25" customHeight="1" x14ac:dyDescent="0.2">
      <c r="CU955" s="154"/>
    </row>
    <row r="956" spans="99:99" ht="14.25" customHeight="1" x14ac:dyDescent="0.2">
      <c r="CU956" s="154"/>
    </row>
    <row r="957" spans="99:99" ht="14.25" customHeight="1" x14ac:dyDescent="0.2">
      <c r="CU957" s="154"/>
    </row>
    <row r="958" spans="99:99" ht="14.25" customHeight="1" x14ac:dyDescent="0.2">
      <c r="CU958" s="154"/>
    </row>
    <row r="959" spans="99:99" ht="14.25" customHeight="1" x14ac:dyDescent="0.2">
      <c r="CU959" s="154"/>
    </row>
    <row r="960" spans="99:99" ht="14.25" customHeight="1" x14ac:dyDescent="0.2">
      <c r="CU960" s="154"/>
    </row>
    <row r="961" spans="99:99" ht="14.25" customHeight="1" x14ac:dyDescent="0.2">
      <c r="CU961" s="154"/>
    </row>
    <row r="962" spans="99:99" ht="14.25" customHeight="1" x14ac:dyDescent="0.2">
      <c r="CU962" s="154"/>
    </row>
    <row r="963" spans="99:99" ht="14.25" customHeight="1" x14ac:dyDescent="0.2">
      <c r="CU963" s="154"/>
    </row>
    <row r="964" spans="99:99" ht="14.25" customHeight="1" x14ac:dyDescent="0.2">
      <c r="CU964" s="154"/>
    </row>
    <row r="965" spans="99:99" ht="14.25" customHeight="1" x14ac:dyDescent="0.2">
      <c r="CU965" s="154"/>
    </row>
    <row r="966" spans="99:99" ht="14.25" customHeight="1" x14ac:dyDescent="0.2">
      <c r="CU966" s="154"/>
    </row>
    <row r="967" spans="99:99" ht="14.25" customHeight="1" x14ac:dyDescent="0.2">
      <c r="CU967" s="154"/>
    </row>
    <row r="968" spans="99:99" ht="14.25" customHeight="1" x14ac:dyDescent="0.2">
      <c r="CU968" s="154"/>
    </row>
    <row r="969" spans="99:99" ht="14.25" customHeight="1" x14ac:dyDescent="0.2">
      <c r="CU969" s="154"/>
    </row>
    <row r="970" spans="99:99" ht="14.25" customHeight="1" x14ac:dyDescent="0.2">
      <c r="CU970" s="154"/>
    </row>
    <row r="971" spans="99:99" ht="14.25" customHeight="1" x14ac:dyDescent="0.2">
      <c r="CU971" s="154"/>
    </row>
    <row r="972" spans="99:99" ht="14.25" customHeight="1" x14ac:dyDescent="0.2">
      <c r="CU972" s="154"/>
    </row>
    <row r="973" spans="99:99" ht="14.25" customHeight="1" x14ac:dyDescent="0.2">
      <c r="CU973" s="154"/>
    </row>
    <row r="974" spans="99:99" ht="14.25" customHeight="1" x14ac:dyDescent="0.2">
      <c r="CU974" s="154"/>
    </row>
    <row r="975" spans="99:99" ht="14.25" customHeight="1" x14ac:dyDescent="0.2">
      <c r="CU975" s="154"/>
    </row>
    <row r="976" spans="99:99" ht="14.25" customHeight="1" x14ac:dyDescent="0.2">
      <c r="CU976" s="154"/>
    </row>
    <row r="977" spans="99:99" ht="14.25" customHeight="1" x14ac:dyDescent="0.2">
      <c r="CU977" s="154"/>
    </row>
    <row r="978" spans="99:99" ht="14.25" customHeight="1" x14ac:dyDescent="0.2">
      <c r="CU978" s="154"/>
    </row>
    <row r="979" spans="99:99" ht="14.25" customHeight="1" x14ac:dyDescent="0.2">
      <c r="CU979" s="154"/>
    </row>
    <row r="980" spans="99:99" ht="14.25" customHeight="1" x14ac:dyDescent="0.2">
      <c r="CU980" s="154"/>
    </row>
    <row r="981" spans="99:99" ht="14.25" customHeight="1" x14ac:dyDescent="0.2">
      <c r="CU981" s="154"/>
    </row>
    <row r="982" spans="99:99" ht="14.25" customHeight="1" x14ac:dyDescent="0.2">
      <c r="CU982" s="154"/>
    </row>
    <row r="983" spans="99:99" ht="14.25" customHeight="1" x14ac:dyDescent="0.2">
      <c r="CU983" s="154"/>
    </row>
    <row r="984" spans="99:99" ht="14.25" customHeight="1" x14ac:dyDescent="0.2">
      <c r="CU984" s="154"/>
    </row>
    <row r="985" spans="99:99" ht="14.25" customHeight="1" x14ac:dyDescent="0.2">
      <c r="CU985" s="154"/>
    </row>
    <row r="986" spans="99:99" ht="14.25" customHeight="1" x14ac:dyDescent="0.2">
      <c r="CU986" s="154"/>
    </row>
    <row r="987" spans="99:99" ht="14.25" customHeight="1" x14ac:dyDescent="0.2">
      <c r="CU987" s="154"/>
    </row>
    <row r="988" spans="99:99" ht="14.25" customHeight="1" x14ac:dyDescent="0.2">
      <c r="CU988" s="154"/>
    </row>
    <row r="989" spans="99:99" ht="14.25" customHeight="1" x14ac:dyDescent="0.2">
      <c r="CU989" s="154"/>
    </row>
    <row r="990" spans="99:99" ht="14.25" customHeight="1" x14ac:dyDescent="0.2">
      <c r="CU990" s="154"/>
    </row>
    <row r="991" spans="99:99" ht="14.25" customHeight="1" x14ac:dyDescent="0.2">
      <c r="CU991" s="154"/>
    </row>
    <row r="992" spans="99:99" ht="14.25" customHeight="1" x14ac:dyDescent="0.2">
      <c r="CU992" s="154"/>
    </row>
    <row r="993" spans="99:99" ht="14.25" customHeight="1" x14ac:dyDescent="0.2">
      <c r="CU993" s="154"/>
    </row>
    <row r="994" spans="99:99" ht="14.25" customHeight="1" x14ac:dyDescent="0.2">
      <c r="CU994" s="154"/>
    </row>
    <row r="995" spans="99:99" ht="14.25" customHeight="1" x14ac:dyDescent="0.2">
      <c r="CU995" s="154"/>
    </row>
    <row r="996" spans="99:99" ht="14.25" customHeight="1" x14ac:dyDescent="0.2">
      <c r="CU996" s="154"/>
    </row>
    <row r="997" spans="99:99" ht="14.25" customHeight="1" x14ac:dyDescent="0.2">
      <c r="CU997" s="154"/>
    </row>
    <row r="998" spans="99:99" ht="14.25" customHeight="1" x14ac:dyDescent="0.2">
      <c r="CU998" s="154"/>
    </row>
    <row r="999" spans="99:99" ht="14.25" customHeight="1" x14ac:dyDescent="0.2">
      <c r="CU999" s="154"/>
    </row>
    <row r="1000" spans="99:99" ht="14.25" customHeight="1" x14ac:dyDescent="0.2">
      <c r="CU1000" s="154"/>
    </row>
  </sheetData>
  <mergeCells count="25">
    <mergeCell ref="BP2:BV2"/>
    <mergeCell ref="BW2:CC2"/>
    <mergeCell ref="CD2:CJ2"/>
    <mergeCell ref="B2:K2"/>
    <mergeCell ref="L2:R2"/>
    <mergeCell ref="S2:Y2"/>
    <mergeCell ref="Z2:AF2"/>
    <mergeCell ref="AG2:AM2"/>
    <mergeCell ref="AN2:AT2"/>
    <mergeCell ref="BW60:CC60"/>
    <mergeCell ref="CD60:CJ60"/>
    <mergeCell ref="CK60:CQ60"/>
    <mergeCell ref="CK2:CQ2"/>
    <mergeCell ref="L60:R60"/>
    <mergeCell ref="S60:Y60"/>
    <mergeCell ref="Z60:AF60"/>
    <mergeCell ref="AG60:AM60"/>
    <mergeCell ref="AN60:AT60"/>
    <mergeCell ref="AU60:BA60"/>
    <mergeCell ref="BB60:BH60"/>
    <mergeCell ref="BI60:BO60"/>
    <mergeCell ref="BP60:BV60"/>
    <mergeCell ref="AU2:BA2"/>
    <mergeCell ref="BB2:BH2"/>
    <mergeCell ref="BI2:BO2"/>
  </mergeCells>
  <printOptions horizontalCentered="1"/>
  <pageMargins left="9.8425196850393706E-2" right="9.8425196850393706E-2" top="0.59055118110236227" bottom="0.39370078740157483" header="0" footer="0"/>
  <pageSetup paperSize="9" scale="43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35B7F-DE22-D54F-8FA8-BA58BBEEFE51}">
  <sheetPr>
    <pageSetUpPr fitToPage="1"/>
  </sheetPr>
  <dimension ref="A1:CW1000"/>
  <sheetViews>
    <sheetView tabSelected="1" zoomScale="70" zoomScaleNormal="70" workbookViewId="0">
      <pane xSplit="1" ySplit="3" topLeftCell="B17" activePane="bottomRight" state="frozen"/>
      <selection pane="topRight" activeCell="B1" sqref="B1"/>
      <selection pane="bottomLeft" activeCell="A4" sqref="A4"/>
      <selection pane="bottomRight" activeCell="C58" sqref="C58"/>
    </sheetView>
  </sheetViews>
  <sheetFormatPr baseColWidth="10" defaultColWidth="14.5" defaultRowHeight="15" customHeight="1" x14ac:dyDescent="0.2"/>
  <cols>
    <col min="1" max="1" width="32.33203125" customWidth="1"/>
    <col min="2" max="30" width="11.5" customWidth="1"/>
    <col min="31" max="31" width="11.83203125" bestFit="1" customWidth="1"/>
    <col min="32" max="96" width="11.5" customWidth="1"/>
    <col min="97" max="97" width="9.6640625" customWidth="1"/>
    <col min="98" max="98" width="8.6640625" customWidth="1"/>
    <col min="99" max="99" width="7.33203125" customWidth="1"/>
    <col min="100" max="100" width="7.6640625" customWidth="1"/>
    <col min="101" max="101" width="31.5" customWidth="1"/>
  </cols>
  <sheetData>
    <row r="1" spans="1:101" ht="20" customHeight="1" thickBot="1" x14ac:dyDescent="0.25">
      <c r="A1" s="1" t="s">
        <v>203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259">
        <f ca="1">TODAY()</f>
        <v>45644</v>
      </c>
      <c r="CE1" s="259"/>
      <c r="CF1" s="259"/>
      <c r="CG1" s="259"/>
      <c r="CH1" s="259"/>
      <c r="CI1" s="258"/>
      <c r="CJ1" s="258"/>
      <c r="CK1" s="258"/>
      <c r="CL1" s="198"/>
      <c r="CM1" s="198"/>
      <c r="CN1" s="198"/>
      <c r="CO1" s="198"/>
      <c r="CP1" s="210"/>
      <c r="CQ1" s="210"/>
      <c r="CR1" s="145"/>
      <c r="CS1" s="4"/>
      <c r="CT1" s="4"/>
      <c r="CU1" s="4"/>
      <c r="CV1" s="4"/>
      <c r="CW1" s="4"/>
    </row>
    <row r="2" spans="1:101" ht="14.25" customHeight="1" thickBot="1" x14ac:dyDescent="0.25">
      <c r="A2" s="5"/>
      <c r="B2" s="245"/>
      <c r="C2" s="246"/>
      <c r="D2" s="246"/>
      <c r="E2" s="247"/>
      <c r="F2" s="247"/>
      <c r="G2" s="247"/>
      <c r="H2" s="247"/>
      <c r="I2" s="247"/>
      <c r="J2" s="247"/>
      <c r="K2" s="248"/>
      <c r="L2" s="245" t="s">
        <v>2</v>
      </c>
      <c r="M2" s="246"/>
      <c r="N2" s="246"/>
      <c r="O2" s="246"/>
      <c r="P2" s="246"/>
      <c r="Q2" s="247"/>
      <c r="R2" s="248"/>
      <c r="S2" s="245" t="s">
        <v>3</v>
      </c>
      <c r="T2" s="246"/>
      <c r="U2" s="246"/>
      <c r="V2" s="246"/>
      <c r="W2" s="246"/>
      <c r="X2" s="247"/>
      <c r="Y2" s="248"/>
      <c r="Z2" s="245" t="s">
        <v>4</v>
      </c>
      <c r="AA2" s="246"/>
      <c r="AB2" s="246"/>
      <c r="AC2" s="246"/>
      <c r="AD2" s="246"/>
      <c r="AE2" s="247"/>
      <c r="AF2" s="248"/>
      <c r="AG2" s="245" t="s">
        <v>5</v>
      </c>
      <c r="AH2" s="246"/>
      <c r="AI2" s="246"/>
      <c r="AJ2" s="246"/>
      <c r="AK2" s="246"/>
      <c r="AL2" s="247"/>
      <c r="AM2" s="248"/>
      <c r="AN2" s="245" t="s">
        <v>6</v>
      </c>
      <c r="AO2" s="246"/>
      <c r="AP2" s="246"/>
      <c r="AQ2" s="246"/>
      <c r="AR2" s="246"/>
      <c r="AS2" s="247"/>
      <c r="AT2" s="248"/>
      <c r="AU2" s="245" t="s">
        <v>7</v>
      </c>
      <c r="AV2" s="246"/>
      <c r="AW2" s="246"/>
      <c r="AX2" s="246"/>
      <c r="AY2" s="246"/>
      <c r="AZ2" s="247"/>
      <c r="BA2" s="248"/>
      <c r="BB2" s="245" t="s">
        <v>8</v>
      </c>
      <c r="BC2" s="246"/>
      <c r="BD2" s="246"/>
      <c r="BE2" s="246"/>
      <c r="BF2" s="246"/>
      <c r="BG2" s="247"/>
      <c r="BH2" s="248"/>
      <c r="BI2" s="245" t="s">
        <v>9</v>
      </c>
      <c r="BJ2" s="246"/>
      <c r="BK2" s="246"/>
      <c r="BL2" s="246"/>
      <c r="BM2" s="246"/>
      <c r="BN2" s="247"/>
      <c r="BO2" s="248"/>
      <c r="BP2" s="245" t="s">
        <v>10</v>
      </c>
      <c r="BQ2" s="246"/>
      <c r="BR2" s="246"/>
      <c r="BS2" s="246"/>
      <c r="BT2" s="246"/>
      <c r="BU2" s="247"/>
      <c r="BV2" s="248"/>
      <c r="BW2" s="245" t="s">
        <v>11</v>
      </c>
      <c r="BX2" s="246"/>
      <c r="BY2" s="246"/>
      <c r="BZ2" s="246"/>
      <c r="CA2" s="246"/>
      <c r="CB2" s="247"/>
      <c r="CC2" s="248"/>
      <c r="CD2" s="245" t="s">
        <v>12</v>
      </c>
      <c r="CE2" s="246"/>
      <c r="CF2" s="246"/>
      <c r="CG2" s="246"/>
      <c r="CH2" s="246"/>
      <c r="CI2" s="247"/>
      <c r="CJ2" s="248"/>
      <c r="CK2" s="245" t="s">
        <v>13</v>
      </c>
      <c r="CL2" s="246"/>
      <c r="CM2" s="246"/>
      <c r="CN2" s="246"/>
      <c r="CO2" s="246"/>
      <c r="CP2" s="247"/>
      <c r="CQ2" s="248"/>
      <c r="CR2" s="154"/>
      <c r="CS2" s="211" t="s">
        <v>204</v>
      </c>
      <c r="CT2" s="212" t="e">
        <f>+'[4]SLP+ROSA+FUNIL'!S2+'[4]STA ANA'!CT2+[4]BOA!CT2+'[4]STA MARIA'!CT2+'[4]CB I'!CY3+'[4]CB II'!CS3+[4]IG!CS3+[4]PN!CT2+[4]MJ!CS3+'[4]RB I'!CY3</f>
        <v>#VALUE!</v>
      </c>
      <c r="CU2" s="213" t="s">
        <v>205</v>
      </c>
      <c r="CV2" s="214">
        <f>+'[4]STA ANA'!CV2+[4]BOA!CV2+[4]PN!CV2+'[4]SLP+ROSA+FUNIL'!U2</f>
        <v>32751</v>
      </c>
    </row>
    <row r="3" spans="1:101" ht="45" customHeight="1" thickBot="1" x14ac:dyDescent="0.25">
      <c r="A3" s="5"/>
      <c r="B3" s="8" t="s">
        <v>14</v>
      </c>
      <c r="C3" s="9" t="s">
        <v>15</v>
      </c>
      <c r="D3" s="10" t="s">
        <v>16</v>
      </c>
      <c r="E3" s="8" t="s">
        <v>17</v>
      </c>
      <c r="F3" s="11" t="s">
        <v>18</v>
      </c>
      <c r="G3" s="12" t="s">
        <v>19</v>
      </c>
      <c r="H3" s="13" t="s">
        <v>20</v>
      </c>
      <c r="I3" s="14" t="s">
        <v>21</v>
      </c>
      <c r="J3" s="14" t="s">
        <v>22</v>
      </c>
      <c r="K3" s="15" t="s">
        <v>23</v>
      </c>
      <c r="L3" s="6" t="s">
        <v>24</v>
      </c>
      <c r="M3" s="14" t="s">
        <v>25</v>
      </c>
      <c r="N3" s="14" t="s">
        <v>26</v>
      </c>
      <c r="O3" s="14" t="s">
        <v>20</v>
      </c>
      <c r="P3" s="14" t="s">
        <v>21</v>
      </c>
      <c r="Q3" s="14" t="s">
        <v>22</v>
      </c>
      <c r="R3" s="15" t="s">
        <v>23</v>
      </c>
      <c r="S3" s="6" t="s">
        <v>24</v>
      </c>
      <c r="T3" s="14" t="s">
        <v>25</v>
      </c>
      <c r="U3" s="14" t="s">
        <v>26</v>
      </c>
      <c r="V3" s="14" t="s">
        <v>20</v>
      </c>
      <c r="W3" s="14" t="s">
        <v>21</v>
      </c>
      <c r="X3" s="14" t="s">
        <v>22</v>
      </c>
      <c r="Y3" s="15" t="s">
        <v>23</v>
      </c>
      <c r="Z3" s="6" t="s">
        <v>24</v>
      </c>
      <c r="AA3" s="14" t="s">
        <v>25</v>
      </c>
      <c r="AB3" s="14" t="s">
        <v>26</v>
      </c>
      <c r="AC3" s="14" t="s">
        <v>20</v>
      </c>
      <c r="AD3" s="14" t="s">
        <v>21</v>
      </c>
      <c r="AE3" s="14" t="s">
        <v>22</v>
      </c>
      <c r="AF3" s="15" t="s">
        <v>23</v>
      </c>
      <c r="AG3" s="6" t="s">
        <v>24</v>
      </c>
      <c r="AH3" s="14" t="s">
        <v>25</v>
      </c>
      <c r="AI3" s="14" t="s">
        <v>26</v>
      </c>
      <c r="AJ3" s="14" t="s">
        <v>20</v>
      </c>
      <c r="AK3" s="14" t="s">
        <v>21</v>
      </c>
      <c r="AL3" s="14" t="s">
        <v>22</v>
      </c>
      <c r="AM3" s="15" t="s">
        <v>23</v>
      </c>
      <c r="AN3" s="6" t="s">
        <v>24</v>
      </c>
      <c r="AO3" s="14" t="s">
        <v>25</v>
      </c>
      <c r="AP3" s="14" t="s">
        <v>26</v>
      </c>
      <c r="AQ3" s="14" t="s">
        <v>20</v>
      </c>
      <c r="AR3" s="14" t="s">
        <v>21</v>
      </c>
      <c r="AS3" s="14" t="s">
        <v>22</v>
      </c>
      <c r="AT3" s="15" t="s">
        <v>23</v>
      </c>
      <c r="AU3" s="6" t="s">
        <v>24</v>
      </c>
      <c r="AV3" s="14" t="s">
        <v>25</v>
      </c>
      <c r="AW3" s="14" t="s">
        <v>26</v>
      </c>
      <c r="AX3" s="14" t="s">
        <v>20</v>
      </c>
      <c r="AY3" s="14" t="s">
        <v>21</v>
      </c>
      <c r="AZ3" s="14" t="s">
        <v>22</v>
      </c>
      <c r="BA3" s="15" t="s">
        <v>23</v>
      </c>
      <c r="BB3" s="6" t="s">
        <v>24</v>
      </c>
      <c r="BC3" s="14" t="s">
        <v>25</v>
      </c>
      <c r="BD3" s="14" t="s">
        <v>26</v>
      </c>
      <c r="BE3" s="14" t="s">
        <v>20</v>
      </c>
      <c r="BF3" s="14" t="s">
        <v>21</v>
      </c>
      <c r="BG3" s="14" t="s">
        <v>22</v>
      </c>
      <c r="BH3" s="15" t="s">
        <v>23</v>
      </c>
      <c r="BI3" s="6" t="s">
        <v>24</v>
      </c>
      <c r="BJ3" s="14" t="s">
        <v>25</v>
      </c>
      <c r="BK3" s="14" t="s">
        <v>26</v>
      </c>
      <c r="BL3" s="14" t="s">
        <v>20</v>
      </c>
      <c r="BM3" s="14" t="s">
        <v>21</v>
      </c>
      <c r="BN3" s="14" t="s">
        <v>22</v>
      </c>
      <c r="BO3" s="15" t="s">
        <v>23</v>
      </c>
      <c r="BP3" s="6" t="s">
        <v>24</v>
      </c>
      <c r="BQ3" s="14" t="s">
        <v>25</v>
      </c>
      <c r="BR3" s="14" t="s">
        <v>26</v>
      </c>
      <c r="BS3" s="14" t="s">
        <v>20</v>
      </c>
      <c r="BT3" s="14" t="s">
        <v>21</v>
      </c>
      <c r="BU3" s="14" t="s">
        <v>22</v>
      </c>
      <c r="BV3" s="15" t="s">
        <v>23</v>
      </c>
      <c r="BW3" s="6" t="s">
        <v>24</v>
      </c>
      <c r="BX3" s="14" t="s">
        <v>25</v>
      </c>
      <c r="BY3" s="14" t="s">
        <v>26</v>
      </c>
      <c r="BZ3" s="14" t="s">
        <v>20</v>
      </c>
      <c r="CA3" s="14" t="s">
        <v>21</v>
      </c>
      <c r="CB3" s="14" t="s">
        <v>22</v>
      </c>
      <c r="CC3" s="15" t="s">
        <v>23</v>
      </c>
      <c r="CD3" s="6" t="s">
        <v>24</v>
      </c>
      <c r="CE3" s="14" t="s">
        <v>25</v>
      </c>
      <c r="CF3" s="14" t="s">
        <v>26</v>
      </c>
      <c r="CG3" s="14" t="s">
        <v>20</v>
      </c>
      <c r="CH3" s="14" t="s">
        <v>21</v>
      </c>
      <c r="CI3" s="14" t="s">
        <v>22</v>
      </c>
      <c r="CJ3" s="15" t="s">
        <v>23</v>
      </c>
      <c r="CK3" s="6" t="s">
        <v>24</v>
      </c>
      <c r="CL3" s="14" t="s">
        <v>25</v>
      </c>
      <c r="CM3" s="14" t="s">
        <v>26</v>
      </c>
      <c r="CN3" s="14" t="s">
        <v>20</v>
      </c>
      <c r="CO3" s="14" t="s">
        <v>21</v>
      </c>
      <c r="CP3" s="14" t="s">
        <v>22</v>
      </c>
      <c r="CQ3" s="15" t="s">
        <v>23</v>
      </c>
      <c r="CR3" s="154"/>
      <c r="CS3" s="215" t="e">
        <f>+CT2+CV2</f>
        <v>#VALUE!</v>
      </c>
    </row>
    <row r="4" spans="1:101" ht="14.25" customHeight="1" thickBot="1" x14ac:dyDescent="0.25">
      <c r="A4" s="216" t="s">
        <v>206</v>
      </c>
      <c r="B4" s="17">
        <f>+L4+S4+Z4+AG4+AN4+AU4+BB4+BI4+BP4+BW4+CD4+CK4</f>
        <v>10277988.71613533</v>
      </c>
      <c r="C4" s="18">
        <f>+M4+T4+AA4+AH4+AO4+AV4+BC4+BJ4+BQ4+BX4+CE4+CL4</f>
        <v>9274646.7686407138</v>
      </c>
      <c r="D4" s="19">
        <f t="shared" ref="B4:D35" si="0">+N4+U4+AB4+AI4+AP4+AW4+BD4+BK4+BR4+BY4+CF4+CM4</f>
        <v>1003341.9474946174</v>
      </c>
      <c r="E4" s="17">
        <f>+L4+S4+Z4+AG4</f>
        <v>3600632.9525266225</v>
      </c>
      <c r="F4" s="20">
        <f>+M4+T4+AA4+AH4</f>
        <v>3248093.1745339548</v>
      </c>
      <c r="G4" s="21">
        <f>+N4+U4+AB4+AI4</f>
        <v>352539.77799266821</v>
      </c>
      <c r="H4" s="18">
        <f t="shared" ref="H4:J35" si="1">+O4+V4+AC4+AJ4+AQ4+AX4+BE4+BL4+BS4+BZ4+CG4+CN4</f>
        <v>4681851.8100825008</v>
      </c>
      <c r="I4" s="20">
        <f t="shared" si="1"/>
        <v>519275.23551722453</v>
      </c>
      <c r="J4" s="20">
        <f t="shared" si="1"/>
        <v>5201127.0455997251</v>
      </c>
      <c r="K4" s="217">
        <f t="shared" ref="K4:K54" si="2">IF(E4=0,"",(+J4/E4-1))</f>
        <v>0.44450353984290736</v>
      </c>
      <c r="L4" s="218">
        <f>SLP!L4+ROSA!L4+'STA ANA'!L4+BOA!L4+'STA MARIA'!L4+'CB I'!L4+IG!L4+PN!L4+MJ!L4+'RB I'!L4+'SF I'!L4</f>
        <v>794923.30519151269</v>
      </c>
      <c r="M4" s="218">
        <f>SLP!M4+ROSA!M4+'STA ANA'!M4+BOA!M4+'STA MARIA'!M4+'CB I'!M4+IG!M4+PN!M4+MJ!M4+'RB I'!M4+'SF I'!M4</f>
        <v>717446.85644128057</v>
      </c>
      <c r="N4" s="218">
        <f>SLP!N4+ROSA!N4+'STA ANA'!N4+BOA!N4+'STA MARIA'!N4+'CB I'!N4+IG!N4+PN!N4+MJ!N4+'RB I'!N4+'SF I'!N4</f>
        <v>77476.448750232055</v>
      </c>
      <c r="O4" s="218">
        <f>SLP!O4+ROSA!O4+'STA ANA'!O4+BOA!O4+'STA MARIA'!O4+'CB I'!O4+IG!O4+PN!O4+MJ!O4+'RB I'!O4+'SF I'!O4</f>
        <v>671461.69582744793</v>
      </c>
      <c r="P4" s="218">
        <f>SLP!P4+ROSA!P4+'STA ANA'!P4+BOA!P4+'STA MARIA'!P4+'CB I'!P4+IG!P4+PN!P4+MJ!P4+'RB I'!P4+'SF I'!P4</f>
        <v>76188.928492842417</v>
      </c>
      <c r="Q4" s="218">
        <f>SLP!Q4+ROSA!Q4+'STA ANA'!Q4+BOA!Q4+'STA MARIA'!Q4+'CB I'!Q4+IG!Q4+PN!Q4+MJ!Q4+'RB I'!Q4+'SF I'!Q4</f>
        <v>747650.6243202904</v>
      </c>
      <c r="R4" s="217">
        <f t="shared" ref="R4:R54" si="3">IF(L4=0,"",(+Q4/L4-1))</f>
        <v>-5.9468228648590693E-2</v>
      </c>
      <c r="S4" s="218">
        <f>SLP!S4+ROSA!S4+'STA ANA'!S4+BOA!S4+'STA MARIA'!S4+'CB I'!S4+IG!S4+PN!S4+MJ!S4+'RB I'!S4+'SF I'!S4</f>
        <v>1215863.0369520844</v>
      </c>
      <c r="T4" s="218">
        <f>SLP!T4+ROSA!T4+'STA ANA'!T4+BOA!T4+'STA MARIA'!T4+'CB I'!T4+IG!T4+PN!T4+MJ!T4+'RB I'!T4+'SF I'!T4</f>
        <v>1095752.6052101126</v>
      </c>
      <c r="U4" s="218">
        <f>SLP!U4+ROSA!U4+'STA ANA'!U4+BOA!U4+'STA MARIA'!U4+'CB I'!U4+IG!U4+PN!U4+MJ!U4+'RB I'!U4+'SF I'!U4</f>
        <v>120110.43174197205</v>
      </c>
      <c r="V4" s="218">
        <f>SLP!V4+ROSA!V4+'STA ANA'!V4+BOA!V4+'STA MARIA'!V4+'CB I'!V4+IG!V4+PN!V4+MJ!V4+'RB I'!V4+'SF I'!V4</f>
        <v>691547.73823164264</v>
      </c>
      <c r="W4" s="218">
        <f>SLP!W4+ROSA!W4+'STA ANA'!W4+BOA!W4+'STA MARIA'!W4+'CB I'!W4+IG!W4+PN!W4+MJ!W4+'RB I'!W4+'SF I'!W4</f>
        <v>79702.820124344056</v>
      </c>
      <c r="X4" s="218">
        <f>SLP!X4+ROSA!X4+'STA ANA'!X4+BOA!X4+'STA MARIA'!X4+'CB I'!X4+IG!X4+PN!X4+MJ!X4+'RB I'!X4+'SF I'!X4</f>
        <v>771250.55835598661</v>
      </c>
      <c r="Y4" s="217">
        <f t="shared" ref="Y4:Y54" si="4">IF(S4=0,"",(+X4/S4-1))</f>
        <v>-0.36567644963584778</v>
      </c>
      <c r="Z4" s="218">
        <f>SLP!Z4+ROSA!Z4+'STA ANA'!Z4+BOA!Z4+'STA MARIA'!Z4+'CB I'!Z4+IG!Z4+PN!Z4+MJ!Z4+'RB I'!Z4+'SF I'!Z4</f>
        <v>794923.30519151269</v>
      </c>
      <c r="AA4" s="218">
        <f>SLP!AA4+ROSA!AA4+'STA ANA'!AA4+BOA!AA4+'STA MARIA'!AA4+'CB I'!AA4+IG!AA4+PN!AA4+MJ!AA4+'RB I'!AA4+'SF I'!AA4</f>
        <v>717446.85644128057</v>
      </c>
      <c r="AB4" s="218">
        <f>SLP!AB4+ROSA!AB4+'STA ANA'!AB4+BOA!AB4+'STA MARIA'!AB4+'CB I'!AB4+IG!AB4+PN!AB4+MJ!AB4+'RB I'!AB4+'SF I'!AB4</f>
        <v>77476.448750232055</v>
      </c>
      <c r="AC4" s="218">
        <f>SLP!AC4+ROSA!AC4+'STA ANA'!AC4+BOA!AC4+'STA MARIA'!AC4+'CB I'!AC4+IG!AC4+PN!AC4+MJ!AC4+'RB I'!AC4+'SF I'!AC4</f>
        <v>668029.65528822131</v>
      </c>
      <c r="AD4" s="218">
        <f>SLP!AD4+ROSA!AD4+'STA ANA'!AD4+BOA!AD4+'STA MARIA'!AD4+'CB I'!AD4+IG!AD4+PN!AD4+MJ!AD4+'RB I'!AD4+'SF I'!AD4</f>
        <v>64743.548808620057</v>
      </c>
      <c r="AE4" s="218">
        <f>SLP!AE4+ROSA!AE4+'STA ANA'!AE4+BOA!AE4+'STA MARIA'!AE4+'CB I'!AE4+IG!AE4+PN!AE4+MJ!AE4+'RB I'!AE4+'SF I'!AE4</f>
        <v>732773.20409684139</v>
      </c>
      <c r="AF4" s="217">
        <f t="shared" ref="AF4:AF54" si="5">IF(Z4=0,"",(+AE4/Z4-1))</f>
        <v>-7.8183770294290356E-2</v>
      </c>
      <c r="AG4" s="218">
        <f>SLP!AG4+ROSA!AG4+'STA ANA'!AG4+BOA!AG4+'STA MARIA'!AG4+'CB I'!AG4+IG!AG4+PN!AG4+MJ!AG4+'RB I'!AG4+'SF I'!AG4</f>
        <v>794923.30519151269</v>
      </c>
      <c r="AH4" s="218">
        <f>SLP!AH4+ROSA!AH4+'STA ANA'!AH4+BOA!AH4+'STA MARIA'!AH4+'CB I'!AH4+IG!AH4+PN!AH4+MJ!AH4+'RB I'!AH4+'SF I'!AH4</f>
        <v>717446.85644128057</v>
      </c>
      <c r="AI4" s="218">
        <f>SLP!AI4+ROSA!AI4+'STA ANA'!AI4+BOA!AI4+'STA MARIA'!AI4+'CB I'!AI4+IG!AI4+PN!AI4+MJ!AI4+'RB I'!AI4+'SF I'!AI4</f>
        <v>77476.448750232055</v>
      </c>
      <c r="AJ4" s="218">
        <f>SLP!AJ4+ROSA!AJ4+'STA ANA'!AJ4+BOA!AJ4+'STA MARIA'!AJ4+'CB I'!AJ4+IG!AJ4+PN!AJ4+MJ!AJ4+'RB I'!AJ4+'SF I'!AJ4</f>
        <v>1039338.2500391845</v>
      </c>
      <c r="AK4" s="218">
        <f>SLP!AK4+ROSA!AK4+'STA ANA'!AK4+BOA!AK4+'STA MARIA'!AK4+'CB I'!AK4+IG!AK4+PN!AK4+MJ!AK4+'RB I'!AK4+'SF I'!AK4</f>
        <v>112865.33871468568</v>
      </c>
      <c r="AL4" s="218">
        <f>SLP!AL4+ROSA!AL4+'STA ANA'!AL4+BOA!AL4+'STA MARIA'!AL4+'CB I'!AL4+IG!AL4+PN!AL4+MJ!AL4+'RB I'!AL4+'SF I'!AL4</f>
        <v>1152203.58875387</v>
      </c>
      <c r="AM4" s="217">
        <f t="shared" ref="AM4:AM54" si="6">IF(AG4=0,"",(+AL4/AG4-1))</f>
        <v>0.44945252105331268</v>
      </c>
      <c r="AN4" s="218">
        <f>SLP!AN4+ROSA!AN4+'STA ANA'!AN4+BOA!AN4+'STA MARIA'!AN4+'CB I'!AN4+IG!AN4+PN!AN4+MJ!AN4+'RB I'!AN4+'SF I'!AN4</f>
        <v>794923.30519151269</v>
      </c>
      <c r="AO4" s="218">
        <f>SLP!AO4+ROSA!AO4+'STA ANA'!AO4+BOA!AO4+'STA MARIA'!AO4+'CB I'!AO4+IG!AO4+PN!AO4+MJ!AO4+'RB I'!AO4+'SF I'!AO4</f>
        <v>717446.85644128057</v>
      </c>
      <c r="AP4" s="218">
        <f>SLP!AP4+ROSA!AP4+'STA ANA'!AP4+BOA!AP4+'STA MARIA'!AP4+'CB I'!AP4+IG!AP4+PN!AP4+MJ!AP4+'RB I'!AP4+'SF I'!AP4</f>
        <v>77476.448750232055</v>
      </c>
      <c r="AQ4" s="218">
        <f>SLP!AQ4+ROSA!AQ4+'STA ANA'!AQ4+BOA!AQ4+'STA MARIA'!AQ4+'CB I'!AQ4+IG!AQ4+PN!AQ4+MJ!AQ4+'RB I'!AQ4+'SF I'!AQ4</f>
        <v>825545.25727705297</v>
      </c>
      <c r="AR4" s="218">
        <f>SLP!AR4+ROSA!AR4+'STA ANA'!AR4+BOA!AR4+'STA MARIA'!AR4+'CB I'!AR4+IG!AR4+PN!AR4+MJ!AR4+'RB I'!AR4+'SF I'!AR4</f>
        <v>93998.304518788704</v>
      </c>
      <c r="AS4" s="218">
        <f>SLP!AS4+ROSA!AS4+'STA ANA'!AS4+BOA!AS4+'STA MARIA'!AS4+'CB I'!AS4+IG!AS4+PN!AS4+MJ!AS4+'RB I'!AS4+'SF I'!AS4</f>
        <v>919543.5617958419</v>
      </c>
      <c r="AT4" s="217">
        <f t="shared" ref="AT4:AT54" si="7">IF(AN4=0,"",(+AS4/AN4-1))</f>
        <v>0.15677016360000384</v>
      </c>
      <c r="AU4" s="218">
        <f>SLP!AU4+ROSA!AU4+'STA ANA'!AU4+BOA!AU4+'STA MARIA'!AU4+'CB I'!AU4+IG!AU4+PN!AU4+MJ!AU4+'RB I'!AU4+'SF I'!AU4</f>
        <v>794923.30519151269</v>
      </c>
      <c r="AV4" s="218">
        <f>SLP!AV4+ROSA!AV4+'STA ANA'!AV4+BOA!AV4+'STA MARIA'!AV4+'CB I'!AV4+IG!AV4+PN!AV4+MJ!AV4+'RB I'!AV4+'SF I'!AV4</f>
        <v>717446.85644128057</v>
      </c>
      <c r="AW4" s="218">
        <f>SLP!AW4+ROSA!AW4+'STA ANA'!AW4+BOA!AW4+'STA MARIA'!AW4+'CB I'!AW4+IG!AW4+PN!AW4+MJ!AW4+'RB I'!AW4+'SF I'!AW4</f>
        <v>77476.448750232055</v>
      </c>
      <c r="AX4" s="218">
        <f>SLP!AX4+ROSA!AX4+'STA ANA'!AX4+BOA!AX4+'STA MARIA'!AX4+'CB I'!AX4+IG!AX4+PN!AX4+MJ!AX4+'RB I'!AX4+'SF I'!AX4</f>
        <v>785929.21341895161</v>
      </c>
      <c r="AY4" s="218">
        <f>SLP!AY4+ROSA!AY4+'STA ANA'!AY4+BOA!AY4+'STA MARIA'!AY4+'CB I'!AY4+IG!AY4+PN!AY4+MJ!AY4+'RB I'!AY4+'SF I'!AY4</f>
        <v>91776.294857943634</v>
      </c>
      <c r="AZ4" s="218">
        <f>SLP!AZ4+ROSA!AZ4+'STA ANA'!AZ4+BOA!AZ4+'STA MARIA'!AZ4+'CB I'!AZ4+IG!AZ4+PN!AZ4+MJ!AZ4+'RB I'!AZ4+'SF I'!AZ4</f>
        <v>877705.50827689515</v>
      </c>
      <c r="BA4" s="217">
        <f t="shared" ref="BA4:BA54" si="8">IF(AU4=0,"",(+AZ4/AU4-1))</f>
        <v>0.10413860374295925</v>
      </c>
      <c r="BB4" s="218">
        <f>SLP!BB4+ROSA!BB4+'STA ANA'!BB4+BOA!BB4+'STA MARIA'!BB4+'CB I'!BB4+IG!BB4+PN!BB4+MJ!BB4+'RB I'!BB4+'SF I'!BB4</f>
        <v>794923.30519151269</v>
      </c>
      <c r="BC4" s="218">
        <f>SLP!BC4+ROSA!BC4+'STA ANA'!BC4+BOA!BC4+'STA MARIA'!BC4+'CB I'!BC4+IG!BC4+PN!BC4+MJ!BC4+'RB I'!BC4+'SF I'!BC4</f>
        <v>717446.85644128057</v>
      </c>
      <c r="BD4" s="218">
        <f>SLP!BD4+ROSA!BD4+'STA ANA'!BD4+BOA!BD4+'STA MARIA'!BD4+'CB I'!BD4+IG!BD4+PN!BD4+MJ!BD4+'RB I'!BD4+'SF I'!BD4</f>
        <v>77476.448750232055</v>
      </c>
      <c r="BE4" s="218">
        <f>SLP!BE4+ROSA!BE4+'STA ANA'!BE4+BOA!BE4+'STA MARIA'!BE4+'CB I'!BE4+IG!BE4+PN!BE4+MJ!BE4+'RB I'!BE4+'SF I'!BE4</f>
        <v>0</v>
      </c>
      <c r="BF4" s="218">
        <f>SLP!BF4+ROSA!BF4+'STA ANA'!BF4+BOA!BF4+'STA MARIA'!BF4+'CB I'!BF4+IG!BF4+PN!BF4+MJ!BF4+'RB I'!BF4+'SF I'!BF4</f>
        <v>0</v>
      </c>
      <c r="BG4" s="218">
        <f>SLP!BG4+ROSA!BG4+'STA ANA'!BG4+BOA!BG4+'STA MARIA'!BG4+'CB I'!BG4+IG!BG4+PN!BG4+MJ!BG4+'RB I'!BG4+'SF I'!BG4</f>
        <v>0</v>
      </c>
      <c r="BH4" s="217">
        <f t="shared" ref="BH4:BH54" si="9">IF(BB4=0,"",(+BG4/BB4-1))</f>
        <v>-1</v>
      </c>
      <c r="BI4" s="218">
        <f>SLP!BI4+ROSA!BI4+'STA ANA'!BI4+BOA!BI4+'STA MARIA'!BI4+'CB I'!BI4+IG!BI4+PN!BI4+MJ!BI4+'RB I'!BI4+'SF I'!BI4</f>
        <v>858517.16960683372</v>
      </c>
      <c r="BJ4" s="218">
        <f>SLP!BJ4+ROSA!BJ4+'STA ANA'!BJ4+BOA!BJ4+'STA MARIA'!BJ4+'CB I'!BJ4+IG!BJ4+PN!BJ4+MJ!BJ4+'RB I'!BJ4+'SF I'!BJ4</f>
        <v>774842.60495658335</v>
      </c>
      <c r="BK4" s="218">
        <f>SLP!BK4+ROSA!BK4+'STA ANA'!BK4+BOA!BK4+'STA MARIA'!BK4+'CB I'!BK4+IG!BK4+PN!BK4+MJ!BK4+'RB I'!BK4+'SF I'!BK4</f>
        <v>83674.564650250613</v>
      </c>
      <c r="BL4" s="218">
        <f>SLP!BL4+ROSA!BL4+'STA ANA'!BL4+BOA!BL4+'STA MARIA'!BL4+'CB I'!BL4+IG!BL4+PN!BL4+MJ!BL4+'RB I'!BL4+'SF I'!BL4</f>
        <v>0</v>
      </c>
      <c r="BM4" s="218">
        <f>SLP!BM4+ROSA!BM4+'STA ANA'!BM4+BOA!BM4+'STA MARIA'!BM4+'CB I'!BM4+IG!BM4+PN!BM4+MJ!BM4+'RB I'!BM4+'SF I'!BM4</f>
        <v>0</v>
      </c>
      <c r="BN4" s="218">
        <f>SLP!BN4+ROSA!BN4+'STA ANA'!BN4+BOA!BN4+'STA MARIA'!BN4+'CB I'!BN4+IG!BN4+PN!BN4+MJ!BN4+'RB I'!BN4+'SF I'!BN4</f>
        <v>0</v>
      </c>
      <c r="BO4" s="217">
        <f t="shared" ref="BO4:BO54" si="10">IF(BI4=0,"",(+BN4/BI4-1))</f>
        <v>-1</v>
      </c>
      <c r="BP4" s="218">
        <f>SLP!BP4+ROSA!BP4+'STA ANA'!BP4+BOA!BP4+'STA MARIA'!BP4+'CB I'!BP4+IG!BP4+PN!BP4+MJ!BP4+'RB I'!BP4+'SF I'!BP4</f>
        <v>858517.16960683372</v>
      </c>
      <c r="BQ4" s="218">
        <f>SLP!BQ4+ROSA!BQ4+'STA ANA'!BQ4+BOA!BQ4+'STA MARIA'!BQ4+'CB I'!BQ4+IG!BQ4+PN!BQ4+MJ!BQ4+'RB I'!BQ4+'SF I'!BQ4</f>
        <v>774842.60495658335</v>
      </c>
      <c r="BR4" s="218">
        <f>SLP!BR4+ROSA!BR4+'STA ANA'!BR4+BOA!BR4+'STA MARIA'!BR4+'CB I'!BR4+IG!BR4+PN!BR4+MJ!BR4+'RB I'!BR4+'SF I'!BR4</f>
        <v>83674.564650250613</v>
      </c>
      <c r="BS4" s="218">
        <f>SLP!BS4+ROSA!BS4+'STA ANA'!BS4+BOA!BS4+'STA MARIA'!BS4+'CB I'!BS4+IG!BS4+PN!BS4+MJ!BS4+'RB I'!BS4+'SF I'!BS4</f>
        <v>0</v>
      </c>
      <c r="BT4" s="218">
        <f>SLP!BT4+ROSA!BT4+'STA ANA'!BT4+BOA!BT4+'STA MARIA'!BT4+'CB I'!BT4+IG!BT4+PN!BT4+MJ!BT4+'RB I'!BT4+'SF I'!BT4</f>
        <v>0</v>
      </c>
      <c r="BU4" s="218">
        <f>SLP!BU4+ROSA!BU4+'STA ANA'!BU4+BOA!BU4+'STA MARIA'!BU4+'CB I'!BU4+IG!BU4+PN!BU4+MJ!BU4+'RB I'!BU4+'SF I'!BU4</f>
        <v>0</v>
      </c>
      <c r="BV4" s="217">
        <f t="shared" ref="BV4:BV54" si="11">IF(BP4=0,"",(+BU4/BP4-1))</f>
        <v>-1</v>
      </c>
      <c r="BW4" s="218">
        <f>SLP!BW4+ROSA!BW4+'STA ANA'!BW4+BOA!BW4+'STA MARIA'!BW4+'CB I'!BW4+IG!BW4+PN!BW4+MJ!BW4+'RB I'!BW4+'SF I'!BW4</f>
        <v>858517.16960683372</v>
      </c>
      <c r="BX4" s="218">
        <f>SLP!BX4+ROSA!BX4+'STA ANA'!BX4+BOA!BX4+'STA MARIA'!BX4+'CB I'!BX4+IG!BX4+PN!BX4+MJ!BX4+'RB I'!BX4+'SF I'!BX4</f>
        <v>774842.60495658335</v>
      </c>
      <c r="BY4" s="218">
        <f>SLP!BY4+ROSA!BY4+'STA ANA'!BY4+BOA!BY4+'STA MARIA'!BY4+'CB I'!BY4+IG!BY4+PN!BY4+MJ!BY4+'RB I'!BY4+'SF I'!BY4</f>
        <v>83674.564650250613</v>
      </c>
      <c r="BZ4" s="218">
        <f>SLP!BZ4+ROSA!BZ4+'STA ANA'!BZ4+BOA!BZ4+'STA MARIA'!BZ4+'CB I'!BZ4+IG!BZ4+PN!BZ4+MJ!BZ4+'RB I'!BZ4+'SF I'!BZ4</f>
        <v>0</v>
      </c>
      <c r="CA4" s="218">
        <f>SLP!CA4+ROSA!CA4+'STA ANA'!CA4+BOA!CA4+'STA MARIA'!CA4+'CB I'!CA4+IG!CA4+PN!CA4+MJ!CA4+'RB I'!CA4+'SF I'!CA4</f>
        <v>0</v>
      </c>
      <c r="CB4" s="218">
        <f>SLP!CB4+ROSA!CB4+'STA ANA'!CB4+BOA!CB4+'STA MARIA'!CB4+'CB I'!CB4+IG!CB4+PN!CB4+MJ!CB4+'RB I'!CB4+'SF I'!CB4</f>
        <v>0</v>
      </c>
      <c r="CC4" s="217">
        <f t="shared" ref="CC4:CC54" si="12">IF(BW4=0,"",(+CB4/BW4-1))</f>
        <v>-1</v>
      </c>
      <c r="CD4" s="218">
        <f>SLP!CD4+ROSA!CD4+'STA ANA'!CD4+BOA!CD4+'STA MARIA'!CD4+'CB I'!CD4+IG!CD4+PN!CD4+MJ!CD4+'RB I'!CD4+'SF I'!CD4</f>
        <v>858517.16960683372</v>
      </c>
      <c r="CE4" s="218">
        <f>SLP!CE4+ROSA!CE4+'STA ANA'!CE4+BOA!CE4+'STA MARIA'!CE4+'CB I'!CE4+IG!CE4+PN!CE4+MJ!CE4+'RB I'!CE4+'SF I'!CE4</f>
        <v>774842.60495658335</v>
      </c>
      <c r="CF4" s="218">
        <f>SLP!CF4+ROSA!CF4+'STA ANA'!CF4+BOA!CF4+'STA MARIA'!CF4+'CB I'!CF4+IG!CF4+PN!CF4+MJ!CF4+'RB I'!CF4+'SF I'!CF4</f>
        <v>83674.564650250613</v>
      </c>
      <c r="CG4" s="218">
        <f>SLP!CG4+ROSA!CG4+'STA ANA'!CG4+BOA!CG4+'STA MARIA'!CG4+'CB I'!CG4+IG!CG4+PN!CG4+MJ!CG4+'RB I'!CG4+'SF I'!CG4</f>
        <v>0</v>
      </c>
      <c r="CH4" s="218">
        <f>SLP!CH4+ROSA!CH4+'STA ANA'!CH4+BOA!CH4+'STA MARIA'!CH4+'CB I'!CH4+IG!CH4+PN!CH4+MJ!CH4+'RB I'!CH4+'SF I'!CH4</f>
        <v>0</v>
      </c>
      <c r="CI4" s="218">
        <f>SLP!CI4+ROSA!CI4+'STA ANA'!CI4+BOA!CI4+'STA MARIA'!CI4+'CB I'!CI4+IG!CI4+PN!CI4+MJ!CI4+'RB I'!CI4+'SF I'!CI4</f>
        <v>0</v>
      </c>
      <c r="CJ4" s="217">
        <f t="shared" ref="CJ4:CJ54" si="13">IF(CD4=0,"",(+CI4/CD4-1))</f>
        <v>-1</v>
      </c>
      <c r="CK4" s="218">
        <f>SLP!CK4+ROSA!CK4+'STA ANA'!CK4+BOA!CK4+'STA MARIA'!CK4+'CB I'!CK4+IG!CK4+PN!CK4+MJ!CK4+'RB I'!CK4+'SF I'!CK4</f>
        <v>858517.16960683372</v>
      </c>
      <c r="CL4" s="218">
        <f>SLP!CL4+ROSA!CL4+'STA ANA'!CL4+BOA!CL4+'STA MARIA'!CL4+'CB I'!CL4+IG!CL4+PN!CL4+MJ!CL4+'RB I'!CL4+'SF I'!CL4</f>
        <v>774842.60495658335</v>
      </c>
      <c r="CM4" s="218">
        <f>SLP!CM4+ROSA!CM4+'STA ANA'!CM4+BOA!CM4+'STA MARIA'!CM4+'CB I'!CM4+IG!CM4+PN!CM4+MJ!CM4+'RB I'!CM4+'SF I'!CM4</f>
        <v>83674.564650250613</v>
      </c>
      <c r="CN4" s="218">
        <f>SLP!CN4+ROSA!CN4+'STA ANA'!CN4+BOA!CN4+'STA MARIA'!CN4+'CB I'!CN4+IG!CN4+PN!CN4+MJ!CN4+'RB I'!CN4+'SF I'!CN4</f>
        <v>0</v>
      </c>
      <c r="CO4" s="218">
        <f>SLP!CO4+ROSA!CO4+'STA ANA'!CO4+BOA!CO4+'STA MARIA'!CO4+'CB I'!CO4+IG!CO4+PN!CO4+MJ!CO4+'RB I'!CO4+'SF I'!CO4</f>
        <v>0</v>
      </c>
      <c r="CP4" s="218">
        <f>SLP!CP4+ROSA!CP4+'STA ANA'!CP4+BOA!CP4+'STA MARIA'!CP4+'CB I'!CP4+IG!CP4+PN!CP4+MJ!CP4+'RB I'!CP4+'SF I'!CP4</f>
        <v>0</v>
      </c>
      <c r="CQ4" s="217">
        <f t="shared" ref="CQ4:CQ54" si="14">IF(CK4=0,"",(+CP4/CK4-1))</f>
        <v>-1</v>
      </c>
      <c r="CR4" s="154"/>
      <c r="CS4" s="219" t="e">
        <f t="shared" ref="CS4:CS58" si="15">+B4/$CS$3</f>
        <v>#VALUE!</v>
      </c>
      <c r="CW4" s="195">
        <v>180</v>
      </c>
    </row>
    <row r="5" spans="1:101" ht="14.25" customHeight="1" thickBot="1" x14ac:dyDescent="0.25">
      <c r="A5" s="220" t="s">
        <v>29</v>
      </c>
      <c r="B5" s="30">
        <f t="shared" si="0"/>
        <v>574623.42473767151</v>
      </c>
      <c r="C5" s="31">
        <f t="shared" si="0"/>
        <v>514728.92026767158</v>
      </c>
      <c r="D5" s="32">
        <f t="shared" si="0"/>
        <v>59894.504470000014</v>
      </c>
      <c r="E5" s="30">
        <f t="shared" ref="E5:G36" si="16">+L5+S5+Z5+AG5</f>
        <v>191541.14157922383</v>
      </c>
      <c r="F5" s="33">
        <f t="shared" si="16"/>
        <v>171576.30675589049</v>
      </c>
      <c r="G5" s="34">
        <f t="shared" si="16"/>
        <v>19964.834823333338</v>
      </c>
      <c r="H5" s="31">
        <f t="shared" si="1"/>
        <v>326171.10702836001</v>
      </c>
      <c r="I5" s="33">
        <f t="shared" si="1"/>
        <v>42565.911797403292</v>
      </c>
      <c r="J5" s="33">
        <f t="shared" si="1"/>
        <v>368737.01882576325</v>
      </c>
      <c r="K5" s="221">
        <f t="shared" si="2"/>
        <v>0.92510609358172258</v>
      </c>
      <c r="L5" s="218">
        <f>SLP!L5+ROSA!L5+'STA ANA'!L5+BOA!L5+'STA MARIA'!L5+'CB I'!L5+IG!L5+PN!L5+MJ!L5+'RB I'!L5+'SF I'!L5</f>
        <v>47885.285394805956</v>
      </c>
      <c r="M5" s="218">
        <f>SLP!M5+ROSA!M5+'STA ANA'!M5+BOA!M5+'STA MARIA'!M5+'CB I'!M5+IG!M5+PN!M5+MJ!M5+'RB I'!M5+'SF I'!M5</f>
        <v>42894.076688972622</v>
      </c>
      <c r="N5" s="218">
        <f>SLP!N5+ROSA!N5+'STA ANA'!N5+BOA!N5+'STA MARIA'!N5+'CB I'!N5+IG!N5+PN!N5+MJ!N5+'RB I'!N5+'SF I'!N5</f>
        <v>4991.2087058333345</v>
      </c>
      <c r="O5" s="218">
        <f>SLP!O5+ROSA!O5+'STA ANA'!O5+BOA!O5+'STA MARIA'!O5+'CB I'!O5+IG!O5+PN!O5+MJ!O5+'RB I'!O5+'SF I'!O5</f>
        <v>52636.071622069016</v>
      </c>
      <c r="P5" s="218">
        <f>SLP!P5+ROSA!P5+'STA ANA'!P5+BOA!P5+'STA MARIA'!P5+'CB I'!P5+IG!P5+PN!P5+MJ!P5+'RB I'!P5+'SF I'!P5</f>
        <v>7239.3423302632864</v>
      </c>
      <c r="Q5" s="218">
        <f>SLP!Q5+ROSA!Q5+'STA ANA'!Q5+BOA!Q5+'STA MARIA'!Q5+'CB I'!Q5+IG!Q5+PN!Q5+MJ!Q5+'RB I'!Q5+'SF I'!Q5</f>
        <v>59875.413952332296</v>
      </c>
      <c r="R5" s="221">
        <f t="shared" si="3"/>
        <v>0.25039275549200113</v>
      </c>
      <c r="S5" s="218">
        <f>SLP!S5+ROSA!S5+'STA ANA'!S5+BOA!S5+'STA MARIA'!S5+'CB I'!S5+IG!S5+PN!S5+MJ!S5+'RB I'!S5+'SF I'!S5</f>
        <v>47885.285394805956</v>
      </c>
      <c r="T5" s="218">
        <f>SLP!T5+ROSA!T5+'STA ANA'!T5+BOA!T5+'STA MARIA'!T5+'CB I'!T5+IG!T5+PN!T5+MJ!T5+'RB I'!T5+'SF I'!T5</f>
        <v>42894.076688972622</v>
      </c>
      <c r="U5" s="218">
        <f>SLP!U5+ROSA!U5+'STA ANA'!U5+BOA!U5+'STA MARIA'!U5+'CB I'!U5+IG!U5+PN!U5+MJ!U5+'RB I'!U5+'SF I'!U5</f>
        <v>4991.2087058333345</v>
      </c>
      <c r="V5" s="218">
        <f>SLP!V5+ROSA!V5+'STA ANA'!V5+BOA!V5+'STA MARIA'!V5+'CB I'!V5+IG!V5+PN!V5+MJ!V5+'RB I'!V5+'SF I'!V5</f>
        <v>47760.391453634984</v>
      </c>
      <c r="W5" s="218">
        <f>SLP!W5+ROSA!W5+'STA ANA'!W5+BOA!W5+'STA MARIA'!W5+'CB I'!W5+IG!W5+PN!W5+MJ!W5+'RB I'!W5+'SF I'!W5</f>
        <v>7253.457781271175</v>
      </c>
      <c r="X5" s="218">
        <f>SLP!X5+ROSA!X5+'STA ANA'!X5+BOA!X5+'STA MARIA'!X5+'CB I'!X5+IG!X5+PN!X5+MJ!X5+'RB I'!X5+'SF I'!X5</f>
        <v>55013.849234906156</v>
      </c>
      <c r="Y5" s="221">
        <f t="shared" si="4"/>
        <v>0.14886752331799658</v>
      </c>
      <c r="Z5" s="218">
        <f>SLP!Z5+ROSA!Z5+'STA ANA'!Z5+BOA!Z5+'STA MARIA'!Z5+'CB I'!Z5+IG!Z5+PN!Z5+MJ!Z5+'RB I'!Z5+'SF I'!Z5</f>
        <v>47885.285394805956</v>
      </c>
      <c r="AA5" s="218">
        <f>SLP!AA5+ROSA!AA5+'STA ANA'!AA5+BOA!AA5+'STA MARIA'!AA5+'CB I'!AA5+IG!AA5+PN!AA5+MJ!AA5+'RB I'!AA5+'SF I'!AA5</f>
        <v>42894.076688972622</v>
      </c>
      <c r="AB5" s="218">
        <f>SLP!AB5+ROSA!AB5+'STA ANA'!AB5+BOA!AB5+'STA MARIA'!AB5+'CB I'!AB5+IG!AB5+PN!AB5+MJ!AB5+'RB I'!AB5+'SF I'!AB5</f>
        <v>4991.2087058333345</v>
      </c>
      <c r="AC5" s="218">
        <f>SLP!AC5+ROSA!AC5+'STA ANA'!AC5+BOA!AC5+'STA MARIA'!AC5+'CB I'!AC5+IG!AC5+PN!AC5+MJ!AC5+'RB I'!AC5+'SF I'!AC5</f>
        <v>45251.748074689283</v>
      </c>
      <c r="AD5" s="218">
        <f>SLP!AD5+ROSA!AD5+'STA ANA'!AD5+BOA!AD5+'STA MARIA'!AD5+'CB I'!AD5+IG!AD5+PN!AD5+MJ!AD5+'RB I'!AD5+'SF I'!AD5</f>
        <v>5646.9193708443236</v>
      </c>
      <c r="AE5" s="218">
        <f>SLP!AE5+ROSA!AE5+'STA ANA'!AE5+BOA!AE5+'STA MARIA'!AE5+'CB I'!AE5+IG!AE5+PN!AE5+MJ!AE5+'RB I'!AE5+'SF I'!AE5</f>
        <v>50898.667445533603</v>
      </c>
      <c r="AF5" s="221">
        <f t="shared" si="5"/>
        <v>6.2929186406279758E-2</v>
      </c>
      <c r="AG5" s="218">
        <f>SLP!AG5+ROSA!AG5+'STA ANA'!AG5+BOA!AG5+'STA MARIA'!AG5+'CB I'!AG5+IG!AG5+PN!AG5+MJ!AG5+'RB I'!AG5+'SF I'!AG5</f>
        <v>47885.285394805956</v>
      </c>
      <c r="AH5" s="218">
        <f>SLP!AH5+ROSA!AH5+'STA ANA'!AH5+BOA!AH5+'STA MARIA'!AH5+'CB I'!AH5+IG!AH5+PN!AH5+MJ!AH5+'RB I'!AH5+'SF I'!AH5</f>
        <v>42894.076688972622</v>
      </c>
      <c r="AI5" s="218">
        <f>SLP!AI5+ROSA!AI5+'STA ANA'!AI5+BOA!AI5+'STA MARIA'!AI5+'CB I'!AI5+IG!AI5+PN!AI5+MJ!AI5+'RB I'!AI5+'SF I'!AI5</f>
        <v>4991.2087058333345</v>
      </c>
      <c r="AJ5" s="218">
        <f>SLP!AJ5+ROSA!AJ5+'STA ANA'!AJ5+BOA!AJ5+'STA MARIA'!AJ5+'CB I'!AJ5+IG!AJ5+PN!AJ5+MJ!AJ5+'RB I'!AJ5+'SF I'!AJ5</f>
        <v>60108.196656134292</v>
      </c>
      <c r="AK5" s="218">
        <f>SLP!AK5+ROSA!AK5+'STA ANA'!AK5+BOA!AK5+'STA MARIA'!AK5+'CB I'!AK5+IG!AK5+PN!AK5+MJ!AK5+'RB I'!AK5+'SF I'!AK5</f>
        <v>6612.3103307213842</v>
      </c>
      <c r="AL5" s="218">
        <f>SLP!AL5+ROSA!AL5+'STA ANA'!AL5+BOA!AL5+'STA MARIA'!AL5+'CB I'!AL5+IG!AL5+PN!AL5+MJ!AL5+'RB I'!AL5+'SF I'!AL5</f>
        <v>66720.506986855689</v>
      </c>
      <c r="AM5" s="221">
        <f t="shared" si="6"/>
        <v>0.39334048939578348</v>
      </c>
      <c r="AN5" s="218">
        <f>SLP!AN5+ROSA!AN5+'STA ANA'!AN5+BOA!AN5+'STA MARIA'!AN5+'CB I'!AN5+IG!AN5+PN!AN5+MJ!AN5+'RB I'!AN5+'SF I'!AN5</f>
        <v>47885.285394805956</v>
      </c>
      <c r="AO5" s="218">
        <f>SLP!AO5+ROSA!AO5+'STA ANA'!AO5+BOA!AO5+'STA MARIA'!AO5+'CB I'!AO5+IG!AO5+PN!AO5+MJ!AO5+'RB I'!AO5+'SF I'!AO5</f>
        <v>42894.076688972622</v>
      </c>
      <c r="AP5" s="218">
        <f>SLP!AP5+ROSA!AP5+'STA ANA'!AP5+BOA!AP5+'STA MARIA'!AP5+'CB I'!AP5+IG!AP5+PN!AP5+MJ!AP5+'RB I'!AP5+'SF I'!AP5</f>
        <v>4991.2087058333345</v>
      </c>
      <c r="AQ5" s="218">
        <f>SLP!AQ5+ROSA!AQ5+'STA ANA'!AQ5+BOA!AQ5+'STA MARIA'!AQ5+'CB I'!AQ5+IG!AQ5+PN!AQ5+MJ!AQ5+'RB I'!AQ5+'SF I'!AQ5</f>
        <v>60793.19830647677</v>
      </c>
      <c r="AR5" s="218">
        <f>SLP!AR5+ROSA!AR5+'STA ANA'!AR5+BOA!AR5+'STA MARIA'!AR5+'CB I'!AR5+IG!AR5+PN!AR5+MJ!AR5+'RB I'!AR5+'SF I'!AR5</f>
        <v>7945.9558383802241</v>
      </c>
      <c r="AS5" s="218">
        <f>SLP!AS5+ROSA!AS5+'STA ANA'!AS5+BOA!AS5+'STA MARIA'!AS5+'CB I'!AS5+IG!AS5+PN!AS5+MJ!AS5+'RB I'!AS5+'SF I'!AS5</f>
        <v>68739.154144857006</v>
      </c>
      <c r="AT5" s="221">
        <f t="shared" si="7"/>
        <v>0.43549638637661814</v>
      </c>
      <c r="AU5" s="218">
        <f>SLP!AU5+ROSA!AU5+'STA ANA'!AU5+BOA!AU5+'STA MARIA'!AU5+'CB I'!AU5+IG!AU5+PN!AU5+MJ!AU5+'RB I'!AU5+'SF I'!AU5</f>
        <v>47885.285394805956</v>
      </c>
      <c r="AV5" s="218">
        <f>SLP!AV5+ROSA!AV5+'STA ANA'!AV5+BOA!AV5+'STA MARIA'!AV5+'CB I'!AV5+IG!AV5+PN!AV5+MJ!AV5+'RB I'!AV5+'SF I'!AV5</f>
        <v>42894.076688972622</v>
      </c>
      <c r="AW5" s="218">
        <f>SLP!AW5+ROSA!AW5+'STA ANA'!AW5+BOA!AW5+'STA MARIA'!AW5+'CB I'!AW5+IG!AW5+PN!AW5+MJ!AW5+'RB I'!AW5+'SF I'!AW5</f>
        <v>4991.2087058333345</v>
      </c>
      <c r="AX5" s="218">
        <f>SLP!AX5+ROSA!AX5+'STA ANA'!AX5+BOA!AX5+'STA MARIA'!AX5+'CB I'!AX5+IG!AX5+PN!AX5+MJ!AX5+'RB I'!AX5+'SF I'!AX5</f>
        <v>59621.500915355602</v>
      </c>
      <c r="AY5" s="218">
        <f>SLP!AY5+ROSA!AY5+'STA ANA'!AY5+BOA!AY5+'STA MARIA'!AY5+'CB I'!AY5+IG!AY5+PN!AY5+MJ!AY5+'RB I'!AY5+'SF I'!AY5</f>
        <v>7867.9261459229019</v>
      </c>
      <c r="AZ5" s="218">
        <f>SLP!AZ5+ROSA!AZ5+'STA ANA'!AZ5+BOA!AZ5+'STA MARIA'!AZ5+'CB I'!AZ5+IG!AZ5+PN!AZ5+MJ!AZ5+'RB I'!AZ5+'SF I'!AZ5</f>
        <v>67489.427061278504</v>
      </c>
      <c r="BA5" s="221">
        <f t="shared" si="8"/>
        <v>0.40939803333821168</v>
      </c>
      <c r="BB5" s="218">
        <f>SLP!BB5+ROSA!BB5+'STA ANA'!BB5+BOA!BB5+'STA MARIA'!BB5+'CB I'!BB5+IG!BB5+PN!BB5+MJ!BB5+'RB I'!BB5+'SF I'!BB5</f>
        <v>47885.285394805956</v>
      </c>
      <c r="BC5" s="218">
        <f>SLP!BC5+ROSA!BC5+'STA ANA'!BC5+BOA!BC5+'STA MARIA'!BC5+'CB I'!BC5+IG!BC5+PN!BC5+MJ!BC5+'RB I'!BC5+'SF I'!BC5</f>
        <v>42894.076688972622</v>
      </c>
      <c r="BD5" s="218">
        <f>SLP!BD5+ROSA!BD5+'STA ANA'!BD5+BOA!BD5+'STA MARIA'!BD5+'CB I'!BD5+IG!BD5+PN!BD5+MJ!BD5+'RB I'!BD5+'SF I'!BD5</f>
        <v>4991.2087058333345</v>
      </c>
      <c r="BE5" s="218">
        <f>SLP!BE5+ROSA!BE5+'STA ANA'!BE5+BOA!BE5+'STA MARIA'!BE5+'CB I'!BE5+IG!BE5+PN!BE5+MJ!BE5+'RB I'!BE5+'SF I'!BE5</f>
        <v>0</v>
      </c>
      <c r="BF5" s="218">
        <f>SLP!BF5+ROSA!BF5+'STA ANA'!BF5+BOA!BF5+'STA MARIA'!BF5+'CB I'!BF5+IG!BF5+PN!BF5+MJ!BF5+'RB I'!BF5+'SF I'!BF5</f>
        <v>0</v>
      </c>
      <c r="BG5" s="218">
        <f>SLP!BG5+ROSA!BG5+'STA ANA'!BG5+BOA!BG5+'STA MARIA'!BG5+'CB I'!BG5+IG!BG5+PN!BG5+MJ!BG5+'RB I'!BG5+'SF I'!BG5</f>
        <v>0</v>
      </c>
      <c r="BH5" s="221">
        <f t="shared" si="9"/>
        <v>-1</v>
      </c>
      <c r="BI5" s="218">
        <f>SLP!BI5+ROSA!BI5+'STA ANA'!BI5+BOA!BI5+'STA MARIA'!BI5+'CB I'!BI5+IG!BI5+PN!BI5+MJ!BI5+'RB I'!BI5+'SF I'!BI5</f>
        <v>47885.285394805956</v>
      </c>
      <c r="BJ5" s="218">
        <f>SLP!BJ5+ROSA!BJ5+'STA ANA'!BJ5+BOA!BJ5+'STA MARIA'!BJ5+'CB I'!BJ5+IG!BJ5+PN!BJ5+MJ!BJ5+'RB I'!BJ5+'SF I'!BJ5</f>
        <v>42894.076688972622</v>
      </c>
      <c r="BK5" s="218">
        <f>SLP!BK5+ROSA!BK5+'STA ANA'!BK5+BOA!BK5+'STA MARIA'!BK5+'CB I'!BK5+IG!BK5+PN!BK5+MJ!BK5+'RB I'!BK5+'SF I'!BK5</f>
        <v>4991.2087058333345</v>
      </c>
      <c r="BL5" s="218">
        <f>SLP!BL5+ROSA!BL5+'STA ANA'!BL5+BOA!BL5+'STA MARIA'!BL5+'CB I'!BL5+IG!BL5+PN!BL5+MJ!BL5+'RB I'!BL5+'SF I'!BL5</f>
        <v>0</v>
      </c>
      <c r="BM5" s="218">
        <f>SLP!BM5+ROSA!BM5+'STA ANA'!BM5+BOA!BM5+'STA MARIA'!BM5+'CB I'!BM5+IG!BM5+PN!BM5+MJ!BM5+'RB I'!BM5+'SF I'!BM5</f>
        <v>0</v>
      </c>
      <c r="BN5" s="218">
        <f>SLP!BN5+ROSA!BN5+'STA ANA'!BN5+BOA!BN5+'STA MARIA'!BN5+'CB I'!BN5+IG!BN5+PN!BN5+MJ!BN5+'RB I'!BN5+'SF I'!BN5</f>
        <v>0</v>
      </c>
      <c r="BO5" s="221">
        <f t="shared" si="10"/>
        <v>-1</v>
      </c>
      <c r="BP5" s="218">
        <f>SLP!BP5+ROSA!BP5+'STA ANA'!BP5+BOA!BP5+'STA MARIA'!BP5+'CB I'!BP5+IG!BP5+PN!BP5+MJ!BP5+'RB I'!BP5+'SF I'!BP5</f>
        <v>47885.285394805956</v>
      </c>
      <c r="BQ5" s="218">
        <f>SLP!BQ5+ROSA!BQ5+'STA ANA'!BQ5+BOA!BQ5+'STA MARIA'!BQ5+'CB I'!BQ5+IG!BQ5+PN!BQ5+MJ!BQ5+'RB I'!BQ5+'SF I'!BQ5</f>
        <v>42894.076688972622</v>
      </c>
      <c r="BR5" s="218">
        <f>SLP!BR5+ROSA!BR5+'STA ANA'!BR5+BOA!BR5+'STA MARIA'!BR5+'CB I'!BR5+IG!BR5+PN!BR5+MJ!BR5+'RB I'!BR5+'SF I'!BR5</f>
        <v>4991.2087058333345</v>
      </c>
      <c r="BS5" s="218">
        <f>SLP!BS5+ROSA!BS5+'STA ANA'!BS5+BOA!BS5+'STA MARIA'!BS5+'CB I'!BS5+IG!BS5+PN!BS5+MJ!BS5+'RB I'!BS5+'SF I'!BS5</f>
        <v>0</v>
      </c>
      <c r="BT5" s="218">
        <f>SLP!BT5+ROSA!BT5+'STA ANA'!BT5+BOA!BT5+'STA MARIA'!BT5+'CB I'!BT5+IG!BT5+PN!BT5+MJ!BT5+'RB I'!BT5+'SF I'!BT5</f>
        <v>0</v>
      </c>
      <c r="BU5" s="218">
        <f>SLP!BU5+ROSA!BU5+'STA ANA'!BU5+BOA!BU5+'STA MARIA'!BU5+'CB I'!BU5+IG!BU5+PN!BU5+MJ!BU5+'RB I'!BU5+'SF I'!BU5</f>
        <v>0</v>
      </c>
      <c r="BV5" s="221">
        <f t="shared" si="11"/>
        <v>-1</v>
      </c>
      <c r="BW5" s="218">
        <f>SLP!BW5+ROSA!BW5+'STA ANA'!BW5+BOA!BW5+'STA MARIA'!BW5+'CB I'!BW5+IG!BW5+PN!BW5+MJ!BW5+'RB I'!BW5+'SF I'!BW5</f>
        <v>47885.285394805956</v>
      </c>
      <c r="BX5" s="218">
        <f>SLP!BX5+ROSA!BX5+'STA ANA'!BX5+BOA!BX5+'STA MARIA'!BX5+'CB I'!BX5+IG!BX5+PN!BX5+MJ!BX5+'RB I'!BX5+'SF I'!BX5</f>
        <v>42894.076688972622</v>
      </c>
      <c r="BY5" s="218">
        <f>SLP!BY5+ROSA!BY5+'STA ANA'!BY5+BOA!BY5+'STA MARIA'!BY5+'CB I'!BY5+IG!BY5+PN!BY5+MJ!BY5+'RB I'!BY5+'SF I'!BY5</f>
        <v>4991.2087058333345</v>
      </c>
      <c r="BZ5" s="218">
        <f>SLP!BZ5+ROSA!BZ5+'STA ANA'!BZ5+BOA!BZ5+'STA MARIA'!BZ5+'CB I'!BZ5+IG!BZ5+PN!BZ5+MJ!BZ5+'RB I'!BZ5+'SF I'!BZ5</f>
        <v>0</v>
      </c>
      <c r="CA5" s="218">
        <f>SLP!CA5+ROSA!CA5+'STA ANA'!CA5+BOA!CA5+'STA MARIA'!CA5+'CB I'!CA5+IG!CA5+PN!CA5+MJ!CA5+'RB I'!CA5+'SF I'!CA5</f>
        <v>0</v>
      </c>
      <c r="CB5" s="218">
        <f>SLP!CB5+ROSA!CB5+'STA ANA'!CB5+BOA!CB5+'STA MARIA'!CB5+'CB I'!CB5+IG!CB5+PN!CB5+MJ!CB5+'RB I'!CB5+'SF I'!CB5</f>
        <v>0</v>
      </c>
      <c r="CC5" s="221">
        <f t="shared" si="12"/>
        <v>-1</v>
      </c>
      <c r="CD5" s="218">
        <f>SLP!CD5+ROSA!CD5+'STA ANA'!CD5+BOA!CD5+'STA MARIA'!CD5+'CB I'!CD5+IG!CD5+PN!CD5+MJ!CD5+'RB I'!CD5+'SF I'!CD5</f>
        <v>47885.285394805956</v>
      </c>
      <c r="CE5" s="218">
        <f>SLP!CE5+ROSA!CE5+'STA ANA'!CE5+BOA!CE5+'STA MARIA'!CE5+'CB I'!CE5+IG!CE5+PN!CE5+MJ!CE5+'RB I'!CE5+'SF I'!CE5</f>
        <v>42894.076688972622</v>
      </c>
      <c r="CF5" s="218">
        <f>SLP!CF5+ROSA!CF5+'STA ANA'!CF5+BOA!CF5+'STA MARIA'!CF5+'CB I'!CF5+IG!CF5+PN!CF5+MJ!CF5+'RB I'!CF5+'SF I'!CF5</f>
        <v>4991.2087058333345</v>
      </c>
      <c r="CG5" s="218">
        <f>SLP!CG5+ROSA!CG5+'STA ANA'!CG5+BOA!CG5+'STA MARIA'!CG5+'CB I'!CG5+IG!CG5+PN!CG5+MJ!CG5+'RB I'!CG5+'SF I'!CG5</f>
        <v>0</v>
      </c>
      <c r="CH5" s="218">
        <f>SLP!CH5+ROSA!CH5+'STA ANA'!CH5+BOA!CH5+'STA MARIA'!CH5+'CB I'!CH5+IG!CH5+PN!CH5+MJ!CH5+'RB I'!CH5+'SF I'!CH5</f>
        <v>0</v>
      </c>
      <c r="CI5" s="218">
        <f>SLP!CI5+ROSA!CI5+'STA ANA'!CI5+BOA!CI5+'STA MARIA'!CI5+'CB I'!CI5+IG!CI5+PN!CI5+MJ!CI5+'RB I'!CI5+'SF I'!CI5</f>
        <v>0</v>
      </c>
      <c r="CJ5" s="221">
        <f t="shared" si="13"/>
        <v>-1</v>
      </c>
      <c r="CK5" s="218">
        <f>SLP!CK5+ROSA!CK5+'STA ANA'!CK5+BOA!CK5+'STA MARIA'!CK5+'CB I'!CK5+IG!CK5+PN!CK5+MJ!CK5+'RB I'!CK5+'SF I'!CK5</f>
        <v>47885.285394805956</v>
      </c>
      <c r="CL5" s="218">
        <f>SLP!CL5+ROSA!CL5+'STA ANA'!CL5+BOA!CL5+'STA MARIA'!CL5+'CB I'!CL5+IG!CL5+PN!CL5+MJ!CL5+'RB I'!CL5+'SF I'!CL5</f>
        <v>42894.076688972622</v>
      </c>
      <c r="CM5" s="218">
        <f>SLP!CM5+ROSA!CM5+'STA ANA'!CM5+BOA!CM5+'STA MARIA'!CM5+'CB I'!CM5+IG!CM5+PN!CM5+MJ!CM5+'RB I'!CM5+'SF I'!CM5</f>
        <v>4991.2087058333345</v>
      </c>
      <c r="CN5" s="218">
        <f>SLP!CN5+ROSA!CN5+'STA ANA'!CN5+BOA!CN5+'STA MARIA'!CN5+'CB I'!CN5+IG!CN5+PN!CN5+MJ!CN5+'RB I'!CN5+'SF I'!CN5</f>
        <v>0</v>
      </c>
      <c r="CO5" s="218">
        <f>SLP!CO5+ROSA!CO5+'STA ANA'!CO5+BOA!CO5+'STA MARIA'!CO5+'CB I'!CO5+IG!CO5+PN!CO5+MJ!CO5+'RB I'!CO5+'SF I'!CO5</f>
        <v>0</v>
      </c>
      <c r="CP5" s="218">
        <f>SLP!CP5+ROSA!CP5+'STA ANA'!CP5+BOA!CP5+'STA MARIA'!CP5+'CB I'!CP5+IG!CP5+PN!CP5+MJ!CP5+'RB I'!CP5+'SF I'!CP5</f>
        <v>0</v>
      </c>
      <c r="CQ5" s="221">
        <f t="shared" si="14"/>
        <v>-1</v>
      </c>
      <c r="CR5" s="154"/>
      <c r="CS5" s="222" t="e">
        <f t="shared" si="15"/>
        <v>#VALUE!</v>
      </c>
    </row>
    <row r="6" spans="1:101" ht="14.25" customHeight="1" thickBot="1" x14ac:dyDescent="0.25">
      <c r="A6" s="220" t="s">
        <v>30</v>
      </c>
      <c r="B6" s="30">
        <f t="shared" si="0"/>
        <v>1259914.7137882002</v>
      </c>
      <c r="C6" s="31">
        <f t="shared" si="0"/>
        <v>1137653.0556524601</v>
      </c>
      <c r="D6" s="32">
        <f t="shared" si="0"/>
        <v>122261.65813574023</v>
      </c>
      <c r="E6" s="30">
        <f t="shared" si="16"/>
        <v>407112.63091522129</v>
      </c>
      <c r="F6" s="33">
        <f t="shared" si="16"/>
        <v>367602.10821665503</v>
      </c>
      <c r="G6" s="34">
        <f t="shared" si="16"/>
        <v>39510.522698566208</v>
      </c>
      <c r="H6" s="31">
        <f t="shared" si="1"/>
        <v>541304.09855369292</v>
      </c>
      <c r="I6" s="33">
        <f t="shared" si="1"/>
        <v>60659.578274108535</v>
      </c>
      <c r="J6" s="33">
        <f t="shared" si="1"/>
        <v>601963.67682780151</v>
      </c>
      <c r="K6" s="221">
        <f t="shared" si="2"/>
        <v>0.47861704873793687</v>
      </c>
      <c r="L6" s="218">
        <f>SLP!L6+ROSA!L6+'STA ANA'!L6+BOA!L6+'STA MARIA'!L6+'CB I'!L6+IG!L6+PN!L6+MJ!L6+'RB I'!L6+'SF I'!L6</f>
        <v>101778.15772880532</v>
      </c>
      <c r="M6" s="218">
        <f>SLP!M6+ROSA!M6+'STA ANA'!M6+BOA!M6+'STA MARIA'!M6+'CB I'!M6+IG!M6+PN!M6+MJ!M6+'RB I'!M6+'SF I'!M6</f>
        <v>91900.527054163758</v>
      </c>
      <c r="N6" s="218">
        <f>SLP!N6+ROSA!N6+'STA ANA'!N6+BOA!N6+'STA MARIA'!N6+'CB I'!N6+IG!N6+PN!N6+MJ!N6+'RB I'!N6+'SF I'!N6</f>
        <v>9877.6306746415521</v>
      </c>
      <c r="O6" s="218">
        <f>SLP!O6+ROSA!O6+'STA ANA'!O6+BOA!O6+'STA MARIA'!O6+'CB I'!O6+IG!O6+PN!O6+MJ!O6+'RB I'!O6+'SF I'!O6</f>
        <v>87521.450852456546</v>
      </c>
      <c r="P6" s="218">
        <f>SLP!P6+ROSA!P6+'STA ANA'!P6+BOA!P6+'STA MARIA'!P6+'CB I'!P6+IG!P6+PN!P6+MJ!P6+'RB I'!P6+'SF I'!P6</f>
        <v>9870.8977984637368</v>
      </c>
      <c r="Q6" s="218">
        <f>SLP!Q6+ROSA!Q6+'STA ANA'!Q6+BOA!Q6+'STA MARIA'!Q6+'CB I'!Q6+IG!Q6+PN!Q6+MJ!Q6+'RB I'!Q6+'SF I'!Q6</f>
        <v>97392.348650920292</v>
      </c>
      <c r="R6" s="221">
        <f t="shared" si="3"/>
        <v>-4.3091849722524111E-2</v>
      </c>
      <c r="S6" s="218">
        <f>SLP!S6+ROSA!S6+'STA ANA'!S6+BOA!S6+'STA MARIA'!S6+'CB I'!S6+IG!S6+PN!S6+MJ!S6+'RB I'!S6+'SF I'!S6</f>
        <v>101778.15772880532</v>
      </c>
      <c r="T6" s="218">
        <f>SLP!T6+ROSA!T6+'STA ANA'!T6+BOA!T6+'STA MARIA'!T6+'CB I'!T6+IG!T6+PN!T6+MJ!T6+'RB I'!T6+'SF I'!T6</f>
        <v>91900.527054163758</v>
      </c>
      <c r="U6" s="218">
        <f>SLP!U6+ROSA!U6+'STA ANA'!U6+BOA!U6+'STA MARIA'!U6+'CB I'!U6+IG!U6+PN!U6+MJ!U6+'RB I'!U6+'SF I'!U6</f>
        <v>9877.6306746415521</v>
      </c>
      <c r="V6" s="218">
        <f>SLP!V6+ROSA!V6+'STA ANA'!V6+BOA!V6+'STA MARIA'!V6+'CB I'!V6+IG!V6+PN!V6+MJ!V6+'RB I'!V6+'SF I'!V6</f>
        <v>84969.862684827574</v>
      </c>
      <c r="W6" s="218">
        <f>SLP!W6+ROSA!W6+'STA ANA'!W6+BOA!W6+'STA MARIA'!W6+'CB I'!W6+IG!W6+PN!W6+MJ!W6+'RB I'!W6+'SF I'!W6</f>
        <v>9602.318292146676</v>
      </c>
      <c r="X6" s="218">
        <f>SLP!X6+ROSA!X6+'STA ANA'!X6+BOA!X6+'STA MARIA'!X6+'CB I'!X6+IG!X6+PN!X6+MJ!X6+'RB I'!X6+'SF I'!X6</f>
        <v>94572.180976974239</v>
      </c>
      <c r="Y6" s="221">
        <f t="shared" si="4"/>
        <v>-7.0800817313198872E-2</v>
      </c>
      <c r="Z6" s="218">
        <f>SLP!Z6+ROSA!Z6+'STA ANA'!Z6+BOA!Z6+'STA MARIA'!Z6+'CB I'!Z6+IG!Z6+PN!Z6+MJ!Z6+'RB I'!Z6+'SF I'!Z6</f>
        <v>101778.15772880532</v>
      </c>
      <c r="AA6" s="218">
        <f>SLP!AA6+ROSA!AA6+'STA ANA'!AA6+BOA!AA6+'STA MARIA'!AA6+'CB I'!AA6+IG!AA6+PN!AA6+MJ!AA6+'RB I'!AA6+'SF I'!AA6</f>
        <v>91900.527054163758</v>
      </c>
      <c r="AB6" s="218">
        <f>SLP!AB6+ROSA!AB6+'STA ANA'!AB6+BOA!AB6+'STA MARIA'!AB6+'CB I'!AB6+IG!AB6+PN!AB6+MJ!AB6+'RB I'!AB6+'SF I'!AB6</f>
        <v>9877.6306746415521</v>
      </c>
      <c r="AC6" s="218">
        <f>SLP!AC6+ROSA!AC6+'STA ANA'!AC6+BOA!AC6+'STA MARIA'!AC6+'CB I'!AC6+IG!AC6+PN!AC6+MJ!AC6+'RB I'!AC6+'SF I'!AC6</f>
        <v>92978.9134829705</v>
      </c>
      <c r="AD6" s="218">
        <f>SLP!AD6+ROSA!AD6+'STA ANA'!AD6+BOA!AD6+'STA MARIA'!AD6+'CB I'!AD6+IG!AD6+PN!AD6+MJ!AD6+'RB I'!AD6+'SF I'!AD6</f>
        <v>10257.637657942263</v>
      </c>
      <c r="AE6" s="218">
        <f>SLP!AE6+ROSA!AE6+'STA ANA'!AE6+BOA!AE6+'STA MARIA'!AE6+'CB I'!AE6+IG!AE6+PN!AE6+MJ!AE6+'RB I'!AE6+'SF I'!AE6</f>
        <v>103236.55114091275</v>
      </c>
      <c r="AF6" s="221">
        <f t="shared" si="5"/>
        <v>1.4329139420988568E-2</v>
      </c>
      <c r="AG6" s="218">
        <f>SLP!AG6+ROSA!AG6+'STA ANA'!AG6+BOA!AG6+'STA MARIA'!AG6+'CB I'!AG6+IG!AG6+PN!AG6+MJ!AG6+'RB I'!AG6+'SF I'!AG6</f>
        <v>101778.15772880532</v>
      </c>
      <c r="AH6" s="218">
        <f>SLP!AH6+ROSA!AH6+'STA ANA'!AH6+BOA!AH6+'STA MARIA'!AH6+'CB I'!AH6+IG!AH6+PN!AH6+MJ!AH6+'RB I'!AH6+'SF I'!AH6</f>
        <v>91900.527054163758</v>
      </c>
      <c r="AI6" s="218">
        <f>SLP!AI6+ROSA!AI6+'STA ANA'!AI6+BOA!AI6+'STA MARIA'!AI6+'CB I'!AI6+IG!AI6+PN!AI6+MJ!AI6+'RB I'!AI6+'SF I'!AI6</f>
        <v>9877.6306746415521</v>
      </c>
      <c r="AJ6" s="218">
        <f>SLP!AJ6+ROSA!AJ6+'STA ANA'!AJ6+BOA!AJ6+'STA MARIA'!AJ6+'CB I'!AJ6+IG!AJ6+PN!AJ6+MJ!AJ6+'RB I'!AJ6+'SF I'!AJ6</f>
        <v>90022.047063765538</v>
      </c>
      <c r="AK6" s="218">
        <f>SLP!AK6+ROSA!AK6+'STA ANA'!AK6+BOA!AK6+'STA MARIA'!AK6+'CB I'!AK6+IG!AK6+PN!AK6+MJ!AK6+'RB I'!AK6+'SF I'!AK6</f>
        <v>9792.571339817272</v>
      </c>
      <c r="AL6" s="218">
        <f>SLP!AL6+ROSA!AL6+'STA ANA'!AL6+BOA!AL6+'STA MARIA'!AL6+'CB I'!AL6+IG!AL6+PN!AL6+MJ!AL6+'RB I'!AL6+'SF I'!AL6</f>
        <v>99814.618403582819</v>
      </c>
      <c r="AM6" s="221">
        <f t="shared" si="6"/>
        <v>-1.9292344929788263E-2</v>
      </c>
      <c r="AN6" s="218">
        <f>SLP!AN6+ROSA!AN6+'STA ANA'!AN6+BOA!AN6+'STA MARIA'!AN6+'CB I'!AN6+IG!AN6+PN!AN6+MJ!AN6+'RB I'!AN6+'SF I'!AN6</f>
        <v>101778.15772880532</v>
      </c>
      <c r="AO6" s="218">
        <f>SLP!AO6+ROSA!AO6+'STA ANA'!AO6+BOA!AO6+'STA MARIA'!AO6+'CB I'!AO6+IG!AO6+PN!AO6+MJ!AO6+'RB I'!AO6+'SF I'!AO6</f>
        <v>91900.527054163758</v>
      </c>
      <c r="AP6" s="218">
        <f>SLP!AP6+ROSA!AP6+'STA ANA'!AP6+BOA!AP6+'STA MARIA'!AP6+'CB I'!AP6+IG!AP6+PN!AP6+MJ!AP6+'RB I'!AP6+'SF I'!AP6</f>
        <v>9877.6306746415521</v>
      </c>
      <c r="AQ6" s="218">
        <f>SLP!AQ6+ROSA!AQ6+'STA ANA'!AQ6+BOA!AQ6+'STA MARIA'!AQ6+'CB I'!AQ6+IG!AQ6+PN!AQ6+MJ!AQ6+'RB I'!AQ6+'SF I'!AQ6</f>
        <v>94585.476924728413</v>
      </c>
      <c r="AR6" s="218">
        <f>SLP!AR6+ROSA!AR6+'STA ANA'!AR6+BOA!AR6+'STA MARIA'!AR6+'CB I'!AR6+IG!AR6+PN!AR6+MJ!AR6+'RB I'!AR6+'SF I'!AR6</f>
        <v>10970.491854758046</v>
      </c>
      <c r="AS6" s="218">
        <f>SLP!AS6+ROSA!AS6+'STA ANA'!AS6+BOA!AS6+'STA MARIA'!AS6+'CB I'!AS6+IG!AS6+PN!AS6+MJ!AS6+'RB I'!AS6+'SF I'!AS6</f>
        <v>105555.96877948647</v>
      </c>
      <c r="AT6" s="221">
        <f t="shared" si="7"/>
        <v>3.7118092280147064E-2</v>
      </c>
      <c r="AU6" s="218">
        <f>SLP!AU6+ROSA!AU6+'STA ANA'!AU6+BOA!AU6+'STA MARIA'!AU6+'CB I'!AU6+IG!AU6+PN!AU6+MJ!AU6+'RB I'!AU6+'SF I'!AU6</f>
        <v>101778.15772880532</v>
      </c>
      <c r="AV6" s="218">
        <f>SLP!AV6+ROSA!AV6+'STA ANA'!AV6+BOA!AV6+'STA MARIA'!AV6+'CB I'!AV6+IG!AV6+PN!AV6+MJ!AV6+'RB I'!AV6+'SF I'!AV6</f>
        <v>91900.527054163758</v>
      </c>
      <c r="AW6" s="218">
        <f>SLP!AW6+ROSA!AW6+'STA ANA'!AW6+BOA!AW6+'STA MARIA'!AW6+'CB I'!AW6+IG!AW6+PN!AW6+MJ!AW6+'RB I'!AW6+'SF I'!AW6</f>
        <v>9877.6306746415521</v>
      </c>
      <c r="AX6" s="218">
        <f>SLP!AX6+ROSA!AX6+'STA ANA'!AX6+BOA!AX6+'STA MARIA'!AX6+'CB I'!AX6+IG!AX6+PN!AX6+MJ!AX6+'RB I'!AX6+'SF I'!AX6</f>
        <v>91226.347544944379</v>
      </c>
      <c r="AY6" s="218">
        <f>SLP!AY6+ROSA!AY6+'STA ANA'!AY6+BOA!AY6+'STA MARIA'!AY6+'CB I'!AY6+IG!AY6+PN!AY6+MJ!AY6+'RB I'!AY6+'SF I'!AY6</f>
        <v>10165.661330980538</v>
      </c>
      <c r="AZ6" s="218">
        <f>SLP!AZ6+ROSA!AZ6+'STA ANA'!AZ6+BOA!AZ6+'STA MARIA'!AZ6+'CB I'!AZ6+IG!AZ6+PN!AZ6+MJ!AZ6+'RB I'!AZ6+'SF I'!AZ6</f>
        <v>101392.0088759249</v>
      </c>
      <c r="BA6" s="221">
        <f t="shared" si="8"/>
        <v>-3.7940247838769148E-3</v>
      </c>
      <c r="BB6" s="218">
        <f>SLP!BB6+ROSA!BB6+'STA ANA'!BB6+BOA!BB6+'STA MARIA'!BB6+'CB I'!BB6+IG!BB6+PN!BB6+MJ!BB6+'RB I'!BB6+'SF I'!BB6</f>
        <v>101778.15772880532</v>
      </c>
      <c r="BC6" s="218">
        <f>SLP!BC6+ROSA!BC6+'STA ANA'!BC6+BOA!BC6+'STA MARIA'!BC6+'CB I'!BC6+IG!BC6+PN!BC6+MJ!BC6+'RB I'!BC6+'SF I'!BC6</f>
        <v>91900.527054163758</v>
      </c>
      <c r="BD6" s="218">
        <f>SLP!BD6+ROSA!BD6+'STA ANA'!BD6+BOA!BD6+'STA MARIA'!BD6+'CB I'!BD6+IG!BD6+PN!BD6+MJ!BD6+'RB I'!BD6+'SF I'!BD6</f>
        <v>9877.6306746415521</v>
      </c>
      <c r="BE6" s="218">
        <f>SLP!BE6+ROSA!BE6+'STA ANA'!BE6+BOA!BE6+'STA MARIA'!BE6+'CB I'!BE6+IG!BE6+PN!BE6+MJ!BE6+'RB I'!BE6+'SF I'!BE6</f>
        <v>0</v>
      </c>
      <c r="BF6" s="218">
        <f>SLP!BF6+ROSA!BF6+'STA ANA'!BF6+BOA!BF6+'STA MARIA'!BF6+'CB I'!BF6+IG!BF6+PN!BF6+MJ!BF6+'RB I'!BF6+'SF I'!BF6</f>
        <v>0</v>
      </c>
      <c r="BG6" s="218">
        <f>SLP!BG6+ROSA!BG6+'STA ANA'!BG6+BOA!BG6+'STA MARIA'!BG6+'CB I'!BG6+IG!BG6+PN!BG6+MJ!BG6+'RB I'!BG6+'SF I'!BG6</f>
        <v>0</v>
      </c>
      <c r="BH6" s="221">
        <f t="shared" si="9"/>
        <v>-1</v>
      </c>
      <c r="BI6" s="218">
        <f>SLP!BI6+ROSA!BI6+'STA ANA'!BI6+BOA!BI6+'STA MARIA'!BI6+'CB I'!BI6+IG!BI6+PN!BI6+MJ!BI6+'RB I'!BI6+'SF I'!BI6</f>
        <v>109493.5219373126</v>
      </c>
      <c r="BJ6" s="218">
        <f>SLP!BJ6+ROSA!BJ6+'STA ANA'!BJ6+BOA!BJ6+'STA MARIA'!BJ6+'CB I'!BJ6+IG!BJ6+PN!BJ6+MJ!BJ6+'RB I'!BJ6+'SF I'!BJ6</f>
        <v>98869.873254662743</v>
      </c>
      <c r="BK6" s="218">
        <f>SLP!BK6+ROSA!BK6+'STA ANA'!BK6+BOA!BK6+'STA MARIA'!BK6+'CB I'!BK6+IG!BK6+PN!BK6+MJ!BK6+'RB I'!BK6+'SF I'!BK6</f>
        <v>10623.648682649877</v>
      </c>
      <c r="BL6" s="218">
        <f>SLP!BL6+ROSA!BL6+'STA ANA'!BL6+BOA!BL6+'STA MARIA'!BL6+'CB I'!BL6+IG!BL6+PN!BL6+MJ!BL6+'RB I'!BL6+'SF I'!BL6</f>
        <v>0</v>
      </c>
      <c r="BM6" s="218">
        <f>SLP!BM6+ROSA!BM6+'STA ANA'!BM6+BOA!BM6+'STA MARIA'!BM6+'CB I'!BM6+IG!BM6+PN!BM6+MJ!BM6+'RB I'!BM6+'SF I'!BM6</f>
        <v>0</v>
      </c>
      <c r="BN6" s="218">
        <f>SLP!BN6+ROSA!BN6+'STA ANA'!BN6+BOA!BN6+'STA MARIA'!BN6+'CB I'!BN6+IG!BN6+PN!BN6+MJ!BN6+'RB I'!BN6+'SF I'!BN6</f>
        <v>0</v>
      </c>
      <c r="BO6" s="221">
        <f t="shared" si="10"/>
        <v>-1</v>
      </c>
      <c r="BP6" s="218">
        <f>SLP!BP6+ROSA!BP6+'STA ANA'!BP6+BOA!BP6+'STA MARIA'!BP6+'CB I'!BP6+IG!BP6+PN!BP6+MJ!BP6+'RB I'!BP6+'SF I'!BP6</f>
        <v>109493.5219373126</v>
      </c>
      <c r="BQ6" s="218">
        <f>SLP!BQ6+ROSA!BQ6+'STA ANA'!BQ6+BOA!BQ6+'STA MARIA'!BQ6+'CB I'!BQ6+IG!BQ6+PN!BQ6+MJ!BQ6+'RB I'!BQ6+'SF I'!BQ6</f>
        <v>98869.873254662743</v>
      </c>
      <c r="BR6" s="218">
        <f>SLP!BR6+ROSA!BR6+'STA ANA'!BR6+BOA!BR6+'STA MARIA'!BR6+'CB I'!BR6+IG!BR6+PN!BR6+MJ!BR6+'RB I'!BR6+'SF I'!BR6</f>
        <v>10623.648682649877</v>
      </c>
      <c r="BS6" s="218">
        <f>SLP!BS6+ROSA!BS6+'STA ANA'!BS6+BOA!BS6+'STA MARIA'!BS6+'CB I'!BS6+IG!BS6+PN!BS6+MJ!BS6+'RB I'!BS6+'SF I'!BS6</f>
        <v>0</v>
      </c>
      <c r="BT6" s="218">
        <f>SLP!BT6+ROSA!BT6+'STA ANA'!BT6+BOA!BT6+'STA MARIA'!BT6+'CB I'!BT6+IG!BT6+PN!BT6+MJ!BT6+'RB I'!BT6+'SF I'!BT6</f>
        <v>0</v>
      </c>
      <c r="BU6" s="218">
        <f>SLP!BU6+ROSA!BU6+'STA ANA'!BU6+BOA!BU6+'STA MARIA'!BU6+'CB I'!BU6+IG!BU6+PN!BU6+MJ!BU6+'RB I'!BU6+'SF I'!BU6</f>
        <v>0</v>
      </c>
      <c r="BV6" s="221">
        <f t="shared" si="11"/>
        <v>-1</v>
      </c>
      <c r="BW6" s="218">
        <f>SLP!BW6+ROSA!BW6+'STA ANA'!BW6+BOA!BW6+'STA MARIA'!BW6+'CB I'!BW6+IG!BW6+PN!BW6+MJ!BW6+'RB I'!BW6+'SF I'!BW6</f>
        <v>109493.5219373126</v>
      </c>
      <c r="BX6" s="218">
        <f>SLP!BX6+ROSA!BX6+'STA ANA'!BX6+BOA!BX6+'STA MARIA'!BX6+'CB I'!BX6+IG!BX6+PN!BX6+MJ!BX6+'RB I'!BX6+'SF I'!BX6</f>
        <v>98869.873254662743</v>
      </c>
      <c r="BY6" s="218">
        <f>SLP!BY6+ROSA!BY6+'STA ANA'!BY6+BOA!BY6+'STA MARIA'!BY6+'CB I'!BY6+IG!BY6+PN!BY6+MJ!BY6+'RB I'!BY6+'SF I'!BY6</f>
        <v>10623.648682649877</v>
      </c>
      <c r="BZ6" s="218">
        <f>SLP!BZ6+ROSA!BZ6+'STA ANA'!BZ6+BOA!BZ6+'STA MARIA'!BZ6+'CB I'!BZ6+IG!BZ6+PN!BZ6+MJ!BZ6+'RB I'!BZ6+'SF I'!BZ6</f>
        <v>0</v>
      </c>
      <c r="CA6" s="218">
        <f>SLP!CA6+ROSA!CA6+'STA ANA'!CA6+BOA!CA6+'STA MARIA'!CA6+'CB I'!CA6+IG!CA6+PN!CA6+MJ!CA6+'RB I'!CA6+'SF I'!CA6</f>
        <v>0</v>
      </c>
      <c r="CB6" s="218">
        <f>SLP!CB6+ROSA!CB6+'STA ANA'!CB6+BOA!CB6+'STA MARIA'!CB6+'CB I'!CB6+IG!CB6+PN!CB6+MJ!CB6+'RB I'!CB6+'SF I'!CB6</f>
        <v>0</v>
      </c>
      <c r="CC6" s="221">
        <f t="shared" si="12"/>
        <v>-1</v>
      </c>
      <c r="CD6" s="218">
        <f>SLP!CD6+ROSA!CD6+'STA ANA'!CD6+BOA!CD6+'STA MARIA'!CD6+'CB I'!CD6+IG!CD6+PN!CD6+MJ!CD6+'RB I'!CD6+'SF I'!CD6</f>
        <v>109493.5219373126</v>
      </c>
      <c r="CE6" s="218">
        <f>SLP!CE6+ROSA!CE6+'STA ANA'!CE6+BOA!CE6+'STA MARIA'!CE6+'CB I'!CE6+IG!CE6+PN!CE6+MJ!CE6+'RB I'!CE6+'SF I'!CE6</f>
        <v>98869.873254662743</v>
      </c>
      <c r="CF6" s="218">
        <f>SLP!CF6+ROSA!CF6+'STA ANA'!CF6+BOA!CF6+'STA MARIA'!CF6+'CB I'!CF6+IG!CF6+PN!CF6+MJ!CF6+'RB I'!CF6+'SF I'!CF6</f>
        <v>10623.648682649877</v>
      </c>
      <c r="CG6" s="218">
        <f>SLP!CG6+ROSA!CG6+'STA ANA'!CG6+BOA!CG6+'STA MARIA'!CG6+'CB I'!CG6+IG!CG6+PN!CG6+MJ!CG6+'RB I'!CG6+'SF I'!CG6</f>
        <v>0</v>
      </c>
      <c r="CH6" s="218">
        <f>SLP!CH6+ROSA!CH6+'STA ANA'!CH6+BOA!CH6+'STA MARIA'!CH6+'CB I'!CH6+IG!CH6+PN!CH6+MJ!CH6+'RB I'!CH6+'SF I'!CH6</f>
        <v>0</v>
      </c>
      <c r="CI6" s="218">
        <f>SLP!CI6+ROSA!CI6+'STA ANA'!CI6+BOA!CI6+'STA MARIA'!CI6+'CB I'!CI6+IG!CI6+PN!CI6+MJ!CI6+'RB I'!CI6+'SF I'!CI6</f>
        <v>0</v>
      </c>
      <c r="CJ6" s="221">
        <f t="shared" si="13"/>
        <v>-1</v>
      </c>
      <c r="CK6" s="218">
        <f>SLP!CK6+ROSA!CK6+'STA ANA'!CK6+BOA!CK6+'STA MARIA'!CK6+'CB I'!CK6+IG!CK6+PN!CK6+MJ!CK6+'RB I'!CK6+'SF I'!CK6</f>
        <v>109493.5219373126</v>
      </c>
      <c r="CL6" s="218">
        <f>SLP!CL6+ROSA!CL6+'STA ANA'!CL6+BOA!CL6+'STA MARIA'!CL6+'CB I'!CL6+IG!CL6+PN!CL6+MJ!CL6+'RB I'!CL6+'SF I'!CL6</f>
        <v>98869.873254662743</v>
      </c>
      <c r="CM6" s="218">
        <f>SLP!CM6+ROSA!CM6+'STA ANA'!CM6+BOA!CM6+'STA MARIA'!CM6+'CB I'!CM6+IG!CM6+PN!CM6+MJ!CM6+'RB I'!CM6+'SF I'!CM6</f>
        <v>10623.648682649877</v>
      </c>
      <c r="CN6" s="218">
        <f>SLP!CN6+ROSA!CN6+'STA ANA'!CN6+BOA!CN6+'STA MARIA'!CN6+'CB I'!CN6+IG!CN6+PN!CN6+MJ!CN6+'RB I'!CN6+'SF I'!CN6</f>
        <v>0</v>
      </c>
      <c r="CO6" s="218">
        <f>SLP!CO6+ROSA!CO6+'STA ANA'!CO6+BOA!CO6+'STA MARIA'!CO6+'CB I'!CO6+IG!CO6+PN!CO6+MJ!CO6+'RB I'!CO6+'SF I'!CO6</f>
        <v>0</v>
      </c>
      <c r="CP6" s="218">
        <f>SLP!CP6+ROSA!CP6+'STA ANA'!CP6+BOA!CP6+'STA MARIA'!CP6+'CB I'!CP6+IG!CP6+PN!CP6+MJ!CP6+'RB I'!CP6+'SF I'!CP6</f>
        <v>0</v>
      </c>
      <c r="CQ6" s="221">
        <f t="shared" si="14"/>
        <v>-1</v>
      </c>
      <c r="CR6" s="154"/>
      <c r="CS6" s="222" t="e">
        <f t="shared" si="15"/>
        <v>#VALUE!</v>
      </c>
    </row>
    <row r="7" spans="1:101" ht="14.25" customHeight="1" thickBot="1" x14ac:dyDescent="0.25">
      <c r="A7" s="220" t="s">
        <v>31</v>
      </c>
      <c r="B7" s="30">
        <f t="shared" si="0"/>
        <v>972147.64449683065</v>
      </c>
      <c r="C7" s="31">
        <f t="shared" si="0"/>
        <v>877289.46146048047</v>
      </c>
      <c r="D7" s="32">
        <f t="shared" si="0"/>
        <v>94858.183036350179</v>
      </c>
      <c r="E7" s="30">
        <f t="shared" si="16"/>
        <v>314128.06689660146</v>
      </c>
      <c r="F7" s="33">
        <f t="shared" si="16"/>
        <v>283473.35100978287</v>
      </c>
      <c r="G7" s="34">
        <f t="shared" si="16"/>
        <v>30654.715886818605</v>
      </c>
      <c r="H7" s="31">
        <f t="shared" si="1"/>
        <v>369624.01722717396</v>
      </c>
      <c r="I7" s="33">
        <f t="shared" si="1"/>
        <v>42495.923691995886</v>
      </c>
      <c r="J7" s="33">
        <f t="shared" si="1"/>
        <v>412119.94091916981</v>
      </c>
      <c r="K7" s="221">
        <f t="shared" si="2"/>
        <v>0.31194880161670935</v>
      </c>
      <c r="L7" s="218">
        <f>SLP!L7+ROSA!L7+'STA ANA'!L7+BOA!L7+'STA MARIA'!L7+'CB I'!L7+IG!L7+PN!L7+MJ!L7+'RB I'!L7+'SF I'!L7</f>
        <v>78532.016724150366</v>
      </c>
      <c r="M7" s="218">
        <f>SLP!M7+ROSA!M7+'STA ANA'!M7+BOA!M7+'STA MARIA'!M7+'CB I'!M7+IG!M7+PN!M7+MJ!M7+'RB I'!M7+'SF I'!M7</f>
        <v>70868.337752445717</v>
      </c>
      <c r="N7" s="218">
        <f>SLP!N7+ROSA!N7+'STA ANA'!N7+BOA!N7+'STA MARIA'!N7+'CB I'!N7+IG!N7+PN!N7+MJ!N7+'RB I'!N7+'SF I'!N7</f>
        <v>7663.6789717046513</v>
      </c>
      <c r="O7" s="218">
        <f>SLP!O7+ROSA!O7+'STA ANA'!O7+BOA!O7+'STA MARIA'!O7+'CB I'!O7+IG!O7+PN!O7+MJ!O7+'RB I'!O7+'SF I'!O7</f>
        <v>60402.283350082755</v>
      </c>
      <c r="P7" s="218">
        <f>SLP!P7+ROSA!P7+'STA ANA'!P7+BOA!P7+'STA MARIA'!P7+'CB I'!P7+IG!P7+PN!P7+MJ!P7+'RB I'!P7+'SF I'!P7</f>
        <v>7052.2422400595324</v>
      </c>
      <c r="Q7" s="218">
        <f>SLP!Q7+ROSA!Q7+'STA ANA'!Q7+BOA!Q7+'STA MARIA'!Q7+'CB I'!Q7+IG!Q7+PN!Q7+MJ!Q7+'RB I'!Q7+'SF I'!Q7</f>
        <v>67454.525590142279</v>
      </c>
      <c r="R7" s="221">
        <f t="shared" si="3"/>
        <v>-0.14105700574223901</v>
      </c>
      <c r="S7" s="218">
        <f>SLP!S7+ROSA!S7+'STA ANA'!S7+BOA!S7+'STA MARIA'!S7+'CB I'!S7+IG!S7+PN!S7+MJ!S7+'RB I'!S7+'SF I'!S7</f>
        <v>78532.016724150366</v>
      </c>
      <c r="T7" s="218">
        <f>SLP!T7+ROSA!T7+'STA ANA'!T7+BOA!T7+'STA MARIA'!T7+'CB I'!T7+IG!T7+PN!T7+MJ!T7+'RB I'!T7+'SF I'!T7</f>
        <v>70868.337752445717</v>
      </c>
      <c r="U7" s="218">
        <f>SLP!U7+ROSA!U7+'STA ANA'!U7+BOA!U7+'STA MARIA'!U7+'CB I'!U7+IG!U7+PN!U7+MJ!U7+'RB I'!U7+'SF I'!U7</f>
        <v>7663.6789717046513</v>
      </c>
      <c r="V7" s="218">
        <f>SLP!V7+ROSA!V7+'STA ANA'!V7+BOA!V7+'STA MARIA'!V7+'CB I'!V7+IG!V7+PN!V7+MJ!V7+'RB I'!V7+'SF I'!V7</f>
        <v>58260.596861019454</v>
      </c>
      <c r="W7" s="218">
        <f>SLP!W7+ROSA!W7+'STA ANA'!W7+BOA!W7+'STA MARIA'!W7+'CB I'!W7+IG!W7+PN!W7+MJ!W7+'RB I'!W7+'SF I'!W7</f>
        <v>6730.441330690197</v>
      </c>
      <c r="X7" s="218">
        <f>SLP!X7+ROSA!X7+'STA ANA'!X7+BOA!X7+'STA MARIA'!X7+'CB I'!X7+IG!X7+PN!X7+MJ!X7+'RB I'!X7+'SF I'!X7</f>
        <v>64991.038191709653</v>
      </c>
      <c r="Y7" s="221">
        <f t="shared" si="4"/>
        <v>-0.17242621668566616</v>
      </c>
      <c r="Z7" s="218">
        <f>SLP!Z7+ROSA!Z7+'STA ANA'!Z7+BOA!Z7+'STA MARIA'!Z7+'CB I'!Z7+IG!Z7+PN!Z7+MJ!Z7+'RB I'!Z7+'SF I'!Z7</f>
        <v>78532.016724150366</v>
      </c>
      <c r="AA7" s="218">
        <f>SLP!AA7+ROSA!AA7+'STA ANA'!AA7+BOA!AA7+'STA MARIA'!AA7+'CB I'!AA7+IG!AA7+PN!AA7+MJ!AA7+'RB I'!AA7+'SF I'!AA7</f>
        <v>70868.337752445717</v>
      </c>
      <c r="AB7" s="218">
        <f>SLP!AB7+ROSA!AB7+'STA ANA'!AB7+BOA!AB7+'STA MARIA'!AB7+'CB I'!AB7+IG!AB7+PN!AB7+MJ!AB7+'RB I'!AB7+'SF I'!AB7</f>
        <v>7663.6789717046513</v>
      </c>
      <c r="AC7" s="218">
        <f>SLP!AC7+ROSA!AC7+'STA ANA'!AC7+BOA!AC7+'STA MARIA'!AC7+'CB I'!AC7+IG!AC7+PN!AC7+MJ!AC7+'RB I'!AC7+'SF I'!AC7</f>
        <v>61733.094183812398</v>
      </c>
      <c r="AD7" s="218">
        <f>SLP!AD7+ROSA!AD7+'STA ANA'!AD7+BOA!AD7+'STA MARIA'!AD7+'CB I'!AD7+IG!AD7+PN!AD7+MJ!AD7+'RB I'!AD7+'SF I'!AD7</f>
        <v>7064.5145665466289</v>
      </c>
      <c r="AE7" s="218">
        <f>SLP!AE7+ROSA!AE7+'STA ANA'!AE7+BOA!AE7+'STA MARIA'!AE7+'CB I'!AE7+IG!AE7+PN!AE7+MJ!AE7+'RB I'!AE7+'SF I'!AE7</f>
        <v>68797.608750359024</v>
      </c>
      <c r="AF7" s="221">
        <f t="shared" si="5"/>
        <v>-0.12395464142967549</v>
      </c>
      <c r="AG7" s="218">
        <f>SLP!AG7+ROSA!AG7+'STA ANA'!AG7+BOA!AG7+'STA MARIA'!AG7+'CB I'!AG7+IG!AG7+PN!AG7+MJ!AG7+'RB I'!AG7+'SF I'!AG7</f>
        <v>78532.016724150366</v>
      </c>
      <c r="AH7" s="218">
        <f>SLP!AH7+ROSA!AH7+'STA ANA'!AH7+BOA!AH7+'STA MARIA'!AH7+'CB I'!AH7+IG!AH7+PN!AH7+MJ!AH7+'RB I'!AH7+'SF I'!AH7</f>
        <v>70868.337752445717</v>
      </c>
      <c r="AI7" s="218">
        <f>SLP!AI7+ROSA!AI7+'STA ANA'!AI7+BOA!AI7+'STA MARIA'!AI7+'CB I'!AI7+IG!AI7+PN!AI7+MJ!AI7+'RB I'!AI7+'SF I'!AI7</f>
        <v>7663.6789717046513</v>
      </c>
      <c r="AJ7" s="218">
        <f>SLP!AJ7+ROSA!AJ7+'STA ANA'!AJ7+BOA!AJ7+'STA MARIA'!AJ7+'CB I'!AJ7+IG!AJ7+PN!AJ7+MJ!AJ7+'RB I'!AJ7+'SF I'!AJ7</f>
        <v>61389.823091178419</v>
      </c>
      <c r="AK7" s="218">
        <f>SLP!AK7+ROSA!AK7+'STA ANA'!AK7+BOA!AK7+'STA MARIA'!AK7+'CB I'!AK7+IG!AK7+PN!AK7+MJ!AK7+'RB I'!AK7+'SF I'!AK7</f>
        <v>6892.0768647180148</v>
      </c>
      <c r="AL7" s="218">
        <f>SLP!AL7+ROSA!AL7+'STA ANA'!AL7+BOA!AL7+'STA MARIA'!AL7+'CB I'!AL7+IG!AL7+PN!AL7+MJ!AL7+'RB I'!AL7+'SF I'!AL7</f>
        <v>68281.899955896442</v>
      </c>
      <c r="AM7" s="221">
        <f t="shared" si="6"/>
        <v>-0.13052150187684897</v>
      </c>
      <c r="AN7" s="218">
        <f>SLP!AN7+ROSA!AN7+'STA ANA'!AN7+BOA!AN7+'STA MARIA'!AN7+'CB I'!AN7+IG!AN7+PN!AN7+MJ!AN7+'RB I'!AN7+'SF I'!AN7</f>
        <v>78532.016724150366</v>
      </c>
      <c r="AO7" s="218">
        <f>SLP!AO7+ROSA!AO7+'STA ANA'!AO7+BOA!AO7+'STA MARIA'!AO7+'CB I'!AO7+IG!AO7+PN!AO7+MJ!AO7+'RB I'!AO7+'SF I'!AO7</f>
        <v>70868.337752445717</v>
      </c>
      <c r="AP7" s="218">
        <f>SLP!AP7+ROSA!AP7+'STA ANA'!AP7+BOA!AP7+'STA MARIA'!AP7+'CB I'!AP7+IG!AP7+PN!AP7+MJ!AP7+'RB I'!AP7+'SF I'!AP7</f>
        <v>7663.6789717046513</v>
      </c>
      <c r="AQ7" s="218">
        <f>SLP!AQ7+ROSA!AQ7+'STA ANA'!AQ7+BOA!AQ7+'STA MARIA'!AQ7+'CB I'!AQ7+IG!AQ7+PN!AQ7+MJ!AQ7+'RB I'!AQ7+'SF I'!AQ7</f>
        <v>65204.799361644313</v>
      </c>
      <c r="AR7" s="218">
        <f>SLP!AR7+ROSA!AR7+'STA ANA'!AR7+BOA!AR7+'STA MARIA'!AR7+'CB I'!AR7+IG!AR7+PN!AR7+MJ!AR7+'RB I'!AR7+'SF I'!AR7</f>
        <v>7597.287070475465</v>
      </c>
      <c r="AS7" s="218">
        <f>SLP!AS7+ROSA!AS7+'STA ANA'!AS7+BOA!AS7+'STA MARIA'!AS7+'CB I'!AS7+IG!AS7+PN!AS7+MJ!AS7+'RB I'!AS7+'SF I'!AS7</f>
        <v>72802.086432119788</v>
      </c>
      <c r="AT7" s="221">
        <f t="shared" si="7"/>
        <v>-7.2962984156606958E-2</v>
      </c>
      <c r="AU7" s="218">
        <f>SLP!AU7+ROSA!AU7+'STA ANA'!AU7+BOA!AU7+'STA MARIA'!AU7+'CB I'!AU7+IG!AU7+PN!AU7+MJ!AU7+'RB I'!AU7+'SF I'!AU7</f>
        <v>78532.016724150366</v>
      </c>
      <c r="AV7" s="218">
        <f>SLP!AV7+ROSA!AV7+'STA ANA'!AV7+BOA!AV7+'STA MARIA'!AV7+'CB I'!AV7+IG!AV7+PN!AV7+MJ!AV7+'RB I'!AV7+'SF I'!AV7</f>
        <v>70868.337752445717</v>
      </c>
      <c r="AW7" s="218">
        <f>SLP!AW7+ROSA!AW7+'STA ANA'!AW7+BOA!AW7+'STA MARIA'!AW7+'CB I'!AW7+IG!AW7+PN!AW7+MJ!AW7+'RB I'!AW7+'SF I'!AW7</f>
        <v>7663.6789717046513</v>
      </c>
      <c r="AX7" s="218">
        <f>SLP!AX7+ROSA!AX7+'STA ANA'!AX7+BOA!AX7+'STA MARIA'!AX7+'CB I'!AX7+IG!AX7+PN!AX7+MJ!AX7+'RB I'!AX7+'SF I'!AX7</f>
        <v>62633.420379436648</v>
      </c>
      <c r="AY7" s="218">
        <f>SLP!AY7+ROSA!AY7+'STA ANA'!AY7+BOA!AY7+'STA MARIA'!AY7+'CB I'!AY7+IG!AY7+PN!AY7+MJ!AY7+'RB I'!AY7+'SF I'!AY7</f>
        <v>7159.3616195060449</v>
      </c>
      <c r="AZ7" s="218">
        <f>SLP!AZ7+ROSA!AZ7+'STA ANA'!AZ7+BOA!AZ7+'STA MARIA'!AZ7+'CB I'!AZ7+IG!AZ7+PN!AZ7+MJ!AZ7+'RB I'!AZ7+'SF I'!AZ7</f>
        <v>69792.781998942693</v>
      </c>
      <c r="BA7" s="221">
        <f t="shared" si="8"/>
        <v>-0.11128244364212492</v>
      </c>
      <c r="BB7" s="218">
        <f>SLP!BB7+ROSA!BB7+'STA ANA'!BB7+BOA!BB7+'STA MARIA'!BB7+'CB I'!BB7+IG!BB7+PN!BB7+MJ!BB7+'RB I'!BB7+'SF I'!BB7</f>
        <v>78532.016724150366</v>
      </c>
      <c r="BC7" s="218">
        <f>SLP!BC7+ROSA!BC7+'STA ANA'!BC7+BOA!BC7+'STA MARIA'!BC7+'CB I'!BC7+IG!BC7+PN!BC7+MJ!BC7+'RB I'!BC7+'SF I'!BC7</f>
        <v>70868.337752445717</v>
      </c>
      <c r="BD7" s="218">
        <f>SLP!BD7+ROSA!BD7+'STA ANA'!BD7+BOA!BD7+'STA MARIA'!BD7+'CB I'!BD7+IG!BD7+PN!BD7+MJ!BD7+'RB I'!BD7+'SF I'!BD7</f>
        <v>7663.6789717046513</v>
      </c>
      <c r="BE7" s="218">
        <f>SLP!BE7+ROSA!BE7+'STA ANA'!BE7+BOA!BE7+'STA MARIA'!BE7+'CB I'!BE7+IG!BE7+PN!BE7+MJ!BE7+'RB I'!BE7+'SF I'!BE7</f>
        <v>0</v>
      </c>
      <c r="BF7" s="218">
        <f>SLP!BF7+ROSA!BF7+'STA ANA'!BF7+BOA!BF7+'STA MARIA'!BF7+'CB I'!BF7+IG!BF7+PN!BF7+MJ!BF7+'RB I'!BF7+'SF I'!BF7</f>
        <v>0</v>
      </c>
      <c r="BG7" s="218">
        <f>SLP!BG7+ROSA!BG7+'STA ANA'!BG7+BOA!BG7+'STA MARIA'!BG7+'CB I'!BG7+IG!BG7+PN!BG7+MJ!BG7+'RB I'!BG7+'SF I'!BG7</f>
        <v>0</v>
      </c>
      <c r="BH7" s="221">
        <f t="shared" si="9"/>
        <v>-1</v>
      </c>
      <c r="BI7" s="218">
        <f>SLP!BI7+ROSA!BI7+'STA ANA'!BI7+BOA!BI7+'STA MARIA'!BI7+'CB I'!BI7+IG!BI7+PN!BI7+MJ!BI7+'RB I'!BI7+'SF I'!BI7</f>
        <v>84484.705485555634</v>
      </c>
      <c r="BJ7" s="218">
        <f>SLP!BJ7+ROSA!BJ7+'STA ANA'!BJ7+BOA!BJ7+'STA MARIA'!BJ7+'CB I'!BJ7+IG!BJ7+PN!BJ7+MJ!BJ7+'RB I'!BJ7+'SF I'!BJ7</f>
        <v>76242.219438672124</v>
      </c>
      <c r="BK7" s="218">
        <f>SLP!BK7+ROSA!BK7+'STA ANA'!BK7+BOA!BK7+'STA MARIA'!BK7+'CB I'!BK7+IG!BK7+PN!BK7+MJ!BK7+'RB I'!BK7+'SF I'!BK7</f>
        <v>8242.486046883525</v>
      </c>
      <c r="BL7" s="218">
        <f>SLP!BL7+ROSA!BL7+'STA ANA'!BL7+BOA!BL7+'STA MARIA'!BL7+'CB I'!BL7+IG!BL7+PN!BL7+MJ!BL7+'RB I'!BL7+'SF I'!BL7</f>
        <v>0</v>
      </c>
      <c r="BM7" s="218">
        <f>SLP!BM7+ROSA!BM7+'STA ANA'!BM7+BOA!BM7+'STA MARIA'!BM7+'CB I'!BM7+IG!BM7+PN!BM7+MJ!BM7+'RB I'!BM7+'SF I'!BM7</f>
        <v>0</v>
      </c>
      <c r="BN7" s="218">
        <f>SLP!BN7+ROSA!BN7+'STA ANA'!BN7+BOA!BN7+'STA MARIA'!BN7+'CB I'!BN7+IG!BN7+PN!BN7+MJ!BN7+'RB I'!BN7+'SF I'!BN7</f>
        <v>0</v>
      </c>
      <c r="BO7" s="221">
        <f t="shared" si="10"/>
        <v>-1</v>
      </c>
      <c r="BP7" s="218">
        <f>SLP!BP7+ROSA!BP7+'STA ANA'!BP7+BOA!BP7+'STA MARIA'!BP7+'CB I'!BP7+IG!BP7+PN!BP7+MJ!BP7+'RB I'!BP7+'SF I'!BP7</f>
        <v>84484.705485555634</v>
      </c>
      <c r="BQ7" s="218">
        <f>SLP!BQ7+ROSA!BQ7+'STA ANA'!BQ7+BOA!BQ7+'STA MARIA'!BQ7+'CB I'!BQ7+IG!BQ7+PN!BQ7+MJ!BQ7+'RB I'!BQ7+'SF I'!BQ7</f>
        <v>76242.219438672124</v>
      </c>
      <c r="BR7" s="218">
        <f>SLP!BR7+ROSA!BR7+'STA ANA'!BR7+BOA!BR7+'STA MARIA'!BR7+'CB I'!BR7+IG!BR7+PN!BR7+MJ!BR7+'RB I'!BR7+'SF I'!BR7</f>
        <v>8242.486046883525</v>
      </c>
      <c r="BS7" s="218">
        <f>SLP!BS7+ROSA!BS7+'STA ANA'!BS7+BOA!BS7+'STA MARIA'!BS7+'CB I'!BS7+IG!BS7+PN!BS7+MJ!BS7+'RB I'!BS7+'SF I'!BS7</f>
        <v>0</v>
      </c>
      <c r="BT7" s="218">
        <f>SLP!BT7+ROSA!BT7+'STA ANA'!BT7+BOA!BT7+'STA MARIA'!BT7+'CB I'!BT7+IG!BT7+PN!BT7+MJ!BT7+'RB I'!BT7+'SF I'!BT7</f>
        <v>0</v>
      </c>
      <c r="BU7" s="218">
        <f>SLP!BU7+ROSA!BU7+'STA ANA'!BU7+BOA!BU7+'STA MARIA'!BU7+'CB I'!BU7+IG!BU7+PN!BU7+MJ!BU7+'RB I'!BU7+'SF I'!BU7</f>
        <v>0</v>
      </c>
      <c r="BV7" s="221">
        <f t="shared" si="11"/>
        <v>-1</v>
      </c>
      <c r="BW7" s="218">
        <f>SLP!BW7+ROSA!BW7+'STA ANA'!BW7+BOA!BW7+'STA MARIA'!BW7+'CB I'!BW7+IG!BW7+PN!BW7+MJ!BW7+'RB I'!BW7+'SF I'!BW7</f>
        <v>84484.705485555634</v>
      </c>
      <c r="BX7" s="218">
        <f>SLP!BX7+ROSA!BX7+'STA ANA'!BX7+BOA!BX7+'STA MARIA'!BX7+'CB I'!BX7+IG!BX7+PN!BX7+MJ!BX7+'RB I'!BX7+'SF I'!BX7</f>
        <v>76242.219438672124</v>
      </c>
      <c r="BY7" s="218">
        <f>SLP!BY7+ROSA!BY7+'STA ANA'!BY7+BOA!BY7+'STA MARIA'!BY7+'CB I'!BY7+IG!BY7+PN!BY7+MJ!BY7+'RB I'!BY7+'SF I'!BY7</f>
        <v>8242.486046883525</v>
      </c>
      <c r="BZ7" s="218">
        <f>SLP!BZ7+ROSA!BZ7+'STA ANA'!BZ7+BOA!BZ7+'STA MARIA'!BZ7+'CB I'!BZ7+IG!BZ7+PN!BZ7+MJ!BZ7+'RB I'!BZ7+'SF I'!BZ7</f>
        <v>0</v>
      </c>
      <c r="CA7" s="218">
        <f>SLP!CA7+ROSA!CA7+'STA ANA'!CA7+BOA!CA7+'STA MARIA'!CA7+'CB I'!CA7+IG!CA7+PN!CA7+MJ!CA7+'RB I'!CA7+'SF I'!CA7</f>
        <v>0</v>
      </c>
      <c r="CB7" s="218">
        <f>SLP!CB7+ROSA!CB7+'STA ANA'!CB7+BOA!CB7+'STA MARIA'!CB7+'CB I'!CB7+IG!CB7+PN!CB7+MJ!CB7+'RB I'!CB7+'SF I'!CB7</f>
        <v>0</v>
      </c>
      <c r="CC7" s="221">
        <f t="shared" si="12"/>
        <v>-1</v>
      </c>
      <c r="CD7" s="218">
        <f>SLP!CD7+ROSA!CD7+'STA ANA'!CD7+BOA!CD7+'STA MARIA'!CD7+'CB I'!CD7+IG!CD7+PN!CD7+MJ!CD7+'RB I'!CD7+'SF I'!CD7</f>
        <v>84484.705485555634</v>
      </c>
      <c r="CE7" s="218">
        <f>SLP!CE7+ROSA!CE7+'STA ANA'!CE7+BOA!CE7+'STA MARIA'!CE7+'CB I'!CE7+IG!CE7+PN!CE7+MJ!CE7+'RB I'!CE7+'SF I'!CE7</f>
        <v>76242.219438672124</v>
      </c>
      <c r="CF7" s="218">
        <f>SLP!CF7+ROSA!CF7+'STA ANA'!CF7+BOA!CF7+'STA MARIA'!CF7+'CB I'!CF7+IG!CF7+PN!CF7+MJ!CF7+'RB I'!CF7+'SF I'!CF7</f>
        <v>8242.486046883525</v>
      </c>
      <c r="CG7" s="218">
        <f>SLP!CG7+ROSA!CG7+'STA ANA'!CG7+BOA!CG7+'STA MARIA'!CG7+'CB I'!CG7+IG!CG7+PN!CG7+MJ!CG7+'RB I'!CG7+'SF I'!CG7</f>
        <v>0</v>
      </c>
      <c r="CH7" s="218">
        <f>SLP!CH7+ROSA!CH7+'STA ANA'!CH7+BOA!CH7+'STA MARIA'!CH7+'CB I'!CH7+IG!CH7+PN!CH7+MJ!CH7+'RB I'!CH7+'SF I'!CH7</f>
        <v>0</v>
      </c>
      <c r="CI7" s="218">
        <f>SLP!CI7+ROSA!CI7+'STA ANA'!CI7+BOA!CI7+'STA MARIA'!CI7+'CB I'!CI7+IG!CI7+PN!CI7+MJ!CI7+'RB I'!CI7+'SF I'!CI7</f>
        <v>0</v>
      </c>
      <c r="CJ7" s="221">
        <f t="shared" si="13"/>
        <v>-1</v>
      </c>
      <c r="CK7" s="218">
        <f>SLP!CK7+ROSA!CK7+'STA ANA'!CK7+BOA!CK7+'STA MARIA'!CK7+'CB I'!CK7+IG!CK7+PN!CK7+MJ!CK7+'RB I'!CK7+'SF I'!CK7</f>
        <v>84484.705485555634</v>
      </c>
      <c r="CL7" s="218">
        <f>SLP!CL7+ROSA!CL7+'STA ANA'!CL7+BOA!CL7+'STA MARIA'!CL7+'CB I'!CL7+IG!CL7+PN!CL7+MJ!CL7+'RB I'!CL7+'SF I'!CL7</f>
        <v>76242.219438672124</v>
      </c>
      <c r="CM7" s="218">
        <f>SLP!CM7+ROSA!CM7+'STA ANA'!CM7+BOA!CM7+'STA MARIA'!CM7+'CB I'!CM7+IG!CM7+PN!CM7+MJ!CM7+'RB I'!CM7+'SF I'!CM7</f>
        <v>8242.486046883525</v>
      </c>
      <c r="CN7" s="218">
        <f>SLP!CN7+ROSA!CN7+'STA ANA'!CN7+BOA!CN7+'STA MARIA'!CN7+'CB I'!CN7+IG!CN7+PN!CN7+MJ!CN7+'RB I'!CN7+'SF I'!CN7</f>
        <v>0</v>
      </c>
      <c r="CO7" s="218">
        <f>SLP!CO7+ROSA!CO7+'STA ANA'!CO7+BOA!CO7+'STA MARIA'!CO7+'CB I'!CO7+IG!CO7+PN!CO7+MJ!CO7+'RB I'!CO7+'SF I'!CO7</f>
        <v>0</v>
      </c>
      <c r="CP7" s="218">
        <f>SLP!CP7+ROSA!CP7+'STA ANA'!CP7+BOA!CP7+'STA MARIA'!CP7+'CB I'!CP7+IG!CP7+PN!CP7+MJ!CP7+'RB I'!CP7+'SF I'!CP7</f>
        <v>0</v>
      </c>
      <c r="CQ7" s="221">
        <f t="shared" si="14"/>
        <v>-1</v>
      </c>
      <c r="CR7" s="154"/>
      <c r="CS7" s="222" t="e">
        <f t="shared" si="15"/>
        <v>#VALUE!</v>
      </c>
    </row>
    <row r="8" spans="1:101" ht="14.25" customHeight="1" thickBot="1" x14ac:dyDescent="0.25">
      <c r="A8" s="223" t="s">
        <v>32</v>
      </c>
      <c r="B8" s="30">
        <f t="shared" si="0"/>
        <v>910472.63261250535</v>
      </c>
      <c r="C8" s="31">
        <f t="shared" si="0"/>
        <v>824830.96272962017</v>
      </c>
      <c r="D8" s="32">
        <f t="shared" si="0"/>
        <v>85641.669882885137</v>
      </c>
      <c r="E8" s="30">
        <f t="shared" si="16"/>
        <v>0</v>
      </c>
      <c r="F8" s="33">
        <f t="shared" si="16"/>
        <v>0</v>
      </c>
      <c r="G8" s="34">
        <f t="shared" si="16"/>
        <v>0</v>
      </c>
      <c r="H8" s="31">
        <f t="shared" si="1"/>
        <v>8069.6137520118164</v>
      </c>
      <c r="I8" s="33">
        <f t="shared" si="1"/>
        <v>414.10398872014076</v>
      </c>
      <c r="J8" s="33">
        <f t="shared" si="1"/>
        <v>8483.7177407319577</v>
      </c>
      <c r="K8" s="221" t="str">
        <f t="shared" si="2"/>
        <v/>
      </c>
      <c r="L8" s="218">
        <f>SLP!L8+ROSA!L8+'STA ANA'!L8+BOA!L8+'STA MARIA'!L8+'CB I'!L8+IG!L8+PN!L8+MJ!L8+'RB I'!L8+'SF I'!L8</f>
        <v>0</v>
      </c>
      <c r="M8" s="218">
        <f>SLP!M8+ROSA!M8+'STA ANA'!M8+BOA!M8+'STA MARIA'!M8+'CB I'!M8+IG!M8+PN!M8+MJ!M8+'RB I'!M8+'SF I'!M8</f>
        <v>0</v>
      </c>
      <c r="N8" s="218">
        <f>SLP!N8+ROSA!N8+'STA ANA'!N8+BOA!N8+'STA MARIA'!N8+'CB I'!N8+IG!N8+PN!N8+MJ!N8+'RB I'!N8+'SF I'!N8</f>
        <v>0</v>
      </c>
      <c r="O8" s="218">
        <f>SLP!O8+ROSA!O8+'STA ANA'!O8+BOA!O8+'STA MARIA'!O8+'CB I'!O8+IG!O8+PN!O8+MJ!O8+'RB I'!O8+'SF I'!O8</f>
        <v>0</v>
      </c>
      <c r="P8" s="218">
        <f>SLP!P8+ROSA!P8+'STA ANA'!P8+BOA!P8+'STA MARIA'!P8+'CB I'!P8+IG!P8+PN!P8+MJ!P8+'RB I'!P8+'SF I'!P8</f>
        <v>0</v>
      </c>
      <c r="Q8" s="218">
        <f>SLP!Q8+ROSA!Q8+'STA ANA'!Q8+BOA!Q8+'STA MARIA'!Q8+'CB I'!Q8+IG!Q8+PN!Q8+MJ!Q8+'RB I'!Q8+'SF I'!Q8</f>
        <v>0</v>
      </c>
      <c r="R8" s="221" t="str">
        <f t="shared" si="3"/>
        <v/>
      </c>
      <c r="S8" s="218">
        <f>SLP!S8+ROSA!S8+'STA ANA'!S8+BOA!S8+'STA MARIA'!S8+'CB I'!S8+IG!S8+PN!S8+MJ!S8+'RB I'!S8+'SF I'!S8</f>
        <v>0</v>
      </c>
      <c r="T8" s="218">
        <f>SLP!T8+ROSA!T8+'STA ANA'!T8+BOA!T8+'STA MARIA'!T8+'CB I'!T8+IG!T8+PN!T8+MJ!T8+'RB I'!T8+'SF I'!T8</f>
        <v>0</v>
      </c>
      <c r="U8" s="218">
        <f>SLP!U8+ROSA!U8+'STA ANA'!U8+BOA!U8+'STA MARIA'!U8+'CB I'!U8+IG!U8+PN!U8+MJ!U8+'RB I'!U8+'SF I'!U8</f>
        <v>0</v>
      </c>
      <c r="V8" s="218">
        <f>SLP!V8+ROSA!V8+'STA ANA'!V8+BOA!V8+'STA MARIA'!V8+'CB I'!V8+IG!V8+PN!V8+MJ!V8+'RB I'!V8+'SF I'!V8</f>
        <v>0</v>
      </c>
      <c r="W8" s="218">
        <f>SLP!W8+ROSA!W8+'STA ANA'!W8+BOA!W8+'STA MARIA'!W8+'CB I'!W8+IG!W8+PN!W8+MJ!W8+'RB I'!W8+'SF I'!W8</f>
        <v>0</v>
      </c>
      <c r="X8" s="218">
        <f>SLP!X8+ROSA!X8+'STA ANA'!X8+BOA!X8+'STA MARIA'!X8+'CB I'!X8+IG!X8+PN!X8+MJ!X8+'RB I'!X8+'SF I'!X8</f>
        <v>0</v>
      </c>
      <c r="Y8" s="221" t="str">
        <f t="shared" si="4"/>
        <v/>
      </c>
      <c r="Z8" s="218">
        <f>SLP!Z8+ROSA!Z8+'STA ANA'!Z8+BOA!Z8+'STA MARIA'!Z8+'CB I'!Z8+IG!Z8+PN!Z8+MJ!Z8+'RB I'!Z8+'SF I'!Z8</f>
        <v>0</v>
      </c>
      <c r="AA8" s="218">
        <f>SLP!AA8+ROSA!AA8+'STA ANA'!AA8+BOA!AA8+'STA MARIA'!AA8+'CB I'!AA8+IG!AA8+PN!AA8+MJ!AA8+'RB I'!AA8+'SF I'!AA8</f>
        <v>0</v>
      </c>
      <c r="AB8" s="218">
        <f>SLP!AB8+ROSA!AB8+'STA ANA'!AB8+BOA!AB8+'STA MARIA'!AB8+'CB I'!AB8+IG!AB8+PN!AB8+MJ!AB8+'RB I'!AB8+'SF I'!AB8</f>
        <v>0</v>
      </c>
      <c r="AC8" s="218">
        <f>SLP!AC8+ROSA!AC8+'STA ANA'!AC8+BOA!AC8+'STA MARIA'!AC8+'CB I'!AC8+IG!AC8+PN!AC8+MJ!AC8+'RB I'!AC8+'SF I'!AC8</f>
        <v>0</v>
      </c>
      <c r="AD8" s="218">
        <f>SLP!AD8+ROSA!AD8+'STA ANA'!AD8+BOA!AD8+'STA MARIA'!AD8+'CB I'!AD8+IG!AD8+PN!AD8+MJ!AD8+'RB I'!AD8+'SF I'!AD8</f>
        <v>0</v>
      </c>
      <c r="AE8" s="218">
        <f>SLP!AE8+ROSA!AE8+'STA ANA'!AE8+BOA!AE8+'STA MARIA'!AE8+'CB I'!AE8+IG!AE8+PN!AE8+MJ!AE8+'RB I'!AE8+'SF I'!AE8</f>
        <v>0</v>
      </c>
      <c r="AF8" s="221" t="str">
        <f t="shared" si="5"/>
        <v/>
      </c>
      <c r="AG8" s="218">
        <f>SLP!AG8+ROSA!AG8+'STA ANA'!AG8+BOA!AG8+'STA MARIA'!AG8+'CB I'!AG8+IG!AG8+PN!AG8+MJ!AG8+'RB I'!AG8+'SF I'!AG8</f>
        <v>0</v>
      </c>
      <c r="AH8" s="218">
        <f>SLP!AH8+ROSA!AH8+'STA ANA'!AH8+BOA!AH8+'STA MARIA'!AH8+'CB I'!AH8+IG!AH8+PN!AH8+MJ!AH8+'RB I'!AH8+'SF I'!AH8</f>
        <v>0</v>
      </c>
      <c r="AI8" s="218">
        <f>SLP!AI8+ROSA!AI8+'STA ANA'!AI8+BOA!AI8+'STA MARIA'!AI8+'CB I'!AI8+IG!AI8+PN!AI8+MJ!AI8+'RB I'!AI8+'SF I'!AI8</f>
        <v>0</v>
      </c>
      <c r="AJ8" s="218">
        <f>SLP!AJ8+ROSA!AJ8+'STA ANA'!AJ8+BOA!AJ8+'STA MARIA'!AJ8+'CB I'!AJ8+IG!AJ8+PN!AJ8+MJ!AJ8+'RB I'!AJ8+'SF I'!AJ8</f>
        <v>935.2</v>
      </c>
      <c r="AK8" s="218">
        <f>SLP!AK8+ROSA!AK8+'STA ANA'!AK8+BOA!AK8+'STA MARIA'!AK8+'CB I'!AK8+IG!AK8+PN!AK8+MJ!AK8+'RB I'!AK8+'SF I'!AK8</f>
        <v>64.800000000000011</v>
      </c>
      <c r="AL8" s="218">
        <f>SLP!AL8+ROSA!AL8+'STA ANA'!AL8+BOA!AL8+'STA MARIA'!AL8+'CB I'!AL8+IG!AL8+PN!AL8+MJ!AL8+'RB I'!AL8+'SF I'!AL8</f>
        <v>1000</v>
      </c>
      <c r="AM8" s="221" t="str">
        <f t="shared" si="6"/>
        <v/>
      </c>
      <c r="AN8" s="218">
        <f>SLP!AN8+ROSA!AN8+'STA ANA'!AN8+BOA!AN8+'STA MARIA'!AN8+'CB I'!AN8+IG!AN8+PN!AN8+MJ!AN8+'RB I'!AN8+'SF I'!AN8</f>
        <v>0</v>
      </c>
      <c r="AO8" s="218">
        <f>SLP!AO8+ROSA!AO8+'STA ANA'!AO8+BOA!AO8+'STA MARIA'!AO8+'CB I'!AO8+IG!AO8+PN!AO8+MJ!AO8+'RB I'!AO8+'SF I'!AO8</f>
        <v>0</v>
      </c>
      <c r="AP8" s="218">
        <f>SLP!AP8+ROSA!AP8+'STA ANA'!AP8+BOA!AP8+'STA MARIA'!AP8+'CB I'!AP8+IG!AP8+PN!AP8+MJ!AP8+'RB I'!AP8+'SF I'!AP8</f>
        <v>0</v>
      </c>
      <c r="AQ8" s="218">
        <f>SLP!AQ8+ROSA!AQ8+'STA ANA'!AQ8+BOA!AQ8+'STA MARIA'!AQ8+'CB I'!AQ8+IG!AQ8+PN!AQ8+MJ!AQ8+'RB I'!AQ8+'SF I'!AQ8</f>
        <v>7134.4137520118165</v>
      </c>
      <c r="AR8" s="218">
        <f>SLP!AR8+ROSA!AR8+'STA ANA'!AR8+BOA!AR8+'STA MARIA'!AR8+'CB I'!AR8+IG!AR8+PN!AR8+MJ!AR8+'RB I'!AR8+'SF I'!AR8</f>
        <v>349.30398872014075</v>
      </c>
      <c r="AS8" s="218">
        <f>SLP!AS8+ROSA!AS8+'STA ANA'!AS8+BOA!AS8+'STA MARIA'!AS8+'CB I'!AS8+IG!AS8+PN!AS8+MJ!AS8+'RB I'!AS8+'SF I'!AS8</f>
        <v>7483.7177407319568</v>
      </c>
      <c r="AT8" s="221" t="str">
        <f t="shared" si="7"/>
        <v/>
      </c>
      <c r="AU8" s="218">
        <f>SLP!AU8+ROSA!AU8+'STA ANA'!AU8+BOA!AU8+'STA MARIA'!AU8+'CB I'!AU8+IG!AU8+PN!AU8+MJ!AU8+'RB I'!AU8+'SF I'!AU8</f>
        <v>0</v>
      </c>
      <c r="AV8" s="218">
        <f>SLP!AV8+ROSA!AV8+'STA ANA'!AV8+BOA!AV8+'STA MARIA'!AV8+'CB I'!AV8+IG!AV8+PN!AV8+MJ!AV8+'RB I'!AV8+'SF I'!AV8</f>
        <v>0</v>
      </c>
      <c r="AW8" s="218">
        <f>SLP!AW8+ROSA!AW8+'STA ANA'!AW8+BOA!AW8+'STA MARIA'!AW8+'CB I'!AW8+IG!AW8+PN!AW8+MJ!AW8+'RB I'!AW8+'SF I'!AW8</f>
        <v>0</v>
      </c>
      <c r="AX8" s="218">
        <f>SLP!AX8+ROSA!AX8+'STA ANA'!AX8+BOA!AX8+'STA MARIA'!AX8+'CB I'!AX8+IG!AX8+PN!AX8+MJ!AX8+'RB I'!AX8+'SF I'!AX8</f>
        <v>0</v>
      </c>
      <c r="AY8" s="218">
        <f>SLP!AY8+ROSA!AY8+'STA ANA'!AY8+BOA!AY8+'STA MARIA'!AY8+'CB I'!AY8+IG!AY8+PN!AY8+MJ!AY8+'RB I'!AY8+'SF I'!AY8</f>
        <v>0</v>
      </c>
      <c r="AZ8" s="218">
        <f>SLP!AZ8+ROSA!AZ8+'STA ANA'!AZ8+BOA!AZ8+'STA MARIA'!AZ8+'CB I'!AZ8+IG!AZ8+PN!AZ8+MJ!AZ8+'RB I'!AZ8+'SF I'!AZ8</f>
        <v>0</v>
      </c>
      <c r="BA8" s="221" t="str">
        <f t="shared" si="8"/>
        <v/>
      </c>
      <c r="BB8" s="218">
        <f>SLP!BB8+ROSA!BB8+'STA ANA'!BB8+BOA!BB8+'STA MARIA'!BB8+'CB I'!BB8+IG!BB8+PN!BB8+MJ!BB8+'RB I'!BB8+'SF I'!BB8</f>
        <v>910472.63261250535</v>
      </c>
      <c r="BC8" s="218">
        <f>SLP!BC8+ROSA!BC8+'STA ANA'!BC8+BOA!BC8+'STA MARIA'!BC8+'CB I'!BC8+IG!BC8+PN!BC8+MJ!BC8+'RB I'!BC8+'SF I'!BC8</f>
        <v>824830.96272962017</v>
      </c>
      <c r="BD8" s="218">
        <f>SLP!BD8+ROSA!BD8+'STA ANA'!BD8+BOA!BD8+'STA MARIA'!BD8+'CB I'!BD8+IG!BD8+PN!BD8+MJ!BD8+'RB I'!BD8+'SF I'!BD8</f>
        <v>85641.669882885137</v>
      </c>
      <c r="BE8" s="218">
        <f>SLP!BE8+ROSA!BE8+'STA ANA'!BE8+BOA!BE8+'STA MARIA'!BE8+'CB I'!BE8+IG!BE8+PN!BE8+MJ!BE8+'RB I'!BE8+'SF I'!BE8</f>
        <v>0</v>
      </c>
      <c r="BF8" s="218">
        <f>SLP!BF8+ROSA!BF8+'STA ANA'!BF8+BOA!BF8+'STA MARIA'!BF8+'CB I'!BF8+IG!BF8+PN!BF8+MJ!BF8+'RB I'!BF8+'SF I'!BF8</f>
        <v>0</v>
      </c>
      <c r="BG8" s="218">
        <f>SLP!BG8+ROSA!BG8+'STA ANA'!BG8+BOA!BG8+'STA MARIA'!BG8+'CB I'!BG8+IG!BG8+PN!BG8+MJ!BG8+'RB I'!BG8+'SF I'!BG8</f>
        <v>0</v>
      </c>
      <c r="BH8" s="221">
        <f t="shared" si="9"/>
        <v>-1</v>
      </c>
      <c r="BI8" s="218">
        <f>SLP!BI8+ROSA!BI8+'STA ANA'!BI8+BOA!BI8+'STA MARIA'!BI8+'CB I'!BI8+IG!BI8+PN!BI8+MJ!BI8+'RB I'!BI8+'SF I'!BI8</f>
        <v>0</v>
      </c>
      <c r="BJ8" s="218">
        <f>SLP!BJ8+ROSA!BJ8+'STA ANA'!BJ8+BOA!BJ8+'STA MARIA'!BJ8+'CB I'!BJ8+IG!BJ8+PN!BJ8+MJ!BJ8+'RB I'!BJ8+'SF I'!BJ8</f>
        <v>0</v>
      </c>
      <c r="BK8" s="218">
        <f>SLP!BK8+ROSA!BK8+'STA ANA'!BK8+BOA!BK8+'STA MARIA'!BK8+'CB I'!BK8+IG!BK8+PN!BK8+MJ!BK8+'RB I'!BK8+'SF I'!BK8</f>
        <v>0</v>
      </c>
      <c r="BL8" s="218">
        <f>SLP!BL8+ROSA!BL8+'STA ANA'!BL8+BOA!BL8+'STA MARIA'!BL8+'CB I'!BL8+IG!BL8+PN!BL8+MJ!BL8+'RB I'!BL8+'SF I'!BL8</f>
        <v>0</v>
      </c>
      <c r="BM8" s="218">
        <f>SLP!BM8+ROSA!BM8+'STA ANA'!BM8+BOA!BM8+'STA MARIA'!BM8+'CB I'!BM8+IG!BM8+PN!BM8+MJ!BM8+'RB I'!BM8+'SF I'!BM8</f>
        <v>0</v>
      </c>
      <c r="BN8" s="218">
        <f>SLP!BN8+ROSA!BN8+'STA ANA'!BN8+BOA!BN8+'STA MARIA'!BN8+'CB I'!BN8+IG!BN8+PN!BN8+MJ!BN8+'RB I'!BN8+'SF I'!BN8</f>
        <v>0</v>
      </c>
      <c r="BO8" s="221" t="str">
        <f t="shared" si="10"/>
        <v/>
      </c>
      <c r="BP8" s="218">
        <f>SLP!BP8+ROSA!BP8+'STA ANA'!BP8+BOA!BP8+'STA MARIA'!BP8+'CB I'!BP8+IG!BP8+PN!BP8+MJ!BP8+'RB I'!BP8+'SF I'!BP8</f>
        <v>0</v>
      </c>
      <c r="BQ8" s="218">
        <f>SLP!BQ8+ROSA!BQ8+'STA ANA'!BQ8+BOA!BQ8+'STA MARIA'!BQ8+'CB I'!BQ8+IG!BQ8+PN!BQ8+MJ!BQ8+'RB I'!BQ8+'SF I'!BQ8</f>
        <v>0</v>
      </c>
      <c r="BR8" s="218">
        <f>SLP!BR8+ROSA!BR8+'STA ANA'!BR8+BOA!BR8+'STA MARIA'!BR8+'CB I'!BR8+IG!BR8+PN!BR8+MJ!BR8+'RB I'!BR8+'SF I'!BR8</f>
        <v>0</v>
      </c>
      <c r="BS8" s="218">
        <f>SLP!BS8+ROSA!BS8+'STA ANA'!BS8+BOA!BS8+'STA MARIA'!BS8+'CB I'!BS8+IG!BS8+PN!BS8+MJ!BS8+'RB I'!BS8+'SF I'!BS8</f>
        <v>0</v>
      </c>
      <c r="BT8" s="218">
        <f>SLP!BT8+ROSA!BT8+'STA ANA'!BT8+BOA!BT8+'STA MARIA'!BT8+'CB I'!BT8+IG!BT8+PN!BT8+MJ!BT8+'RB I'!BT8+'SF I'!BT8</f>
        <v>0</v>
      </c>
      <c r="BU8" s="218">
        <f>SLP!BU8+ROSA!BU8+'STA ANA'!BU8+BOA!BU8+'STA MARIA'!BU8+'CB I'!BU8+IG!BU8+PN!BU8+MJ!BU8+'RB I'!BU8+'SF I'!BU8</f>
        <v>0</v>
      </c>
      <c r="BV8" s="221" t="str">
        <f t="shared" si="11"/>
        <v/>
      </c>
      <c r="BW8" s="218">
        <f>SLP!BW8+ROSA!BW8+'STA ANA'!BW8+BOA!BW8+'STA MARIA'!BW8+'CB I'!BW8+IG!BW8+PN!BW8+MJ!BW8+'RB I'!BW8+'SF I'!BW8</f>
        <v>0</v>
      </c>
      <c r="BX8" s="218">
        <f>SLP!BX8+ROSA!BX8+'STA ANA'!BX8+BOA!BX8+'STA MARIA'!BX8+'CB I'!BX8+IG!BX8+PN!BX8+MJ!BX8+'RB I'!BX8+'SF I'!BX8</f>
        <v>0</v>
      </c>
      <c r="BY8" s="218">
        <f>SLP!BY8+ROSA!BY8+'STA ANA'!BY8+BOA!BY8+'STA MARIA'!BY8+'CB I'!BY8+IG!BY8+PN!BY8+MJ!BY8+'RB I'!BY8+'SF I'!BY8</f>
        <v>0</v>
      </c>
      <c r="BZ8" s="218">
        <f>SLP!BZ8+ROSA!BZ8+'STA ANA'!BZ8+BOA!BZ8+'STA MARIA'!BZ8+'CB I'!BZ8+IG!BZ8+PN!BZ8+MJ!BZ8+'RB I'!BZ8+'SF I'!BZ8</f>
        <v>0</v>
      </c>
      <c r="CA8" s="218">
        <f>SLP!CA8+ROSA!CA8+'STA ANA'!CA8+BOA!CA8+'STA MARIA'!CA8+'CB I'!CA8+IG!CA8+PN!CA8+MJ!CA8+'RB I'!CA8+'SF I'!CA8</f>
        <v>0</v>
      </c>
      <c r="CB8" s="218">
        <f>SLP!CB8+ROSA!CB8+'STA ANA'!CB8+BOA!CB8+'STA MARIA'!CB8+'CB I'!CB8+IG!CB8+PN!CB8+MJ!CB8+'RB I'!CB8+'SF I'!CB8</f>
        <v>0</v>
      </c>
      <c r="CC8" s="221" t="str">
        <f t="shared" si="12"/>
        <v/>
      </c>
      <c r="CD8" s="218">
        <f>SLP!CD8+ROSA!CD8+'STA ANA'!CD8+BOA!CD8+'STA MARIA'!CD8+'CB I'!CD8+IG!CD8+PN!CD8+MJ!CD8+'RB I'!CD8+'SF I'!CD8</f>
        <v>0</v>
      </c>
      <c r="CE8" s="218">
        <f>SLP!CE8+ROSA!CE8+'STA ANA'!CE8+BOA!CE8+'STA MARIA'!CE8+'CB I'!CE8+IG!CE8+PN!CE8+MJ!CE8+'RB I'!CE8+'SF I'!CE8</f>
        <v>0</v>
      </c>
      <c r="CF8" s="218">
        <f>SLP!CF8+ROSA!CF8+'STA ANA'!CF8+BOA!CF8+'STA MARIA'!CF8+'CB I'!CF8+IG!CF8+PN!CF8+MJ!CF8+'RB I'!CF8+'SF I'!CF8</f>
        <v>0</v>
      </c>
      <c r="CG8" s="218">
        <f>SLP!CG8+ROSA!CG8+'STA ANA'!CG8+BOA!CG8+'STA MARIA'!CG8+'CB I'!CG8+IG!CG8+PN!CG8+MJ!CG8+'RB I'!CG8+'SF I'!CG8</f>
        <v>0</v>
      </c>
      <c r="CH8" s="218">
        <f>SLP!CH8+ROSA!CH8+'STA ANA'!CH8+BOA!CH8+'STA MARIA'!CH8+'CB I'!CH8+IG!CH8+PN!CH8+MJ!CH8+'RB I'!CH8+'SF I'!CH8</f>
        <v>0</v>
      </c>
      <c r="CI8" s="218">
        <f>SLP!CI8+ROSA!CI8+'STA ANA'!CI8+BOA!CI8+'STA MARIA'!CI8+'CB I'!CI8+IG!CI8+PN!CI8+MJ!CI8+'RB I'!CI8+'SF I'!CI8</f>
        <v>0</v>
      </c>
      <c r="CJ8" s="221" t="str">
        <f t="shared" si="13"/>
        <v/>
      </c>
      <c r="CK8" s="218">
        <f>SLP!CK8+ROSA!CK8+'STA ANA'!CK8+BOA!CK8+'STA MARIA'!CK8+'CB I'!CK8+IG!CK8+PN!CK8+MJ!CK8+'RB I'!CK8+'SF I'!CK8</f>
        <v>0</v>
      </c>
      <c r="CL8" s="218">
        <f>SLP!CL8+ROSA!CL8+'STA ANA'!CL8+BOA!CL8+'STA MARIA'!CL8+'CB I'!CL8+IG!CL8+PN!CL8+MJ!CL8+'RB I'!CL8+'SF I'!CL8</f>
        <v>0</v>
      </c>
      <c r="CM8" s="218">
        <f>SLP!CM8+ROSA!CM8+'STA ANA'!CM8+BOA!CM8+'STA MARIA'!CM8+'CB I'!CM8+IG!CM8+PN!CM8+MJ!CM8+'RB I'!CM8+'SF I'!CM8</f>
        <v>0</v>
      </c>
      <c r="CN8" s="218">
        <f>SLP!CN8+ROSA!CN8+'STA ANA'!CN8+BOA!CN8+'STA MARIA'!CN8+'CB I'!CN8+IG!CN8+PN!CN8+MJ!CN8+'RB I'!CN8+'SF I'!CN8</f>
        <v>0</v>
      </c>
      <c r="CO8" s="218">
        <f>SLP!CO8+ROSA!CO8+'STA ANA'!CO8+BOA!CO8+'STA MARIA'!CO8+'CB I'!CO8+IG!CO8+PN!CO8+MJ!CO8+'RB I'!CO8+'SF I'!CO8</f>
        <v>0</v>
      </c>
      <c r="CP8" s="218">
        <f>SLP!CP8+ROSA!CP8+'STA ANA'!CP8+BOA!CP8+'STA MARIA'!CP8+'CB I'!CP8+IG!CP8+PN!CP8+MJ!CP8+'RB I'!CP8+'SF I'!CP8</f>
        <v>0</v>
      </c>
      <c r="CQ8" s="221" t="str">
        <f t="shared" si="14"/>
        <v/>
      </c>
      <c r="CR8" s="154"/>
      <c r="CS8" s="222" t="e">
        <f t="shared" si="15"/>
        <v>#VALUE!</v>
      </c>
    </row>
    <row r="9" spans="1:101" ht="14.25" customHeight="1" thickBot="1" x14ac:dyDescent="0.25">
      <c r="A9" s="223" t="s">
        <v>33</v>
      </c>
      <c r="B9" s="30">
        <f t="shared" si="0"/>
        <v>793840.34646427771</v>
      </c>
      <c r="C9" s="31">
        <f t="shared" si="0"/>
        <v>723309.9277287916</v>
      </c>
      <c r="D9" s="32">
        <f t="shared" si="0"/>
        <v>70530.418735486281</v>
      </c>
      <c r="E9" s="30">
        <f t="shared" si="16"/>
        <v>256509.66861766859</v>
      </c>
      <c r="F9" s="33">
        <f t="shared" si="16"/>
        <v>233716.49073138818</v>
      </c>
      <c r="G9" s="34">
        <f t="shared" si="16"/>
        <v>22793.177886280409</v>
      </c>
      <c r="H9" s="31">
        <f t="shared" si="1"/>
        <v>259517.19279737776</v>
      </c>
      <c r="I9" s="33">
        <f t="shared" si="1"/>
        <v>28743.588761191138</v>
      </c>
      <c r="J9" s="33">
        <f t="shared" si="1"/>
        <v>288260.78155856894</v>
      </c>
      <c r="K9" s="221">
        <f t="shared" si="2"/>
        <v>0.12378134949846986</v>
      </c>
      <c r="L9" s="218">
        <f>SLP!L9+ROSA!L9+'STA ANA'!L9+BOA!L9+'STA MARIA'!L9+'CB I'!L9+IG!L9+PN!L9+MJ!L9+'RB I'!L9+'SF I'!L9</f>
        <v>64127.417154417148</v>
      </c>
      <c r="M9" s="218">
        <f>SLP!M9+ROSA!M9+'STA ANA'!M9+BOA!M9+'STA MARIA'!M9+'CB I'!M9+IG!M9+PN!M9+MJ!M9+'RB I'!M9+'SF I'!M9</f>
        <v>58429.122682847046</v>
      </c>
      <c r="N9" s="218">
        <f>SLP!N9+ROSA!N9+'STA ANA'!N9+BOA!N9+'STA MARIA'!N9+'CB I'!N9+IG!N9+PN!N9+MJ!N9+'RB I'!N9+'SF I'!N9</f>
        <v>5698.2944715701024</v>
      </c>
      <c r="O9" s="218">
        <f>SLP!O9+ROSA!O9+'STA ANA'!O9+BOA!O9+'STA MARIA'!O9+'CB I'!O9+IG!O9+PN!O9+MJ!O9+'RB I'!O9+'SF I'!O9</f>
        <v>83604.026503667206</v>
      </c>
      <c r="P9" s="218">
        <f>SLP!P9+ROSA!P9+'STA ANA'!P9+BOA!P9+'STA MARIA'!P9+'CB I'!P9+IG!P9+PN!P9+MJ!P9+'RB I'!P9+'SF I'!P9</f>
        <v>9017.6908780803733</v>
      </c>
      <c r="Q9" s="218">
        <f>SLP!Q9+ROSA!Q9+'STA ANA'!Q9+BOA!Q9+'STA MARIA'!Q9+'CB I'!Q9+IG!Q9+PN!Q9+MJ!Q9+'RB I'!Q9+'SF I'!Q9</f>
        <v>92621.717381747585</v>
      </c>
      <c r="R9" s="221">
        <f t="shared" si="3"/>
        <v>0.4443388100087815</v>
      </c>
      <c r="S9" s="218">
        <f>SLP!S9+ROSA!S9+'STA ANA'!S9+BOA!S9+'STA MARIA'!S9+'CB I'!S9+IG!S9+PN!S9+MJ!S9+'RB I'!S9+'SF I'!S9</f>
        <v>64127.417154417148</v>
      </c>
      <c r="T9" s="218">
        <f>SLP!T9+ROSA!T9+'STA ANA'!T9+BOA!T9+'STA MARIA'!T9+'CB I'!T9+IG!T9+PN!T9+MJ!T9+'RB I'!T9+'SF I'!T9</f>
        <v>58429.122682847046</v>
      </c>
      <c r="U9" s="218">
        <f>SLP!U9+ROSA!U9+'STA ANA'!U9+BOA!U9+'STA MARIA'!U9+'CB I'!U9+IG!U9+PN!U9+MJ!U9+'RB I'!U9+'SF I'!U9</f>
        <v>5698.2944715701024</v>
      </c>
      <c r="V9" s="218">
        <f>SLP!V9+ROSA!V9+'STA ANA'!V9+BOA!V9+'STA MARIA'!V9+'CB I'!V9+IG!V9+PN!V9+MJ!V9+'RB I'!V9+'SF I'!V9</f>
        <v>71232.468973470022</v>
      </c>
      <c r="W9" s="218">
        <f>SLP!W9+ROSA!W9+'STA ANA'!W9+BOA!W9+'STA MARIA'!W9+'CB I'!W9+IG!W9+PN!W9+MJ!W9+'RB I'!W9+'SF I'!W9</f>
        <v>7025.9404733465599</v>
      </c>
      <c r="X9" s="218">
        <f>SLP!X9+ROSA!X9+'STA ANA'!X9+BOA!X9+'STA MARIA'!X9+'CB I'!X9+IG!X9+PN!X9+MJ!X9+'RB I'!X9+'SF I'!X9</f>
        <v>78258.409446816571</v>
      </c>
      <c r="Y9" s="221">
        <f t="shared" si="4"/>
        <v>0.22035804527059555</v>
      </c>
      <c r="Z9" s="218">
        <f>SLP!Z9+ROSA!Z9+'STA ANA'!Z9+BOA!Z9+'STA MARIA'!Z9+'CB I'!Z9+IG!Z9+PN!Z9+MJ!Z9+'RB I'!Z9+'SF I'!Z9</f>
        <v>64127.417154417148</v>
      </c>
      <c r="AA9" s="218">
        <f>SLP!AA9+ROSA!AA9+'STA ANA'!AA9+BOA!AA9+'STA MARIA'!AA9+'CB I'!AA9+IG!AA9+PN!AA9+MJ!AA9+'RB I'!AA9+'SF I'!AA9</f>
        <v>58429.122682847046</v>
      </c>
      <c r="AB9" s="218">
        <f>SLP!AB9+ROSA!AB9+'STA ANA'!AB9+BOA!AB9+'STA MARIA'!AB9+'CB I'!AB9+IG!AB9+PN!AB9+MJ!AB9+'RB I'!AB9+'SF I'!AB9</f>
        <v>5698.2944715701024</v>
      </c>
      <c r="AC9" s="218">
        <f>SLP!AC9+ROSA!AC9+'STA ANA'!AC9+BOA!AC9+'STA MARIA'!AC9+'CB I'!AC9+IG!AC9+PN!AC9+MJ!AC9+'RB I'!AC9+'SF I'!AC9</f>
        <v>47307.268939441412</v>
      </c>
      <c r="AD9" s="218">
        <f>SLP!AD9+ROSA!AD9+'STA ANA'!AD9+BOA!AD9+'STA MARIA'!AD9+'CB I'!AD9+IG!AD9+PN!AD9+MJ!AD9+'RB I'!AD9+'SF I'!AD9</f>
        <v>6267.8809112201652</v>
      </c>
      <c r="AE9" s="218">
        <f>SLP!AE9+ROSA!AE9+'STA ANA'!AE9+BOA!AE9+'STA MARIA'!AE9+'CB I'!AE9+IG!AE9+PN!AE9+MJ!AE9+'RB I'!AE9+'SF I'!AE9</f>
        <v>53575.149850661583</v>
      </c>
      <c r="AF9" s="221">
        <f t="shared" si="5"/>
        <v>-0.1645515720420484</v>
      </c>
      <c r="AG9" s="218">
        <f>SLP!AG9+ROSA!AG9+'STA ANA'!AG9+BOA!AG9+'STA MARIA'!AG9+'CB I'!AG9+IG!AG9+PN!AG9+MJ!AG9+'RB I'!AG9+'SF I'!AG9</f>
        <v>64127.417154417148</v>
      </c>
      <c r="AH9" s="218">
        <f>SLP!AH9+ROSA!AH9+'STA ANA'!AH9+BOA!AH9+'STA MARIA'!AH9+'CB I'!AH9+IG!AH9+PN!AH9+MJ!AH9+'RB I'!AH9+'SF I'!AH9</f>
        <v>58429.122682847046</v>
      </c>
      <c r="AI9" s="218">
        <f>SLP!AI9+ROSA!AI9+'STA ANA'!AI9+BOA!AI9+'STA MARIA'!AI9+'CB I'!AI9+IG!AI9+PN!AI9+MJ!AI9+'RB I'!AI9+'SF I'!AI9</f>
        <v>5698.2944715701024</v>
      </c>
      <c r="AJ9" s="218">
        <f>SLP!AJ9+ROSA!AJ9+'STA ANA'!AJ9+BOA!AJ9+'STA MARIA'!AJ9+'CB I'!AJ9+IG!AJ9+PN!AJ9+MJ!AJ9+'RB I'!AJ9+'SF I'!AJ9</f>
        <v>27057.786480684194</v>
      </c>
      <c r="AK9" s="218">
        <f>SLP!AK9+ROSA!AK9+'STA ANA'!AK9+BOA!AK9+'STA MARIA'!AK9+'CB I'!AK9+IG!AK9+PN!AK9+MJ!AK9+'RB I'!AK9+'SF I'!AK9</f>
        <v>2828.2942174664745</v>
      </c>
      <c r="AL9" s="218">
        <f>SLP!AL9+ROSA!AL9+'STA ANA'!AL9+BOA!AL9+'STA MARIA'!AL9+'CB I'!AL9+IG!AL9+PN!AL9+MJ!AL9+'RB I'!AL9+'SF I'!AL9</f>
        <v>29886.080698150668</v>
      </c>
      <c r="AM9" s="221">
        <f t="shared" si="6"/>
        <v>-0.53395782920453883</v>
      </c>
      <c r="AN9" s="218">
        <f>SLP!AN9+ROSA!AN9+'STA ANA'!AN9+BOA!AN9+'STA MARIA'!AN9+'CB I'!AN9+IG!AN9+PN!AN9+MJ!AN9+'RB I'!AN9+'SF I'!AN9</f>
        <v>64127.417154417148</v>
      </c>
      <c r="AO9" s="218">
        <f>SLP!AO9+ROSA!AO9+'STA ANA'!AO9+BOA!AO9+'STA MARIA'!AO9+'CB I'!AO9+IG!AO9+PN!AO9+MJ!AO9+'RB I'!AO9+'SF I'!AO9</f>
        <v>58429.122682847046</v>
      </c>
      <c r="AP9" s="218">
        <f>SLP!AP9+ROSA!AP9+'STA ANA'!AP9+BOA!AP9+'STA MARIA'!AP9+'CB I'!AP9+IG!AP9+PN!AP9+MJ!AP9+'RB I'!AP9+'SF I'!AP9</f>
        <v>5698.2944715701024</v>
      </c>
      <c r="AQ9" s="218">
        <f>SLP!AQ9+ROSA!AQ9+'STA ANA'!AQ9+BOA!AQ9+'STA MARIA'!AQ9+'CB I'!AQ9+IG!AQ9+PN!AQ9+MJ!AQ9+'RB I'!AQ9+'SF I'!AQ9</f>
        <v>9608.3289631745574</v>
      </c>
      <c r="AR9" s="218">
        <f>SLP!AR9+ROSA!AR9+'STA ANA'!AR9+BOA!AR9+'STA MARIA'!AR9+'CB I'!AR9+IG!AR9+PN!AR9+MJ!AR9+'RB I'!AR9+'SF I'!AR9</f>
        <v>1351.5518579409047</v>
      </c>
      <c r="AS9" s="218">
        <f>SLP!AS9+ROSA!AS9+'STA ANA'!AS9+BOA!AS9+'STA MARIA'!AS9+'CB I'!AS9+IG!AS9+PN!AS9+MJ!AS9+'RB I'!AS9+'SF I'!AS9</f>
        <v>10959.880821115461</v>
      </c>
      <c r="AT9" s="221">
        <f t="shared" si="7"/>
        <v>-0.82909212147552502</v>
      </c>
      <c r="AU9" s="218">
        <f>SLP!AU9+ROSA!AU9+'STA ANA'!AU9+BOA!AU9+'STA MARIA'!AU9+'CB I'!AU9+IG!AU9+PN!AU9+MJ!AU9+'RB I'!AU9+'SF I'!AU9</f>
        <v>64127.417154417148</v>
      </c>
      <c r="AV9" s="218">
        <f>SLP!AV9+ROSA!AV9+'STA ANA'!AV9+BOA!AV9+'STA MARIA'!AV9+'CB I'!AV9+IG!AV9+PN!AV9+MJ!AV9+'RB I'!AV9+'SF I'!AV9</f>
        <v>58429.122682847046</v>
      </c>
      <c r="AW9" s="218">
        <f>SLP!AW9+ROSA!AW9+'STA ANA'!AW9+BOA!AW9+'STA MARIA'!AW9+'CB I'!AW9+IG!AW9+PN!AW9+MJ!AW9+'RB I'!AW9+'SF I'!AW9</f>
        <v>5698.2944715701024</v>
      </c>
      <c r="AX9" s="218">
        <f>SLP!AX9+ROSA!AX9+'STA ANA'!AX9+BOA!AX9+'STA MARIA'!AX9+'CB I'!AX9+IG!AX9+PN!AX9+MJ!AX9+'RB I'!AX9+'SF I'!AX9</f>
        <v>20707.312936940412</v>
      </c>
      <c r="AY9" s="218">
        <f>SLP!AY9+ROSA!AY9+'STA ANA'!AY9+BOA!AY9+'STA MARIA'!AY9+'CB I'!AY9+IG!AY9+PN!AY9+MJ!AY9+'RB I'!AY9+'SF I'!AY9</f>
        <v>2252.2304231366634</v>
      </c>
      <c r="AZ9" s="218">
        <f>SLP!AZ9+ROSA!AZ9+'STA ANA'!AZ9+BOA!AZ9+'STA MARIA'!AZ9+'CB I'!AZ9+IG!AZ9+PN!AZ9+MJ!AZ9+'RB I'!AZ9+'SF I'!AZ9</f>
        <v>22959.543360077078</v>
      </c>
      <c r="BA9" s="221">
        <f t="shared" si="8"/>
        <v>-0.64196993456338503</v>
      </c>
      <c r="BB9" s="218">
        <f>SLP!BB9+ROSA!BB9+'STA ANA'!BB9+BOA!BB9+'STA MARIA'!BB9+'CB I'!BB9+IG!BB9+PN!BB9+MJ!BB9+'RB I'!BB9+'SF I'!BB9</f>
        <v>64127.417154417148</v>
      </c>
      <c r="BC9" s="218">
        <f>SLP!BC9+ROSA!BC9+'STA ANA'!BC9+BOA!BC9+'STA MARIA'!BC9+'CB I'!BC9+IG!BC9+PN!BC9+MJ!BC9+'RB I'!BC9+'SF I'!BC9</f>
        <v>58429.122682847046</v>
      </c>
      <c r="BD9" s="218">
        <f>SLP!BD9+ROSA!BD9+'STA ANA'!BD9+BOA!BD9+'STA MARIA'!BD9+'CB I'!BD9+IG!BD9+PN!BD9+MJ!BD9+'RB I'!BD9+'SF I'!BD9</f>
        <v>5698.2944715701024</v>
      </c>
      <c r="BE9" s="218">
        <f>SLP!BE9+ROSA!BE9+'STA ANA'!BE9+BOA!BE9+'STA MARIA'!BE9+'CB I'!BE9+IG!BE9+PN!BE9+MJ!BE9+'RB I'!BE9+'SF I'!BE9</f>
        <v>0</v>
      </c>
      <c r="BF9" s="218">
        <f>SLP!BF9+ROSA!BF9+'STA ANA'!BF9+BOA!BF9+'STA MARIA'!BF9+'CB I'!BF9+IG!BF9+PN!BF9+MJ!BF9+'RB I'!BF9+'SF I'!BF9</f>
        <v>0</v>
      </c>
      <c r="BG9" s="218">
        <f>SLP!BG9+ROSA!BG9+'STA ANA'!BG9+BOA!BG9+'STA MARIA'!BG9+'CB I'!BG9+IG!BG9+PN!BG9+MJ!BG9+'RB I'!BG9+'SF I'!BG9</f>
        <v>0</v>
      </c>
      <c r="BH9" s="221">
        <f t="shared" si="9"/>
        <v>-1</v>
      </c>
      <c r="BI9" s="218">
        <f>SLP!BI9+ROSA!BI9+'STA ANA'!BI9+BOA!BI9+'STA MARIA'!BI9+'CB I'!BI9+IG!BI9+PN!BI9+MJ!BI9+'RB I'!BI9+'SF I'!BI9</f>
        <v>68989.685276671531</v>
      </c>
      <c r="BJ9" s="218">
        <f>SLP!BJ9+ROSA!BJ9+'STA ANA'!BJ9+BOA!BJ9+'STA MARIA'!BJ9+'CB I'!BJ9+IG!BJ9+PN!BJ9+MJ!BJ9+'RB I'!BJ9+'SF I'!BJ9</f>
        <v>62861.213789772431</v>
      </c>
      <c r="BK9" s="218">
        <f>SLP!BK9+ROSA!BK9+'STA ANA'!BK9+BOA!BK9+'STA MARIA'!BK9+'CB I'!BK9+IG!BK9+PN!BK9+MJ!BK9+'RB I'!BK9+'SF I'!BK9</f>
        <v>6128.4714868991114</v>
      </c>
      <c r="BL9" s="218">
        <f>SLP!BL9+ROSA!BL9+'STA ANA'!BL9+BOA!BL9+'STA MARIA'!BL9+'CB I'!BL9+IG!BL9+PN!BL9+MJ!BL9+'RB I'!BL9+'SF I'!BL9</f>
        <v>0</v>
      </c>
      <c r="BM9" s="218">
        <f>SLP!BM9+ROSA!BM9+'STA ANA'!BM9+BOA!BM9+'STA MARIA'!BM9+'CB I'!BM9+IG!BM9+PN!BM9+MJ!BM9+'RB I'!BM9+'SF I'!BM9</f>
        <v>0</v>
      </c>
      <c r="BN9" s="218">
        <f>SLP!BN9+ROSA!BN9+'STA ANA'!BN9+BOA!BN9+'STA MARIA'!BN9+'CB I'!BN9+IG!BN9+PN!BN9+MJ!BN9+'RB I'!BN9+'SF I'!BN9</f>
        <v>0</v>
      </c>
      <c r="BO9" s="221">
        <f t="shared" si="10"/>
        <v>-1</v>
      </c>
      <c r="BP9" s="218">
        <f>SLP!BP9+ROSA!BP9+'STA ANA'!BP9+BOA!BP9+'STA MARIA'!BP9+'CB I'!BP9+IG!BP9+PN!BP9+MJ!BP9+'RB I'!BP9+'SF I'!BP9</f>
        <v>68989.685276671531</v>
      </c>
      <c r="BQ9" s="218">
        <f>SLP!BQ9+ROSA!BQ9+'STA ANA'!BQ9+BOA!BQ9+'STA MARIA'!BQ9+'CB I'!BQ9+IG!BQ9+PN!BQ9+MJ!BQ9+'RB I'!BQ9+'SF I'!BQ9</f>
        <v>62861.213789772431</v>
      </c>
      <c r="BR9" s="218">
        <f>SLP!BR9+ROSA!BR9+'STA ANA'!BR9+BOA!BR9+'STA MARIA'!BR9+'CB I'!BR9+IG!BR9+PN!BR9+MJ!BR9+'RB I'!BR9+'SF I'!BR9</f>
        <v>6128.4714868991114</v>
      </c>
      <c r="BS9" s="218">
        <f>SLP!BS9+ROSA!BS9+'STA ANA'!BS9+BOA!BS9+'STA MARIA'!BS9+'CB I'!BS9+IG!BS9+PN!BS9+MJ!BS9+'RB I'!BS9+'SF I'!BS9</f>
        <v>0</v>
      </c>
      <c r="BT9" s="218">
        <f>SLP!BT9+ROSA!BT9+'STA ANA'!BT9+BOA!BT9+'STA MARIA'!BT9+'CB I'!BT9+IG!BT9+PN!BT9+MJ!BT9+'RB I'!BT9+'SF I'!BT9</f>
        <v>0</v>
      </c>
      <c r="BU9" s="218">
        <f>SLP!BU9+ROSA!BU9+'STA ANA'!BU9+BOA!BU9+'STA MARIA'!BU9+'CB I'!BU9+IG!BU9+PN!BU9+MJ!BU9+'RB I'!BU9+'SF I'!BU9</f>
        <v>0</v>
      </c>
      <c r="BV9" s="221">
        <f t="shared" si="11"/>
        <v>-1</v>
      </c>
      <c r="BW9" s="218">
        <f>SLP!BW9+ROSA!BW9+'STA ANA'!BW9+BOA!BW9+'STA MARIA'!BW9+'CB I'!BW9+IG!BW9+PN!BW9+MJ!BW9+'RB I'!BW9+'SF I'!BW9</f>
        <v>68989.685276671531</v>
      </c>
      <c r="BX9" s="218">
        <f>SLP!BX9+ROSA!BX9+'STA ANA'!BX9+BOA!BX9+'STA MARIA'!BX9+'CB I'!BX9+IG!BX9+PN!BX9+MJ!BX9+'RB I'!BX9+'SF I'!BX9</f>
        <v>62861.213789772431</v>
      </c>
      <c r="BY9" s="218">
        <f>SLP!BY9+ROSA!BY9+'STA ANA'!BY9+BOA!BY9+'STA MARIA'!BY9+'CB I'!BY9+IG!BY9+PN!BY9+MJ!BY9+'RB I'!BY9+'SF I'!BY9</f>
        <v>6128.4714868991114</v>
      </c>
      <c r="BZ9" s="218">
        <f>SLP!BZ9+ROSA!BZ9+'STA ANA'!BZ9+BOA!BZ9+'STA MARIA'!BZ9+'CB I'!BZ9+IG!BZ9+PN!BZ9+MJ!BZ9+'RB I'!BZ9+'SF I'!BZ9</f>
        <v>0</v>
      </c>
      <c r="CA9" s="218">
        <f>SLP!CA9+ROSA!CA9+'STA ANA'!CA9+BOA!CA9+'STA MARIA'!CA9+'CB I'!CA9+IG!CA9+PN!CA9+MJ!CA9+'RB I'!CA9+'SF I'!CA9</f>
        <v>0</v>
      </c>
      <c r="CB9" s="218">
        <f>SLP!CB9+ROSA!CB9+'STA ANA'!CB9+BOA!CB9+'STA MARIA'!CB9+'CB I'!CB9+IG!CB9+PN!CB9+MJ!CB9+'RB I'!CB9+'SF I'!CB9</f>
        <v>0</v>
      </c>
      <c r="CC9" s="221">
        <f t="shared" si="12"/>
        <v>-1</v>
      </c>
      <c r="CD9" s="218">
        <f>SLP!CD9+ROSA!CD9+'STA ANA'!CD9+BOA!CD9+'STA MARIA'!CD9+'CB I'!CD9+IG!CD9+PN!CD9+MJ!CD9+'RB I'!CD9+'SF I'!CD9</f>
        <v>68989.685276671531</v>
      </c>
      <c r="CE9" s="218">
        <f>SLP!CE9+ROSA!CE9+'STA ANA'!CE9+BOA!CE9+'STA MARIA'!CE9+'CB I'!CE9+IG!CE9+PN!CE9+MJ!CE9+'RB I'!CE9+'SF I'!CE9</f>
        <v>62861.213789772431</v>
      </c>
      <c r="CF9" s="218">
        <f>SLP!CF9+ROSA!CF9+'STA ANA'!CF9+BOA!CF9+'STA MARIA'!CF9+'CB I'!CF9+IG!CF9+PN!CF9+MJ!CF9+'RB I'!CF9+'SF I'!CF9</f>
        <v>6128.4714868991114</v>
      </c>
      <c r="CG9" s="218">
        <f>SLP!CG9+ROSA!CG9+'STA ANA'!CG9+BOA!CG9+'STA MARIA'!CG9+'CB I'!CG9+IG!CG9+PN!CG9+MJ!CG9+'RB I'!CG9+'SF I'!CG9</f>
        <v>0</v>
      </c>
      <c r="CH9" s="218">
        <f>SLP!CH9+ROSA!CH9+'STA ANA'!CH9+BOA!CH9+'STA MARIA'!CH9+'CB I'!CH9+IG!CH9+PN!CH9+MJ!CH9+'RB I'!CH9+'SF I'!CH9</f>
        <v>0</v>
      </c>
      <c r="CI9" s="218">
        <f>SLP!CI9+ROSA!CI9+'STA ANA'!CI9+BOA!CI9+'STA MARIA'!CI9+'CB I'!CI9+IG!CI9+PN!CI9+MJ!CI9+'RB I'!CI9+'SF I'!CI9</f>
        <v>0</v>
      </c>
      <c r="CJ9" s="221">
        <f t="shared" si="13"/>
        <v>-1</v>
      </c>
      <c r="CK9" s="218">
        <f>SLP!CK9+ROSA!CK9+'STA ANA'!CK9+BOA!CK9+'STA MARIA'!CK9+'CB I'!CK9+IG!CK9+PN!CK9+MJ!CK9+'RB I'!CK9+'SF I'!CK9</f>
        <v>68989.685276671531</v>
      </c>
      <c r="CL9" s="218">
        <f>SLP!CL9+ROSA!CL9+'STA ANA'!CL9+BOA!CL9+'STA MARIA'!CL9+'CB I'!CL9+IG!CL9+PN!CL9+MJ!CL9+'RB I'!CL9+'SF I'!CL9</f>
        <v>62861.213789772431</v>
      </c>
      <c r="CM9" s="218">
        <f>SLP!CM9+ROSA!CM9+'STA ANA'!CM9+BOA!CM9+'STA MARIA'!CM9+'CB I'!CM9+IG!CM9+PN!CM9+MJ!CM9+'RB I'!CM9+'SF I'!CM9</f>
        <v>6128.4714868991114</v>
      </c>
      <c r="CN9" s="218">
        <f>SLP!CN9+ROSA!CN9+'STA ANA'!CN9+BOA!CN9+'STA MARIA'!CN9+'CB I'!CN9+IG!CN9+PN!CN9+MJ!CN9+'RB I'!CN9+'SF I'!CN9</f>
        <v>0</v>
      </c>
      <c r="CO9" s="218">
        <f>SLP!CO9+ROSA!CO9+'STA ANA'!CO9+BOA!CO9+'STA MARIA'!CO9+'CB I'!CO9+IG!CO9+PN!CO9+MJ!CO9+'RB I'!CO9+'SF I'!CO9</f>
        <v>0</v>
      </c>
      <c r="CP9" s="218">
        <f>SLP!CP9+ROSA!CP9+'STA ANA'!CP9+BOA!CP9+'STA MARIA'!CP9+'CB I'!CP9+IG!CP9+PN!CP9+MJ!CP9+'RB I'!CP9+'SF I'!CP9</f>
        <v>0</v>
      </c>
      <c r="CQ9" s="221">
        <f t="shared" si="14"/>
        <v>-1</v>
      </c>
      <c r="CR9" s="154"/>
      <c r="CS9" s="222" t="e">
        <f t="shared" si="15"/>
        <v>#VALUE!</v>
      </c>
    </row>
    <row r="10" spans="1:101" ht="14.25" customHeight="1" thickBot="1" x14ac:dyDescent="0.25">
      <c r="A10" s="223" t="s">
        <v>34</v>
      </c>
      <c r="B10" s="30">
        <f t="shared" si="0"/>
        <v>695298.80597455485</v>
      </c>
      <c r="C10" s="31">
        <f t="shared" si="0"/>
        <v>630775.76146255492</v>
      </c>
      <c r="D10" s="32">
        <f t="shared" si="0"/>
        <v>64523.044512000015</v>
      </c>
      <c r="E10" s="30">
        <f t="shared" si="16"/>
        <v>231766.268658185</v>
      </c>
      <c r="F10" s="33">
        <f t="shared" si="16"/>
        <v>210258.58715418502</v>
      </c>
      <c r="G10" s="34">
        <f t="shared" si="16"/>
        <v>21507.681504000004</v>
      </c>
      <c r="H10" s="31">
        <f t="shared" si="1"/>
        <v>358598.57448032027</v>
      </c>
      <c r="I10" s="33">
        <f t="shared" si="1"/>
        <v>43984.842449766424</v>
      </c>
      <c r="J10" s="33">
        <f t="shared" si="1"/>
        <v>402583.41693008662</v>
      </c>
      <c r="K10" s="221">
        <f t="shared" si="2"/>
        <v>0.73702333502131512</v>
      </c>
      <c r="L10" s="218">
        <f>SLP!L10+ROSA!L10+'STA ANA'!L10+BOA!L10+'STA MARIA'!L10+'CB I'!L10+IG!L10+PN!L10+MJ!L10+'RB I'!L10+'SF I'!L10</f>
        <v>57941.56716454625</v>
      </c>
      <c r="M10" s="218">
        <f>SLP!M10+ROSA!M10+'STA ANA'!M10+BOA!M10+'STA MARIA'!M10+'CB I'!M10+IG!M10+PN!M10+MJ!M10+'RB I'!M10+'SF I'!M10</f>
        <v>52564.646788546255</v>
      </c>
      <c r="N10" s="218">
        <f>SLP!N10+ROSA!N10+'STA ANA'!N10+BOA!N10+'STA MARIA'!N10+'CB I'!N10+IG!N10+PN!N10+MJ!N10+'RB I'!N10+'SF I'!N10</f>
        <v>5376.9203760000009</v>
      </c>
      <c r="O10" s="218">
        <f>SLP!O10+ROSA!O10+'STA ANA'!O10+BOA!O10+'STA MARIA'!O10+'CB I'!O10+IG!O10+PN!O10+MJ!O10+'RB I'!O10+'SF I'!O10</f>
        <v>74878.985175286347</v>
      </c>
      <c r="P10" s="218">
        <f>SLP!P10+ROSA!P10+'STA ANA'!P10+BOA!P10+'STA MARIA'!P10+'CB I'!P10+IG!P10+PN!P10+MJ!P10+'RB I'!P10+'SF I'!P10</f>
        <v>12027.204441767044</v>
      </c>
      <c r="Q10" s="218">
        <f>SLP!Q10+ROSA!Q10+'STA ANA'!Q10+BOA!Q10+'STA MARIA'!Q10+'CB I'!Q10+IG!Q10+PN!Q10+MJ!Q10+'RB I'!Q10+'SF I'!Q10</f>
        <v>86906.189617053387</v>
      </c>
      <c r="R10" s="221">
        <f t="shared" si="3"/>
        <v>0.49989366649768918</v>
      </c>
      <c r="S10" s="218">
        <f>SLP!S10+ROSA!S10+'STA ANA'!S10+BOA!S10+'STA MARIA'!S10+'CB I'!S10+IG!S10+PN!S10+MJ!S10+'RB I'!S10+'SF I'!S10</f>
        <v>57941.56716454625</v>
      </c>
      <c r="T10" s="218">
        <f>SLP!T10+ROSA!T10+'STA ANA'!T10+BOA!T10+'STA MARIA'!T10+'CB I'!T10+IG!T10+PN!T10+MJ!T10+'RB I'!T10+'SF I'!T10</f>
        <v>52564.646788546255</v>
      </c>
      <c r="U10" s="218">
        <f>SLP!U10+ROSA!U10+'STA ANA'!U10+BOA!U10+'STA MARIA'!U10+'CB I'!U10+IG!U10+PN!U10+MJ!U10+'RB I'!U10+'SF I'!U10</f>
        <v>5376.9203760000009</v>
      </c>
      <c r="V10" s="218">
        <f>SLP!V10+ROSA!V10+'STA ANA'!V10+BOA!V10+'STA MARIA'!V10+'CB I'!V10+IG!V10+PN!V10+MJ!V10+'RB I'!V10+'SF I'!V10</f>
        <v>42787.369584186039</v>
      </c>
      <c r="W10" s="218">
        <f>SLP!W10+ROSA!W10+'STA ANA'!W10+BOA!W10+'STA MARIA'!W10+'CB I'!W10+IG!W10+PN!W10+MJ!W10+'RB I'!W10+'SF I'!W10</f>
        <v>5500.9375381538866</v>
      </c>
      <c r="X10" s="218">
        <f>SLP!X10+ROSA!X10+'STA ANA'!X10+BOA!X10+'STA MARIA'!X10+'CB I'!X10+IG!X10+PN!X10+MJ!X10+'RB I'!X10+'SF I'!X10</f>
        <v>48288.307122339924</v>
      </c>
      <c r="Y10" s="221">
        <f t="shared" si="4"/>
        <v>-0.16660336464135272</v>
      </c>
      <c r="Z10" s="218">
        <f>SLP!Z10+ROSA!Z10+'STA ANA'!Z10+BOA!Z10+'STA MARIA'!Z10+'CB I'!Z10+IG!Z10+PN!Z10+MJ!Z10+'RB I'!Z10+'SF I'!Z10</f>
        <v>57941.56716454625</v>
      </c>
      <c r="AA10" s="218">
        <f>SLP!AA10+ROSA!AA10+'STA ANA'!AA10+BOA!AA10+'STA MARIA'!AA10+'CB I'!AA10+IG!AA10+PN!AA10+MJ!AA10+'RB I'!AA10+'SF I'!AA10</f>
        <v>52564.646788546255</v>
      </c>
      <c r="AB10" s="218">
        <f>SLP!AB10+ROSA!AB10+'STA ANA'!AB10+BOA!AB10+'STA MARIA'!AB10+'CB I'!AB10+IG!AB10+PN!AB10+MJ!AB10+'RB I'!AB10+'SF I'!AB10</f>
        <v>5376.9203760000009</v>
      </c>
      <c r="AC10" s="218">
        <f>SLP!AC10+ROSA!AC10+'STA ANA'!AC10+BOA!AC10+'STA MARIA'!AC10+'CB I'!AC10+IG!AC10+PN!AC10+MJ!AC10+'RB I'!AC10+'SF I'!AC10</f>
        <v>49535.246366147709</v>
      </c>
      <c r="AD10" s="218">
        <f>SLP!AD10+ROSA!AD10+'STA ANA'!AD10+BOA!AD10+'STA MARIA'!AD10+'CB I'!AD10+IG!AD10+PN!AD10+MJ!AD10+'RB I'!AD10+'SF I'!AD10</f>
        <v>6714.6470121047359</v>
      </c>
      <c r="AE10" s="218">
        <f>SLP!AE10+ROSA!AE10+'STA ANA'!AE10+BOA!AE10+'STA MARIA'!AE10+'CB I'!AE10+IG!AE10+PN!AE10+MJ!AE10+'RB I'!AE10+'SF I'!AE10</f>
        <v>56249.893378252447</v>
      </c>
      <c r="AF10" s="221">
        <f t="shared" si="5"/>
        <v>-2.9196203504293861E-2</v>
      </c>
      <c r="AG10" s="218">
        <f>SLP!AG10+ROSA!AG10+'STA ANA'!AG10+BOA!AG10+'STA MARIA'!AG10+'CB I'!AG10+IG!AG10+PN!AG10+MJ!AG10+'RB I'!AG10+'SF I'!AG10</f>
        <v>57941.56716454625</v>
      </c>
      <c r="AH10" s="218">
        <f>SLP!AH10+ROSA!AH10+'STA ANA'!AH10+BOA!AH10+'STA MARIA'!AH10+'CB I'!AH10+IG!AH10+PN!AH10+MJ!AH10+'RB I'!AH10+'SF I'!AH10</f>
        <v>52564.646788546255</v>
      </c>
      <c r="AI10" s="218">
        <f>SLP!AI10+ROSA!AI10+'STA ANA'!AI10+BOA!AI10+'STA MARIA'!AI10+'CB I'!AI10+IG!AI10+PN!AI10+MJ!AI10+'RB I'!AI10+'SF I'!AI10</f>
        <v>5376.9203760000009</v>
      </c>
      <c r="AJ10" s="218">
        <f>SLP!AJ10+ROSA!AJ10+'STA ANA'!AJ10+BOA!AJ10+'STA MARIA'!AJ10+'CB I'!AJ10+IG!AJ10+PN!AJ10+MJ!AJ10+'RB I'!AJ10+'SF I'!AJ10</f>
        <v>67989.218489051884</v>
      </c>
      <c r="AK10" s="218">
        <f>SLP!AK10+ROSA!AK10+'STA ANA'!AK10+BOA!AK10+'STA MARIA'!AK10+'CB I'!AK10+IG!AK10+PN!AK10+MJ!AK10+'RB I'!AK10+'SF I'!AK10</f>
        <v>7002.5899289552581</v>
      </c>
      <c r="AL10" s="218">
        <f>SLP!AL10+ROSA!AL10+'STA ANA'!AL10+BOA!AL10+'STA MARIA'!AL10+'CB I'!AL10+IG!AL10+PN!AL10+MJ!AL10+'RB I'!AL10+'SF I'!AL10</f>
        <v>74991.808418007146</v>
      </c>
      <c r="AM10" s="221">
        <f t="shared" si="6"/>
        <v>0.29426613893684483</v>
      </c>
      <c r="AN10" s="218">
        <f>SLP!AN10+ROSA!AN10+'STA ANA'!AN10+BOA!AN10+'STA MARIA'!AN10+'CB I'!AN10+IG!AN10+PN!AN10+MJ!AN10+'RB I'!AN10+'SF I'!AN10</f>
        <v>57941.56716454625</v>
      </c>
      <c r="AO10" s="218">
        <f>SLP!AO10+ROSA!AO10+'STA ANA'!AO10+BOA!AO10+'STA MARIA'!AO10+'CB I'!AO10+IG!AO10+PN!AO10+MJ!AO10+'RB I'!AO10+'SF I'!AO10</f>
        <v>52564.646788546255</v>
      </c>
      <c r="AP10" s="218">
        <f>SLP!AP10+ROSA!AP10+'STA ANA'!AP10+BOA!AP10+'STA MARIA'!AP10+'CB I'!AP10+IG!AP10+PN!AP10+MJ!AP10+'RB I'!AP10+'SF I'!AP10</f>
        <v>5376.9203760000009</v>
      </c>
      <c r="AQ10" s="218">
        <f>SLP!AQ10+ROSA!AQ10+'STA ANA'!AQ10+BOA!AQ10+'STA MARIA'!AQ10+'CB I'!AQ10+IG!AQ10+PN!AQ10+MJ!AQ10+'RB I'!AQ10+'SF I'!AQ10</f>
        <v>50345.728924956406</v>
      </c>
      <c r="AR10" s="218">
        <f>SLP!AR10+ROSA!AR10+'STA ANA'!AR10+BOA!AR10+'STA MARIA'!AR10+'CB I'!AR10+IG!AR10+PN!AR10+MJ!AR10+'RB I'!AR10+'SF I'!AR10</f>
        <v>5287.2209009350963</v>
      </c>
      <c r="AS10" s="218">
        <f>SLP!AS10+ROSA!AS10+'STA ANA'!AS10+BOA!AS10+'STA MARIA'!AS10+'CB I'!AS10+IG!AS10+PN!AS10+MJ!AS10+'RB I'!AS10+'SF I'!AS10</f>
        <v>55632.949825891497</v>
      </c>
      <c r="AT10" s="221">
        <f t="shared" si="7"/>
        <v>-3.9843888448833131E-2</v>
      </c>
      <c r="AU10" s="218">
        <f>SLP!AU10+ROSA!AU10+'STA ANA'!AU10+BOA!AU10+'STA MARIA'!AU10+'CB I'!AU10+IG!AU10+PN!AU10+MJ!AU10+'RB I'!AU10+'SF I'!AU10</f>
        <v>57941.56716454625</v>
      </c>
      <c r="AV10" s="218">
        <f>SLP!AV10+ROSA!AV10+'STA ANA'!AV10+BOA!AV10+'STA MARIA'!AV10+'CB I'!AV10+IG!AV10+PN!AV10+MJ!AV10+'RB I'!AV10+'SF I'!AV10</f>
        <v>52564.646788546255</v>
      </c>
      <c r="AW10" s="218">
        <f>SLP!AW10+ROSA!AW10+'STA ANA'!AW10+BOA!AW10+'STA MARIA'!AW10+'CB I'!AW10+IG!AW10+PN!AW10+MJ!AW10+'RB I'!AW10+'SF I'!AW10</f>
        <v>5376.9203760000009</v>
      </c>
      <c r="AX10" s="218">
        <f>SLP!AX10+ROSA!AX10+'STA ANA'!AX10+BOA!AX10+'STA MARIA'!AX10+'CB I'!AX10+IG!AX10+PN!AX10+MJ!AX10+'RB I'!AX10+'SF I'!AX10</f>
        <v>73062.025940691892</v>
      </c>
      <c r="AY10" s="218">
        <f>SLP!AY10+ROSA!AY10+'STA ANA'!AY10+BOA!AY10+'STA MARIA'!AY10+'CB I'!AY10+IG!AY10+PN!AY10+MJ!AY10+'RB I'!AY10+'SF I'!AY10</f>
        <v>7452.2426278503999</v>
      </c>
      <c r="AZ10" s="218">
        <f>SLP!AZ10+ROSA!AZ10+'STA ANA'!AZ10+BOA!AZ10+'STA MARIA'!AZ10+'CB I'!AZ10+IG!AZ10+PN!AZ10+MJ!AZ10+'RB I'!AZ10+'SF I'!AZ10</f>
        <v>80514.268568542277</v>
      </c>
      <c r="BA10" s="221">
        <f t="shared" si="8"/>
        <v>0.38957699124520739</v>
      </c>
      <c r="BB10" s="218">
        <f>SLP!BB10+ROSA!BB10+'STA ANA'!BB10+BOA!BB10+'STA MARIA'!BB10+'CB I'!BB10+IG!BB10+PN!BB10+MJ!BB10+'RB I'!BB10+'SF I'!BB10</f>
        <v>57941.56716454625</v>
      </c>
      <c r="BC10" s="218">
        <f>SLP!BC10+ROSA!BC10+'STA ANA'!BC10+BOA!BC10+'STA MARIA'!BC10+'CB I'!BC10+IG!BC10+PN!BC10+MJ!BC10+'RB I'!BC10+'SF I'!BC10</f>
        <v>52564.646788546255</v>
      </c>
      <c r="BD10" s="218">
        <f>SLP!BD10+ROSA!BD10+'STA ANA'!BD10+BOA!BD10+'STA MARIA'!BD10+'CB I'!BD10+IG!BD10+PN!BD10+MJ!BD10+'RB I'!BD10+'SF I'!BD10</f>
        <v>5376.9203760000009</v>
      </c>
      <c r="BE10" s="218">
        <f>SLP!BE10+ROSA!BE10+'STA ANA'!BE10+BOA!BE10+'STA MARIA'!BE10+'CB I'!BE10+IG!BE10+PN!BE10+MJ!BE10+'RB I'!BE10+'SF I'!BE10</f>
        <v>0</v>
      </c>
      <c r="BF10" s="218">
        <f>SLP!BF10+ROSA!BF10+'STA ANA'!BF10+BOA!BF10+'STA MARIA'!BF10+'CB I'!BF10+IG!BF10+PN!BF10+MJ!BF10+'RB I'!BF10+'SF I'!BF10</f>
        <v>0</v>
      </c>
      <c r="BG10" s="218">
        <f>SLP!BG10+ROSA!BG10+'STA ANA'!BG10+BOA!BG10+'STA MARIA'!BG10+'CB I'!BG10+IG!BG10+PN!BG10+MJ!BG10+'RB I'!BG10+'SF I'!BG10</f>
        <v>0</v>
      </c>
      <c r="BH10" s="221">
        <f t="shared" si="9"/>
        <v>-1</v>
      </c>
      <c r="BI10" s="218">
        <f>SLP!BI10+ROSA!BI10+'STA ANA'!BI10+BOA!BI10+'STA MARIA'!BI10+'CB I'!BI10+IG!BI10+PN!BI10+MJ!BI10+'RB I'!BI10+'SF I'!BI10</f>
        <v>57941.56716454625</v>
      </c>
      <c r="BJ10" s="218">
        <f>SLP!BJ10+ROSA!BJ10+'STA ANA'!BJ10+BOA!BJ10+'STA MARIA'!BJ10+'CB I'!BJ10+IG!BJ10+PN!BJ10+MJ!BJ10+'RB I'!BJ10+'SF I'!BJ10</f>
        <v>52564.646788546255</v>
      </c>
      <c r="BK10" s="218">
        <f>SLP!BK10+ROSA!BK10+'STA ANA'!BK10+BOA!BK10+'STA MARIA'!BK10+'CB I'!BK10+IG!BK10+PN!BK10+MJ!BK10+'RB I'!BK10+'SF I'!BK10</f>
        <v>5376.9203760000009</v>
      </c>
      <c r="BL10" s="218">
        <f>SLP!BL10+ROSA!BL10+'STA ANA'!BL10+BOA!BL10+'STA MARIA'!BL10+'CB I'!BL10+IG!BL10+PN!BL10+MJ!BL10+'RB I'!BL10+'SF I'!BL10</f>
        <v>0</v>
      </c>
      <c r="BM10" s="218">
        <f>SLP!BM10+ROSA!BM10+'STA ANA'!BM10+BOA!BM10+'STA MARIA'!BM10+'CB I'!BM10+IG!BM10+PN!BM10+MJ!BM10+'RB I'!BM10+'SF I'!BM10</f>
        <v>0</v>
      </c>
      <c r="BN10" s="218">
        <f>SLP!BN10+ROSA!BN10+'STA ANA'!BN10+BOA!BN10+'STA MARIA'!BN10+'CB I'!BN10+IG!BN10+PN!BN10+MJ!BN10+'RB I'!BN10+'SF I'!BN10</f>
        <v>0</v>
      </c>
      <c r="BO10" s="221">
        <f t="shared" si="10"/>
        <v>-1</v>
      </c>
      <c r="BP10" s="218">
        <f>SLP!BP10+ROSA!BP10+'STA ANA'!BP10+BOA!BP10+'STA MARIA'!BP10+'CB I'!BP10+IG!BP10+PN!BP10+MJ!BP10+'RB I'!BP10+'SF I'!BP10</f>
        <v>57941.56716454625</v>
      </c>
      <c r="BQ10" s="218">
        <f>SLP!BQ10+ROSA!BQ10+'STA ANA'!BQ10+BOA!BQ10+'STA MARIA'!BQ10+'CB I'!BQ10+IG!BQ10+PN!BQ10+MJ!BQ10+'RB I'!BQ10+'SF I'!BQ10</f>
        <v>52564.646788546255</v>
      </c>
      <c r="BR10" s="218">
        <f>SLP!BR10+ROSA!BR10+'STA ANA'!BR10+BOA!BR10+'STA MARIA'!BR10+'CB I'!BR10+IG!BR10+PN!BR10+MJ!BR10+'RB I'!BR10+'SF I'!BR10</f>
        <v>5376.9203760000009</v>
      </c>
      <c r="BS10" s="218">
        <f>SLP!BS10+ROSA!BS10+'STA ANA'!BS10+BOA!BS10+'STA MARIA'!BS10+'CB I'!BS10+IG!BS10+PN!BS10+MJ!BS10+'RB I'!BS10+'SF I'!BS10</f>
        <v>0</v>
      </c>
      <c r="BT10" s="218">
        <f>SLP!BT10+ROSA!BT10+'STA ANA'!BT10+BOA!BT10+'STA MARIA'!BT10+'CB I'!BT10+IG!BT10+PN!BT10+MJ!BT10+'RB I'!BT10+'SF I'!BT10</f>
        <v>0</v>
      </c>
      <c r="BU10" s="218">
        <f>SLP!BU10+ROSA!BU10+'STA ANA'!BU10+BOA!BU10+'STA MARIA'!BU10+'CB I'!BU10+IG!BU10+PN!BU10+MJ!BU10+'RB I'!BU10+'SF I'!BU10</f>
        <v>0</v>
      </c>
      <c r="BV10" s="221">
        <f t="shared" si="11"/>
        <v>-1</v>
      </c>
      <c r="BW10" s="218">
        <f>SLP!BW10+ROSA!BW10+'STA ANA'!BW10+BOA!BW10+'STA MARIA'!BW10+'CB I'!BW10+IG!BW10+PN!BW10+MJ!BW10+'RB I'!BW10+'SF I'!BW10</f>
        <v>57941.56716454625</v>
      </c>
      <c r="BX10" s="218">
        <f>SLP!BX10+ROSA!BX10+'STA ANA'!BX10+BOA!BX10+'STA MARIA'!BX10+'CB I'!BX10+IG!BX10+PN!BX10+MJ!BX10+'RB I'!BX10+'SF I'!BX10</f>
        <v>52564.646788546255</v>
      </c>
      <c r="BY10" s="218">
        <f>SLP!BY10+ROSA!BY10+'STA ANA'!BY10+BOA!BY10+'STA MARIA'!BY10+'CB I'!BY10+IG!BY10+PN!BY10+MJ!BY10+'RB I'!BY10+'SF I'!BY10</f>
        <v>5376.9203760000009</v>
      </c>
      <c r="BZ10" s="218">
        <f>SLP!BZ10+ROSA!BZ10+'STA ANA'!BZ10+BOA!BZ10+'STA MARIA'!BZ10+'CB I'!BZ10+IG!BZ10+PN!BZ10+MJ!BZ10+'RB I'!BZ10+'SF I'!BZ10</f>
        <v>0</v>
      </c>
      <c r="CA10" s="218">
        <f>SLP!CA10+ROSA!CA10+'STA ANA'!CA10+BOA!CA10+'STA MARIA'!CA10+'CB I'!CA10+IG!CA10+PN!CA10+MJ!CA10+'RB I'!CA10+'SF I'!CA10</f>
        <v>0</v>
      </c>
      <c r="CB10" s="218">
        <f>SLP!CB10+ROSA!CB10+'STA ANA'!CB10+BOA!CB10+'STA MARIA'!CB10+'CB I'!CB10+IG!CB10+PN!CB10+MJ!CB10+'RB I'!CB10+'SF I'!CB10</f>
        <v>0</v>
      </c>
      <c r="CC10" s="221">
        <f t="shared" si="12"/>
        <v>-1</v>
      </c>
      <c r="CD10" s="218">
        <f>SLP!CD10+ROSA!CD10+'STA ANA'!CD10+BOA!CD10+'STA MARIA'!CD10+'CB I'!CD10+IG!CD10+PN!CD10+MJ!CD10+'RB I'!CD10+'SF I'!CD10</f>
        <v>57941.56716454625</v>
      </c>
      <c r="CE10" s="218">
        <f>SLP!CE10+ROSA!CE10+'STA ANA'!CE10+BOA!CE10+'STA MARIA'!CE10+'CB I'!CE10+IG!CE10+PN!CE10+MJ!CE10+'RB I'!CE10+'SF I'!CE10</f>
        <v>52564.646788546255</v>
      </c>
      <c r="CF10" s="218">
        <f>SLP!CF10+ROSA!CF10+'STA ANA'!CF10+BOA!CF10+'STA MARIA'!CF10+'CB I'!CF10+IG!CF10+PN!CF10+MJ!CF10+'RB I'!CF10+'SF I'!CF10</f>
        <v>5376.9203760000009</v>
      </c>
      <c r="CG10" s="218">
        <f>SLP!CG10+ROSA!CG10+'STA ANA'!CG10+BOA!CG10+'STA MARIA'!CG10+'CB I'!CG10+IG!CG10+PN!CG10+MJ!CG10+'RB I'!CG10+'SF I'!CG10</f>
        <v>0</v>
      </c>
      <c r="CH10" s="218">
        <f>SLP!CH10+ROSA!CH10+'STA ANA'!CH10+BOA!CH10+'STA MARIA'!CH10+'CB I'!CH10+IG!CH10+PN!CH10+MJ!CH10+'RB I'!CH10+'SF I'!CH10</f>
        <v>0</v>
      </c>
      <c r="CI10" s="218">
        <f>SLP!CI10+ROSA!CI10+'STA ANA'!CI10+BOA!CI10+'STA MARIA'!CI10+'CB I'!CI10+IG!CI10+PN!CI10+MJ!CI10+'RB I'!CI10+'SF I'!CI10</f>
        <v>0</v>
      </c>
      <c r="CJ10" s="221">
        <f t="shared" si="13"/>
        <v>-1</v>
      </c>
      <c r="CK10" s="218">
        <f>SLP!CK10+ROSA!CK10+'STA ANA'!CK10+BOA!CK10+'STA MARIA'!CK10+'CB I'!CK10+IG!CK10+PN!CK10+MJ!CK10+'RB I'!CK10+'SF I'!CK10</f>
        <v>57941.56716454625</v>
      </c>
      <c r="CL10" s="218">
        <f>SLP!CL10+ROSA!CL10+'STA ANA'!CL10+BOA!CL10+'STA MARIA'!CL10+'CB I'!CL10+IG!CL10+PN!CL10+MJ!CL10+'RB I'!CL10+'SF I'!CL10</f>
        <v>52564.646788546255</v>
      </c>
      <c r="CM10" s="218">
        <f>SLP!CM10+ROSA!CM10+'STA ANA'!CM10+BOA!CM10+'STA MARIA'!CM10+'CB I'!CM10+IG!CM10+PN!CM10+MJ!CM10+'RB I'!CM10+'SF I'!CM10</f>
        <v>5376.9203760000009</v>
      </c>
      <c r="CN10" s="218">
        <f>SLP!CN10+ROSA!CN10+'STA ANA'!CN10+BOA!CN10+'STA MARIA'!CN10+'CB I'!CN10+IG!CN10+PN!CN10+MJ!CN10+'RB I'!CN10+'SF I'!CN10</f>
        <v>0</v>
      </c>
      <c r="CO10" s="218">
        <f>SLP!CO10+ROSA!CO10+'STA ANA'!CO10+BOA!CO10+'STA MARIA'!CO10+'CB I'!CO10+IG!CO10+PN!CO10+MJ!CO10+'RB I'!CO10+'SF I'!CO10</f>
        <v>0</v>
      </c>
      <c r="CP10" s="218">
        <f>SLP!CP10+ROSA!CP10+'STA ANA'!CP10+BOA!CP10+'STA MARIA'!CP10+'CB I'!CP10+IG!CP10+PN!CP10+MJ!CP10+'RB I'!CP10+'SF I'!CP10</f>
        <v>0</v>
      </c>
      <c r="CQ10" s="221">
        <f t="shared" si="14"/>
        <v>-1</v>
      </c>
      <c r="CR10" s="154"/>
      <c r="CS10" s="222" t="e">
        <f t="shared" si="15"/>
        <v>#VALUE!</v>
      </c>
    </row>
    <row r="11" spans="1:101" ht="14.25" customHeight="1" thickBot="1" x14ac:dyDescent="0.25">
      <c r="A11" s="223" t="s">
        <v>35</v>
      </c>
      <c r="B11" s="30">
        <f t="shared" si="0"/>
        <v>0</v>
      </c>
      <c r="C11" s="31">
        <f t="shared" si="0"/>
        <v>0</v>
      </c>
      <c r="D11" s="32">
        <f t="shared" si="0"/>
        <v>0</v>
      </c>
      <c r="E11" s="30">
        <f t="shared" si="16"/>
        <v>0</v>
      </c>
      <c r="F11" s="33">
        <f t="shared" si="16"/>
        <v>0</v>
      </c>
      <c r="G11" s="34">
        <f t="shared" si="16"/>
        <v>0</v>
      </c>
      <c r="H11" s="31">
        <f t="shared" si="1"/>
        <v>100255.06332691533</v>
      </c>
      <c r="I11" s="33">
        <f t="shared" si="1"/>
        <v>5156.7793486418323</v>
      </c>
      <c r="J11" s="33">
        <f t="shared" si="1"/>
        <v>105411.84267555716</v>
      </c>
      <c r="K11" s="221" t="str">
        <f t="shared" si="2"/>
        <v/>
      </c>
      <c r="L11" s="218">
        <f>SLP!L11+ROSA!L11+'STA ANA'!L11+BOA!L11+'STA MARIA'!L11+'CB I'!L11+IG!L11+PN!L11+MJ!L11+'RB I'!L11+'SF I'!L11</f>
        <v>0</v>
      </c>
      <c r="M11" s="218">
        <f>SLP!M11+ROSA!M11+'STA ANA'!M11+BOA!M11+'STA MARIA'!M11+'CB I'!M11+IG!M11+PN!M11+MJ!M11+'RB I'!M11+'SF I'!M11</f>
        <v>0</v>
      </c>
      <c r="N11" s="218">
        <f>SLP!N11+ROSA!N11+'STA ANA'!N11+BOA!N11+'STA MARIA'!N11+'CB I'!N11+IG!N11+PN!N11+MJ!N11+'RB I'!N11+'SF I'!N11</f>
        <v>0</v>
      </c>
      <c r="O11" s="218">
        <f>SLP!O11+ROSA!O11+'STA ANA'!O11+BOA!O11+'STA MARIA'!O11+'CB I'!O11+IG!O11+PN!O11+MJ!O11+'RB I'!O11+'SF I'!O11</f>
        <v>0</v>
      </c>
      <c r="P11" s="218">
        <f>SLP!P11+ROSA!P11+'STA ANA'!P11+BOA!P11+'STA MARIA'!P11+'CB I'!P11+IG!P11+PN!P11+MJ!P11+'RB I'!P11+'SF I'!P11</f>
        <v>0</v>
      </c>
      <c r="Q11" s="218">
        <f>SLP!Q11+ROSA!Q11+'STA ANA'!Q11+BOA!Q11+'STA MARIA'!Q11+'CB I'!Q11+IG!Q11+PN!Q11+MJ!Q11+'RB I'!Q11+'SF I'!Q11</f>
        <v>0</v>
      </c>
      <c r="R11" s="221" t="str">
        <f t="shared" si="3"/>
        <v/>
      </c>
      <c r="S11" s="218">
        <f>SLP!S11+ROSA!S11+'STA ANA'!S11+BOA!S11+'STA MARIA'!S11+'CB I'!S11+IG!S11+PN!S11+MJ!S11+'RB I'!S11+'SF I'!S11</f>
        <v>0</v>
      </c>
      <c r="T11" s="218">
        <f>SLP!T11+ROSA!T11+'STA ANA'!T11+BOA!T11+'STA MARIA'!T11+'CB I'!T11+IG!T11+PN!T11+MJ!T11+'RB I'!T11+'SF I'!T11</f>
        <v>0</v>
      </c>
      <c r="U11" s="218">
        <f>SLP!U11+ROSA!U11+'STA ANA'!U11+BOA!U11+'STA MARIA'!U11+'CB I'!U11+IG!U11+PN!U11+MJ!U11+'RB I'!U11+'SF I'!U11</f>
        <v>0</v>
      </c>
      <c r="V11" s="218">
        <f>SLP!V11+ROSA!V11+'STA ANA'!V11+BOA!V11+'STA MARIA'!V11+'CB I'!V11+IG!V11+PN!V11+MJ!V11+'RB I'!V11+'SF I'!V11</f>
        <v>20120.137296000001</v>
      </c>
      <c r="W11" s="218">
        <f>SLP!W11+ROSA!W11+'STA ANA'!W11+BOA!W11+'STA MARIA'!W11+'CB I'!W11+IG!W11+PN!W11+MJ!W11+'RB I'!W11+'SF I'!W11</f>
        <v>498.98270399999996</v>
      </c>
      <c r="X11" s="218">
        <f>SLP!X11+ROSA!X11+'STA ANA'!X11+BOA!X11+'STA MARIA'!X11+'CB I'!X11+IG!X11+PN!X11+MJ!X11+'RB I'!X11+'SF I'!X11</f>
        <v>20619.12</v>
      </c>
      <c r="Y11" s="221" t="str">
        <f t="shared" si="4"/>
        <v/>
      </c>
      <c r="Z11" s="218">
        <f>SLP!Z11+ROSA!Z11+'STA ANA'!Z11+BOA!Z11+'STA MARIA'!Z11+'CB I'!Z11+IG!Z11+PN!Z11+MJ!Z11+'RB I'!Z11+'SF I'!Z11</f>
        <v>0</v>
      </c>
      <c r="AA11" s="218">
        <f>SLP!AA11+ROSA!AA11+'STA ANA'!AA11+BOA!AA11+'STA MARIA'!AA11+'CB I'!AA11+IG!AA11+PN!AA11+MJ!AA11+'RB I'!AA11+'SF I'!AA11</f>
        <v>0</v>
      </c>
      <c r="AB11" s="218">
        <f>SLP!AB11+ROSA!AB11+'STA ANA'!AB11+BOA!AB11+'STA MARIA'!AB11+'CB I'!AB11+IG!AB11+PN!AB11+MJ!AB11+'RB I'!AB11+'SF I'!AB11</f>
        <v>0</v>
      </c>
      <c r="AC11" s="218">
        <f>SLP!AC11+ROSA!AC11+'STA ANA'!AC11+BOA!AC11+'STA MARIA'!AC11+'CB I'!AC11+IG!AC11+PN!AC11+MJ!AC11+'RB I'!AC11+'SF I'!AC11</f>
        <v>41203.115623999998</v>
      </c>
      <c r="AD11" s="218">
        <f>SLP!AD11+ROSA!AD11+'STA ANA'!AD11+BOA!AD11+'STA MARIA'!AD11+'CB I'!AD11+IG!AD11+PN!AD11+MJ!AD11+'RB I'!AD11+'SF I'!AD11</f>
        <v>1792.2443760000001</v>
      </c>
      <c r="AE11" s="218">
        <f>SLP!AE11+ROSA!AE11+'STA ANA'!AE11+BOA!AE11+'STA MARIA'!AE11+'CB I'!AE11+IG!AE11+PN!AE11+MJ!AE11+'RB I'!AE11+'SF I'!AE11</f>
        <v>42995.360000000001</v>
      </c>
      <c r="AF11" s="221" t="str">
        <f t="shared" si="5"/>
        <v/>
      </c>
      <c r="AG11" s="218">
        <f>SLP!AG11+ROSA!AG11+'STA ANA'!AG11+BOA!AG11+'STA MARIA'!AG11+'CB I'!AG11+IG!AG11+PN!AG11+MJ!AG11+'RB I'!AG11+'SF I'!AG11</f>
        <v>0</v>
      </c>
      <c r="AH11" s="218">
        <f>SLP!AH11+ROSA!AH11+'STA ANA'!AH11+BOA!AH11+'STA MARIA'!AH11+'CB I'!AH11+IG!AH11+PN!AH11+MJ!AH11+'RB I'!AH11+'SF I'!AH11</f>
        <v>0</v>
      </c>
      <c r="AI11" s="218">
        <f>SLP!AI11+ROSA!AI11+'STA ANA'!AI11+BOA!AI11+'STA MARIA'!AI11+'CB I'!AI11+IG!AI11+PN!AI11+MJ!AI11+'RB I'!AI11+'SF I'!AI11</f>
        <v>0</v>
      </c>
      <c r="AJ11" s="218">
        <f>SLP!AJ11+ROSA!AJ11+'STA ANA'!AJ11+BOA!AJ11+'STA MARIA'!AJ11+'CB I'!AJ11+IG!AJ11+PN!AJ11+MJ!AJ11+'RB I'!AJ11+'SF I'!AJ11</f>
        <v>30117.955895000003</v>
      </c>
      <c r="AK11" s="218">
        <f>SLP!AK11+ROSA!AK11+'STA ANA'!AK11+BOA!AK11+'STA MARIA'!AK11+'CB I'!AK11+IG!AK11+PN!AK11+MJ!AK11+'RB I'!AK11+'SF I'!AK11</f>
        <v>1989.3641050000001</v>
      </c>
      <c r="AL11" s="218">
        <f>SLP!AL11+ROSA!AL11+'STA ANA'!AL11+BOA!AL11+'STA MARIA'!AL11+'CB I'!AL11+IG!AL11+PN!AL11+MJ!AL11+'RB I'!AL11+'SF I'!AL11</f>
        <v>32107.32</v>
      </c>
      <c r="AM11" s="221" t="str">
        <f t="shared" si="6"/>
        <v/>
      </c>
      <c r="AN11" s="218">
        <f>SLP!AN11+ROSA!AN11+'STA ANA'!AN11+BOA!AN11+'STA MARIA'!AN11+'CB I'!AN11+IG!AN11+PN!AN11+MJ!AN11+'RB I'!AN11+'SF I'!AN11</f>
        <v>0</v>
      </c>
      <c r="AO11" s="218">
        <f>SLP!AO11+ROSA!AO11+'STA ANA'!AO11+BOA!AO11+'STA MARIA'!AO11+'CB I'!AO11+IG!AO11+PN!AO11+MJ!AO11+'RB I'!AO11+'SF I'!AO11</f>
        <v>0</v>
      </c>
      <c r="AP11" s="218">
        <f>SLP!AP11+ROSA!AP11+'STA ANA'!AP11+BOA!AP11+'STA MARIA'!AP11+'CB I'!AP11+IG!AP11+PN!AP11+MJ!AP11+'RB I'!AP11+'SF I'!AP11</f>
        <v>0</v>
      </c>
      <c r="AQ11" s="218">
        <f>SLP!AQ11+ROSA!AQ11+'STA ANA'!AQ11+BOA!AQ11+'STA MARIA'!AQ11+'CB I'!AQ11+IG!AQ11+PN!AQ11+MJ!AQ11+'RB I'!AQ11+'SF I'!AQ11</f>
        <v>4078.0542354234403</v>
      </c>
      <c r="AR11" s="218">
        <f>SLP!AR11+ROSA!AR11+'STA ANA'!AR11+BOA!AR11+'STA MARIA'!AR11+'CB I'!AR11+IG!AR11+PN!AR11+MJ!AR11+'RB I'!AR11+'SF I'!AR11</f>
        <v>465.5491666335821</v>
      </c>
      <c r="AS11" s="218">
        <f>SLP!AS11+ROSA!AS11+'STA ANA'!AS11+BOA!AS11+'STA MARIA'!AS11+'CB I'!AS11+IG!AS11+PN!AS11+MJ!AS11+'RB I'!AS11+'SF I'!AS11</f>
        <v>4543.6034020570223</v>
      </c>
      <c r="AT11" s="221" t="str">
        <f t="shared" si="7"/>
        <v/>
      </c>
      <c r="AU11" s="218">
        <f>SLP!AU11+ROSA!AU11+'STA ANA'!AU11+BOA!AU11+'STA MARIA'!AU11+'CB I'!AU11+IG!AU11+PN!AU11+MJ!AU11+'RB I'!AU11+'SF I'!AU11</f>
        <v>0</v>
      </c>
      <c r="AV11" s="218">
        <f>SLP!AV11+ROSA!AV11+'STA ANA'!AV11+BOA!AV11+'STA MARIA'!AV11+'CB I'!AV11+IG!AV11+PN!AV11+MJ!AV11+'RB I'!AV11+'SF I'!AV11</f>
        <v>0</v>
      </c>
      <c r="AW11" s="218">
        <f>SLP!AW11+ROSA!AW11+'STA ANA'!AW11+BOA!AW11+'STA MARIA'!AW11+'CB I'!AW11+IG!AW11+PN!AW11+MJ!AW11+'RB I'!AW11+'SF I'!AW11</f>
        <v>0</v>
      </c>
      <c r="AX11" s="218">
        <f>SLP!AX11+ROSA!AX11+'STA ANA'!AX11+BOA!AX11+'STA MARIA'!AX11+'CB I'!AX11+IG!AX11+PN!AX11+MJ!AX11+'RB I'!AX11+'SF I'!AX11</f>
        <v>4735.8002764918892</v>
      </c>
      <c r="AY11" s="218">
        <f>SLP!AY11+ROSA!AY11+'STA ANA'!AY11+BOA!AY11+'STA MARIA'!AY11+'CB I'!AY11+IG!AY11+PN!AY11+MJ!AY11+'RB I'!AY11+'SF I'!AY11</f>
        <v>410.63899700825033</v>
      </c>
      <c r="AZ11" s="218">
        <f>SLP!AZ11+ROSA!AZ11+'STA ANA'!AZ11+BOA!AZ11+'STA MARIA'!AZ11+'CB I'!AZ11+IG!AZ11+PN!AZ11+MJ!AZ11+'RB I'!AZ11+'SF I'!AZ11</f>
        <v>5146.4392735001393</v>
      </c>
      <c r="BA11" s="221" t="str">
        <f t="shared" si="8"/>
        <v/>
      </c>
      <c r="BB11" s="218">
        <f>SLP!BB11+ROSA!BB11+'STA ANA'!BB11+BOA!BB11+'STA MARIA'!BB11+'CB I'!BB11+IG!BB11+PN!BB11+MJ!BB11+'RB I'!BB11+'SF I'!BB11</f>
        <v>0</v>
      </c>
      <c r="BC11" s="218">
        <f>SLP!BC11+ROSA!BC11+'STA ANA'!BC11+BOA!BC11+'STA MARIA'!BC11+'CB I'!BC11+IG!BC11+PN!BC11+MJ!BC11+'RB I'!BC11+'SF I'!BC11</f>
        <v>0</v>
      </c>
      <c r="BD11" s="218">
        <f>SLP!BD11+ROSA!BD11+'STA ANA'!BD11+BOA!BD11+'STA MARIA'!BD11+'CB I'!BD11+IG!BD11+PN!BD11+MJ!BD11+'RB I'!BD11+'SF I'!BD11</f>
        <v>0</v>
      </c>
      <c r="BE11" s="218">
        <f>SLP!BE11+ROSA!BE11+'STA ANA'!BE11+BOA!BE11+'STA MARIA'!BE11+'CB I'!BE11+IG!BE11+PN!BE11+MJ!BE11+'RB I'!BE11+'SF I'!BE11</f>
        <v>0</v>
      </c>
      <c r="BF11" s="218">
        <f>SLP!BF11+ROSA!BF11+'STA ANA'!BF11+BOA!BF11+'STA MARIA'!BF11+'CB I'!BF11+IG!BF11+PN!BF11+MJ!BF11+'RB I'!BF11+'SF I'!BF11</f>
        <v>0</v>
      </c>
      <c r="BG11" s="218">
        <f>SLP!BG11+ROSA!BG11+'STA ANA'!BG11+BOA!BG11+'STA MARIA'!BG11+'CB I'!BG11+IG!BG11+PN!BG11+MJ!BG11+'RB I'!BG11+'SF I'!BG11</f>
        <v>0</v>
      </c>
      <c r="BH11" s="221" t="str">
        <f t="shared" si="9"/>
        <v/>
      </c>
      <c r="BI11" s="218">
        <f>SLP!BI11+ROSA!BI11+'STA ANA'!BI11+BOA!BI11+'STA MARIA'!BI11+'CB I'!BI11+IG!BI11+PN!BI11+MJ!BI11+'RB I'!BI11+'SF I'!BI11</f>
        <v>0</v>
      </c>
      <c r="BJ11" s="218">
        <f>SLP!BJ11+ROSA!BJ11+'STA ANA'!BJ11+BOA!BJ11+'STA MARIA'!BJ11+'CB I'!BJ11+IG!BJ11+PN!BJ11+MJ!BJ11+'RB I'!BJ11+'SF I'!BJ11</f>
        <v>0</v>
      </c>
      <c r="BK11" s="218">
        <f>SLP!BK11+ROSA!BK11+'STA ANA'!BK11+BOA!BK11+'STA MARIA'!BK11+'CB I'!BK11+IG!BK11+PN!BK11+MJ!BK11+'RB I'!BK11+'SF I'!BK11</f>
        <v>0</v>
      </c>
      <c r="BL11" s="218">
        <f>SLP!BL11+ROSA!BL11+'STA ANA'!BL11+BOA!BL11+'STA MARIA'!BL11+'CB I'!BL11+IG!BL11+PN!BL11+MJ!BL11+'RB I'!BL11+'SF I'!BL11</f>
        <v>0</v>
      </c>
      <c r="BM11" s="218">
        <f>SLP!BM11+ROSA!BM11+'STA ANA'!BM11+BOA!BM11+'STA MARIA'!BM11+'CB I'!BM11+IG!BM11+PN!BM11+MJ!BM11+'RB I'!BM11+'SF I'!BM11</f>
        <v>0</v>
      </c>
      <c r="BN11" s="218">
        <f>SLP!BN11+ROSA!BN11+'STA ANA'!BN11+BOA!BN11+'STA MARIA'!BN11+'CB I'!BN11+IG!BN11+PN!BN11+MJ!BN11+'RB I'!BN11+'SF I'!BN11</f>
        <v>0</v>
      </c>
      <c r="BO11" s="221" t="str">
        <f t="shared" si="10"/>
        <v/>
      </c>
      <c r="BP11" s="218">
        <f>SLP!BP11+ROSA!BP11+'STA ANA'!BP11+BOA!BP11+'STA MARIA'!BP11+'CB I'!BP11+IG!BP11+PN!BP11+MJ!BP11+'RB I'!BP11+'SF I'!BP11</f>
        <v>0</v>
      </c>
      <c r="BQ11" s="218">
        <f>SLP!BQ11+ROSA!BQ11+'STA ANA'!BQ11+BOA!BQ11+'STA MARIA'!BQ11+'CB I'!BQ11+IG!BQ11+PN!BQ11+MJ!BQ11+'RB I'!BQ11+'SF I'!BQ11</f>
        <v>0</v>
      </c>
      <c r="BR11" s="218">
        <f>SLP!BR11+ROSA!BR11+'STA ANA'!BR11+BOA!BR11+'STA MARIA'!BR11+'CB I'!BR11+IG!BR11+PN!BR11+MJ!BR11+'RB I'!BR11+'SF I'!BR11</f>
        <v>0</v>
      </c>
      <c r="BS11" s="218">
        <f>SLP!BS11+ROSA!BS11+'STA ANA'!BS11+BOA!BS11+'STA MARIA'!BS11+'CB I'!BS11+IG!BS11+PN!BS11+MJ!BS11+'RB I'!BS11+'SF I'!BS11</f>
        <v>0</v>
      </c>
      <c r="BT11" s="218">
        <f>SLP!BT11+ROSA!BT11+'STA ANA'!BT11+BOA!BT11+'STA MARIA'!BT11+'CB I'!BT11+IG!BT11+PN!BT11+MJ!BT11+'RB I'!BT11+'SF I'!BT11</f>
        <v>0</v>
      </c>
      <c r="BU11" s="218">
        <f>SLP!BU11+ROSA!BU11+'STA ANA'!BU11+BOA!BU11+'STA MARIA'!BU11+'CB I'!BU11+IG!BU11+PN!BU11+MJ!BU11+'RB I'!BU11+'SF I'!BU11</f>
        <v>0</v>
      </c>
      <c r="BV11" s="221" t="str">
        <f t="shared" si="11"/>
        <v/>
      </c>
      <c r="BW11" s="218">
        <f>SLP!BW11+ROSA!BW11+'STA ANA'!BW11+BOA!BW11+'STA MARIA'!BW11+'CB I'!BW11+IG!BW11+PN!BW11+MJ!BW11+'RB I'!BW11+'SF I'!BW11</f>
        <v>0</v>
      </c>
      <c r="BX11" s="218">
        <f>SLP!BX11+ROSA!BX11+'STA ANA'!BX11+BOA!BX11+'STA MARIA'!BX11+'CB I'!BX11+IG!BX11+PN!BX11+MJ!BX11+'RB I'!BX11+'SF I'!BX11</f>
        <v>0</v>
      </c>
      <c r="BY11" s="218">
        <f>SLP!BY11+ROSA!BY11+'STA ANA'!BY11+BOA!BY11+'STA MARIA'!BY11+'CB I'!BY11+IG!BY11+PN!BY11+MJ!BY11+'RB I'!BY11+'SF I'!BY11</f>
        <v>0</v>
      </c>
      <c r="BZ11" s="218">
        <f>SLP!BZ11+ROSA!BZ11+'STA ANA'!BZ11+BOA!BZ11+'STA MARIA'!BZ11+'CB I'!BZ11+IG!BZ11+PN!BZ11+MJ!BZ11+'RB I'!BZ11+'SF I'!BZ11</f>
        <v>0</v>
      </c>
      <c r="CA11" s="218">
        <f>SLP!CA11+ROSA!CA11+'STA ANA'!CA11+BOA!CA11+'STA MARIA'!CA11+'CB I'!CA11+IG!CA11+PN!CA11+MJ!CA11+'RB I'!CA11+'SF I'!CA11</f>
        <v>0</v>
      </c>
      <c r="CB11" s="218">
        <f>SLP!CB11+ROSA!CB11+'STA ANA'!CB11+BOA!CB11+'STA MARIA'!CB11+'CB I'!CB11+IG!CB11+PN!CB11+MJ!CB11+'RB I'!CB11+'SF I'!CB11</f>
        <v>0</v>
      </c>
      <c r="CC11" s="221" t="str">
        <f t="shared" si="12"/>
        <v/>
      </c>
      <c r="CD11" s="218">
        <f>SLP!CD11+ROSA!CD11+'STA ANA'!CD11+BOA!CD11+'STA MARIA'!CD11+'CB I'!CD11+IG!CD11+PN!CD11+MJ!CD11+'RB I'!CD11+'SF I'!CD11</f>
        <v>0</v>
      </c>
      <c r="CE11" s="218">
        <f>SLP!CE11+ROSA!CE11+'STA ANA'!CE11+BOA!CE11+'STA MARIA'!CE11+'CB I'!CE11+IG!CE11+PN!CE11+MJ!CE11+'RB I'!CE11+'SF I'!CE11</f>
        <v>0</v>
      </c>
      <c r="CF11" s="218">
        <f>SLP!CF11+ROSA!CF11+'STA ANA'!CF11+BOA!CF11+'STA MARIA'!CF11+'CB I'!CF11+IG!CF11+PN!CF11+MJ!CF11+'RB I'!CF11+'SF I'!CF11</f>
        <v>0</v>
      </c>
      <c r="CG11" s="218">
        <f>SLP!CG11+ROSA!CG11+'STA ANA'!CG11+BOA!CG11+'STA MARIA'!CG11+'CB I'!CG11+IG!CG11+PN!CG11+MJ!CG11+'RB I'!CG11+'SF I'!CG11</f>
        <v>0</v>
      </c>
      <c r="CH11" s="218">
        <f>SLP!CH11+ROSA!CH11+'STA ANA'!CH11+BOA!CH11+'STA MARIA'!CH11+'CB I'!CH11+IG!CH11+PN!CH11+MJ!CH11+'RB I'!CH11+'SF I'!CH11</f>
        <v>0</v>
      </c>
      <c r="CI11" s="218">
        <f>SLP!CI11+ROSA!CI11+'STA ANA'!CI11+BOA!CI11+'STA MARIA'!CI11+'CB I'!CI11+IG!CI11+PN!CI11+MJ!CI11+'RB I'!CI11+'SF I'!CI11</f>
        <v>0</v>
      </c>
      <c r="CJ11" s="221" t="str">
        <f t="shared" si="13"/>
        <v/>
      </c>
      <c r="CK11" s="218">
        <f>SLP!CK11+ROSA!CK11+'STA ANA'!CK11+BOA!CK11+'STA MARIA'!CK11+'CB I'!CK11+IG!CK11+PN!CK11+MJ!CK11+'RB I'!CK11+'SF I'!CK11</f>
        <v>0</v>
      </c>
      <c r="CL11" s="218">
        <f>SLP!CL11+ROSA!CL11+'STA ANA'!CL11+BOA!CL11+'STA MARIA'!CL11+'CB I'!CL11+IG!CL11+PN!CL11+MJ!CL11+'RB I'!CL11+'SF I'!CL11</f>
        <v>0</v>
      </c>
      <c r="CM11" s="218">
        <f>SLP!CM11+ROSA!CM11+'STA ANA'!CM11+BOA!CM11+'STA MARIA'!CM11+'CB I'!CM11+IG!CM11+PN!CM11+MJ!CM11+'RB I'!CM11+'SF I'!CM11</f>
        <v>0</v>
      </c>
      <c r="CN11" s="218">
        <f>SLP!CN11+ROSA!CN11+'STA ANA'!CN11+BOA!CN11+'STA MARIA'!CN11+'CB I'!CN11+IG!CN11+PN!CN11+MJ!CN11+'RB I'!CN11+'SF I'!CN11</f>
        <v>0</v>
      </c>
      <c r="CO11" s="218">
        <f>SLP!CO11+ROSA!CO11+'STA ANA'!CO11+BOA!CO11+'STA MARIA'!CO11+'CB I'!CO11+IG!CO11+PN!CO11+MJ!CO11+'RB I'!CO11+'SF I'!CO11</f>
        <v>0</v>
      </c>
      <c r="CP11" s="218">
        <f>SLP!CP11+ROSA!CP11+'STA ANA'!CP11+BOA!CP11+'STA MARIA'!CP11+'CB I'!CP11+IG!CP11+PN!CP11+MJ!CP11+'RB I'!CP11+'SF I'!CP11</f>
        <v>0</v>
      </c>
      <c r="CQ11" s="221" t="str">
        <f t="shared" si="14"/>
        <v/>
      </c>
      <c r="CR11" s="154"/>
      <c r="CS11" s="222" t="e">
        <f t="shared" si="15"/>
        <v>#VALUE!</v>
      </c>
    </row>
    <row r="12" spans="1:101" ht="14.25" customHeight="1" thickBot="1" x14ac:dyDescent="0.25">
      <c r="A12" s="220" t="s">
        <v>36</v>
      </c>
      <c r="B12" s="30">
        <f t="shared" si="0"/>
        <v>322210.71684314101</v>
      </c>
      <c r="C12" s="31">
        <f t="shared" si="0"/>
        <v>295178.49928214098</v>
      </c>
      <c r="D12" s="32">
        <f t="shared" si="0"/>
        <v>27032.217560999998</v>
      </c>
      <c r="E12" s="30">
        <f t="shared" si="16"/>
        <v>107403.572281047</v>
      </c>
      <c r="F12" s="33">
        <f t="shared" si="16"/>
        <v>98392.83309404699</v>
      </c>
      <c r="G12" s="34">
        <f t="shared" si="16"/>
        <v>9010.7391869999992</v>
      </c>
      <c r="H12" s="31">
        <f t="shared" si="1"/>
        <v>151834.84801212206</v>
      </c>
      <c r="I12" s="33">
        <f t="shared" si="1"/>
        <v>14599.067198618945</v>
      </c>
      <c r="J12" s="33">
        <f t="shared" si="1"/>
        <v>166433.91521074099</v>
      </c>
      <c r="K12" s="221">
        <f t="shared" si="2"/>
        <v>0.5496124726208087</v>
      </c>
      <c r="L12" s="218">
        <f>SLP!L12+ROSA!L12+'STA ANA'!L12+BOA!L12+'STA MARIA'!L12+'CB I'!L12+IG!L12+PN!L12+MJ!L12+'RB I'!L12+'SF I'!L12</f>
        <v>26850.893070261751</v>
      </c>
      <c r="M12" s="218">
        <f>SLP!M12+ROSA!M12+'STA ANA'!M12+BOA!M12+'STA MARIA'!M12+'CB I'!M12+IG!M12+PN!M12+MJ!M12+'RB I'!M12+'SF I'!M12</f>
        <v>24598.208273511747</v>
      </c>
      <c r="N12" s="218">
        <f>SLP!N12+ROSA!N12+'STA ANA'!N12+BOA!N12+'STA MARIA'!N12+'CB I'!N12+IG!N12+PN!N12+MJ!N12+'RB I'!N12+'SF I'!N12</f>
        <v>2252.6847967499998</v>
      </c>
      <c r="O12" s="218">
        <f>SLP!O12+ROSA!O12+'STA ANA'!O12+BOA!O12+'STA MARIA'!O12+'CB I'!O12+IG!O12+PN!O12+MJ!O12+'RB I'!O12+'SF I'!O12</f>
        <v>24572.020212219562</v>
      </c>
      <c r="P12" s="218">
        <f>SLP!P12+ROSA!P12+'STA ANA'!P12+BOA!P12+'STA MARIA'!P12+'CB I'!P12+IG!P12+PN!P12+MJ!P12+'RB I'!P12+'SF I'!P12</f>
        <v>2983.6321588222031</v>
      </c>
      <c r="Q12" s="218">
        <f>SLP!Q12+ROSA!Q12+'STA ANA'!Q12+BOA!Q12+'STA MARIA'!Q12+'CB I'!Q12+IG!Q12+PN!Q12+MJ!Q12+'RB I'!Q12+'SF I'!Q12</f>
        <v>27555.652371041771</v>
      </c>
      <c r="R12" s="221">
        <f t="shared" si="3"/>
        <v>2.6247145632581015E-2</v>
      </c>
      <c r="S12" s="218">
        <f>SLP!S12+ROSA!S12+'STA ANA'!S12+BOA!S12+'STA MARIA'!S12+'CB I'!S12+IG!S12+PN!S12+MJ!S12+'RB I'!S12+'SF I'!S12</f>
        <v>26850.893070261751</v>
      </c>
      <c r="T12" s="218">
        <f>SLP!T12+ROSA!T12+'STA ANA'!T12+BOA!T12+'STA MARIA'!T12+'CB I'!T12+IG!T12+PN!T12+MJ!T12+'RB I'!T12+'SF I'!T12</f>
        <v>24598.208273511747</v>
      </c>
      <c r="U12" s="218">
        <f>SLP!U12+ROSA!U12+'STA ANA'!U12+BOA!U12+'STA MARIA'!U12+'CB I'!U12+IG!U12+PN!U12+MJ!U12+'RB I'!U12+'SF I'!U12</f>
        <v>2252.6847967499998</v>
      </c>
      <c r="V12" s="218">
        <f>SLP!V12+ROSA!V12+'STA ANA'!V12+BOA!V12+'STA MARIA'!V12+'CB I'!V12+IG!V12+PN!V12+MJ!V12+'RB I'!V12+'SF I'!V12</f>
        <v>13629.469070289761</v>
      </c>
      <c r="W12" s="218">
        <f>SLP!W12+ROSA!W12+'STA ANA'!W12+BOA!W12+'STA MARIA'!W12+'CB I'!W12+IG!W12+PN!W12+MJ!W12+'RB I'!W12+'SF I'!W12</f>
        <v>1349.676438649002</v>
      </c>
      <c r="X12" s="218">
        <f>SLP!X12+ROSA!X12+'STA ANA'!X12+BOA!X12+'STA MARIA'!X12+'CB I'!X12+IG!X12+PN!X12+MJ!X12+'RB I'!X12+'SF I'!X12</f>
        <v>14979.145508938764</v>
      </c>
      <c r="Y12" s="221">
        <f t="shared" si="4"/>
        <v>-0.4421360410716223</v>
      </c>
      <c r="Z12" s="218">
        <f>SLP!Z12+ROSA!Z12+'STA ANA'!Z12+BOA!Z12+'STA MARIA'!Z12+'CB I'!Z12+IG!Z12+PN!Z12+MJ!Z12+'RB I'!Z12+'SF I'!Z12</f>
        <v>26850.893070261751</v>
      </c>
      <c r="AA12" s="218">
        <f>SLP!AA12+ROSA!AA12+'STA ANA'!AA12+BOA!AA12+'STA MARIA'!AA12+'CB I'!AA12+IG!AA12+PN!AA12+MJ!AA12+'RB I'!AA12+'SF I'!AA12</f>
        <v>24598.208273511747</v>
      </c>
      <c r="AB12" s="218">
        <f>SLP!AB12+ROSA!AB12+'STA ANA'!AB12+BOA!AB12+'STA MARIA'!AB12+'CB I'!AB12+IG!AB12+PN!AB12+MJ!AB12+'RB I'!AB12+'SF I'!AB12</f>
        <v>2252.6847967499998</v>
      </c>
      <c r="AC12" s="218">
        <f>SLP!AC12+ROSA!AC12+'STA ANA'!AC12+BOA!AC12+'STA MARIA'!AC12+'CB I'!AC12+IG!AC12+PN!AC12+MJ!AC12+'RB I'!AC12+'SF I'!AC12</f>
        <v>32188.204721223574</v>
      </c>
      <c r="AD12" s="218">
        <f>SLP!AD12+ROSA!AD12+'STA ANA'!AD12+BOA!AD12+'STA MARIA'!AD12+'CB I'!AD12+IG!AD12+PN!AD12+MJ!AD12+'RB I'!AD12+'SF I'!AD12</f>
        <v>2925.8322968032171</v>
      </c>
      <c r="AE12" s="218">
        <f>SLP!AE12+ROSA!AE12+'STA ANA'!AE12+BOA!AE12+'STA MARIA'!AE12+'CB I'!AE12+IG!AE12+PN!AE12+MJ!AE12+'RB I'!AE12+'SF I'!AE12</f>
        <v>35114.037018026786</v>
      </c>
      <c r="AF12" s="221">
        <f t="shared" si="5"/>
        <v>0.30774186639314194</v>
      </c>
      <c r="AG12" s="218">
        <f>SLP!AG12+ROSA!AG12+'STA ANA'!AG12+BOA!AG12+'STA MARIA'!AG12+'CB I'!AG12+IG!AG12+PN!AG12+MJ!AG12+'RB I'!AG12+'SF I'!AG12</f>
        <v>26850.893070261751</v>
      </c>
      <c r="AH12" s="218">
        <f>SLP!AH12+ROSA!AH12+'STA ANA'!AH12+BOA!AH12+'STA MARIA'!AH12+'CB I'!AH12+IG!AH12+PN!AH12+MJ!AH12+'RB I'!AH12+'SF I'!AH12</f>
        <v>24598.208273511747</v>
      </c>
      <c r="AI12" s="218">
        <f>SLP!AI12+ROSA!AI12+'STA ANA'!AI12+BOA!AI12+'STA MARIA'!AI12+'CB I'!AI12+IG!AI12+PN!AI12+MJ!AI12+'RB I'!AI12+'SF I'!AI12</f>
        <v>2252.6847967499998</v>
      </c>
      <c r="AJ12" s="218">
        <f>SLP!AJ12+ROSA!AJ12+'STA ANA'!AJ12+BOA!AJ12+'STA MARIA'!AJ12+'CB I'!AJ12+IG!AJ12+PN!AJ12+MJ!AJ12+'RB I'!AJ12+'SF I'!AJ12</f>
        <v>28709.522560369191</v>
      </c>
      <c r="AK12" s="218">
        <f>SLP!AK12+ROSA!AK12+'STA ANA'!AK12+BOA!AK12+'STA MARIA'!AK12+'CB I'!AK12+IG!AK12+PN!AK12+MJ!AK12+'RB I'!AK12+'SF I'!AK12</f>
        <v>2574.1006336645078</v>
      </c>
      <c r="AL12" s="218">
        <f>SLP!AL12+ROSA!AL12+'STA ANA'!AL12+BOA!AL12+'STA MARIA'!AL12+'CB I'!AL12+IG!AL12+PN!AL12+MJ!AL12+'RB I'!AL12+'SF I'!AL12</f>
        <v>31283.623194033698</v>
      </c>
      <c r="AM12" s="221">
        <f t="shared" si="6"/>
        <v>0.16508687856946347</v>
      </c>
      <c r="AN12" s="218">
        <f>SLP!AN12+ROSA!AN12+'STA ANA'!AN12+BOA!AN12+'STA MARIA'!AN12+'CB I'!AN12+IG!AN12+PN!AN12+MJ!AN12+'RB I'!AN12+'SF I'!AN12</f>
        <v>26850.893070261751</v>
      </c>
      <c r="AO12" s="218">
        <f>SLP!AO12+ROSA!AO12+'STA ANA'!AO12+BOA!AO12+'STA MARIA'!AO12+'CB I'!AO12+IG!AO12+PN!AO12+MJ!AO12+'RB I'!AO12+'SF I'!AO12</f>
        <v>24598.208273511747</v>
      </c>
      <c r="AP12" s="218">
        <f>SLP!AP12+ROSA!AP12+'STA ANA'!AP12+BOA!AP12+'STA MARIA'!AP12+'CB I'!AP12+IG!AP12+PN!AP12+MJ!AP12+'RB I'!AP12+'SF I'!AP12</f>
        <v>2252.6847967499998</v>
      </c>
      <c r="AQ12" s="218">
        <f>SLP!AQ12+ROSA!AQ12+'STA ANA'!AQ12+BOA!AQ12+'STA MARIA'!AQ12+'CB I'!AQ12+IG!AQ12+PN!AQ12+MJ!AQ12+'RB I'!AQ12+'SF I'!AQ12</f>
        <v>28343.76344636919</v>
      </c>
      <c r="AR12" s="218">
        <f>SLP!AR12+ROSA!AR12+'STA ANA'!AR12+BOA!AR12+'STA MARIA'!AR12+'CB I'!AR12+IG!AR12+PN!AR12+MJ!AR12+'RB I'!AR12+'SF I'!AR12</f>
        <v>2565.0297476645082</v>
      </c>
      <c r="AS12" s="218">
        <f>SLP!AS12+ROSA!AS12+'STA ANA'!AS12+BOA!AS12+'STA MARIA'!AS12+'CB I'!AS12+IG!AS12+PN!AS12+MJ!AS12+'RB I'!AS12+'SF I'!AS12</f>
        <v>30908.7931940337</v>
      </c>
      <c r="AT12" s="221">
        <f t="shared" si="7"/>
        <v>0.1511271939131964</v>
      </c>
      <c r="AU12" s="218">
        <f>SLP!AU12+ROSA!AU12+'STA ANA'!AU12+BOA!AU12+'STA MARIA'!AU12+'CB I'!AU12+IG!AU12+PN!AU12+MJ!AU12+'RB I'!AU12+'SF I'!AU12</f>
        <v>26850.893070261751</v>
      </c>
      <c r="AV12" s="218">
        <f>SLP!AV12+ROSA!AV12+'STA ANA'!AV12+BOA!AV12+'STA MARIA'!AV12+'CB I'!AV12+IG!AV12+PN!AV12+MJ!AV12+'RB I'!AV12+'SF I'!AV12</f>
        <v>24598.208273511747</v>
      </c>
      <c r="AW12" s="218">
        <f>SLP!AW12+ROSA!AW12+'STA ANA'!AW12+BOA!AW12+'STA MARIA'!AW12+'CB I'!AW12+IG!AW12+PN!AW12+MJ!AW12+'RB I'!AW12+'SF I'!AW12</f>
        <v>2252.6847967499998</v>
      </c>
      <c r="AX12" s="218">
        <f>SLP!AX12+ROSA!AX12+'STA ANA'!AX12+BOA!AX12+'STA MARIA'!AX12+'CB I'!AX12+IG!AX12+PN!AX12+MJ!AX12+'RB I'!AX12+'SF I'!AX12</f>
        <v>24391.868001650761</v>
      </c>
      <c r="AY12" s="218">
        <f>SLP!AY12+ROSA!AY12+'STA ANA'!AY12+BOA!AY12+'STA MARIA'!AY12+'CB I'!AY12+IG!AY12+PN!AY12+MJ!AY12+'RB I'!AY12+'SF I'!AY12</f>
        <v>2200.7959230155066</v>
      </c>
      <c r="AZ12" s="218">
        <f>SLP!AZ12+ROSA!AZ12+'STA ANA'!AZ12+BOA!AZ12+'STA MARIA'!AZ12+'CB I'!AZ12+IG!AZ12+PN!AZ12+MJ!AZ12+'RB I'!AZ12+'SF I'!AZ12</f>
        <v>26592.663924666267</v>
      </c>
      <c r="BA12" s="221">
        <f t="shared" si="8"/>
        <v>-9.6171529535261646E-3</v>
      </c>
      <c r="BB12" s="218">
        <f>SLP!BB12+ROSA!BB12+'STA ANA'!BB12+BOA!BB12+'STA MARIA'!BB12+'CB I'!BB12+IG!BB12+PN!BB12+MJ!BB12+'RB I'!BB12+'SF I'!BB12</f>
        <v>26850.893070261751</v>
      </c>
      <c r="BC12" s="218">
        <f>SLP!BC12+ROSA!BC12+'STA ANA'!BC12+BOA!BC12+'STA MARIA'!BC12+'CB I'!BC12+IG!BC12+PN!BC12+MJ!BC12+'RB I'!BC12+'SF I'!BC12</f>
        <v>24598.208273511747</v>
      </c>
      <c r="BD12" s="218">
        <f>SLP!BD12+ROSA!BD12+'STA ANA'!BD12+BOA!BD12+'STA MARIA'!BD12+'CB I'!BD12+IG!BD12+PN!BD12+MJ!BD12+'RB I'!BD12+'SF I'!BD12</f>
        <v>2252.6847967499998</v>
      </c>
      <c r="BE12" s="218">
        <f>SLP!BE12+ROSA!BE12+'STA ANA'!BE12+BOA!BE12+'STA MARIA'!BE12+'CB I'!BE12+IG!BE12+PN!BE12+MJ!BE12+'RB I'!BE12+'SF I'!BE12</f>
        <v>0</v>
      </c>
      <c r="BF12" s="218">
        <f>SLP!BF12+ROSA!BF12+'STA ANA'!BF12+BOA!BF12+'STA MARIA'!BF12+'CB I'!BF12+IG!BF12+PN!BF12+MJ!BF12+'RB I'!BF12+'SF I'!BF12</f>
        <v>0</v>
      </c>
      <c r="BG12" s="218">
        <f>SLP!BG12+ROSA!BG12+'STA ANA'!BG12+BOA!BG12+'STA MARIA'!BG12+'CB I'!BG12+IG!BG12+PN!BG12+MJ!BG12+'RB I'!BG12+'SF I'!BG12</f>
        <v>0</v>
      </c>
      <c r="BH12" s="221">
        <f t="shared" si="9"/>
        <v>-1</v>
      </c>
      <c r="BI12" s="218">
        <f>SLP!BI12+ROSA!BI12+'STA ANA'!BI12+BOA!BI12+'STA MARIA'!BI12+'CB I'!BI12+IG!BI12+PN!BI12+MJ!BI12+'RB I'!BI12+'SF I'!BI12</f>
        <v>26850.893070261751</v>
      </c>
      <c r="BJ12" s="218">
        <f>SLP!BJ12+ROSA!BJ12+'STA ANA'!BJ12+BOA!BJ12+'STA MARIA'!BJ12+'CB I'!BJ12+IG!BJ12+PN!BJ12+MJ!BJ12+'RB I'!BJ12+'SF I'!BJ12</f>
        <v>24598.208273511747</v>
      </c>
      <c r="BK12" s="218">
        <f>SLP!BK12+ROSA!BK12+'STA ANA'!BK12+BOA!BK12+'STA MARIA'!BK12+'CB I'!BK12+IG!BK12+PN!BK12+MJ!BK12+'RB I'!BK12+'SF I'!BK12</f>
        <v>2252.6847967499998</v>
      </c>
      <c r="BL12" s="218">
        <f>SLP!BL12+ROSA!BL12+'STA ANA'!BL12+BOA!BL12+'STA MARIA'!BL12+'CB I'!BL12+IG!BL12+PN!BL12+MJ!BL12+'RB I'!BL12+'SF I'!BL12</f>
        <v>0</v>
      </c>
      <c r="BM12" s="218">
        <f>SLP!BM12+ROSA!BM12+'STA ANA'!BM12+BOA!BM12+'STA MARIA'!BM12+'CB I'!BM12+IG!BM12+PN!BM12+MJ!BM12+'RB I'!BM12+'SF I'!BM12</f>
        <v>0</v>
      </c>
      <c r="BN12" s="218">
        <f>SLP!BN12+ROSA!BN12+'STA ANA'!BN12+BOA!BN12+'STA MARIA'!BN12+'CB I'!BN12+IG!BN12+PN!BN12+MJ!BN12+'RB I'!BN12+'SF I'!BN12</f>
        <v>0</v>
      </c>
      <c r="BO12" s="221">
        <f t="shared" si="10"/>
        <v>-1</v>
      </c>
      <c r="BP12" s="218">
        <f>SLP!BP12+ROSA!BP12+'STA ANA'!BP12+BOA!BP12+'STA MARIA'!BP12+'CB I'!BP12+IG!BP12+PN!BP12+MJ!BP12+'RB I'!BP12+'SF I'!BP12</f>
        <v>26850.893070261751</v>
      </c>
      <c r="BQ12" s="218">
        <f>SLP!BQ12+ROSA!BQ12+'STA ANA'!BQ12+BOA!BQ12+'STA MARIA'!BQ12+'CB I'!BQ12+IG!BQ12+PN!BQ12+MJ!BQ12+'RB I'!BQ12+'SF I'!BQ12</f>
        <v>24598.208273511747</v>
      </c>
      <c r="BR12" s="218">
        <f>SLP!BR12+ROSA!BR12+'STA ANA'!BR12+BOA!BR12+'STA MARIA'!BR12+'CB I'!BR12+IG!BR12+PN!BR12+MJ!BR12+'RB I'!BR12+'SF I'!BR12</f>
        <v>2252.6847967499998</v>
      </c>
      <c r="BS12" s="218">
        <f>SLP!BS12+ROSA!BS12+'STA ANA'!BS12+BOA!BS12+'STA MARIA'!BS12+'CB I'!BS12+IG!BS12+PN!BS12+MJ!BS12+'RB I'!BS12+'SF I'!BS12</f>
        <v>0</v>
      </c>
      <c r="BT12" s="218">
        <f>SLP!BT12+ROSA!BT12+'STA ANA'!BT12+BOA!BT12+'STA MARIA'!BT12+'CB I'!BT12+IG!BT12+PN!BT12+MJ!BT12+'RB I'!BT12+'SF I'!BT12</f>
        <v>0</v>
      </c>
      <c r="BU12" s="218">
        <f>SLP!BU12+ROSA!BU12+'STA ANA'!BU12+BOA!BU12+'STA MARIA'!BU12+'CB I'!BU12+IG!BU12+PN!BU12+MJ!BU12+'RB I'!BU12+'SF I'!BU12</f>
        <v>0</v>
      </c>
      <c r="BV12" s="221">
        <f t="shared" si="11"/>
        <v>-1</v>
      </c>
      <c r="BW12" s="218">
        <f>SLP!BW12+ROSA!BW12+'STA ANA'!BW12+BOA!BW12+'STA MARIA'!BW12+'CB I'!BW12+IG!BW12+PN!BW12+MJ!BW12+'RB I'!BW12+'SF I'!BW12</f>
        <v>26850.893070261751</v>
      </c>
      <c r="BX12" s="218">
        <f>SLP!BX12+ROSA!BX12+'STA ANA'!BX12+BOA!BX12+'STA MARIA'!BX12+'CB I'!BX12+IG!BX12+PN!BX12+MJ!BX12+'RB I'!BX12+'SF I'!BX12</f>
        <v>24598.208273511747</v>
      </c>
      <c r="BY12" s="218">
        <f>SLP!BY12+ROSA!BY12+'STA ANA'!BY12+BOA!BY12+'STA MARIA'!BY12+'CB I'!BY12+IG!BY12+PN!BY12+MJ!BY12+'RB I'!BY12+'SF I'!BY12</f>
        <v>2252.6847967499998</v>
      </c>
      <c r="BZ12" s="218">
        <f>SLP!BZ12+ROSA!BZ12+'STA ANA'!BZ12+BOA!BZ12+'STA MARIA'!BZ12+'CB I'!BZ12+IG!BZ12+PN!BZ12+MJ!BZ12+'RB I'!BZ12+'SF I'!BZ12</f>
        <v>0</v>
      </c>
      <c r="CA12" s="218">
        <f>SLP!CA12+ROSA!CA12+'STA ANA'!CA12+BOA!CA12+'STA MARIA'!CA12+'CB I'!CA12+IG!CA12+PN!CA12+MJ!CA12+'RB I'!CA12+'SF I'!CA12</f>
        <v>0</v>
      </c>
      <c r="CB12" s="218">
        <f>SLP!CB12+ROSA!CB12+'STA ANA'!CB12+BOA!CB12+'STA MARIA'!CB12+'CB I'!CB12+IG!CB12+PN!CB12+MJ!CB12+'RB I'!CB12+'SF I'!CB12</f>
        <v>0</v>
      </c>
      <c r="CC12" s="221">
        <f t="shared" si="12"/>
        <v>-1</v>
      </c>
      <c r="CD12" s="218">
        <f>SLP!CD12+ROSA!CD12+'STA ANA'!CD12+BOA!CD12+'STA MARIA'!CD12+'CB I'!CD12+IG!CD12+PN!CD12+MJ!CD12+'RB I'!CD12+'SF I'!CD12</f>
        <v>26850.893070261751</v>
      </c>
      <c r="CE12" s="218">
        <f>SLP!CE12+ROSA!CE12+'STA ANA'!CE12+BOA!CE12+'STA MARIA'!CE12+'CB I'!CE12+IG!CE12+PN!CE12+MJ!CE12+'RB I'!CE12+'SF I'!CE12</f>
        <v>24598.208273511747</v>
      </c>
      <c r="CF12" s="218">
        <f>SLP!CF12+ROSA!CF12+'STA ANA'!CF12+BOA!CF12+'STA MARIA'!CF12+'CB I'!CF12+IG!CF12+PN!CF12+MJ!CF12+'RB I'!CF12+'SF I'!CF12</f>
        <v>2252.6847967499998</v>
      </c>
      <c r="CG12" s="218">
        <f>SLP!CG12+ROSA!CG12+'STA ANA'!CG12+BOA!CG12+'STA MARIA'!CG12+'CB I'!CG12+IG!CG12+PN!CG12+MJ!CG12+'RB I'!CG12+'SF I'!CG12</f>
        <v>0</v>
      </c>
      <c r="CH12" s="218">
        <f>SLP!CH12+ROSA!CH12+'STA ANA'!CH12+BOA!CH12+'STA MARIA'!CH12+'CB I'!CH12+IG!CH12+PN!CH12+MJ!CH12+'RB I'!CH12+'SF I'!CH12</f>
        <v>0</v>
      </c>
      <c r="CI12" s="218">
        <f>SLP!CI12+ROSA!CI12+'STA ANA'!CI12+BOA!CI12+'STA MARIA'!CI12+'CB I'!CI12+IG!CI12+PN!CI12+MJ!CI12+'RB I'!CI12+'SF I'!CI12</f>
        <v>0</v>
      </c>
      <c r="CJ12" s="221">
        <f t="shared" si="13"/>
        <v>-1</v>
      </c>
      <c r="CK12" s="218">
        <f>SLP!CK12+ROSA!CK12+'STA ANA'!CK12+BOA!CK12+'STA MARIA'!CK12+'CB I'!CK12+IG!CK12+PN!CK12+MJ!CK12+'RB I'!CK12+'SF I'!CK12</f>
        <v>26850.893070261751</v>
      </c>
      <c r="CL12" s="218">
        <f>SLP!CL12+ROSA!CL12+'STA ANA'!CL12+BOA!CL12+'STA MARIA'!CL12+'CB I'!CL12+IG!CL12+PN!CL12+MJ!CL12+'RB I'!CL12+'SF I'!CL12</f>
        <v>24598.208273511747</v>
      </c>
      <c r="CM12" s="218">
        <f>SLP!CM12+ROSA!CM12+'STA ANA'!CM12+BOA!CM12+'STA MARIA'!CM12+'CB I'!CM12+IG!CM12+PN!CM12+MJ!CM12+'RB I'!CM12+'SF I'!CM12</f>
        <v>2252.6847967499998</v>
      </c>
      <c r="CN12" s="218">
        <f>SLP!CN12+ROSA!CN12+'STA ANA'!CN12+BOA!CN12+'STA MARIA'!CN12+'CB I'!CN12+IG!CN12+PN!CN12+MJ!CN12+'RB I'!CN12+'SF I'!CN12</f>
        <v>0</v>
      </c>
      <c r="CO12" s="218">
        <f>SLP!CO12+ROSA!CO12+'STA ANA'!CO12+BOA!CO12+'STA MARIA'!CO12+'CB I'!CO12+IG!CO12+PN!CO12+MJ!CO12+'RB I'!CO12+'SF I'!CO12</f>
        <v>0</v>
      </c>
      <c r="CP12" s="218">
        <f>SLP!CP12+ROSA!CP12+'STA ANA'!CP12+BOA!CP12+'STA MARIA'!CP12+'CB I'!CP12+IG!CP12+PN!CP12+MJ!CP12+'RB I'!CP12+'SF I'!CP12</f>
        <v>0</v>
      </c>
      <c r="CQ12" s="221">
        <f t="shared" si="14"/>
        <v>-1</v>
      </c>
      <c r="CR12" s="154"/>
      <c r="CS12" s="222" t="e">
        <f t="shared" si="15"/>
        <v>#VALUE!</v>
      </c>
    </row>
    <row r="13" spans="1:101" ht="16" customHeight="1" thickBot="1" x14ac:dyDescent="0.25">
      <c r="A13" s="223" t="s">
        <v>37</v>
      </c>
      <c r="B13" s="30">
        <f t="shared" si="0"/>
        <v>356258.40000000008</v>
      </c>
      <c r="C13" s="31">
        <f t="shared" si="0"/>
        <v>327546.01764000015</v>
      </c>
      <c r="D13" s="32">
        <f t="shared" si="0"/>
        <v>28712.382360000007</v>
      </c>
      <c r="E13" s="30">
        <f t="shared" si="16"/>
        <v>118752.8</v>
      </c>
      <c r="F13" s="33">
        <f t="shared" si="16"/>
        <v>109182.00588000001</v>
      </c>
      <c r="G13" s="34">
        <f t="shared" si="16"/>
        <v>9570.7941200000005</v>
      </c>
      <c r="H13" s="31">
        <f t="shared" si="1"/>
        <v>576181.89706898644</v>
      </c>
      <c r="I13" s="33">
        <f t="shared" si="1"/>
        <v>51073.765395337701</v>
      </c>
      <c r="J13" s="33">
        <f t="shared" si="1"/>
        <v>627255.66246432415</v>
      </c>
      <c r="K13" s="221">
        <f t="shared" si="2"/>
        <v>4.2820284023982937</v>
      </c>
      <c r="L13" s="218">
        <f>SLP!L13+ROSA!L13+'STA ANA'!L13+BOA!L13+'STA MARIA'!L13+'CB I'!L13+IG!L13+PN!L13+MJ!L13+'RB I'!L13+'SF I'!L13</f>
        <v>29688.2</v>
      </c>
      <c r="M13" s="218">
        <f>SLP!M13+ROSA!M13+'STA ANA'!M13+BOA!M13+'STA MARIA'!M13+'CB I'!M13+IG!M13+PN!M13+MJ!M13+'RB I'!M13+'SF I'!M13</f>
        <v>27295.501470000003</v>
      </c>
      <c r="N13" s="218">
        <f>SLP!N13+ROSA!N13+'STA ANA'!N13+BOA!N13+'STA MARIA'!N13+'CB I'!N13+IG!N13+PN!N13+MJ!N13+'RB I'!N13+'SF I'!N13</f>
        <v>2392.6985300000001</v>
      </c>
      <c r="O13" s="218">
        <f>SLP!O13+ROSA!O13+'STA ANA'!O13+BOA!O13+'STA MARIA'!O13+'CB I'!O13+IG!O13+PN!O13+MJ!O13+'RB I'!O13+'SF I'!O13</f>
        <v>37736.091827353193</v>
      </c>
      <c r="P13" s="218">
        <f>SLP!P13+ROSA!P13+'STA ANA'!P13+BOA!P13+'STA MARIA'!P13+'CB I'!P13+IG!P13+PN!P13+MJ!P13+'RB I'!P13+'SF I'!P13</f>
        <v>3970.4789022460163</v>
      </c>
      <c r="Q13" s="218">
        <f>SLP!Q13+ROSA!Q13+'STA ANA'!Q13+BOA!Q13+'STA MARIA'!Q13+'CB I'!Q13+IG!Q13+PN!Q13+MJ!Q13+'RB I'!Q13+'SF I'!Q13</f>
        <v>41706.570729599203</v>
      </c>
      <c r="R13" s="221">
        <f t="shared" si="3"/>
        <v>0.40481978461473589</v>
      </c>
      <c r="S13" s="218">
        <f>SLP!S13+ROSA!S13+'STA ANA'!S13+BOA!S13+'STA MARIA'!S13+'CB I'!S13+IG!S13+PN!S13+MJ!S13+'RB I'!S13+'SF I'!S13</f>
        <v>29688.2</v>
      </c>
      <c r="T13" s="218">
        <f>SLP!T13+ROSA!T13+'STA ANA'!T13+BOA!T13+'STA MARIA'!T13+'CB I'!T13+IG!T13+PN!T13+MJ!T13+'RB I'!T13+'SF I'!T13</f>
        <v>27295.501470000003</v>
      </c>
      <c r="U13" s="218">
        <f>SLP!U13+ROSA!U13+'STA ANA'!U13+BOA!U13+'STA MARIA'!U13+'CB I'!U13+IG!U13+PN!U13+MJ!U13+'RB I'!U13+'SF I'!U13</f>
        <v>2392.6985300000001</v>
      </c>
      <c r="V13" s="218">
        <f>SLP!V13+ROSA!V13+'STA ANA'!V13+BOA!V13+'STA MARIA'!V13+'CB I'!V13+IG!V13+PN!V13+MJ!V13+'RB I'!V13+'SF I'!V13</f>
        <v>116927.15862222217</v>
      </c>
      <c r="W13" s="218">
        <f>SLP!W13+ROSA!W13+'STA ANA'!W13+BOA!W13+'STA MARIA'!W13+'CB I'!W13+IG!W13+PN!W13+MJ!W13+'RB I'!W13+'SF I'!W13</f>
        <v>9394.712574110672</v>
      </c>
      <c r="X13" s="218">
        <f>SLP!X13+ROSA!X13+'STA ANA'!X13+BOA!X13+'STA MARIA'!X13+'CB I'!X13+IG!X13+PN!X13+MJ!X13+'RB I'!X13+'SF I'!X13</f>
        <v>126321.87119633284</v>
      </c>
      <c r="Y13" s="221">
        <f t="shared" si="4"/>
        <v>3.2549521761620053</v>
      </c>
      <c r="Z13" s="218">
        <f>SLP!Z13+ROSA!Z13+'STA ANA'!Z13+BOA!Z13+'STA MARIA'!Z13+'CB I'!Z13+IG!Z13+PN!Z13+MJ!Z13+'RB I'!Z13+'SF I'!Z13</f>
        <v>29688.2</v>
      </c>
      <c r="AA13" s="218">
        <f>SLP!AA13+ROSA!AA13+'STA ANA'!AA13+BOA!AA13+'STA MARIA'!AA13+'CB I'!AA13+IG!AA13+PN!AA13+MJ!AA13+'RB I'!AA13+'SF I'!AA13</f>
        <v>27295.501470000003</v>
      </c>
      <c r="AB13" s="218">
        <f>SLP!AB13+ROSA!AB13+'STA ANA'!AB13+BOA!AB13+'STA MARIA'!AB13+'CB I'!AB13+IG!AB13+PN!AB13+MJ!AB13+'RB I'!AB13+'SF I'!AB13</f>
        <v>2392.6985300000001</v>
      </c>
      <c r="AC13" s="218">
        <f>SLP!AC13+ROSA!AC13+'STA ANA'!AC13+BOA!AC13+'STA MARIA'!AC13+'CB I'!AC13+IG!AC13+PN!AC13+MJ!AC13+'RB I'!AC13+'SF I'!AC13</f>
        <v>147059.70034822216</v>
      </c>
      <c r="AD13" s="218">
        <f>SLP!AD13+ROSA!AD13+'STA ANA'!AD13+BOA!AD13+'STA MARIA'!AD13+'CB I'!AD13+IG!AD13+PN!AD13+MJ!AD13+'RB I'!AD13+'SF I'!AD13</f>
        <v>14305.89084811067</v>
      </c>
      <c r="AE13" s="218">
        <f>SLP!AE13+ROSA!AE13+'STA ANA'!AE13+BOA!AE13+'STA MARIA'!AE13+'CB I'!AE13+IG!AE13+PN!AE13+MJ!AE13+'RB I'!AE13+'SF I'!AE13</f>
        <v>161365.59119633285</v>
      </c>
      <c r="AF13" s="221">
        <f t="shared" si="5"/>
        <v>4.4353443858614821</v>
      </c>
      <c r="AG13" s="218">
        <f>SLP!AG13+ROSA!AG13+'STA ANA'!AG13+BOA!AG13+'STA MARIA'!AG13+'CB I'!AG13+IG!AG13+PN!AG13+MJ!AG13+'RB I'!AG13+'SF I'!AG13</f>
        <v>29688.2</v>
      </c>
      <c r="AH13" s="218">
        <f>SLP!AH13+ROSA!AH13+'STA ANA'!AH13+BOA!AH13+'STA MARIA'!AH13+'CB I'!AH13+IG!AH13+PN!AH13+MJ!AH13+'RB I'!AH13+'SF I'!AH13</f>
        <v>27295.501470000003</v>
      </c>
      <c r="AI13" s="218">
        <f>SLP!AI13+ROSA!AI13+'STA ANA'!AI13+BOA!AI13+'STA MARIA'!AI13+'CB I'!AI13+IG!AI13+PN!AI13+MJ!AI13+'RB I'!AI13+'SF I'!AI13</f>
        <v>2392.6985300000001</v>
      </c>
      <c r="AJ13" s="218">
        <f>SLP!AJ13+ROSA!AJ13+'STA ANA'!AJ13+BOA!AJ13+'STA MARIA'!AJ13+'CB I'!AJ13+IG!AJ13+PN!AJ13+MJ!AJ13+'RB I'!AJ13+'SF I'!AJ13</f>
        <v>59109.343798222173</v>
      </c>
      <c r="AK13" s="218">
        <f>SLP!AK13+ROSA!AK13+'STA ANA'!AK13+BOA!AK13+'STA MARIA'!AK13+'CB I'!AK13+IG!AK13+PN!AK13+MJ!AK13+'RB I'!AK13+'SF I'!AK13</f>
        <v>4545.4873981106712</v>
      </c>
      <c r="AL13" s="218">
        <f>SLP!AL13+ROSA!AL13+'STA ANA'!AL13+BOA!AL13+'STA MARIA'!AL13+'CB I'!AL13+IG!AL13+PN!AL13+MJ!AL13+'RB I'!AL13+'SF I'!AL13</f>
        <v>63654.831196332845</v>
      </c>
      <c r="AM13" s="221">
        <f t="shared" si="6"/>
        <v>1.1441121791261457</v>
      </c>
      <c r="AN13" s="218">
        <f>SLP!AN13+ROSA!AN13+'STA ANA'!AN13+BOA!AN13+'STA MARIA'!AN13+'CB I'!AN13+IG!AN13+PN!AN13+MJ!AN13+'RB I'!AN13+'SF I'!AN13</f>
        <v>29688.2</v>
      </c>
      <c r="AO13" s="218">
        <f>SLP!AO13+ROSA!AO13+'STA ANA'!AO13+BOA!AO13+'STA MARIA'!AO13+'CB I'!AO13+IG!AO13+PN!AO13+MJ!AO13+'RB I'!AO13+'SF I'!AO13</f>
        <v>27295.501470000003</v>
      </c>
      <c r="AP13" s="218">
        <f>SLP!AP13+ROSA!AP13+'STA ANA'!AP13+BOA!AP13+'STA MARIA'!AP13+'CB I'!AP13+IG!AP13+PN!AP13+MJ!AP13+'RB I'!AP13+'SF I'!AP13</f>
        <v>2392.6985300000001</v>
      </c>
      <c r="AQ13" s="218">
        <f>SLP!AQ13+ROSA!AQ13+'STA ANA'!AQ13+BOA!AQ13+'STA MARIA'!AQ13+'CB I'!AQ13+IG!AQ13+PN!AQ13+MJ!AQ13+'RB I'!AQ13+'SF I'!AQ13</f>
        <v>90771.257410952589</v>
      </c>
      <c r="AR13" s="218">
        <f>SLP!AR13+ROSA!AR13+'STA ANA'!AR13+BOA!AR13+'STA MARIA'!AR13+'CB I'!AR13+IG!AR13+PN!AR13+MJ!AR13+'RB I'!AR13+'SF I'!AR13</f>
        <v>8251.9050955851617</v>
      </c>
      <c r="AS13" s="218">
        <f>SLP!AS13+ROSA!AS13+'STA ANA'!AS13+BOA!AS13+'STA MARIA'!AS13+'CB I'!AS13+IG!AS13+PN!AS13+MJ!AS13+'RB I'!AS13+'SF I'!AS13</f>
        <v>99023.162506537745</v>
      </c>
      <c r="AT13" s="221">
        <f t="shared" si="7"/>
        <v>2.3354384067251548</v>
      </c>
      <c r="AU13" s="218">
        <f>SLP!AU13+ROSA!AU13+'STA ANA'!AU13+BOA!AU13+'STA MARIA'!AU13+'CB I'!AU13+IG!AU13+PN!AU13+MJ!AU13+'RB I'!AU13+'SF I'!AU13</f>
        <v>29688.2</v>
      </c>
      <c r="AV13" s="218">
        <f>SLP!AV13+ROSA!AV13+'STA ANA'!AV13+BOA!AV13+'STA MARIA'!AV13+'CB I'!AV13+IG!AV13+PN!AV13+MJ!AV13+'RB I'!AV13+'SF I'!AV13</f>
        <v>27295.501470000003</v>
      </c>
      <c r="AW13" s="218">
        <f>SLP!AW13+ROSA!AW13+'STA ANA'!AW13+BOA!AW13+'STA MARIA'!AW13+'CB I'!AW13+IG!AW13+PN!AW13+MJ!AW13+'RB I'!AW13+'SF I'!AW13</f>
        <v>2392.6985300000001</v>
      </c>
      <c r="AX13" s="218">
        <f>SLP!AX13+ROSA!AX13+'STA ANA'!AX13+BOA!AX13+'STA MARIA'!AX13+'CB I'!AX13+IG!AX13+PN!AX13+MJ!AX13+'RB I'!AX13+'SF I'!AX13</f>
        <v>124578.34506201417</v>
      </c>
      <c r="AY13" s="218">
        <f>SLP!AY13+ROSA!AY13+'STA ANA'!AY13+BOA!AY13+'STA MARIA'!AY13+'CB I'!AY13+IG!AY13+PN!AY13+MJ!AY13+'RB I'!AY13+'SF I'!AY13</f>
        <v>10605.29057717451</v>
      </c>
      <c r="AZ13" s="218">
        <f>SLP!AZ13+ROSA!AZ13+'STA ANA'!AZ13+BOA!AZ13+'STA MARIA'!AZ13+'CB I'!AZ13+IG!AZ13+PN!AZ13+MJ!AZ13+'RB I'!AZ13+'SF I'!AZ13</f>
        <v>135183.63563918867</v>
      </c>
      <c r="BA13" s="221">
        <f t="shared" si="8"/>
        <v>3.5534466771036524</v>
      </c>
      <c r="BB13" s="218">
        <f>SLP!BB13+ROSA!BB13+'STA ANA'!BB13+BOA!BB13+'STA MARIA'!BB13+'CB I'!BB13+IG!BB13+PN!BB13+MJ!BB13+'RB I'!BB13+'SF I'!BB13</f>
        <v>29688.2</v>
      </c>
      <c r="BC13" s="218">
        <f>SLP!BC13+ROSA!BC13+'STA ANA'!BC13+BOA!BC13+'STA MARIA'!BC13+'CB I'!BC13+IG!BC13+PN!BC13+MJ!BC13+'RB I'!BC13+'SF I'!BC13</f>
        <v>27295.501470000003</v>
      </c>
      <c r="BD13" s="218">
        <f>SLP!BD13+ROSA!BD13+'STA ANA'!BD13+BOA!BD13+'STA MARIA'!BD13+'CB I'!BD13+IG!BD13+PN!BD13+MJ!BD13+'RB I'!BD13+'SF I'!BD13</f>
        <v>2392.6985300000001</v>
      </c>
      <c r="BE13" s="218">
        <f>SLP!BE13+ROSA!BE13+'STA ANA'!BE13+BOA!BE13+'STA MARIA'!BE13+'CB I'!BE13+IG!BE13+PN!BE13+MJ!BE13+'RB I'!BE13+'SF I'!BE13</f>
        <v>0</v>
      </c>
      <c r="BF13" s="218">
        <f>SLP!BF13+ROSA!BF13+'STA ANA'!BF13+BOA!BF13+'STA MARIA'!BF13+'CB I'!BF13+IG!BF13+PN!BF13+MJ!BF13+'RB I'!BF13+'SF I'!BF13</f>
        <v>0</v>
      </c>
      <c r="BG13" s="218">
        <f>SLP!BG13+ROSA!BG13+'STA ANA'!BG13+BOA!BG13+'STA MARIA'!BG13+'CB I'!BG13+IG!BG13+PN!BG13+MJ!BG13+'RB I'!BG13+'SF I'!BG13</f>
        <v>0</v>
      </c>
      <c r="BH13" s="221">
        <f t="shared" si="9"/>
        <v>-1</v>
      </c>
      <c r="BI13" s="218">
        <f>SLP!BI13+ROSA!BI13+'STA ANA'!BI13+BOA!BI13+'STA MARIA'!BI13+'CB I'!BI13+IG!BI13+PN!BI13+MJ!BI13+'RB I'!BI13+'SF I'!BI13</f>
        <v>29688.2</v>
      </c>
      <c r="BJ13" s="218">
        <f>SLP!BJ13+ROSA!BJ13+'STA ANA'!BJ13+BOA!BJ13+'STA MARIA'!BJ13+'CB I'!BJ13+IG!BJ13+PN!BJ13+MJ!BJ13+'RB I'!BJ13+'SF I'!BJ13</f>
        <v>27295.501470000003</v>
      </c>
      <c r="BK13" s="218">
        <f>SLP!BK13+ROSA!BK13+'STA ANA'!BK13+BOA!BK13+'STA MARIA'!BK13+'CB I'!BK13+IG!BK13+PN!BK13+MJ!BK13+'RB I'!BK13+'SF I'!BK13</f>
        <v>2392.6985300000001</v>
      </c>
      <c r="BL13" s="218">
        <f>SLP!BL13+ROSA!BL13+'STA ANA'!BL13+BOA!BL13+'STA MARIA'!BL13+'CB I'!BL13+IG!BL13+PN!BL13+MJ!BL13+'RB I'!BL13+'SF I'!BL13</f>
        <v>0</v>
      </c>
      <c r="BM13" s="218">
        <f>SLP!BM13+ROSA!BM13+'STA ANA'!BM13+BOA!BM13+'STA MARIA'!BM13+'CB I'!BM13+IG!BM13+PN!BM13+MJ!BM13+'RB I'!BM13+'SF I'!BM13</f>
        <v>0</v>
      </c>
      <c r="BN13" s="218">
        <f>SLP!BN13+ROSA!BN13+'STA ANA'!BN13+BOA!BN13+'STA MARIA'!BN13+'CB I'!BN13+IG!BN13+PN!BN13+MJ!BN13+'RB I'!BN13+'SF I'!BN13</f>
        <v>0</v>
      </c>
      <c r="BO13" s="221">
        <f t="shared" si="10"/>
        <v>-1</v>
      </c>
      <c r="BP13" s="218">
        <f>SLP!BP13+ROSA!BP13+'STA ANA'!BP13+BOA!BP13+'STA MARIA'!BP13+'CB I'!BP13+IG!BP13+PN!BP13+MJ!BP13+'RB I'!BP13+'SF I'!BP13</f>
        <v>29688.2</v>
      </c>
      <c r="BQ13" s="218">
        <f>SLP!BQ13+ROSA!BQ13+'STA ANA'!BQ13+BOA!BQ13+'STA MARIA'!BQ13+'CB I'!BQ13+IG!BQ13+PN!BQ13+MJ!BQ13+'RB I'!BQ13+'SF I'!BQ13</f>
        <v>27295.501470000003</v>
      </c>
      <c r="BR13" s="218">
        <f>SLP!BR13+ROSA!BR13+'STA ANA'!BR13+BOA!BR13+'STA MARIA'!BR13+'CB I'!BR13+IG!BR13+PN!BR13+MJ!BR13+'RB I'!BR13+'SF I'!BR13</f>
        <v>2392.6985300000001</v>
      </c>
      <c r="BS13" s="218">
        <f>SLP!BS13+ROSA!BS13+'STA ANA'!BS13+BOA!BS13+'STA MARIA'!BS13+'CB I'!BS13+IG!BS13+PN!BS13+MJ!BS13+'RB I'!BS13+'SF I'!BS13</f>
        <v>0</v>
      </c>
      <c r="BT13" s="218">
        <f>SLP!BT13+ROSA!BT13+'STA ANA'!BT13+BOA!BT13+'STA MARIA'!BT13+'CB I'!BT13+IG!BT13+PN!BT13+MJ!BT13+'RB I'!BT13+'SF I'!BT13</f>
        <v>0</v>
      </c>
      <c r="BU13" s="218">
        <f>SLP!BU13+ROSA!BU13+'STA ANA'!BU13+BOA!BU13+'STA MARIA'!BU13+'CB I'!BU13+IG!BU13+PN!BU13+MJ!BU13+'RB I'!BU13+'SF I'!BU13</f>
        <v>0</v>
      </c>
      <c r="BV13" s="221">
        <f t="shared" si="11"/>
        <v>-1</v>
      </c>
      <c r="BW13" s="218">
        <f>SLP!BW13+ROSA!BW13+'STA ANA'!BW13+BOA!BW13+'STA MARIA'!BW13+'CB I'!BW13+IG!BW13+PN!BW13+MJ!BW13+'RB I'!BW13+'SF I'!BW13</f>
        <v>29688.2</v>
      </c>
      <c r="BX13" s="218">
        <f>SLP!BX13+ROSA!BX13+'STA ANA'!BX13+BOA!BX13+'STA MARIA'!BX13+'CB I'!BX13+IG!BX13+PN!BX13+MJ!BX13+'RB I'!BX13+'SF I'!BX13</f>
        <v>27295.501470000003</v>
      </c>
      <c r="BY13" s="218">
        <f>SLP!BY13+ROSA!BY13+'STA ANA'!BY13+BOA!BY13+'STA MARIA'!BY13+'CB I'!BY13+IG!BY13+PN!BY13+MJ!BY13+'RB I'!BY13+'SF I'!BY13</f>
        <v>2392.6985300000001</v>
      </c>
      <c r="BZ13" s="218">
        <f>SLP!BZ13+ROSA!BZ13+'STA ANA'!BZ13+BOA!BZ13+'STA MARIA'!BZ13+'CB I'!BZ13+IG!BZ13+PN!BZ13+MJ!BZ13+'RB I'!BZ13+'SF I'!BZ13</f>
        <v>0</v>
      </c>
      <c r="CA13" s="218">
        <f>SLP!CA13+ROSA!CA13+'STA ANA'!CA13+BOA!CA13+'STA MARIA'!CA13+'CB I'!CA13+IG!CA13+PN!CA13+MJ!CA13+'RB I'!CA13+'SF I'!CA13</f>
        <v>0</v>
      </c>
      <c r="CB13" s="218">
        <f>SLP!CB13+ROSA!CB13+'STA ANA'!CB13+BOA!CB13+'STA MARIA'!CB13+'CB I'!CB13+IG!CB13+PN!CB13+MJ!CB13+'RB I'!CB13+'SF I'!CB13</f>
        <v>0</v>
      </c>
      <c r="CC13" s="221">
        <f t="shared" si="12"/>
        <v>-1</v>
      </c>
      <c r="CD13" s="218">
        <f>SLP!CD13+ROSA!CD13+'STA ANA'!CD13+BOA!CD13+'STA MARIA'!CD13+'CB I'!CD13+IG!CD13+PN!CD13+MJ!CD13+'RB I'!CD13+'SF I'!CD13</f>
        <v>29688.2</v>
      </c>
      <c r="CE13" s="218">
        <f>SLP!CE13+ROSA!CE13+'STA ANA'!CE13+BOA!CE13+'STA MARIA'!CE13+'CB I'!CE13+IG!CE13+PN!CE13+MJ!CE13+'RB I'!CE13+'SF I'!CE13</f>
        <v>27295.501470000003</v>
      </c>
      <c r="CF13" s="218">
        <f>SLP!CF13+ROSA!CF13+'STA ANA'!CF13+BOA!CF13+'STA MARIA'!CF13+'CB I'!CF13+IG!CF13+PN!CF13+MJ!CF13+'RB I'!CF13+'SF I'!CF13</f>
        <v>2392.6985300000001</v>
      </c>
      <c r="CG13" s="218">
        <f>SLP!CG13+ROSA!CG13+'STA ANA'!CG13+BOA!CG13+'STA MARIA'!CG13+'CB I'!CG13+IG!CG13+PN!CG13+MJ!CG13+'RB I'!CG13+'SF I'!CG13</f>
        <v>0</v>
      </c>
      <c r="CH13" s="218">
        <f>SLP!CH13+ROSA!CH13+'STA ANA'!CH13+BOA!CH13+'STA MARIA'!CH13+'CB I'!CH13+IG!CH13+PN!CH13+MJ!CH13+'RB I'!CH13+'SF I'!CH13</f>
        <v>0</v>
      </c>
      <c r="CI13" s="218">
        <f>SLP!CI13+ROSA!CI13+'STA ANA'!CI13+BOA!CI13+'STA MARIA'!CI13+'CB I'!CI13+IG!CI13+PN!CI13+MJ!CI13+'RB I'!CI13+'SF I'!CI13</f>
        <v>0</v>
      </c>
      <c r="CJ13" s="221">
        <f t="shared" si="13"/>
        <v>-1</v>
      </c>
      <c r="CK13" s="218">
        <f>SLP!CK13+ROSA!CK13+'STA ANA'!CK13+BOA!CK13+'STA MARIA'!CK13+'CB I'!CK13+IG!CK13+PN!CK13+MJ!CK13+'RB I'!CK13+'SF I'!CK13</f>
        <v>29688.2</v>
      </c>
      <c r="CL13" s="218">
        <f>SLP!CL13+ROSA!CL13+'STA ANA'!CL13+BOA!CL13+'STA MARIA'!CL13+'CB I'!CL13+IG!CL13+PN!CL13+MJ!CL13+'RB I'!CL13+'SF I'!CL13</f>
        <v>27295.501470000003</v>
      </c>
      <c r="CM13" s="218">
        <f>SLP!CM13+ROSA!CM13+'STA ANA'!CM13+BOA!CM13+'STA MARIA'!CM13+'CB I'!CM13+IG!CM13+PN!CM13+MJ!CM13+'RB I'!CM13+'SF I'!CM13</f>
        <v>2392.6985300000001</v>
      </c>
      <c r="CN13" s="218">
        <f>SLP!CN13+ROSA!CN13+'STA ANA'!CN13+BOA!CN13+'STA MARIA'!CN13+'CB I'!CN13+IG!CN13+PN!CN13+MJ!CN13+'RB I'!CN13+'SF I'!CN13</f>
        <v>0</v>
      </c>
      <c r="CO13" s="218">
        <f>SLP!CO13+ROSA!CO13+'STA ANA'!CO13+BOA!CO13+'STA MARIA'!CO13+'CB I'!CO13+IG!CO13+PN!CO13+MJ!CO13+'RB I'!CO13+'SF I'!CO13</f>
        <v>0</v>
      </c>
      <c r="CP13" s="218">
        <f>SLP!CP13+ROSA!CP13+'STA ANA'!CP13+BOA!CP13+'STA MARIA'!CP13+'CB I'!CP13+IG!CP13+PN!CP13+MJ!CP13+'RB I'!CP13+'SF I'!CP13</f>
        <v>0</v>
      </c>
      <c r="CQ13" s="221">
        <f t="shared" si="14"/>
        <v>-1</v>
      </c>
      <c r="CR13" s="154"/>
      <c r="CS13" s="222" t="e">
        <f t="shared" si="15"/>
        <v>#VALUE!</v>
      </c>
    </row>
    <row r="14" spans="1:101" ht="16" customHeight="1" thickBot="1" x14ac:dyDescent="0.25">
      <c r="A14" s="223" t="s">
        <v>38</v>
      </c>
      <c r="B14" s="30">
        <f t="shared" si="0"/>
        <v>537979.90044657455</v>
      </c>
      <c r="C14" s="31">
        <f t="shared" si="0"/>
        <v>485965.84565657354</v>
      </c>
      <c r="D14" s="32">
        <f t="shared" si="0"/>
        <v>52014.054790000788</v>
      </c>
      <c r="E14" s="30">
        <f t="shared" si="16"/>
        <v>179326.63348219151</v>
      </c>
      <c r="F14" s="33">
        <f t="shared" si="16"/>
        <v>161988.61521885789</v>
      </c>
      <c r="G14" s="34">
        <f t="shared" si="16"/>
        <v>17338.018263333597</v>
      </c>
      <c r="H14" s="31">
        <f t="shared" si="1"/>
        <v>268276.22790713271</v>
      </c>
      <c r="I14" s="33">
        <f t="shared" si="1"/>
        <v>31449.405482821294</v>
      </c>
      <c r="J14" s="33">
        <f t="shared" si="1"/>
        <v>299725.63338995393</v>
      </c>
      <c r="K14" s="221">
        <f t="shared" si="2"/>
        <v>0.6713949711196634</v>
      </c>
      <c r="L14" s="218">
        <f>SLP!L14+ROSA!L14+'STA ANA'!L14+BOA!L14+'STA MARIA'!L14+'CB I'!L14+IG!L14+PN!L14+MJ!L14+'RB I'!L14+'SF I'!L14</f>
        <v>44831.658370547877</v>
      </c>
      <c r="M14" s="218">
        <f>SLP!M14+ROSA!M14+'STA ANA'!M14+BOA!M14+'STA MARIA'!M14+'CB I'!M14+IG!M14+PN!M14+MJ!M14+'RB I'!M14+'SF I'!M14</f>
        <v>40497.153804714471</v>
      </c>
      <c r="N14" s="218">
        <f>SLP!N14+ROSA!N14+'STA ANA'!N14+BOA!N14+'STA MARIA'!N14+'CB I'!N14+IG!N14+PN!N14+MJ!N14+'RB I'!N14+'SF I'!N14</f>
        <v>4334.5045658333993</v>
      </c>
      <c r="O14" s="218">
        <f>SLP!O14+ROSA!O14+'STA ANA'!O14+BOA!O14+'STA MARIA'!O14+'CB I'!O14+IG!O14+PN!O14+MJ!O14+'RB I'!O14+'SF I'!O14</f>
        <v>29288.305284908358</v>
      </c>
      <c r="P14" s="218">
        <f>SLP!P14+ROSA!P14+'STA ANA'!P14+BOA!P14+'STA MARIA'!P14+'CB I'!P14+IG!P14+PN!P14+MJ!P14+'RB I'!P14+'SF I'!P14</f>
        <v>3488.2232849425845</v>
      </c>
      <c r="Q14" s="218">
        <f>SLP!Q14+ROSA!Q14+'STA ANA'!Q14+BOA!Q14+'STA MARIA'!Q14+'CB I'!Q14+IG!Q14+PN!Q14+MJ!Q14+'RB I'!Q14+'SF I'!Q14</f>
        <v>32776.52856985094</v>
      </c>
      <c r="R14" s="221">
        <f t="shared" si="3"/>
        <v>-0.26889769950193376</v>
      </c>
      <c r="S14" s="218">
        <f>SLP!S14+ROSA!S14+'STA ANA'!S14+BOA!S14+'STA MARIA'!S14+'CB I'!S14+IG!S14+PN!S14+MJ!S14+'RB I'!S14+'SF I'!S14</f>
        <v>44831.658370547877</v>
      </c>
      <c r="T14" s="218">
        <f>SLP!T14+ROSA!T14+'STA ANA'!T14+BOA!T14+'STA MARIA'!T14+'CB I'!T14+IG!T14+PN!T14+MJ!T14+'RB I'!T14+'SF I'!T14</f>
        <v>40497.153804714471</v>
      </c>
      <c r="U14" s="218">
        <f>SLP!U14+ROSA!U14+'STA ANA'!U14+BOA!U14+'STA MARIA'!U14+'CB I'!U14+IG!U14+PN!U14+MJ!U14+'RB I'!U14+'SF I'!U14</f>
        <v>4334.5045658333993</v>
      </c>
      <c r="V14" s="218">
        <f>SLP!V14+ROSA!V14+'STA ANA'!V14+BOA!V14+'STA MARIA'!V14+'CB I'!V14+IG!V14+PN!V14+MJ!V14+'RB I'!V14+'SF I'!V14</f>
        <v>86762.60478722777</v>
      </c>
      <c r="W14" s="218">
        <f>SLP!W14+ROSA!W14+'STA ANA'!W14+BOA!W14+'STA MARIA'!W14+'CB I'!W14+IG!W14+PN!W14+MJ!W14+'RB I'!W14+'SF I'!W14</f>
        <v>10453.089581887039</v>
      </c>
      <c r="X14" s="218">
        <f>SLP!X14+ROSA!X14+'STA ANA'!X14+BOA!X14+'STA MARIA'!X14+'CB I'!X14+IG!X14+PN!X14+MJ!X14+'RB I'!X14+'SF I'!X14</f>
        <v>97215.694369114819</v>
      </c>
      <c r="Y14" s="221">
        <f t="shared" si="4"/>
        <v>1.1684608132404173</v>
      </c>
      <c r="Z14" s="218">
        <f>SLP!Z14+ROSA!Z14+'STA ANA'!Z14+BOA!Z14+'STA MARIA'!Z14+'CB I'!Z14+IG!Z14+PN!Z14+MJ!Z14+'RB I'!Z14+'SF I'!Z14</f>
        <v>44831.658370547877</v>
      </c>
      <c r="AA14" s="218">
        <f>SLP!AA14+ROSA!AA14+'STA ANA'!AA14+BOA!AA14+'STA MARIA'!AA14+'CB I'!AA14+IG!AA14+PN!AA14+MJ!AA14+'RB I'!AA14+'SF I'!AA14</f>
        <v>40497.153804714471</v>
      </c>
      <c r="AB14" s="218">
        <f>SLP!AB14+ROSA!AB14+'STA ANA'!AB14+BOA!AB14+'STA MARIA'!AB14+'CB I'!AB14+IG!AB14+PN!AB14+MJ!AB14+'RB I'!AB14+'SF I'!AB14</f>
        <v>4334.5045658333993</v>
      </c>
      <c r="AC14" s="218">
        <f>SLP!AC14+ROSA!AC14+'STA ANA'!AC14+BOA!AC14+'STA MARIA'!AC14+'CB I'!AC14+IG!AC14+PN!AC14+MJ!AC14+'RB I'!AC14+'SF I'!AC14</f>
        <v>41947.932705211722</v>
      </c>
      <c r="AD14" s="218">
        <f>SLP!AD14+ROSA!AD14+'STA ANA'!AD14+BOA!AD14+'STA MARIA'!AD14+'CB I'!AD14+IG!AD14+PN!AD14+MJ!AD14+'RB I'!AD14+'SF I'!AD14</f>
        <v>4315.7773630450583</v>
      </c>
      <c r="AE14" s="218">
        <f>SLP!AE14+ROSA!AE14+'STA ANA'!AE14+BOA!AE14+'STA MARIA'!AE14+'CB I'!AE14+IG!AE14+PN!AE14+MJ!AE14+'RB I'!AE14+'SF I'!AE14</f>
        <v>46263.710068256776</v>
      </c>
      <c r="AF14" s="221">
        <f t="shared" si="5"/>
        <v>3.1942866932838765E-2</v>
      </c>
      <c r="AG14" s="218">
        <f>SLP!AG14+ROSA!AG14+'STA ANA'!AG14+BOA!AG14+'STA MARIA'!AG14+'CB I'!AG14+IG!AG14+PN!AG14+MJ!AG14+'RB I'!AG14+'SF I'!AG14</f>
        <v>44831.658370547877</v>
      </c>
      <c r="AH14" s="218">
        <f>SLP!AH14+ROSA!AH14+'STA ANA'!AH14+BOA!AH14+'STA MARIA'!AH14+'CB I'!AH14+IG!AH14+PN!AH14+MJ!AH14+'RB I'!AH14+'SF I'!AH14</f>
        <v>40497.153804714471</v>
      </c>
      <c r="AI14" s="218">
        <f>SLP!AI14+ROSA!AI14+'STA ANA'!AI14+BOA!AI14+'STA MARIA'!AI14+'CB I'!AI14+IG!AI14+PN!AI14+MJ!AI14+'RB I'!AI14+'SF I'!AI14</f>
        <v>4334.5045658333993</v>
      </c>
      <c r="AJ14" s="218">
        <f>SLP!AJ14+ROSA!AJ14+'STA ANA'!AJ14+BOA!AJ14+'STA MARIA'!AJ14+'CB I'!AJ14+IG!AJ14+PN!AJ14+MJ!AJ14+'RB I'!AJ14+'SF I'!AJ14</f>
        <v>34487.685597965334</v>
      </c>
      <c r="AK14" s="218">
        <f>SLP!AK14+ROSA!AK14+'STA ANA'!AK14+BOA!AK14+'STA MARIA'!AK14+'CB I'!AK14+IG!AK14+PN!AK14+MJ!AK14+'RB I'!AK14+'SF I'!AK14</f>
        <v>4139.3915615288543</v>
      </c>
      <c r="AL14" s="218">
        <f>SLP!AL14+ROSA!AL14+'STA ANA'!AL14+BOA!AL14+'STA MARIA'!AL14+'CB I'!AL14+IG!AL14+PN!AL14+MJ!AL14+'RB I'!AL14+'SF I'!AL14</f>
        <v>38627.077159494191</v>
      </c>
      <c r="AM14" s="221">
        <f t="shared" si="6"/>
        <v>-0.1383973164626402</v>
      </c>
      <c r="AN14" s="218">
        <f>SLP!AN14+ROSA!AN14+'STA ANA'!AN14+BOA!AN14+'STA MARIA'!AN14+'CB I'!AN14+IG!AN14+PN!AN14+MJ!AN14+'RB I'!AN14+'SF I'!AN14</f>
        <v>44831.658370547877</v>
      </c>
      <c r="AO14" s="218">
        <f>SLP!AO14+ROSA!AO14+'STA ANA'!AO14+BOA!AO14+'STA MARIA'!AO14+'CB I'!AO14+IG!AO14+PN!AO14+MJ!AO14+'RB I'!AO14+'SF I'!AO14</f>
        <v>40497.153804714471</v>
      </c>
      <c r="AP14" s="218">
        <f>SLP!AP14+ROSA!AP14+'STA ANA'!AP14+BOA!AP14+'STA MARIA'!AP14+'CB I'!AP14+IG!AP14+PN!AP14+MJ!AP14+'RB I'!AP14+'SF I'!AP14</f>
        <v>4334.5045658333993</v>
      </c>
      <c r="AQ14" s="218">
        <f>SLP!AQ14+ROSA!AQ14+'STA ANA'!AQ14+BOA!AQ14+'STA MARIA'!AQ14+'CB I'!AQ14+IG!AQ14+PN!AQ14+MJ!AQ14+'RB I'!AQ14+'SF I'!AQ14</f>
        <v>35534.668349702988</v>
      </c>
      <c r="AR14" s="218">
        <f>SLP!AR14+ROSA!AR14+'STA ANA'!AR14+BOA!AR14+'STA MARIA'!AR14+'CB I'!AR14+IG!AR14+PN!AR14+MJ!AR14+'RB I'!AR14+'SF I'!AR14</f>
        <v>4263.807527748937</v>
      </c>
      <c r="AS14" s="218">
        <f>SLP!AS14+ROSA!AS14+'STA ANA'!AS14+BOA!AS14+'STA MARIA'!AS14+'CB I'!AS14+IG!AS14+PN!AS14+MJ!AS14+'RB I'!AS14+'SF I'!AS14</f>
        <v>39798.475877451929</v>
      </c>
      <c r="AT14" s="221">
        <f t="shared" si="7"/>
        <v>-0.11226848785059651</v>
      </c>
      <c r="AU14" s="218">
        <f>SLP!AU14+ROSA!AU14+'STA ANA'!AU14+BOA!AU14+'STA MARIA'!AU14+'CB I'!AU14+IG!AU14+PN!AU14+MJ!AU14+'RB I'!AU14+'SF I'!AU14</f>
        <v>44831.658370547877</v>
      </c>
      <c r="AV14" s="218">
        <f>SLP!AV14+ROSA!AV14+'STA ANA'!AV14+BOA!AV14+'STA MARIA'!AV14+'CB I'!AV14+IG!AV14+PN!AV14+MJ!AV14+'RB I'!AV14+'SF I'!AV14</f>
        <v>40497.153804714471</v>
      </c>
      <c r="AW14" s="218">
        <f>SLP!AW14+ROSA!AW14+'STA ANA'!AW14+BOA!AW14+'STA MARIA'!AW14+'CB I'!AW14+IG!AW14+PN!AW14+MJ!AW14+'RB I'!AW14+'SF I'!AW14</f>
        <v>4334.5045658333993</v>
      </c>
      <c r="AX14" s="218">
        <f>SLP!AX14+ROSA!AX14+'STA ANA'!AX14+BOA!AX14+'STA MARIA'!AX14+'CB I'!AX14+IG!AX14+PN!AX14+MJ!AX14+'RB I'!AX14+'SF I'!AX14</f>
        <v>40255.03118211648</v>
      </c>
      <c r="AY14" s="218">
        <f>SLP!AY14+ROSA!AY14+'STA ANA'!AY14+BOA!AY14+'STA MARIA'!AY14+'CB I'!AY14+IG!AY14+PN!AY14+MJ!AY14+'RB I'!AY14+'SF I'!AY14</f>
        <v>4789.1161636688221</v>
      </c>
      <c r="AZ14" s="218">
        <f>SLP!AZ14+ROSA!AZ14+'STA ANA'!AZ14+BOA!AZ14+'STA MARIA'!AZ14+'CB I'!AZ14+IG!AZ14+PN!AZ14+MJ!AZ14+'RB I'!AZ14+'SF I'!AZ14</f>
        <v>45044.147345785292</v>
      </c>
      <c r="BA14" s="221">
        <f t="shared" si="8"/>
        <v>4.7397081205680092E-3</v>
      </c>
      <c r="BB14" s="218">
        <f>SLP!BB14+ROSA!BB14+'STA ANA'!BB14+BOA!BB14+'STA MARIA'!BB14+'CB I'!BB14+IG!BB14+PN!BB14+MJ!BB14+'RB I'!BB14+'SF I'!BB14</f>
        <v>44831.658370547877</v>
      </c>
      <c r="BC14" s="218">
        <f>SLP!BC14+ROSA!BC14+'STA ANA'!BC14+BOA!BC14+'STA MARIA'!BC14+'CB I'!BC14+IG!BC14+PN!BC14+MJ!BC14+'RB I'!BC14+'SF I'!BC14</f>
        <v>40497.153804714471</v>
      </c>
      <c r="BD14" s="218">
        <f>SLP!BD14+ROSA!BD14+'STA ANA'!BD14+BOA!BD14+'STA MARIA'!BD14+'CB I'!BD14+IG!BD14+PN!BD14+MJ!BD14+'RB I'!BD14+'SF I'!BD14</f>
        <v>4334.5045658333993</v>
      </c>
      <c r="BE14" s="218">
        <f>SLP!BE14+ROSA!BE14+'STA ANA'!BE14+BOA!BE14+'STA MARIA'!BE14+'CB I'!BE14+IG!BE14+PN!BE14+MJ!BE14+'RB I'!BE14+'SF I'!BE14</f>
        <v>0</v>
      </c>
      <c r="BF14" s="218">
        <f>SLP!BF14+ROSA!BF14+'STA ANA'!BF14+BOA!BF14+'STA MARIA'!BF14+'CB I'!BF14+IG!BF14+PN!BF14+MJ!BF14+'RB I'!BF14+'SF I'!BF14</f>
        <v>0</v>
      </c>
      <c r="BG14" s="218">
        <f>SLP!BG14+ROSA!BG14+'STA ANA'!BG14+BOA!BG14+'STA MARIA'!BG14+'CB I'!BG14+IG!BG14+PN!BG14+MJ!BG14+'RB I'!BG14+'SF I'!BG14</f>
        <v>0</v>
      </c>
      <c r="BH14" s="221">
        <f t="shared" si="9"/>
        <v>-1</v>
      </c>
      <c r="BI14" s="218">
        <f>SLP!BI14+ROSA!BI14+'STA ANA'!BI14+BOA!BI14+'STA MARIA'!BI14+'CB I'!BI14+IG!BI14+PN!BI14+MJ!BI14+'RB I'!BI14+'SF I'!BI14</f>
        <v>44831.658370547877</v>
      </c>
      <c r="BJ14" s="218">
        <f>SLP!BJ14+ROSA!BJ14+'STA ANA'!BJ14+BOA!BJ14+'STA MARIA'!BJ14+'CB I'!BJ14+IG!BJ14+PN!BJ14+MJ!BJ14+'RB I'!BJ14+'SF I'!BJ14</f>
        <v>40497.153804714471</v>
      </c>
      <c r="BK14" s="218">
        <f>SLP!BK14+ROSA!BK14+'STA ANA'!BK14+BOA!BK14+'STA MARIA'!BK14+'CB I'!BK14+IG!BK14+PN!BK14+MJ!BK14+'RB I'!BK14+'SF I'!BK14</f>
        <v>4334.5045658333993</v>
      </c>
      <c r="BL14" s="218">
        <f>SLP!BL14+ROSA!BL14+'STA ANA'!BL14+BOA!BL14+'STA MARIA'!BL14+'CB I'!BL14+IG!BL14+PN!BL14+MJ!BL14+'RB I'!BL14+'SF I'!BL14</f>
        <v>0</v>
      </c>
      <c r="BM14" s="218">
        <f>SLP!BM14+ROSA!BM14+'STA ANA'!BM14+BOA!BM14+'STA MARIA'!BM14+'CB I'!BM14+IG!BM14+PN!BM14+MJ!BM14+'RB I'!BM14+'SF I'!BM14</f>
        <v>0</v>
      </c>
      <c r="BN14" s="218">
        <f>SLP!BN14+ROSA!BN14+'STA ANA'!BN14+BOA!BN14+'STA MARIA'!BN14+'CB I'!BN14+IG!BN14+PN!BN14+MJ!BN14+'RB I'!BN14+'SF I'!BN14</f>
        <v>0</v>
      </c>
      <c r="BO14" s="221">
        <f t="shared" si="10"/>
        <v>-1</v>
      </c>
      <c r="BP14" s="218">
        <f>SLP!BP14+ROSA!BP14+'STA ANA'!BP14+BOA!BP14+'STA MARIA'!BP14+'CB I'!BP14+IG!BP14+PN!BP14+MJ!BP14+'RB I'!BP14+'SF I'!BP14</f>
        <v>44831.658370547877</v>
      </c>
      <c r="BQ14" s="218">
        <f>SLP!BQ14+ROSA!BQ14+'STA ANA'!BQ14+BOA!BQ14+'STA MARIA'!BQ14+'CB I'!BQ14+IG!BQ14+PN!BQ14+MJ!BQ14+'RB I'!BQ14+'SF I'!BQ14</f>
        <v>40497.153804714471</v>
      </c>
      <c r="BR14" s="218">
        <f>SLP!BR14+ROSA!BR14+'STA ANA'!BR14+BOA!BR14+'STA MARIA'!BR14+'CB I'!BR14+IG!BR14+PN!BR14+MJ!BR14+'RB I'!BR14+'SF I'!BR14</f>
        <v>4334.5045658333993</v>
      </c>
      <c r="BS14" s="218">
        <f>SLP!BS14+ROSA!BS14+'STA ANA'!BS14+BOA!BS14+'STA MARIA'!BS14+'CB I'!BS14+IG!BS14+PN!BS14+MJ!BS14+'RB I'!BS14+'SF I'!BS14</f>
        <v>0</v>
      </c>
      <c r="BT14" s="218">
        <f>SLP!BT14+ROSA!BT14+'STA ANA'!BT14+BOA!BT14+'STA MARIA'!BT14+'CB I'!BT14+IG!BT14+PN!BT14+MJ!BT14+'RB I'!BT14+'SF I'!BT14</f>
        <v>0</v>
      </c>
      <c r="BU14" s="218">
        <f>SLP!BU14+ROSA!BU14+'STA ANA'!BU14+BOA!BU14+'STA MARIA'!BU14+'CB I'!BU14+IG!BU14+PN!BU14+MJ!BU14+'RB I'!BU14+'SF I'!BU14</f>
        <v>0</v>
      </c>
      <c r="BV14" s="221">
        <f t="shared" si="11"/>
        <v>-1</v>
      </c>
      <c r="BW14" s="218">
        <f>SLP!BW14+ROSA!BW14+'STA ANA'!BW14+BOA!BW14+'STA MARIA'!BW14+'CB I'!BW14+IG!BW14+PN!BW14+MJ!BW14+'RB I'!BW14+'SF I'!BW14</f>
        <v>44831.658370547877</v>
      </c>
      <c r="BX14" s="218">
        <f>SLP!BX14+ROSA!BX14+'STA ANA'!BX14+BOA!BX14+'STA MARIA'!BX14+'CB I'!BX14+IG!BX14+PN!BX14+MJ!BX14+'RB I'!BX14+'SF I'!BX14</f>
        <v>40497.153804714471</v>
      </c>
      <c r="BY14" s="218">
        <f>SLP!BY14+ROSA!BY14+'STA ANA'!BY14+BOA!BY14+'STA MARIA'!BY14+'CB I'!BY14+IG!BY14+PN!BY14+MJ!BY14+'RB I'!BY14+'SF I'!BY14</f>
        <v>4334.5045658333993</v>
      </c>
      <c r="BZ14" s="218">
        <f>SLP!BZ14+ROSA!BZ14+'STA ANA'!BZ14+BOA!BZ14+'STA MARIA'!BZ14+'CB I'!BZ14+IG!BZ14+PN!BZ14+MJ!BZ14+'RB I'!BZ14+'SF I'!BZ14</f>
        <v>0</v>
      </c>
      <c r="CA14" s="218">
        <f>SLP!CA14+ROSA!CA14+'STA ANA'!CA14+BOA!CA14+'STA MARIA'!CA14+'CB I'!CA14+IG!CA14+PN!CA14+MJ!CA14+'RB I'!CA14+'SF I'!CA14</f>
        <v>0</v>
      </c>
      <c r="CB14" s="218">
        <f>SLP!CB14+ROSA!CB14+'STA ANA'!CB14+BOA!CB14+'STA MARIA'!CB14+'CB I'!CB14+IG!CB14+PN!CB14+MJ!CB14+'RB I'!CB14+'SF I'!CB14</f>
        <v>0</v>
      </c>
      <c r="CC14" s="221">
        <f t="shared" si="12"/>
        <v>-1</v>
      </c>
      <c r="CD14" s="218">
        <f>SLP!CD14+ROSA!CD14+'STA ANA'!CD14+BOA!CD14+'STA MARIA'!CD14+'CB I'!CD14+IG!CD14+PN!CD14+MJ!CD14+'RB I'!CD14+'SF I'!CD14</f>
        <v>44831.658370547877</v>
      </c>
      <c r="CE14" s="218">
        <f>SLP!CE14+ROSA!CE14+'STA ANA'!CE14+BOA!CE14+'STA MARIA'!CE14+'CB I'!CE14+IG!CE14+PN!CE14+MJ!CE14+'RB I'!CE14+'SF I'!CE14</f>
        <v>40497.153804714471</v>
      </c>
      <c r="CF14" s="218">
        <f>SLP!CF14+ROSA!CF14+'STA ANA'!CF14+BOA!CF14+'STA MARIA'!CF14+'CB I'!CF14+IG!CF14+PN!CF14+MJ!CF14+'RB I'!CF14+'SF I'!CF14</f>
        <v>4334.5045658333993</v>
      </c>
      <c r="CG14" s="218">
        <f>SLP!CG14+ROSA!CG14+'STA ANA'!CG14+BOA!CG14+'STA MARIA'!CG14+'CB I'!CG14+IG!CG14+PN!CG14+MJ!CG14+'RB I'!CG14+'SF I'!CG14</f>
        <v>0</v>
      </c>
      <c r="CH14" s="218">
        <f>SLP!CH14+ROSA!CH14+'STA ANA'!CH14+BOA!CH14+'STA MARIA'!CH14+'CB I'!CH14+IG!CH14+PN!CH14+MJ!CH14+'RB I'!CH14+'SF I'!CH14</f>
        <v>0</v>
      </c>
      <c r="CI14" s="218">
        <f>SLP!CI14+ROSA!CI14+'STA ANA'!CI14+BOA!CI14+'STA MARIA'!CI14+'CB I'!CI14+IG!CI14+PN!CI14+MJ!CI14+'RB I'!CI14+'SF I'!CI14</f>
        <v>0</v>
      </c>
      <c r="CJ14" s="221">
        <f t="shared" si="13"/>
        <v>-1</v>
      </c>
      <c r="CK14" s="218">
        <f>SLP!CK14+ROSA!CK14+'STA ANA'!CK14+BOA!CK14+'STA MARIA'!CK14+'CB I'!CK14+IG!CK14+PN!CK14+MJ!CK14+'RB I'!CK14+'SF I'!CK14</f>
        <v>44831.658370547877</v>
      </c>
      <c r="CL14" s="218">
        <f>SLP!CL14+ROSA!CL14+'STA ANA'!CL14+BOA!CL14+'STA MARIA'!CL14+'CB I'!CL14+IG!CL14+PN!CL14+MJ!CL14+'RB I'!CL14+'SF I'!CL14</f>
        <v>40497.153804714471</v>
      </c>
      <c r="CM14" s="218">
        <f>SLP!CM14+ROSA!CM14+'STA ANA'!CM14+BOA!CM14+'STA MARIA'!CM14+'CB I'!CM14+IG!CM14+PN!CM14+MJ!CM14+'RB I'!CM14+'SF I'!CM14</f>
        <v>4334.5045658333993</v>
      </c>
      <c r="CN14" s="218">
        <f>SLP!CN14+ROSA!CN14+'STA ANA'!CN14+BOA!CN14+'STA MARIA'!CN14+'CB I'!CN14+IG!CN14+PN!CN14+MJ!CN14+'RB I'!CN14+'SF I'!CN14</f>
        <v>0</v>
      </c>
      <c r="CO14" s="218">
        <f>SLP!CO14+ROSA!CO14+'STA ANA'!CO14+BOA!CO14+'STA MARIA'!CO14+'CB I'!CO14+IG!CO14+PN!CO14+MJ!CO14+'RB I'!CO14+'SF I'!CO14</f>
        <v>0</v>
      </c>
      <c r="CP14" s="218">
        <f>SLP!CP14+ROSA!CP14+'STA ANA'!CP14+BOA!CP14+'STA MARIA'!CP14+'CB I'!CP14+IG!CP14+PN!CP14+MJ!CP14+'RB I'!CP14+'SF I'!CP14</f>
        <v>0</v>
      </c>
      <c r="CQ14" s="221">
        <f t="shared" si="14"/>
        <v>-1</v>
      </c>
      <c r="CR14" s="154"/>
      <c r="CS14" s="222" t="e">
        <f t="shared" si="15"/>
        <v>#VALUE!</v>
      </c>
    </row>
    <row r="15" spans="1:101" ht="16" customHeight="1" thickBot="1" x14ac:dyDescent="0.25">
      <c r="A15" s="223" t="s">
        <v>39</v>
      </c>
      <c r="B15" s="30">
        <f t="shared" si="0"/>
        <v>1214101.4929528143</v>
      </c>
      <c r="C15" s="31">
        <f t="shared" si="0"/>
        <v>1094967.1735882082</v>
      </c>
      <c r="D15" s="32">
        <f t="shared" si="0"/>
        <v>119134.31936460604</v>
      </c>
      <c r="E15" s="30">
        <f t="shared" si="16"/>
        <v>402086.46037897072</v>
      </c>
      <c r="F15" s="33">
        <f t="shared" si="16"/>
        <v>362631.52431224269</v>
      </c>
      <c r="G15" s="34">
        <f t="shared" si="16"/>
        <v>39454.936066728005</v>
      </c>
      <c r="H15" s="31">
        <f t="shared" si="1"/>
        <v>636808.78565677674</v>
      </c>
      <c r="I15" s="33">
        <f t="shared" si="1"/>
        <v>69930.063341286514</v>
      </c>
      <c r="J15" s="33">
        <f t="shared" si="1"/>
        <v>706738.84899806324</v>
      </c>
      <c r="K15" s="221">
        <f t="shared" si="2"/>
        <v>0.75767880453361802</v>
      </c>
      <c r="L15" s="218">
        <f>SLP!L15+ROSA!L15+'STA ANA'!L15+BOA!L15+'STA MARIA'!L15+'CB I'!L15+IG!L15+PN!L15+MJ!L15+'RB I'!L15+'SF I'!L15</f>
        <v>100521.61509474268</v>
      </c>
      <c r="M15" s="218">
        <f>SLP!M15+ROSA!M15+'STA ANA'!M15+BOA!M15+'STA MARIA'!M15+'CB I'!M15+IG!M15+PN!M15+MJ!M15+'RB I'!M15+'SF I'!M15</f>
        <v>90657.881078060673</v>
      </c>
      <c r="N15" s="218">
        <f>SLP!N15+ROSA!N15+'STA ANA'!N15+BOA!N15+'STA MARIA'!N15+'CB I'!N15+IG!N15+PN!N15+MJ!N15+'RB I'!N15+'SF I'!N15</f>
        <v>9863.7340166820013</v>
      </c>
      <c r="O15" s="218">
        <f>SLP!O15+ROSA!O15+'STA ANA'!O15+BOA!O15+'STA MARIA'!O15+'CB I'!O15+IG!O15+PN!O15+MJ!O15+'RB I'!O15+'SF I'!O15</f>
        <v>85955.471950964842</v>
      </c>
      <c r="P15" s="218">
        <f>SLP!P15+ROSA!P15+'STA ANA'!P15+BOA!P15+'STA MARIA'!P15+'CB I'!P15+IG!P15+PN!P15+MJ!P15+'RB I'!P15+'SF I'!P15</f>
        <v>9145.9248492597817</v>
      </c>
      <c r="Q15" s="218">
        <f>SLP!Q15+ROSA!Q15+'STA ANA'!Q15+BOA!Q15+'STA MARIA'!Q15+'CB I'!Q15+IG!Q15+PN!Q15+MJ!Q15+'RB I'!Q15+'SF I'!Q15</f>
        <v>95101.396800224626</v>
      </c>
      <c r="R15" s="221">
        <f t="shared" si="3"/>
        <v>-5.3920923270178722E-2</v>
      </c>
      <c r="S15" s="218">
        <f>SLP!S15+ROSA!S15+'STA ANA'!S15+BOA!S15+'STA MARIA'!S15+'CB I'!S15+IG!S15+PN!S15+MJ!S15+'RB I'!S15+'SF I'!S15</f>
        <v>100521.61509474268</v>
      </c>
      <c r="T15" s="218">
        <f>SLP!T15+ROSA!T15+'STA ANA'!T15+BOA!T15+'STA MARIA'!T15+'CB I'!T15+IG!T15+PN!T15+MJ!T15+'RB I'!T15+'SF I'!T15</f>
        <v>90657.881078060673</v>
      </c>
      <c r="U15" s="218">
        <f>SLP!U15+ROSA!U15+'STA ANA'!U15+BOA!U15+'STA MARIA'!U15+'CB I'!U15+IG!U15+PN!U15+MJ!U15+'RB I'!U15+'SF I'!U15</f>
        <v>9863.7340166820013</v>
      </c>
      <c r="V15" s="218">
        <f>SLP!V15+ROSA!V15+'STA ANA'!V15+BOA!V15+'STA MARIA'!V15+'CB I'!V15+IG!V15+PN!V15+MJ!V15+'RB I'!V15+'SF I'!V15</f>
        <v>77292.5428630877</v>
      </c>
      <c r="W15" s="218">
        <f>SLP!W15+ROSA!W15+'STA ANA'!W15+BOA!W15+'STA MARIA'!W15+'CB I'!W15+IG!W15+PN!W15+MJ!W15+'RB I'!W15+'SF I'!W15</f>
        <v>8891.2685211514272</v>
      </c>
      <c r="X15" s="218">
        <f>SLP!X15+ROSA!X15+'STA ANA'!X15+BOA!X15+'STA MARIA'!X15+'CB I'!X15+IG!X15+PN!X15+MJ!X15+'RB I'!X15+'SF I'!X15</f>
        <v>86183.811384239132</v>
      </c>
      <c r="Y15" s="221">
        <f t="shared" si="4"/>
        <v>-0.14263403644071992</v>
      </c>
      <c r="Z15" s="218">
        <f>SLP!Z15+ROSA!Z15+'STA ANA'!Z15+BOA!Z15+'STA MARIA'!Z15+'CB I'!Z15+IG!Z15+PN!Z15+MJ!Z15+'RB I'!Z15+'SF I'!Z15</f>
        <v>100521.61509474268</v>
      </c>
      <c r="AA15" s="218">
        <f>SLP!AA15+ROSA!AA15+'STA ANA'!AA15+BOA!AA15+'STA MARIA'!AA15+'CB I'!AA15+IG!AA15+PN!AA15+MJ!AA15+'RB I'!AA15+'SF I'!AA15</f>
        <v>90657.881078060673</v>
      </c>
      <c r="AB15" s="218">
        <f>SLP!AB15+ROSA!AB15+'STA ANA'!AB15+BOA!AB15+'STA MARIA'!AB15+'CB I'!AB15+IG!AB15+PN!AB15+MJ!AB15+'RB I'!AB15+'SF I'!AB15</f>
        <v>9863.7340166820013</v>
      </c>
      <c r="AC15" s="218">
        <f>SLP!AC15+ROSA!AC15+'STA ANA'!AC15+BOA!AC15+'STA MARIA'!AC15+'CB I'!AC15+IG!AC15+PN!AC15+MJ!AC15+'RB I'!AC15+'SF I'!AC15</f>
        <v>119534.334344127</v>
      </c>
      <c r="AD15" s="218">
        <f>SLP!AD15+ROSA!AD15+'STA ANA'!AD15+BOA!AD15+'STA MARIA'!AD15+'CB I'!AD15+IG!AD15+PN!AD15+MJ!AD15+'RB I'!AD15+'SF I'!AD15</f>
        <v>13163.388341395987</v>
      </c>
      <c r="AE15" s="218">
        <f>SLP!AE15+ROSA!AE15+'STA ANA'!AE15+BOA!AE15+'STA MARIA'!AE15+'CB I'!AE15+IG!AE15+PN!AE15+MJ!AE15+'RB I'!AE15+'SF I'!AE15</f>
        <v>132697.72268552295</v>
      </c>
      <c r="AF15" s="221">
        <f t="shared" si="5"/>
        <v>0.32009143068835444</v>
      </c>
      <c r="AG15" s="218">
        <f>SLP!AG15+ROSA!AG15+'STA ANA'!AG15+BOA!AG15+'STA MARIA'!AG15+'CB I'!AG15+IG!AG15+PN!AG15+MJ!AG15+'RB I'!AG15+'SF I'!AG15</f>
        <v>100521.61509474268</v>
      </c>
      <c r="AH15" s="218">
        <f>SLP!AH15+ROSA!AH15+'STA ANA'!AH15+BOA!AH15+'STA MARIA'!AH15+'CB I'!AH15+IG!AH15+PN!AH15+MJ!AH15+'RB I'!AH15+'SF I'!AH15</f>
        <v>90657.881078060673</v>
      </c>
      <c r="AI15" s="218">
        <f>SLP!AI15+ROSA!AI15+'STA ANA'!AI15+BOA!AI15+'STA MARIA'!AI15+'CB I'!AI15+IG!AI15+PN!AI15+MJ!AI15+'RB I'!AI15+'SF I'!AI15</f>
        <v>9863.7340166820013</v>
      </c>
      <c r="AJ15" s="218">
        <f>SLP!AJ15+ROSA!AJ15+'STA ANA'!AJ15+BOA!AJ15+'STA MARIA'!AJ15+'CB I'!AJ15+IG!AJ15+PN!AJ15+MJ!AJ15+'RB I'!AJ15+'SF I'!AJ15</f>
        <v>142649.04577128607</v>
      </c>
      <c r="AK15" s="218">
        <f>SLP!AK15+ROSA!AK15+'STA ANA'!AK15+BOA!AK15+'STA MARIA'!AK15+'CB I'!AK15+IG!AK15+PN!AK15+MJ!AK15+'RB I'!AK15+'SF I'!AK15</f>
        <v>15642.87969351673</v>
      </c>
      <c r="AL15" s="218">
        <f>SLP!AL15+ROSA!AL15+'STA ANA'!AL15+BOA!AL15+'STA MARIA'!AL15+'CB I'!AL15+IG!AL15+PN!AL15+MJ!AL15+'RB I'!AL15+'SF I'!AL15</f>
        <v>158291.92546480277</v>
      </c>
      <c r="AM15" s="221">
        <f t="shared" si="6"/>
        <v>0.57470535382475663</v>
      </c>
      <c r="AN15" s="218">
        <f>SLP!AN15+ROSA!AN15+'STA ANA'!AN15+BOA!AN15+'STA MARIA'!AN15+'CB I'!AN15+IG!AN15+PN!AN15+MJ!AN15+'RB I'!AN15+'SF I'!AN15</f>
        <v>100521.61509474268</v>
      </c>
      <c r="AO15" s="218">
        <f>SLP!AO15+ROSA!AO15+'STA ANA'!AO15+BOA!AO15+'STA MARIA'!AO15+'CB I'!AO15+IG!AO15+PN!AO15+MJ!AO15+'RB I'!AO15+'SF I'!AO15</f>
        <v>90657.881078060673</v>
      </c>
      <c r="AP15" s="218">
        <f>SLP!AP15+ROSA!AP15+'STA ANA'!AP15+BOA!AP15+'STA MARIA'!AP15+'CB I'!AP15+IG!AP15+PN!AP15+MJ!AP15+'RB I'!AP15+'SF I'!AP15</f>
        <v>9863.7340166820013</v>
      </c>
      <c r="AQ15" s="218">
        <f>SLP!AQ15+ROSA!AQ15+'STA ANA'!AQ15+BOA!AQ15+'STA MARIA'!AQ15+'CB I'!AQ15+IG!AQ15+PN!AQ15+MJ!AQ15+'RB I'!AQ15+'SF I'!AQ15</f>
        <v>114731.7358633275</v>
      </c>
      <c r="AR15" s="218">
        <f>SLP!AR15+ROSA!AR15+'STA ANA'!AR15+BOA!AR15+'STA MARIA'!AR15+'CB I'!AR15+IG!AR15+PN!AR15+MJ!AR15+'RB I'!AR15+'SF I'!AR15</f>
        <v>12527.443738453472</v>
      </c>
      <c r="AS15" s="218">
        <f>SLP!AS15+ROSA!AS15+'STA ANA'!AS15+BOA!AS15+'STA MARIA'!AS15+'CB I'!AS15+IG!AS15+PN!AS15+MJ!AS15+'RB I'!AS15+'SF I'!AS15</f>
        <v>127259.17960178098</v>
      </c>
      <c r="AT15" s="221">
        <f t="shared" si="7"/>
        <v>0.2659882104146245</v>
      </c>
      <c r="AU15" s="218">
        <f>SLP!AU15+ROSA!AU15+'STA ANA'!AU15+BOA!AU15+'STA MARIA'!AU15+'CB I'!AU15+IG!AU15+PN!AU15+MJ!AU15+'RB I'!AU15+'SF I'!AU15</f>
        <v>100521.61509474268</v>
      </c>
      <c r="AV15" s="218">
        <f>SLP!AV15+ROSA!AV15+'STA ANA'!AV15+BOA!AV15+'STA MARIA'!AV15+'CB I'!AV15+IG!AV15+PN!AV15+MJ!AV15+'RB I'!AV15+'SF I'!AV15</f>
        <v>90657.881078060673</v>
      </c>
      <c r="AW15" s="218">
        <f>SLP!AW15+ROSA!AW15+'STA ANA'!AW15+BOA!AW15+'STA MARIA'!AW15+'CB I'!AW15+IG!AW15+PN!AW15+MJ!AW15+'RB I'!AW15+'SF I'!AW15</f>
        <v>9863.7340166820013</v>
      </c>
      <c r="AX15" s="218">
        <f>SLP!AX15+ROSA!AX15+'STA ANA'!AX15+BOA!AX15+'STA MARIA'!AX15+'CB I'!AX15+IG!AX15+PN!AX15+MJ!AX15+'RB I'!AX15+'SF I'!AX15</f>
        <v>96645.654863983582</v>
      </c>
      <c r="AY15" s="218">
        <f>SLP!AY15+ROSA!AY15+'STA ANA'!AY15+BOA!AY15+'STA MARIA'!AY15+'CB I'!AY15+IG!AY15+PN!AY15+MJ!AY15+'RB I'!AY15+'SF I'!AY15</f>
        <v>10559.15819750913</v>
      </c>
      <c r="AZ15" s="218">
        <f>SLP!AZ15+ROSA!AZ15+'STA ANA'!AZ15+BOA!AZ15+'STA MARIA'!AZ15+'CB I'!AZ15+IG!AZ15+PN!AZ15+MJ!AZ15+'RB I'!AZ15+'SF I'!AZ15</f>
        <v>107204.81306149271</v>
      </c>
      <c r="BA15" s="221">
        <f t="shared" si="8"/>
        <v>6.64851829176345E-2</v>
      </c>
      <c r="BB15" s="218">
        <f>SLP!BB15+ROSA!BB15+'STA ANA'!BB15+BOA!BB15+'STA MARIA'!BB15+'CB I'!BB15+IG!BB15+PN!BB15+MJ!BB15+'RB I'!BB15+'SF I'!BB15</f>
        <v>108363.72691064456</v>
      </c>
      <c r="BC15" s="218">
        <f>SLP!BC15+ROSA!BC15+'STA ANA'!BC15+BOA!BC15+'STA MARIA'!BC15+'CB I'!BC15+IG!BC15+PN!BC15+MJ!BC15+'RB I'!BC15+'SF I'!BC15</f>
        <v>97730.481729540552</v>
      </c>
      <c r="BD15" s="218">
        <f>SLP!BD15+ROSA!BD15+'STA ANA'!BD15+BOA!BD15+'STA MARIA'!BD15+'CB I'!BD15+IG!BD15+PN!BD15+MJ!BD15+'RB I'!BD15+'SF I'!BD15</f>
        <v>10633.245181104001</v>
      </c>
      <c r="BE15" s="218">
        <f>SLP!BE15+ROSA!BE15+'STA ANA'!BE15+BOA!BE15+'STA MARIA'!BE15+'CB I'!BE15+IG!BE15+PN!BE15+MJ!BE15+'RB I'!BE15+'SF I'!BE15</f>
        <v>0</v>
      </c>
      <c r="BF15" s="218">
        <f>SLP!BF15+ROSA!BF15+'STA ANA'!BF15+BOA!BF15+'STA MARIA'!BF15+'CB I'!BF15+IG!BF15+PN!BF15+MJ!BF15+'RB I'!BF15+'SF I'!BF15</f>
        <v>0</v>
      </c>
      <c r="BG15" s="218">
        <f>SLP!BG15+ROSA!BG15+'STA ANA'!BG15+BOA!BG15+'STA MARIA'!BG15+'CB I'!BG15+IG!BG15+PN!BG15+MJ!BG15+'RB I'!BG15+'SF I'!BG15</f>
        <v>0</v>
      </c>
      <c r="BH15" s="221">
        <f t="shared" si="9"/>
        <v>-1</v>
      </c>
      <c r="BI15" s="218">
        <f>SLP!BI15+ROSA!BI15+'STA ANA'!BI15+BOA!BI15+'STA MARIA'!BI15+'CB I'!BI15+IG!BI15+PN!BI15+MJ!BI15+'RB I'!BI15+'SF I'!BI15</f>
        <v>100521.61509474268</v>
      </c>
      <c r="BJ15" s="218">
        <f>SLP!BJ15+ROSA!BJ15+'STA ANA'!BJ15+BOA!BJ15+'STA MARIA'!BJ15+'CB I'!BJ15+IG!BJ15+PN!BJ15+MJ!BJ15+'RB I'!BJ15+'SF I'!BJ15</f>
        <v>90657.881078060673</v>
      </c>
      <c r="BK15" s="218">
        <f>SLP!BK15+ROSA!BK15+'STA ANA'!BK15+BOA!BK15+'STA MARIA'!BK15+'CB I'!BK15+IG!BK15+PN!BK15+MJ!BK15+'RB I'!BK15+'SF I'!BK15</f>
        <v>9863.7340166820013</v>
      </c>
      <c r="BL15" s="218">
        <f>SLP!BL15+ROSA!BL15+'STA ANA'!BL15+BOA!BL15+'STA MARIA'!BL15+'CB I'!BL15+IG!BL15+PN!BL15+MJ!BL15+'RB I'!BL15+'SF I'!BL15</f>
        <v>0</v>
      </c>
      <c r="BM15" s="218">
        <f>SLP!BM15+ROSA!BM15+'STA ANA'!BM15+BOA!BM15+'STA MARIA'!BM15+'CB I'!BM15+IG!BM15+PN!BM15+MJ!BM15+'RB I'!BM15+'SF I'!BM15</f>
        <v>0</v>
      </c>
      <c r="BN15" s="218">
        <f>SLP!BN15+ROSA!BN15+'STA ANA'!BN15+BOA!BN15+'STA MARIA'!BN15+'CB I'!BN15+IG!BN15+PN!BN15+MJ!BN15+'RB I'!BN15+'SF I'!BN15</f>
        <v>0</v>
      </c>
      <c r="BO15" s="221">
        <f t="shared" si="10"/>
        <v>-1</v>
      </c>
      <c r="BP15" s="218">
        <f>SLP!BP15+ROSA!BP15+'STA ANA'!BP15+BOA!BP15+'STA MARIA'!BP15+'CB I'!BP15+IG!BP15+PN!BP15+MJ!BP15+'RB I'!BP15+'SF I'!BP15</f>
        <v>100521.61509474268</v>
      </c>
      <c r="BQ15" s="218">
        <f>SLP!BQ15+ROSA!BQ15+'STA ANA'!BQ15+BOA!BQ15+'STA MARIA'!BQ15+'CB I'!BQ15+IG!BQ15+PN!BQ15+MJ!BQ15+'RB I'!BQ15+'SF I'!BQ15</f>
        <v>90657.881078060673</v>
      </c>
      <c r="BR15" s="218">
        <f>SLP!BR15+ROSA!BR15+'STA ANA'!BR15+BOA!BR15+'STA MARIA'!BR15+'CB I'!BR15+IG!BR15+PN!BR15+MJ!BR15+'RB I'!BR15+'SF I'!BR15</f>
        <v>9863.7340166820013</v>
      </c>
      <c r="BS15" s="218">
        <f>SLP!BS15+ROSA!BS15+'STA ANA'!BS15+BOA!BS15+'STA MARIA'!BS15+'CB I'!BS15+IG!BS15+PN!BS15+MJ!BS15+'RB I'!BS15+'SF I'!BS15</f>
        <v>0</v>
      </c>
      <c r="BT15" s="218">
        <f>SLP!BT15+ROSA!BT15+'STA ANA'!BT15+BOA!BT15+'STA MARIA'!BT15+'CB I'!BT15+IG!BT15+PN!BT15+MJ!BT15+'RB I'!BT15+'SF I'!BT15</f>
        <v>0</v>
      </c>
      <c r="BU15" s="218">
        <f>SLP!BU15+ROSA!BU15+'STA ANA'!BU15+BOA!BU15+'STA MARIA'!BU15+'CB I'!BU15+IG!BU15+PN!BU15+MJ!BU15+'RB I'!BU15+'SF I'!BU15</f>
        <v>0</v>
      </c>
      <c r="BV15" s="221">
        <f t="shared" si="11"/>
        <v>-1</v>
      </c>
      <c r="BW15" s="218">
        <f>SLP!BW15+ROSA!BW15+'STA ANA'!BW15+BOA!BW15+'STA MARIA'!BW15+'CB I'!BW15+IG!BW15+PN!BW15+MJ!BW15+'RB I'!BW15+'SF I'!BW15</f>
        <v>100521.61509474268</v>
      </c>
      <c r="BX15" s="218">
        <f>SLP!BX15+ROSA!BX15+'STA ANA'!BX15+BOA!BX15+'STA MARIA'!BX15+'CB I'!BX15+IG!BX15+PN!BX15+MJ!BX15+'RB I'!BX15+'SF I'!BX15</f>
        <v>90657.881078060673</v>
      </c>
      <c r="BY15" s="218">
        <f>SLP!BY15+ROSA!BY15+'STA ANA'!BY15+BOA!BY15+'STA MARIA'!BY15+'CB I'!BY15+IG!BY15+PN!BY15+MJ!BY15+'RB I'!BY15+'SF I'!BY15</f>
        <v>9863.7340166820013</v>
      </c>
      <c r="BZ15" s="218">
        <f>SLP!BZ15+ROSA!BZ15+'STA ANA'!BZ15+BOA!BZ15+'STA MARIA'!BZ15+'CB I'!BZ15+IG!BZ15+PN!BZ15+MJ!BZ15+'RB I'!BZ15+'SF I'!BZ15</f>
        <v>0</v>
      </c>
      <c r="CA15" s="218">
        <f>SLP!CA15+ROSA!CA15+'STA ANA'!CA15+BOA!CA15+'STA MARIA'!CA15+'CB I'!CA15+IG!CA15+PN!CA15+MJ!CA15+'RB I'!CA15+'SF I'!CA15</f>
        <v>0</v>
      </c>
      <c r="CB15" s="218">
        <f>SLP!CB15+ROSA!CB15+'STA ANA'!CB15+BOA!CB15+'STA MARIA'!CB15+'CB I'!CB15+IG!CB15+PN!CB15+MJ!CB15+'RB I'!CB15+'SF I'!CB15</f>
        <v>0</v>
      </c>
      <c r="CC15" s="221">
        <f t="shared" si="12"/>
        <v>-1</v>
      </c>
      <c r="CD15" s="218">
        <f>SLP!CD15+ROSA!CD15+'STA ANA'!CD15+BOA!CD15+'STA MARIA'!CD15+'CB I'!CD15+IG!CD15+PN!CD15+MJ!CD15+'RB I'!CD15+'SF I'!CD15</f>
        <v>100521.61509474268</v>
      </c>
      <c r="CE15" s="218">
        <f>SLP!CE15+ROSA!CE15+'STA ANA'!CE15+BOA!CE15+'STA MARIA'!CE15+'CB I'!CE15+IG!CE15+PN!CE15+MJ!CE15+'RB I'!CE15+'SF I'!CE15</f>
        <v>90657.881078060673</v>
      </c>
      <c r="CF15" s="218">
        <f>SLP!CF15+ROSA!CF15+'STA ANA'!CF15+BOA!CF15+'STA MARIA'!CF15+'CB I'!CF15+IG!CF15+PN!CF15+MJ!CF15+'RB I'!CF15+'SF I'!CF15</f>
        <v>9863.7340166820013</v>
      </c>
      <c r="CG15" s="218">
        <f>SLP!CG15+ROSA!CG15+'STA ANA'!CG15+BOA!CG15+'STA MARIA'!CG15+'CB I'!CG15+IG!CG15+PN!CG15+MJ!CG15+'RB I'!CG15+'SF I'!CG15</f>
        <v>0</v>
      </c>
      <c r="CH15" s="218">
        <f>SLP!CH15+ROSA!CH15+'STA ANA'!CH15+BOA!CH15+'STA MARIA'!CH15+'CB I'!CH15+IG!CH15+PN!CH15+MJ!CH15+'RB I'!CH15+'SF I'!CH15</f>
        <v>0</v>
      </c>
      <c r="CI15" s="218">
        <f>SLP!CI15+ROSA!CI15+'STA ANA'!CI15+BOA!CI15+'STA MARIA'!CI15+'CB I'!CI15+IG!CI15+PN!CI15+MJ!CI15+'RB I'!CI15+'SF I'!CI15</f>
        <v>0</v>
      </c>
      <c r="CJ15" s="221">
        <f t="shared" si="13"/>
        <v>-1</v>
      </c>
      <c r="CK15" s="218">
        <f>SLP!CK15+ROSA!CK15+'STA ANA'!CK15+BOA!CK15+'STA MARIA'!CK15+'CB I'!CK15+IG!CK15+PN!CK15+MJ!CK15+'RB I'!CK15+'SF I'!CK15</f>
        <v>100521.61509474268</v>
      </c>
      <c r="CL15" s="218">
        <f>SLP!CL15+ROSA!CL15+'STA ANA'!CL15+BOA!CL15+'STA MARIA'!CL15+'CB I'!CL15+IG!CL15+PN!CL15+MJ!CL15+'RB I'!CL15+'SF I'!CL15</f>
        <v>90657.881078060673</v>
      </c>
      <c r="CM15" s="218">
        <f>SLP!CM15+ROSA!CM15+'STA ANA'!CM15+BOA!CM15+'STA MARIA'!CM15+'CB I'!CM15+IG!CM15+PN!CM15+MJ!CM15+'RB I'!CM15+'SF I'!CM15</f>
        <v>9863.7340166820013</v>
      </c>
      <c r="CN15" s="218">
        <f>SLP!CN15+ROSA!CN15+'STA ANA'!CN15+BOA!CN15+'STA MARIA'!CN15+'CB I'!CN15+IG!CN15+PN!CN15+MJ!CN15+'RB I'!CN15+'SF I'!CN15</f>
        <v>0</v>
      </c>
      <c r="CO15" s="218">
        <f>SLP!CO15+ROSA!CO15+'STA ANA'!CO15+BOA!CO15+'STA MARIA'!CO15+'CB I'!CO15+IG!CO15+PN!CO15+MJ!CO15+'RB I'!CO15+'SF I'!CO15</f>
        <v>0</v>
      </c>
      <c r="CP15" s="218">
        <f>SLP!CP15+ROSA!CP15+'STA ANA'!CP15+BOA!CP15+'STA MARIA'!CP15+'CB I'!CP15+IG!CP15+PN!CP15+MJ!CP15+'RB I'!CP15+'SF I'!CP15</f>
        <v>0</v>
      </c>
      <c r="CQ15" s="221">
        <f t="shared" si="14"/>
        <v>-1</v>
      </c>
      <c r="CR15" s="154"/>
      <c r="CS15" s="222" t="e">
        <f t="shared" si="15"/>
        <v>#VALUE!</v>
      </c>
    </row>
    <row r="16" spans="1:101" ht="16" customHeight="1" thickBot="1" x14ac:dyDescent="0.25">
      <c r="A16" s="220" t="s">
        <v>40</v>
      </c>
      <c r="B16" s="30">
        <f t="shared" si="0"/>
        <v>607804.09509935824</v>
      </c>
      <c r="C16" s="31">
        <f t="shared" si="0"/>
        <v>535604.96768935805</v>
      </c>
      <c r="D16" s="32">
        <f t="shared" si="0"/>
        <v>72199.127410000016</v>
      </c>
      <c r="E16" s="30">
        <f t="shared" si="16"/>
        <v>202601.36503311939</v>
      </c>
      <c r="F16" s="33">
        <f t="shared" si="16"/>
        <v>178534.98922978604</v>
      </c>
      <c r="G16" s="34">
        <f t="shared" si="16"/>
        <v>24066.37580333334</v>
      </c>
      <c r="H16" s="31">
        <f t="shared" si="1"/>
        <v>472344.04262749566</v>
      </c>
      <c r="I16" s="33">
        <f t="shared" si="1"/>
        <v>85587.493416098805</v>
      </c>
      <c r="J16" s="33">
        <f t="shared" si="1"/>
        <v>557931.53604359459</v>
      </c>
      <c r="K16" s="221">
        <f t="shared" si="2"/>
        <v>1.7538389780956765</v>
      </c>
      <c r="L16" s="218">
        <f>SLP!L16+ROSA!L16+'STA ANA'!L16+BOA!L16+'STA MARIA'!L16+'CB I'!L16+IG!L16+PN!L16+MJ!L16+'RB I'!L16+'SF I'!L16</f>
        <v>50650.341258279848</v>
      </c>
      <c r="M16" s="218">
        <f>SLP!M16+ROSA!M16+'STA ANA'!M16+BOA!M16+'STA MARIA'!M16+'CB I'!M16+IG!M16+PN!M16+MJ!M16+'RB I'!M16+'SF I'!M16</f>
        <v>44633.747307446509</v>
      </c>
      <c r="N16" s="218">
        <f>SLP!N16+ROSA!N16+'STA ANA'!N16+BOA!N16+'STA MARIA'!N16+'CB I'!N16+IG!N16+PN!N16+MJ!N16+'RB I'!N16+'SF I'!N16</f>
        <v>6016.5939508333349</v>
      </c>
      <c r="O16" s="218">
        <f>SLP!O16+ROSA!O16+'STA ANA'!O16+BOA!O16+'STA MARIA'!O16+'CB I'!O16+IG!O16+PN!O16+MJ!O16+'RB I'!O16+'SF I'!O16</f>
        <v>64791.068189891877</v>
      </c>
      <c r="P16" s="218">
        <f>SLP!P16+ROSA!P16+'STA ANA'!P16+BOA!P16+'STA MARIA'!P16+'CB I'!P16+IG!P16+PN!P16+MJ!P16+'RB I'!P16+'SF I'!P16</f>
        <v>11435.817677984296</v>
      </c>
      <c r="Q16" s="218">
        <f>SLP!Q16+ROSA!Q16+'STA ANA'!Q16+BOA!Q16+'STA MARIA'!Q16+'CB I'!Q16+IG!Q16+PN!Q16+MJ!Q16+'RB I'!Q16+'SF I'!Q16</f>
        <v>76226.88586787619</v>
      </c>
      <c r="R16" s="221">
        <f t="shared" si="3"/>
        <v>0.50496292767653017</v>
      </c>
      <c r="S16" s="218">
        <f>SLP!S16+ROSA!S16+'STA ANA'!S16+BOA!S16+'STA MARIA'!S16+'CB I'!S16+IG!S16+PN!S16+MJ!S16+'RB I'!S16+'SF I'!S16</f>
        <v>50650.341258279848</v>
      </c>
      <c r="T16" s="218">
        <f>SLP!T16+ROSA!T16+'STA ANA'!T16+BOA!T16+'STA MARIA'!T16+'CB I'!T16+IG!T16+PN!T16+MJ!T16+'RB I'!T16+'SF I'!T16</f>
        <v>44633.747307446509</v>
      </c>
      <c r="U16" s="218">
        <f>SLP!U16+ROSA!U16+'STA ANA'!U16+BOA!U16+'STA MARIA'!U16+'CB I'!U16+IG!U16+PN!U16+MJ!U16+'RB I'!U16+'SF I'!U16</f>
        <v>6016.5939508333349</v>
      </c>
      <c r="V16" s="218">
        <f>SLP!V16+ROSA!V16+'STA ANA'!V16+BOA!V16+'STA MARIA'!V16+'CB I'!V16+IG!V16+PN!V16+MJ!V16+'RB I'!V16+'SF I'!V16</f>
        <v>85943.969469214193</v>
      </c>
      <c r="W16" s="218">
        <f>SLP!W16+ROSA!W16+'STA ANA'!W16+BOA!W16+'STA MARIA'!W16+'CB I'!W16+IG!W16+PN!W16+MJ!W16+'RB I'!W16+'SF I'!W16</f>
        <v>14451.990559443993</v>
      </c>
      <c r="X16" s="218">
        <f>SLP!X16+ROSA!X16+'STA ANA'!X16+BOA!X16+'STA MARIA'!X16+'CB I'!X16+IG!X16+PN!X16+MJ!X16+'RB I'!X16+'SF I'!X16</f>
        <v>100395.9600286582</v>
      </c>
      <c r="Y16" s="221">
        <f t="shared" si="4"/>
        <v>0.98213787971757038</v>
      </c>
      <c r="Z16" s="218">
        <f>SLP!Z16+ROSA!Z16+'STA ANA'!Z16+BOA!Z16+'STA MARIA'!Z16+'CB I'!Z16+IG!Z16+PN!Z16+MJ!Z16+'RB I'!Z16+'SF I'!Z16</f>
        <v>50650.341258279848</v>
      </c>
      <c r="AA16" s="218">
        <f>SLP!AA16+ROSA!AA16+'STA ANA'!AA16+BOA!AA16+'STA MARIA'!AA16+'CB I'!AA16+IG!AA16+PN!AA16+MJ!AA16+'RB I'!AA16+'SF I'!AA16</f>
        <v>44633.747307446509</v>
      </c>
      <c r="AB16" s="218">
        <f>SLP!AB16+ROSA!AB16+'STA ANA'!AB16+BOA!AB16+'STA MARIA'!AB16+'CB I'!AB16+IG!AB16+PN!AB16+MJ!AB16+'RB I'!AB16+'SF I'!AB16</f>
        <v>6016.5939508333349</v>
      </c>
      <c r="AC16" s="218">
        <f>SLP!AC16+ROSA!AC16+'STA ANA'!AC16+BOA!AC16+'STA MARIA'!AC16+'CB I'!AC16+IG!AC16+PN!AC16+MJ!AC16+'RB I'!AC16+'SF I'!AC16</f>
        <v>61215.386240816028</v>
      </c>
      <c r="AD16" s="218">
        <f>SLP!AD16+ROSA!AD16+'STA ANA'!AD16+BOA!AD16+'STA MARIA'!AD16+'CB I'!AD16+IG!AD16+PN!AD16+MJ!AD16+'RB I'!AD16+'SF I'!AD16</f>
        <v>7272.183965406105</v>
      </c>
      <c r="AE16" s="218">
        <f>SLP!AE16+ROSA!AE16+'STA ANA'!AE16+BOA!AE16+'STA MARIA'!AE16+'CB I'!AE16+IG!AE16+PN!AE16+MJ!AE16+'RB I'!AE16+'SF I'!AE16</f>
        <v>68487.570206222154</v>
      </c>
      <c r="AF16" s="221">
        <f t="shared" si="5"/>
        <v>0.35216404282422165</v>
      </c>
      <c r="AG16" s="218">
        <f>SLP!AG16+ROSA!AG16+'STA ANA'!AG16+BOA!AG16+'STA MARIA'!AG16+'CB I'!AG16+IG!AG16+PN!AG16+MJ!AG16+'RB I'!AG16+'SF I'!AG16</f>
        <v>50650.341258279848</v>
      </c>
      <c r="AH16" s="218">
        <f>SLP!AH16+ROSA!AH16+'STA ANA'!AH16+BOA!AH16+'STA MARIA'!AH16+'CB I'!AH16+IG!AH16+PN!AH16+MJ!AH16+'RB I'!AH16+'SF I'!AH16</f>
        <v>44633.747307446509</v>
      </c>
      <c r="AI16" s="218">
        <f>SLP!AI16+ROSA!AI16+'STA ANA'!AI16+BOA!AI16+'STA MARIA'!AI16+'CB I'!AI16+IG!AI16+PN!AI16+MJ!AI16+'RB I'!AI16+'SF I'!AI16</f>
        <v>6016.5939508333349</v>
      </c>
      <c r="AJ16" s="218">
        <f>SLP!AJ16+ROSA!AJ16+'STA ANA'!AJ16+BOA!AJ16+'STA MARIA'!AJ16+'CB I'!AJ16+IG!AJ16+PN!AJ16+MJ!AJ16+'RB I'!AJ16+'SF I'!AJ16</f>
        <v>110793.62555765707</v>
      </c>
      <c r="AK16" s="218">
        <f>SLP!AK16+ROSA!AK16+'STA ANA'!AK16+BOA!AK16+'STA MARIA'!AK16+'CB I'!AK16+IG!AK16+PN!AK16+MJ!AK16+'RB I'!AK16+'SF I'!AK16</f>
        <v>26990.267353181152</v>
      </c>
      <c r="AL16" s="218">
        <f>SLP!AL16+ROSA!AL16+'STA ANA'!AL16+BOA!AL16+'STA MARIA'!AL16+'CB I'!AL16+IG!AL16+PN!AL16+MJ!AL16+'RB I'!AL16+'SF I'!AL16</f>
        <v>137783.89291083824</v>
      </c>
      <c r="AM16" s="221">
        <f t="shared" si="6"/>
        <v>1.7202954508882922</v>
      </c>
      <c r="AN16" s="218">
        <f>SLP!AN16+ROSA!AN16+'STA ANA'!AN16+BOA!AN16+'STA MARIA'!AN16+'CB I'!AN16+IG!AN16+PN!AN16+MJ!AN16+'RB I'!AN16+'SF I'!AN16</f>
        <v>50650.341258279848</v>
      </c>
      <c r="AO16" s="218">
        <f>SLP!AO16+ROSA!AO16+'STA ANA'!AO16+BOA!AO16+'STA MARIA'!AO16+'CB I'!AO16+IG!AO16+PN!AO16+MJ!AO16+'RB I'!AO16+'SF I'!AO16</f>
        <v>44633.747307446509</v>
      </c>
      <c r="AP16" s="218">
        <f>SLP!AP16+ROSA!AP16+'STA ANA'!AP16+BOA!AP16+'STA MARIA'!AP16+'CB I'!AP16+IG!AP16+PN!AP16+MJ!AP16+'RB I'!AP16+'SF I'!AP16</f>
        <v>6016.5939508333349</v>
      </c>
      <c r="AQ16" s="218">
        <f>SLP!AQ16+ROSA!AQ16+'STA ANA'!AQ16+BOA!AQ16+'STA MARIA'!AQ16+'CB I'!AQ16+IG!AQ16+PN!AQ16+MJ!AQ16+'RB I'!AQ16+'SF I'!AQ16</f>
        <v>68937.542448843349</v>
      </c>
      <c r="AR16" s="218">
        <f>SLP!AR16+ROSA!AR16+'STA ANA'!AR16+BOA!AR16+'STA MARIA'!AR16+'CB I'!AR16+IG!AR16+PN!AR16+MJ!AR16+'RB I'!AR16+'SF I'!AR16</f>
        <v>12629.984772881236</v>
      </c>
      <c r="AS16" s="218">
        <f>SLP!AS16+ROSA!AS16+'STA ANA'!AS16+BOA!AS16+'STA MARIA'!AS16+'CB I'!AS16+IG!AS16+PN!AS16+MJ!AS16+'RB I'!AS16+'SF I'!AS16</f>
        <v>81567.527221724609</v>
      </c>
      <c r="AT16" s="221">
        <f t="shared" si="7"/>
        <v>0.61040429729366741</v>
      </c>
      <c r="AU16" s="218">
        <f>SLP!AU16+ROSA!AU16+'STA ANA'!AU16+BOA!AU16+'STA MARIA'!AU16+'CB I'!AU16+IG!AU16+PN!AU16+MJ!AU16+'RB I'!AU16+'SF I'!AU16</f>
        <v>50650.341258279848</v>
      </c>
      <c r="AV16" s="218">
        <f>SLP!AV16+ROSA!AV16+'STA ANA'!AV16+BOA!AV16+'STA MARIA'!AV16+'CB I'!AV16+IG!AV16+PN!AV16+MJ!AV16+'RB I'!AV16+'SF I'!AV16</f>
        <v>44633.747307446509</v>
      </c>
      <c r="AW16" s="218">
        <f>SLP!AW16+ROSA!AW16+'STA ANA'!AW16+BOA!AW16+'STA MARIA'!AW16+'CB I'!AW16+IG!AW16+PN!AW16+MJ!AW16+'RB I'!AW16+'SF I'!AW16</f>
        <v>6016.5939508333349</v>
      </c>
      <c r="AX16" s="218">
        <f>SLP!AX16+ROSA!AX16+'STA ANA'!AX16+BOA!AX16+'STA MARIA'!AX16+'CB I'!AX16+IG!AX16+PN!AX16+MJ!AX16+'RB I'!AX16+'SF I'!AX16</f>
        <v>80662.450721073139</v>
      </c>
      <c r="AY16" s="218">
        <f>SLP!AY16+ROSA!AY16+'STA ANA'!AY16+BOA!AY16+'STA MARIA'!AY16+'CB I'!AY16+IG!AY16+PN!AY16+MJ!AY16+'RB I'!AY16+'SF I'!AY16</f>
        <v>12807.249087202024</v>
      </c>
      <c r="AZ16" s="218">
        <f>SLP!AZ16+ROSA!AZ16+'STA ANA'!AZ16+BOA!AZ16+'STA MARIA'!AZ16+'CB I'!AZ16+IG!AZ16+PN!AZ16+MJ!AZ16+'RB I'!AZ16+'SF I'!AZ16</f>
        <v>93469.699808275152</v>
      </c>
      <c r="BA16" s="221">
        <f t="shared" si="8"/>
        <v>0.84539131398242251</v>
      </c>
      <c r="BB16" s="218">
        <f>SLP!BB16+ROSA!BB16+'STA ANA'!BB16+BOA!BB16+'STA MARIA'!BB16+'CB I'!BB16+IG!BB16+PN!BB16+MJ!BB16+'RB I'!BB16+'SF I'!BB16</f>
        <v>50650.341258279848</v>
      </c>
      <c r="BC16" s="218">
        <f>SLP!BC16+ROSA!BC16+'STA ANA'!BC16+BOA!BC16+'STA MARIA'!BC16+'CB I'!BC16+IG!BC16+PN!BC16+MJ!BC16+'RB I'!BC16+'SF I'!BC16</f>
        <v>44633.747307446509</v>
      </c>
      <c r="BD16" s="218">
        <f>SLP!BD16+ROSA!BD16+'STA ANA'!BD16+BOA!BD16+'STA MARIA'!BD16+'CB I'!BD16+IG!BD16+PN!BD16+MJ!BD16+'RB I'!BD16+'SF I'!BD16</f>
        <v>6016.5939508333349</v>
      </c>
      <c r="BE16" s="218">
        <f>SLP!BE16+ROSA!BE16+'STA ANA'!BE16+BOA!BE16+'STA MARIA'!BE16+'CB I'!BE16+IG!BE16+PN!BE16+MJ!BE16+'RB I'!BE16+'SF I'!BE16</f>
        <v>0</v>
      </c>
      <c r="BF16" s="218">
        <f>SLP!BF16+ROSA!BF16+'STA ANA'!BF16+BOA!BF16+'STA MARIA'!BF16+'CB I'!BF16+IG!BF16+PN!BF16+MJ!BF16+'RB I'!BF16+'SF I'!BF16</f>
        <v>0</v>
      </c>
      <c r="BG16" s="218">
        <f>SLP!BG16+ROSA!BG16+'STA ANA'!BG16+BOA!BG16+'STA MARIA'!BG16+'CB I'!BG16+IG!BG16+PN!BG16+MJ!BG16+'RB I'!BG16+'SF I'!BG16</f>
        <v>0</v>
      </c>
      <c r="BH16" s="221">
        <f t="shared" si="9"/>
        <v>-1</v>
      </c>
      <c r="BI16" s="218">
        <f>SLP!BI16+ROSA!BI16+'STA ANA'!BI16+BOA!BI16+'STA MARIA'!BI16+'CB I'!BI16+IG!BI16+PN!BI16+MJ!BI16+'RB I'!BI16+'SF I'!BI16</f>
        <v>50650.341258279848</v>
      </c>
      <c r="BJ16" s="218">
        <f>SLP!BJ16+ROSA!BJ16+'STA ANA'!BJ16+BOA!BJ16+'STA MARIA'!BJ16+'CB I'!BJ16+IG!BJ16+PN!BJ16+MJ!BJ16+'RB I'!BJ16+'SF I'!BJ16</f>
        <v>44633.747307446509</v>
      </c>
      <c r="BK16" s="218">
        <f>SLP!BK16+ROSA!BK16+'STA ANA'!BK16+BOA!BK16+'STA MARIA'!BK16+'CB I'!BK16+IG!BK16+PN!BK16+MJ!BK16+'RB I'!BK16+'SF I'!BK16</f>
        <v>6016.5939508333349</v>
      </c>
      <c r="BL16" s="218">
        <f>SLP!BL16+ROSA!BL16+'STA ANA'!BL16+BOA!BL16+'STA MARIA'!BL16+'CB I'!BL16+IG!BL16+PN!BL16+MJ!BL16+'RB I'!BL16+'SF I'!BL16</f>
        <v>0</v>
      </c>
      <c r="BM16" s="218">
        <f>SLP!BM16+ROSA!BM16+'STA ANA'!BM16+BOA!BM16+'STA MARIA'!BM16+'CB I'!BM16+IG!BM16+PN!BM16+MJ!BM16+'RB I'!BM16+'SF I'!BM16</f>
        <v>0</v>
      </c>
      <c r="BN16" s="218">
        <f>SLP!BN16+ROSA!BN16+'STA ANA'!BN16+BOA!BN16+'STA MARIA'!BN16+'CB I'!BN16+IG!BN16+PN!BN16+MJ!BN16+'RB I'!BN16+'SF I'!BN16</f>
        <v>0</v>
      </c>
      <c r="BO16" s="221">
        <f t="shared" si="10"/>
        <v>-1</v>
      </c>
      <c r="BP16" s="218">
        <f>SLP!BP16+ROSA!BP16+'STA ANA'!BP16+BOA!BP16+'STA MARIA'!BP16+'CB I'!BP16+IG!BP16+PN!BP16+MJ!BP16+'RB I'!BP16+'SF I'!BP16</f>
        <v>50650.341258279848</v>
      </c>
      <c r="BQ16" s="218">
        <f>SLP!BQ16+ROSA!BQ16+'STA ANA'!BQ16+BOA!BQ16+'STA MARIA'!BQ16+'CB I'!BQ16+IG!BQ16+PN!BQ16+MJ!BQ16+'RB I'!BQ16+'SF I'!BQ16</f>
        <v>44633.747307446509</v>
      </c>
      <c r="BR16" s="218">
        <f>SLP!BR16+ROSA!BR16+'STA ANA'!BR16+BOA!BR16+'STA MARIA'!BR16+'CB I'!BR16+IG!BR16+PN!BR16+MJ!BR16+'RB I'!BR16+'SF I'!BR16</f>
        <v>6016.5939508333349</v>
      </c>
      <c r="BS16" s="218">
        <f>SLP!BS16+ROSA!BS16+'STA ANA'!BS16+BOA!BS16+'STA MARIA'!BS16+'CB I'!BS16+IG!BS16+PN!BS16+MJ!BS16+'RB I'!BS16+'SF I'!BS16</f>
        <v>0</v>
      </c>
      <c r="BT16" s="218">
        <f>SLP!BT16+ROSA!BT16+'STA ANA'!BT16+BOA!BT16+'STA MARIA'!BT16+'CB I'!BT16+IG!BT16+PN!BT16+MJ!BT16+'RB I'!BT16+'SF I'!BT16</f>
        <v>0</v>
      </c>
      <c r="BU16" s="218">
        <f>SLP!BU16+ROSA!BU16+'STA ANA'!BU16+BOA!BU16+'STA MARIA'!BU16+'CB I'!BU16+IG!BU16+PN!BU16+MJ!BU16+'RB I'!BU16+'SF I'!BU16</f>
        <v>0</v>
      </c>
      <c r="BV16" s="221">
        <f t="shared" si="11"/>
        <v>-1</v>
      </c>
      <c r="BW16" s="218">
        <f>SLP!BW16+ROSA!BW16+'STA ANA'!BW16+BOA!BW16+'STA MARIA'!BW16+'CB I'!BW16+IG!BW16+PN!BW16+MJ!BW16+'RB I'!BW16+'SF I'!BW16</f>
        <v>50650.341258279848</v>
      </c>
      <c r="BX16" s="218">
        <f>SLP!BX16+ROSA!BX16+'STA ANA'!BX16+BOA!BX16+'STA MARIA'!BX16+'CB I'!BX16+IG!BX16+PN!BX16+MJ!BX16+'RB I'!BX16+'SF I'!BX16</f>
        <v>44633.747307446509</v>
      </c>
      <c r="BY16" s="218">
        <f>SLP!BY16+ROSA!BY16+'STA ANA'!BY16+BOA!BY16+'STA MARIA'!BY16+'CB I'!BY16+IG!BY16+PN!BY16+MJ!BY16+'RB I'!BY16+'SF I'!BY16</f>
        <v>6016.5939508333349</v>
      </c>
      <c r="BZ16" s="218">
        <f>SLP!BZ16+ROSA!BZ16+'STA ANA'!BZ16+BOA!BZ16+'STA MARIA'!BZ16+'CB I'!BZ16+IG!BZ16+PN!BZ16+MJ!BZ16+'RB I'!BZ16+'SF I'!BZ16</f>
        <v>0</v>
      </c>
      <c r="CA16" s="218">
        <f>SLP!CA16+ROSA!CA16+'STA ANA'!CA16+BOA!CA16+'STA MARIA'!CA16+'CB I'!CA16+IG!CA16+PN!CA16+MJ!CA16+'RB I'!CA16+'SF I'!CA16</f>
        <v>0</v>
      </c>
      <c r="CB16" s="218">
        <f>SLP!CB16+ROSA!CB16+'STA ANA'!CB16+BOA!CB16+'STA MARIA'!CB16+'CB I'!CB16+IG!CB16+PN!CB16+MJ!CB16+'RB I'!CB16+'SF I'!CB16</f>
        <v>0</v>
      </c>
      <c r="CC16" s="221">
        <f t="shared" si="12"/>
        <v>-1</v>
      </c>
      <c r="CD16" s="218">
        <f>SLP!CD16+ROSA!CD16+'STA ANA'!CD16+BOA!CD16+'STA MARIA'!CD16+'CB I'!CD16+IG!CD16+PN!CD16+MJ!CD16+'RB I'!CD16+'SF I'!CD16</f>
        <v>50650.341258279848</v>
      </c>
      <c r="CE16" s="218">
        <f>SLP!CE16+ROSA!CE16+'STA ANA'!CE16+BOA!CE16+'STA MARIA'!CE16+'CB I'!CE16+IG!CE16+PN!CE16+MJ!CE16+'RB I'!CE16+'SF I'!CE16</f>
        <v>44633.747307446509</v>
      </c>
      <c r="CF16" s="218">
        <f>SLP!CF16+ROSA!CF16+'STA ANA'!CF16+BOA!CF16+'STA MARIA'!CF16+'CB I'!CF16+IG!CF16+PN!CF16+MJ!CF16+'RB I'!CF16+'SF I'!CF16</f>
        <v>6016.5939508333349</v>
      </c>
      <c r="CG16" s="218">
        <f>SLP!CG16+ROSA!CG16+'STA ANA'!CG16+BOA!CG16+'STA MARIA'!CG16+'CB I'!CG16+IG!CG16+PN!CG16+MJ!CG16+'RB I'!CG16+'SF I'!CG16</f>
        <v>0</v>
      </c>
      <c r="CH16" s="218">
        <f>SLP!CH16+ROSA!CH16+'STA ANA'!CH16+BOA!CH16+'STA MARIA'!CH16+'CB I'!CH16+IG!CH16+PN!CH16+MJ!CH16+'RB I'!CH16+'SF I'!CH16</f>
        <v>0</v>
      </c>
      <c r="CI16" s="218">
        <f>SLP!CI16+ROSA!CI16+'STA ANA'!CI16+BOA!CI16+'STA MARIA'!CI16+'CB I'!CI16+IG!CI16+PN!CI16+MJ!CI16+'RB I'!CI16+'SF I'!CI16</f>
        <v>0</v>
      </c>
      <c r="CJ16" s="221">
        <f t="shared" si="13"/>
        <v>-1</v>
      </c>
      <c r="CK16" s="218">
        <f>SLP!CK16+ROSA!CK16+'STA ANA'!CK16+BOA!CK16+'STA MARIA'!CK16+'CB I'!CK16+IG!CK16+PN!CK16+MJ!CK16+'RB I'!CK16+'SF I'!CK16</f>
        <v>50650.341258279848</v>
      </c>
      <c r="CL16" s="218">
        <f>SLP!CL16+ROSA!CL16+'STA ANA'!CL16+BOA!CL16+'STA MARIA'!CL16+'CB I'!CL16+IG!CL16+PN!CL16+MJ!CL16+'RB I'!CL16+'SF I'!CL16</f>
        <v>44633.747307446509</v>
      </c>
      <c r="CM16" s="218">
        <f>SLP!CM16+ROSA!CM16+'STA ANA'!CM16+BOA!CM16+'STA MARIA'!CM16+'CB I'!CM16+IG!CM16+PN!CM16+MJ!CM16+'RB I'!CM16+'SF I'!CM16</f>
        <v>6016.5939508333349</v>
      </c>
      <c r="CN16" s="218">
        <f>SLP!CN16+ROSA!CN16+'STA ANA'!CN16+BOA!CN16+'STA MARIA'!CN16+'CB I'!CN16+IG!CN16+PN!CN16+MJ!CN16+'RB I'!CN16+'SF I'!CN16</f>
        <v>0</v>
      </c>
      <c r="CO16" s="218">
        <f>SLP!CO16+ROSA!CO16+'STA ANA'!CO16+BOA!CO16+'STA MARIA'!CO16+'CB I'!CO16+IG!CO16+PN!CO16+MJ!CO16+'RB I'!CO16+'SF I'!CO16</f>
        <v>0</v>
      </c>
      <c r="CP16" s="218">
        <f>SLP!CP16+ROSA!CP16+'STA ANA'!CP16+BOA!CP16+'STA MARIA'!CP16+'CB I'!CP16+IG!CP16+PN!CP16+MJ!CP16+'RB I'!CP16+'SF I'!CP16</f>
        <v>0</v>
      </c>
      <c r="CQ16" s="221">
        <f t="shared" si="14"/>
        <v>-1</v>
      </c>
      <c r="CR16" s="154"/>
      <c r="CS16" s="222" t="e">
        <f t="shared" si="15"/>
        <v>#VALUE!</v>
      </c>
    </row>
    <row r="17" spans="1:97" ht="16" customHeight="1" thickBot="1" x14ac:dyDescent="0.25">
      <c r="A17" s="223" t="s">
        <v>41</v>
      </c>
      <c r="B17" s="30">
        <f t="shared" si="0"/>
        <v>5847135.9883683743</v>
      </c>
      <c r="C17" s="31">
        <f t="shared" si="0"/>
        <v>5316261.3808737732</v>
      </c>
      <c r="D17" s="32">
        <f t="shared" si="0"/>
        <v>530874.60749459988</v>
      </c>
      <c r="E17" s="30">
        <f t="shared" si="16"/>
        <v>1949045.3294561249</v>
      </c>
      <c r="F17" s="33">
        <f t="shared" si="16"/>
        <v>1772087.1269579246</v>
      </c>
      <c r="G17" s="34">
        <f t="shared" si="16"/>
        <v>176958.2024982</v>
      </c>
      <c r="H17" s="31">
        <f t="shared" si="1"/>
        <v>3248367.5726785604</v>
      </c>
      <c r="I17" s="33">
        <f t="shared" si="1"/>
        <v>354810.97694564133</v>
      </c>
      <c r="J17" s="33">
        <f t="shared" si="1"/>
        <v>3603178.5496242018</v>
      </c>
      <c r="K17" s="221">
        <f t="shared" si="2"/>
        <v>0.84868894282189822</v>
      </c>
      <c r="L17" s="218">
        <f>SLP!L17+ROSA!L17+'STA ANA'!L17+BOA!L17+'STA MARIA'!L17+'CB I'!L17+IG!L17+PN!L17+MJ!L17+'RB I'!L17+'SF I'!L17</f>
        <v>487261.33236403123</v>
      </c>
      <c r="M17" s="218">
        <f>SLP!M17+ROSA!M17+'STA ANA'!M17+BOA!M17+'STA MARIA'!M17+'CB I'!M17+IG!M17+PN!M17+MJ!M17+'RB I'!M17+'SF I'!M17</f>
        <v>443021.78173948114</v>
      </c>
      <c r="N17" s="218">
        <f>SLP!N17+ROSA!N17+'STA ANA'!N17+BOA!N17+'STA MARIA'!N17+'CB I'!N17+IG!N17+PN!N17+MJ!N17+'RB I'!N17+'SF I'!N17</f>
        <v>44239.55062455</v>
      </c>
      <c r="O17" s="218">
        <f>SLP!O17+ROSA!O17+'STA ANA'!O17+BOA!O17+'STA MARIA'!O17+'CB I'!O17+IG!O17+PN!O17+MJ!O17+'RB I'!O17+'SF I'!O17</f>
        <v>425006.87263163482</v>
      </c>
      <c r="P17" s="218">
        <f>SLP!P17+ROSA!P17+'STA ANA'!P17+BOA!P17+'STA MARIA'!P17+'CB I'!P17+IG!P17+PN!P17+MJ!P17+'RB I'!P17+'SF I'!P17</f>
        <v>46380.319206222164</v>
      </c>
      <c r="Q17" s="218">
        <f>SLP!Q17+ROSA!Q17+'STA ANA'!Q17+BOA!Q17+'STA MARIA'!Q17+'CB I'!Q17+IG!Q17+PN!Q17+MJ!Q17+'RB I'!Q17+'SF I'!Q17</f>
        <v>471387.19183785701</v>
      </c>
      <c r="R17" s="221">
        <f t="shared" si="3"/>
        <v>-3.2578289044932318E-2</v>
      </c>
      <c r="S17" s="218">
        <f>SLP!S17+ROSA!S17+'STA ANA'!S17+BOA!S17+'STA MARIA'!S17+'CB I'!S17+IG!S17+PN!S17+MJ!S17+'RB I'!S17+'SF I'!S17</f>
        <v>487261.33236403123</v>
      </c>
      <c r="T17" s="218">
        <f>SLP!T17+ROSA!T17+'STA ANA'!T17+BOA!T17+'STA MARIA'!T17+'CB I'!T17+IG!T17+PN!T17+MJ!T17+'RB I'!T17+'SF I'!T17</f>
        <v>443021.78173948114</v>
      </c>
      <c r="U17" s="218">
        <f>SLP!U17+ROSA!U17+'STA ANA'!U17+BOA!U17+'STA MARIA'!U17+'CB I'!U17+IG!U17+PN!U17+MJ!U17+'RB I'!U17+'SF I'!U17</f>
        <v>44239.55062455</v>
      </c>
      <c r="V17" s="218">
        <f>SLP!V17+ROSA!V17+'STA ANA'!V17+BOA!V17+'STA MARIA'!V17+'CB I'!V17+IG!V17+PN!V17+MJ!V17+'RB I'!V17+'SF I'!V17</f>
        <v>422943.81038845144</v>
      </c>
      <c r="W17" s="218">
        <f>SLP!W17+ROSA!W17+'STA ANA'!W17+BOA!W17+'STA MARIA'!W17+'CB I'!W17+IG!W17+PN!W17+MJ!W17+'RB I'!W17+'SF I'!W17</f>
        <v>39520.250448054001</v>
      </c>
      <c r="X17" s="218">
        <f>SLP!X17+ROSA!X17+'STA ANA'!X17+BOA!X17+'STA MARIA'!X17+'CB I'!X17+IG!X17+PN!X17+MJ!X17+'RB I'!X17+'SF I'!X17</f>
        <v>462464.06083650549</v>
      </c>
      <c r="Y17" s="221">
        <f t="shared" si="4"/>
        <v>-5.0891113003401212E-2</v>
      </c>
      <c r="Z17" s="218">
        <f>SLP!Z17+ROSA!Z17+'STA ANA'!Z17+BOA!Z17+'STA MARIA'!Z17+'CB I'!Z17+IG!Z17+PN!Z17+MJ!Z17+'RB I'!Z17+'SF I'!Z17</f>
        <v>487261.33236403123</v>
      </c>
      <c r="AA17" s="218">
        <f>SLP!AA17+ROSA!AA17+'STA ANA'!AA17+BOA!AA17+'STA MARIA'!AA17+'CB I'!AA17+IG!AA17+PN!AA17+MJ!AA17+'RB I'!AA17+'SF I'!AA17</f>
        <v>443021.78173948114</v>
      </c>
      <c r="AB17" s="218">
        <f>SLP!AB17+ROSA!AB17+'STA ANA'!AB17+BOA!AB17+'STA MARIA'!AB17+'CB I'!AB17+IG!AB17+PN!AB17+MJ!AB17+'RB I'!AB17+'SF I'!AB17</f>
        <v>44239.55062455</v>
      </c>
      <c r="AC17" s="218">
        <f>SLP!AC17+ROSA!AC17+'STA ANA'!AC17+BOA!AC17+'STA MARIA'!AC17+'CB I'!AC17+IG!AC17+PN!AC17+MJ!AC17+'RB I'!AC17+'SF I'!AC17</f>
        <v>486246.25211525185</v>
      </c>
      <c r="AD17" s="218">
        <f>SLP!AD17+ROSA!AD17+'STA ANA'!AD17+BOA!AD17+'STA MARIA'!AD17+'CB I'!AD17+IG!AD17+PN!AD17+MJ!AD17+'RB I'!AD17+'SF I'!AD17</f>
        <v>48674.230089501216</v>
      </c>
      <c r="AE17" s="218">
        <f>SLP!AE17+ROSA!AE17+'STA ANA'!AE17+BOA!AE17+'STA MARIA'!AE17+'CB I'!AE17+IG!AE17+PN!AE17+MJ!AE17+'RB I'!AE17+'SF I'!AE17</f>
        <v>534920.48220475297</v>
      </c>
      <c r="AF17" s="221">
        <f t="shared" si="5"/>
        <v>9.7810244062452645E-2</v>
      </c>
      <c r="AG17" s="218">
        <f>SLP!AG17+ROSA!AG17+'STA ANA'!AG17+BOA!AG17+'STA MARIA'!AG17+'CB I'!AG17+IG!AG17+PN!AG17+MJ!AG17+'RB I'!AG17+'SF I'!AG17</f>
        <v>487261.33236403123</v>
      </c>
      <c r="AH17" s="218">
        <f>SLP!AH17+ROSA!AH17+'STA ANA'!AH17+BOA!AH17+'STA MARIA'!AH17+'CB I'!AH17+IG!AH17+PN!AH17+MJ!AH17+'RB I'!AH17+'SF I'!AH17</f>
        <v>443021.78173948114</v>
      </c>
      <c r="AI17" s="218">
        <f>SLP!AI17+ROSA!AI17+'STA ANA'!AI17+BOA!AI17+'STA MARIA'!AI17+'CB I'!AI17+IG!AI17+PN!AI17+MJ!AI17+'RB I'!AI17+'SF I'!AI17</f>
        <v>44239.55062455</v>
      </c>
      <c r="AJ17" s="218">
        <f>SLP!AJ17+ROSA!AJ17+'STA ANA'!AJ17+BOA!AJ17+'STA MARIA'!AJ17+'CB I'!AJ17+IG!AJ17+PN!AJ17+MJ!AJ17+'RB I'!AJ17+'SF I'!AJ17</f>
        <v>661288.16310100025</v>
      </c>
      <c r="AK17" s="218">
        <f>SLP!AK17+ROSA!AK17+'STA ANA'!AK17+BOA!AK17+'STA MARIA'!AK17+'CB I'!AK17+IG!AK17+PN!AK17+MJ!AK17+'RB I'!AK17+'SF I'!AK17</f>
        <v>74439.659581377069</v>
      </c>
      <c r="AL17" s="218">
        <f>SLP!AL17+ROSA!AL17+'STA ANA'!AL17+BOA!AL17+'STA MARIA'!AL17+'CB I'!AL17+IG!AL17+PN!AL17+MJ!AL17+'RB I'!AL17+'SF I'!AL17</f>
        <v>735727.82268237742</v>
      </c>
      <c r="AM17" s="221">
        <f t="shared" si="6"/>
        <v>0.50992449803654383</v>
      </c>
      <c r="AN17" s="218">
        <f>SLP!AN17+ROSA!AN17+'STA ANA'!AN17+BOA!AN17+'STA MARIA'!AN17+'CB I'!AN17+IG!AN17+PN!AN17+MJ!AN17+'RB I'!AN17+'SF I'!AN17</f>
        <v>487261.33236403123</v>
      </c>
      <c r="AO17" s="218">
        <f>SLP!AO17+ROSA!AO17+'STA ANA'!AO17+BOA!AO17+'STA MARIA'!AO17+'CB I'!AO17+IG!AO17+PN!AO17+MJ!AO17+'RB I'!AO17+'SF I'!AO17</f>
        <v>443021.78173948114</v>
      </c>
      <c r="AP17" s="218">
        <f>SLP!AP17+ROSA!AP17+'STA ANA'!AP17+BOA!AP17+'STA MARIA'!AP17+'CB I'!AP17+IG!AP17+PN!AP17+MJ!AP17+'RB I'!AP17+'SF I'!AP17</f>
        <v>44239.55062455</v>
      </c>
      <c r="AQ17" s="218">
        <f>SLP!AQ17+ROSA!AQ17+'STA ANA'!AQ17+BOA!AQ17+'STA MARIA'!AQ17+'CB I'!AQ17+IG!AQ17+PN!AQ17+MJ!AQ17+'RB I'!AQ17+'SF I'!AQ17</f>
        <v>617288.87162251165</v>
      </c>
      <c r="AR17" s="218">
        <f>SLP!AR17+ROSA!AR17+'STA ANA'!AR17+BOA!AR17+'STA MARIA'!AR17+'CB I'!AR17+IG!AR17+PN!AR17+MJ!AR17+'RB I'!AR17+'SF I'!AR17</f>
        <v>69112.664821527127</v>
      </c>
      <c r="AS17" s="218">
        <f>SLP!AS17+ROSA!AS17+'STA ANA'!AS17+BOA!AS17+'STA MARIA'!AS17+'CB I'!AS17+IG!AS17+PN!AS17+MJ!AS17+'RB I'!AS17+'SF I'!AS17</f>
        <v>686401.53644403885</v>
      </c>
      <c r="AT17" s="221">
        <f t="shared" si="7"/>
        <v>0.40869281195338258</v>
      </c>
      <c r="AU17" s="218">
        <f>SLP!AU17+ROSA!AU17+'STA ANA'!AU17+BOA!AU17+'STA MARIA'!AU17+'CB I'!AU17+IG!AU17+PN!AU17+MJ!AU17+'RB I'!AU17+'SF I'!AU17</f>
        <v>487261.33236403123</v>
      </c>
      <c r="AV17" s="218">
        <f>SLP!AV17+ROSA!AV17+'STA ANA'!AV17+BOA!AV17+'STA MARIA'!AV17+'CB I'!AV17+IG!AV17+PN!AV17+MJ!AV17+'RB I'!AV17+'SF I'!AV17</f>
        <v>443021.78173948114</v>
      </c>
      <c r="AW17" s="218">
        <f>SLP!AW17+ROSA!AW17+'STA ANA'!AW17+BOA!AW17+'STA MARIA'!AW17+'CB I'!AW17+IG!AW17+PN!AW17+MJ!AW17+'RB I'!AW17+'SF I'!AW17</f>
        <v>44239.55062455</v>
      </c>
      <c r="AX17" s="218">
        <f>SLP!AX17+ROSA!AX17+'STA ANA'!AX17+BOA!AX17+'STA MARIA'!AX17+'CB I'!AX17+IG!AX17+PN!AX17+MJ!AX17+'RB I'!AX17+'SF I'!AX17</f>
        <v>635593.60281971039</v>
      </c>
      <c r="AY17" s="218">
        <f>SLP!AY17+ROSA!AY17+'STA ANA'!AY17+BOA!AY17+'STA MARIA'!AY17+'CB I'!AY17+IG!AY17+PN!AY17+MJ!AY17+'RB I'!AY17+'SF I'!AY17</f>
        <v>76683.85279895975</v>
      </c>
      <c r="AZ17" s="218">
        <f>SLP!AZ17+ROSA!AZ17+'STA ANA'!AZ17+BOA!AZ17+'STA MARIA'!AZ17+'CB I'!AZ17+IG!AZ17+PN!AZ17+MJ!AZ17+'RB I'!AZ17+'SF I'!AZ17</f>
        <v>712277.45561867021</v>
      </c>
      <c r="BA17" s="221">
        <f t="shared" si="8"/>
        <v>0.46179761928354757</v>
      </c>
      <c r="BB17" s="218">
        <f>SLP!BB17+ROSA!BB17+'STA ANA'!BB17+BOA!BB17+'STA MARIA'!BB17+'CB I'!BB17+IG!BB17+PN!BB17+MJ!BB17+'RB I'!BB17+'SF I'!BB17</f>
        <v>487261.33236403123</v>
      </c>
      <c r="BC17" s="218">
        <f>SLP!BC17+ROSA!BC17+'STA ANA'!BC17+BOA!BC17+'STA MARIA'!BC17+'CB I'!BC17+IG!BC17+PN!BC17+MJ!BC17+'RB I'!BC17+'SF I'!BC17</f>
        <v>443021.78173948114</v>
      </c>
      <c r="BD17" s="218">
        <f>SLP!BD17+ROSA!BD17+'STA ANA'!BD17+BOA!BD17+'STA MARIA'!BD17+'CB I'!BD17+IG!BD17+PN!BD17+MJ!BD17+'RB I'!BD17+'SF I'!BD17</f>
        <v>44239.55062455</v>
      </c>
      <c r="BE17" s="218">
        <f>SLP!BE17+ROSA!BE17+'STA ANA'!BE17+BOA!BE17+'STA MARIA'!BE17+'CB I'!BE17+IG!BE17+PN!BE17+MJ!BE17+'RB I'!BE17+'SF I'!BE17</f>
        <v>0</v>
      </c>
      <c r="BF17" s="218">
        <f>SLP!BF17+ROSA!BF17+'STA ANA'!BF17+BOA!BF17+'STA MARIA'!BF17+'CB I'!BF17+IG!BF17+PN!BF17+MJ!BF17+'RB I'!BF17+'SF I'!BF17</f>
        <v>0</v>
      </c>
      <c r="BG17" s="218">
        <f>SLP!BG17+ROSA!BG17+'STA ANA'!BG17+BOA!BG17+'STA MARIA'!BG17+'CB I'!BG17+IG!BG17+PN!BG17+MJ!BG17+'RB I'!BG17+'SF I'!BG17</f>
        <v>0</v>
      </c>
      <c r="BH17" s="221">
        <f t="shared" si="9"/>
        <v>-1</v>
      </c>
      <c r="BI17" s="218">
        <f>SLP!BI17+ROSA!BI17+'STA ANA'!BI17+BOA!BI17+'STA MARIA'!BI17+'CB I'!BI17+IG!BI17+PN!BI17+MJ!BI17+'RB I'!BI17+'SF I'!BI17</f>
        <v>487261.33236403123</v>
      </c>
      <c r="BJ17" s="218">
        <f>SLP!BJ17+ROSA!BJ17+'STA ANA'!BJ17+BOA!BJ17+'STA MARIA'!BJ17+'CB I'!BJ17+IG!BJ17+PN!BJ17+MJ!BJ17+'RB I'!BJ17+'SF I'!BJ17</f>
        <v>443021.78173948114</v>
      </c>
      <c r="BK17" s="218">
        <f>SLP!BK17+ROSA!BK17+'STA ANA'!BK17+BOA!BK17+'STA MARIA'!BK17+'CB I'!BK17+IG!BK17+PN!BK17+MJ!BK17+'RB I'!BK17+'SF I'!BK17</f>
        <v>44239.55062455</v>
      </c>
      <c r="BL17" s="218">
        <f>SLP!BL17+ROSA!BL17+'STA ANA'!BL17+BOA!BL17+'STA MARIA'!BL17+'CB I'!BL17+IG!BL17+PN!BL17+MJ!BL17+'RB I'!BL17+'SF I'!BL17</f>
        <v>0</v>
      </c>
      <c r="BM17" s="218">
        <f>SLP!BM17+ROSA!BM17+'STA ANA'!BM17+BOA!BM17+'STA MARIA'!BM17+'CB I'!BM17+IG!BM17+PN!BM17+MJ!BM17+'RB I'!BM17+'SF I'!BM17</f>
        <v>0</v>
      </c>
      <c r="BN17" s="218">
        <f>SLP!BN17+ROSA!BN17+'STA ANA'!BN17+BOA!BN17+'STA MARIA'!BN17+'CB I'!BN17+IG!BN17+PN!BN17+MJ!BN17+'RB I'!BN17+'SF I'!BN17</f>
        <v>0</v>
      </c>
      <c r="BO17" s="221">
        <f t="shared" si="10"/>
        <v>-1</v>
      </c>
      <c r="BP17" s="218">
        <f>SLP!BP17+ROSA!BP17+'STA ANA'!BP17+BOA!BP17+'STA MARIA'!BP17+'CB I'!BP17+IG!BP17+PN!BP17+MJ!BP17+'RB I'!BP17+'SF I'!BP17</f>
        <v>487261.33236403123</v>
      </c>
      <c r="BQ17" s="218">
        <f>SLP!BQ17+ROSA!BQ17+'STA ANA'!BQ17+BOA!BQ17+'STA MARIA'!BQ17+'CB I'!BQ17+IG!BQ17+PN!BQ17+MJ!BQ17+'RB I'!BQ17+'SF I'!BQ17</f>
        <v>443021.78173948114</v>
      </c>
      <c r="BR17" s="218">
        <f>SLP!BR17+ROSA!BR17+'STA ANA'!BR17+BOA!BR17+'STA MARIA'!BR17+'CB I'!BR17+IG!BR17+PN!BR17+MJ!BR17+'RB I'!BR17+'SF I'!BR17</f>
        <v>44239.55062455</v>
      </c>
      <c r="BS17" s="218">
        <f>SLP!BS17+ROSA!BS17+'STA ANA'!BS17+BOA!BS17+'STA MARIA'!BS17+'CB I'!BS17+IG!BS17+PN!BS17+MJ!BS17+'RB I'!BS17+'SF I'!BS17</f>
        <v>0</v>
      </c>
      <c r="BT17" s="218">
        <f>SLP!BT17+ROSA!BT17+'STA ANA'!BT17+BOA!BT17+'STA MARIA'!BT17+'CB I'!BT17+IG!BT17+PN!BT17+MJ!BT17+'RB I'!BT17+'SF I'!BT17</f>
        <v>0</v>
      </c>
      <c r="BU17" s="218">
        <f>SLP!BU17+ROSA!BU17+'STA ANA'!BU17+BOA!BU17+'STA MARIA'!BU17+'CB I'!BU17+IG!BU17+PN!BU17+MJ!BU17+'RB I'!BU17+'SF I'!BU17</f>
        <v>0</v>
      </c>
      <c r="BV17" s="221">
        <f t="shared" si="11"/>
        <v>-1</v>
      </c>
      <c r="BW17" s="218">
        <f>SLP!BW17+ROSA!BW17+'STA ANA'!BW17+BOA!BW17+'STA MARIA'!BW17+'CB I'!BW17+IG!BW17+PN!BW17+MJ!BW17+'RB I'!BW17+'SF I'!BW17</f>
        <v>487261.33236403123</v>
      </c>
      <c r="BX17" s="218">
        <f>SLP!BX17+ROSA!BX17+'STA ANA'!BX17+BOA!BX17+'STA MARIA'!BX17+'CB I'!BX17+IG!BX17+PN!BX17+MJ!BX17+'RB I'!BX17+'SF I'!BX17</f>
        <v>443021.78173948114</v>
      </c>
      <c r="BY17" s="218">
        <f>SLP!BY17+ROSA!BY17+'STA ANA'!BY17+BOA!BY17+'STA MARIA'!BY17+'CB I'!BY17+IG!BY17+PN!BY17+MJ!BY17+'RB I'!BY17+'SF I'!BY17</f>
        <v>44239.55062455</v>
      </c>
      <c r="BZ17" s="218">
        <f>SLP!BZ17+ROSA!BZ17+'STA ANA'!BZ17+BOA!BZ17+'STA MARIA'!BZ17+'CB I'!BZ17+IG!BZ17+PN!BZ17+MJ!BZ17+'RB I'!BZ17+'SF I'!BZ17</f>
        <v>0</v>
      </c>
      <c r="CA17" s="218">
        <f>SLP!CA17+ROSA!CA17+'STA ANA'!CA17+BOA!CA17+'STA MARIA'!CA17+'CB I'!CA17+IG!CA17+PN!CA17+MJ!CA17+'RB I'!CA17+'SF I'!CA17</f>
        <v>0</v>
      </c>
      <c r="CB17" s="218">
        <f>SLP!CB17+ROSA!CB17+'STA ANA'!CB17+BOA!CB17+'STA MARIA'!CB17+'CB I'!CB17+IG!CB17+PN!CB17+MJ!CB17+'RB I'!CB17+'SF I'!CB17</f>
        <v>0</v>
      </c>
      <c r="CC17" s="221">
        <f t="shared" si="12"/>
        <v>-1</v>
      </c>
      <c r="CD17" s="218">
        <f>SLP!CD17+ROSA!CD17+'STA ANA'!CD17+BOA!CD17+'STA MARIA'!CD17+'CB I'!CD17+IG!CD17+PN!CD17+MJ!CD17+'RB I'!CD17+'SF I'!CD17</f>
        <v>487261.33236403123</v>
      </c>
      <c r="CE17" s="218">
        <f>SLP!CE17+ROSA!CE17+'STA ANA'!CE17+BOA!CE17+'STA MARIA'!CE17+'CB I'!CE17+IG!CE17+PN!CE17+MJ!CE17+'RB I'!CE17+'SF I'!CE17</f>
        <v>443021.78173948114</v>
      </c>
      <c r="CF17" s="218">
        <f>SLP!CF17+ROSA!CF17+'STA ANA'!CF17+BOA!CF17+'STA MARIA'!CF17+'CB I'!CF17+IG!CF17+PN!CF17+MJ!CF17+'RB I'!CF17+'SF I'!CF17</f>
        <v>44239.55062455</v>
      </c>
      <c r="CG17" s="218">
        <f>SLP!CG17+ROSA!CG17+'STA ANA'!CG17+BOA!CG17+'STA MARIA'!CG17+'CB I'!CG17+IG!CG17+PN!CG17+MJ!CG17+'RB I'!CG17+'SF I'!CG17</f>
        <v>0</v>
      </c>
      <c r="CH17" s="218">
        <f>SLP!CH17+ROSA!CH17+'STA ANA'!CH17+BOA!CH17+'STA MARIA'!CH17+'CB I'!CH17+IG!CH17+PN!CH17+MJ!CH17+'RB I'!CH17+'SF I'!CH17</f>
        <v>0</v>
      </c>
      <c r="CI17" s="218">
        <f>SLP!CI17+ROSA!CI17+'STA ANA'!CI17+BOA!CI17+'STA MARIA'!CI17+'CB I'!CI17+IG!CI17+PN!CI17+MJ!CI17+'RB I'!CI17+'SF I'!CI17</f>
        <v>0</v>
      </c>
      <c r="CJ17" s="221">
        <f t="shared" si="13"/>
        <v>-1</v>
      </c>
      <c r="CK17" s="218">
        <f>SLP!CK17+ROSA!CK17+'STA ANA'!CK17+BOA!CK17+'STA MARIA'!CK17+'CB I'!CK17+IG!CK17+PN!CK17+MJ!CK17+'RB I'!CK17+'SF I'!CK17</f>
        <v>487261.33236403123</v>
      </c>
      <c r="CL17" s="218">
        <f>SLP!CL17+ROSA!CL17+'STA ANA'!CL17+BOA!CL17+'STA MARIA'!CL17+'CB I'!CL17+IG!CL17+PN!CL17+MJ!CL17+'RB I'!CL17+'SF I'!CL17</f>
        <v>443021.78173948114</v>
      </c>
      <c r="CM17" s="218">
        <f>SLP!CM17+ROSA!CM17+'STA ANA'!CM17+BOA!CM17+'STA MARIA'!CM17+'CB I'!CM17+IG!CM17+PN!CM17+MJ!CM17+'RB I'!CM17+'SF I'!CM17</f>
        <v>44239.55062455</v>
      </c>
      <c r="CN17" s="218">
        <f>SLP!CN17+ROSA!CN17+'STA ANA'!CN17+BOA!CN17+'STA MARIA'!CN17+'CB I'!CN17+IG!CN17+PN!CN17+MJ!CN17+'RB I'!CN17+'SF I'!CN17</f>
        <v>0</v>
      </c>
      <c r="CO17" s="218">
        <f>SLP!CO17+ROSA!CO17+'STA ANA'!CO17+BOA!CO17+'STA MARIA'!CO17+'CB I'!CO17+IG!CO17+PN!CO17+MJ!CO17+'RB I'!CO17+'SF I'!CO17</f>
        <v>0</v>
      </c>
      <c r="CP17" s="218">
        <f>SLP!CP17+ROSA!CP17+'STA ANA'!CP17+BOA!CP17+'STA MARIA'!CP17+'CB I'!CP17+IG!CP17+PN!CP17+MJ!CP17+'RB I'!CP17+'SF I'!CP17</f>
        <v>0</v>
      </c>
      <c r="CQ17" s="221">
        <f t="shared" si="14"/>
        <v>-1</v>
      </c>
      <c r="CR17" s="154"/>
      <c r="CS17" s="222" t="e">
        <f t="shared" si="15"/>
        <v>#VALUE!</v>
      </c>
    </row>
    <row r="18" spans="1:97" ht="16" customHeight="1" thickBot="1" x14ac:dyDescent="0.25">
      <c r="A18" s="223" t="s">
        <v>42</v>
      </c>
      <c r="B18" s="30">
        <f t="shared" si="0"/>
        <v>1025432.4079779271</v>
      </c>
      <c r="C18" s="31">
        <f t="shared" si="0"/>
        <v>936485.41031829675</v>
      </c>
      <c r="D18" s="32">
        <f t="shared" si="0"/>
        <v>88946.997659630797</v>
      </c>
      <c r="E18" s="30">
        <f t="shared" si="16"/>
        <v>341810.80265930912</v>
      </c>
      <c r="F18" s="33">
        <f t="shared" si="16"/>
        <v>312161.80343943217</v>
      </c>
      <c r="G18" s="34">
        <f t="shared" si="16"/>
        <v>29648.999219876929</v>
      </c>
      <c r="H18" s="31">
        <f t="shared" si="1"/>
        <v>587866.72264872922</v>
      </c>
      <c r="I18" s="33">
        <f t="shared" si="1"/>
        <v>57456.601079991895</v>
      </c>
      <c r="J18" s="33">
        <f t="shared" si="1"/>
        <v>645323.32372872112</v>
      </c>
      <c r="K18" s="221">
        <f t="shared" si="2"/>
        <v>0.88795473609396147</v>
      </c>
      <c r="L18" s="218">
        <f>SLP!L18+ROSA!L18+'STA ANA'!L18+BOA!L18+'STA MARIA'!L18+'CB I'!L18+IG!L18+PN!L18+MJ!L18+'RB I'!L18+'SF I'!L18</f>
        <v>85452.70066482728</v>
      </c>
      <c r="M18" s="218">
        <f>SLP!M18+ROSA!M18+'STA ANA'!M18+BOA!M18+'STA MARIA'!M18+'CB I'!M18+IG!M18+PN!M18+MJ!M18+'RB I'!M18+'SF I'!M18</f>
        <v>78040.450859858043</v>
      </c>
      <c r="N18" s="218">
        <f>SLP!N18+ROSA!N18+'STA ANA'!N18+BOA!N18+'STA MARIA'!N18+'CB I'!N18+IG!N18+PN!N18+MJ!N18+'RB I'!N18+'SF I'!N18</f>
        <v>7412.2498049692322</v>
      </c>
      <c r="O18" s="218">
        <f>SLP!O18+ROSA!O18+'STA ANA'!O18+BOA!O18+'STA MARIA'!O18+'CB I'!O18+IG!O18+PN!O18+MJ!O18+'RB I'!O18+'SF I'!O18</f>
        <v>108616.30944439284</v>
      </c>
      <c r="P18" s="218">
        <f>SLP!P18+ROSA!P18+'STA ANA'!P18+BOA!P18+'STA MARIA'!P18+'CB I'!P18+IG!P18+PN!P18+MJ!P18+'RB I'!P18+'SF I'!P18</f>
        <v>10854.54869655611</v>
      </c>
      <c r="Q18" s="218">
        <f>SLP!Q18+ROSA!Q18+'STA ANA'!Q18+BOA!Q18+'STA MARIA'!Q18+'CB I'!Q18+IG!Q18+PN!Q18+MJ!Q18+'RB I'!Q18+'SF I'!Q18</f>
        <v>119470.85814094897</v>
      </c>
      <c r="R18" s="221">
        <f t="shared" si="3"/>
        <v>0.39809341555572053</v>
      </c>
      <c r="S18" s="218">
        <f>SLP!S18+ROSA!S18+'STA ANA'!S18+BOA!S18+'STA MARIA'!S18+'CB I'!S18+IG!S18+PN!S18+MJ!S18+'RB I'!S18+'SF I'!S18</f>
        <v>85452.70066482728</v>
      </c>
      <c r="T18" s="218">
        <f>SLP!T18+ROSA!T18+'STA ANA'!T18+BOA!T18+'STA MARIA'!T18+'CB I'!T18+IG!T18+PN!T18+MJ!T18+'RB I'!T18+'SF I'!T18</f>
        <v>78040.450859858043</v>
      </c>
      <c r="U18" s="218">
        <f>SLP!U18+ROSA!U18+'STA ANA'!U18+BOA!U18+'STA MARIA'!U18+'CB I'!U18+IG!U18+PN!U18+MJ!U18+'RB I'!U18+'SF I'!U18</f>
        <v>7412.2498049692322</v>
      </c>
      <c r="V18" s="218">
        <f>SLP!V18+ROSA!V18+'STA ANA'!V18+BOA!V18+'STA MARIA'!V18+'CB I'!V18+IG!V18+PN!V18+MJ!V18+'RB I'!V18+'SF I'!V18</f>
        <v>61238.575607286672</v>
      </c>
      <c r="W18" s="218">
        <f>SLP!W18+ROSA!W18+'STA ANA'!W18+BOA!W18+'STA MARIA'!W18+'CB I'!W18+IG!W18+PN!W18+MJ!W18+'RB I'!W18+'SF I'!W18</f>
        <v>13674.081134172095</v>
      </c>
      <c r="X18" s="218">
        <f>SLP!X18+ROSA!X18+'STA ANA'!X18+BOA!X18+'STA MARIA'!X18+'CB I'!X18+IG!X18+PN!X18+MJ!X18+'RB I'!X18+'SF I'!X18</f>
        <v>74912.656741458777</v>
      </c>
      <c r="Y18" s="221">
        <f t="shared" si="4"/>
        <v>-0.12334360226612284</v>
      </c>
      <c r="Z18" s="218">
        <f>SLP!Z18+ROSA!Z18+'STA ANA'!Z18+BOA!Z18+'STA MARIA'!Z18+'CB I'!Z18+IG!Z18+PN!Z18+MJ!Z18+'RB I'!Z18+'SF I'!Z18</f>
        <v>85452.70066482728</v>
      </c>
      <c r="AA18" s="218">
        <f>SLP!AA18+ROSA!AA18+'STA ANA'!AA18+BOA!AA18+'STA MARIA'!AA18+'CB I'!AA18+IG!AA18+PN!AA18+MJ!AA18+'RB I'!AA18+'SF I'!AA18</f>
        <v>78040.450859858043</v>
      </c>
      <c r="AB18" s="218">
        <f>SLP!AB18+ROSA!AB18+'STA ANA'!AB18+BOA!AB18+'STA MARIA'!AB18+'CB I'!AB18+IG!AB18+PN!AB18+MJ!AB18+'RB I'!AB18+'SF I'!AB18</f>
        <v>7412.2498049692322</v>
      </c>
      <c r="AC18" s="218">
        <f>SLP!AC18+ROSA!AC18+'STA ANA'!AC18+BOA!AC18+'STA MARIA'!AC18+'CB I'!AC18+IG!AC18+PN!AC18+MJ!AC18+'RB I'!AC18+'SF I'!AC18</f>
        <v>180614.08243198323</v>
      </c>
      <c r="AD18" s="218">
        <f>SLP!AD18+ROSA!AD18+'STA ANA'!AD18+BOA!AD18+'STA MARIA'!AD18+'CB I'!AD18+IG!AD18+PN!AD18+MJ!AD18+'RB I'!AD18+'SF I'!AD18</f>
        <v>8899.0604952130689</v>
      </c>
      <c r="AE18" s="218">
        <f>SLP!AE18+ROSA!AE18+'STA ANA'!AE18+BOA!AE18+'STA MARIA'!AE18+'CB I'!AE18+IG!AE18+PN!AE18+MJ!AE18+'RB I'!AE18+'SF I'!AE18</f>
        <v>189513.14292719631</v>
      </c>
      <c r="AF18" s="221">
        <f t="shared" si="5"/>
        <v>1.2177548685152413</v>
      </c>
      <c r="AG18" s="218">
        <f>SLP!AG18+ROSA!AG18+'STA ANA'!AG18+BOA!AG18+'STA MARIA'!AG18+'CB I'!AG18+IG!AG18+PN!AG18+MJ!AG18+'RB I'!AG18+'SF I'!AG18</f>
        <v>85452.70066482728</v>
      </c>
      <c r="AH18" s="218">
        <f>SLP!AH18+ROSA!AH18+'STA ANA'!AH18+BOA!AH18+'STA MARIA'!AH18+'CB I'!AH18+IG!AH18+PN!AH18+MJ!AH18+'RB I'!AH18+'SF I'!AH18</f>
        <v>78040.450859858043</v>
      </c>
      <c r="AI18" s="218">
        <f>SLP!AI18+ROSA!AI18+'STA ANA'!AI18+BOA!AI18+'STA MARIA'!AI18+'CB I'!AI18+IG!AI18+PN!AI18+MJ!AI18+'RB I'!AI18+'SF I'!AI18</f>
        <v>7412.2498049692322</v>
      </c>
      <c r="AJ18" s="218">
        <f>SLP!AJ18+ROSA!AJ18+'STA ANA'!AJ18+BOA!AJ18+'STA MARIA'!AJ18+'CB I'!AJ18+IG!AJ18+PN!AJ18+MJ!AJ18+'RB I'!AJ18+'SF I'!AJ18</f>
        <v>2603.3599353362192</v>
      </c>
      <c r="AK18" s="218">
        <f>SLP!AK18+ROSA!AK18+'STA ANA'!AK18+BOA!AK18+'STA MARIA'!AK18+'CB I'!AK18+IG!AK18+PN!AK18+MJ!AK18+'RB I'!AK18+'SF I'!AK18</f>
        <v>0</v>
      </c>
      <c r="AL18" s="218">
        <f>SLP!AL18+ROSA!AL18+'STA ANA'!AL18+BOA!AL18+'STA MARIA'!AL18+'CB I'!AL18+IG!AL18+PN!AL18+MJ!AL18+'RB I'!AL18+'SF I'!AL18</f>
        <v>2603.3599353362192</v>
      </c>
      <c r="AM18" s="221">
        <f t="shared" si="6"/>
        <v>-0.96953449200456021</v>
      </c>
      <c r="AN18" s="218">
        <f>SLP!AN18+ROSA!AN18+'STA ANA'!AN18+BOA!AN18+'STA MARIA'!AN18+'CB I'!AN18+IG!AN18+PN!AN18+MJ!AN18+'RB I'!AN18+'SF I'!AN18</f>
        <v>85452.70066482728</v>
      </c>
      <c r="AO18" s="218">
        <f>SLP!AO18+ROSA!AO18+'STA ANA'!AO18+BOA!AO18+'STA MARIA'!AO18+'CB I'!AO18+IG!AO18+PN!AO18+MJ!AO18+'RB I'!AO18+'SF I'!AO18</f>
        <v>78040.450859858043</v>
      </c>
      <c r="AP18" s="218">
        <f>SLP!AP18+ROSA!AP18+'STA ANA'!AP18+BOA!AP18+'STA MARIA'!AP18+'CB I'!AP18+IG!AP18+PN!AP18+MJ!AP18+'RB I'!AP18+'SF I'!AP18</f>
        <v>7412.2498049692322</v>
      </c>
      <c r="AQ18" s="218">
        <f>SLP!AQ18+ROSA!AQ18+'STA ANA'!AQ18+BOA!AQ18+'STA MARIA'!AQ18+'CB I'!AQ18+IG!AQ18+PN!AQ18+MJ!AQ18+'RB I'!AQ18+'SF I'!AQ18</f>
        <v>202463.75016751155</v>
      </c>
      <c r="AR18" s="218">
        <f>SLP!AR18+ROSA!AR18+'STA ANA'!AR18+BOA!AR18+'STA MARIA'!AR18+'CB I'!AR18+IG!AR18+PN!AR18+MJ!AR18+'RB I'!AR18+'SF I'!AR18</f>
        <v>23095.727648018263</v>
      </c>
      <c r="AS18" s="218">
        <f>SLP!AS18+ROSA!AS18+'STA ANA'!AS18+BOA!AS18+'STA MARIA'!AS18+'CB I'!AS18+IG!AS18+PN!AS18+MJ!AS18+'RB I'!AS18+'SF I'!AS18</f>
        <v>225559.47781552986</v>
      </c>
      <c r="AT18" s="221">
        <f t="shared" si="7"/>
        <v>1.6395827874445539</v>
      </c>
      <c r="AU18" s="218">
        <f>SLP!AU18+ROSA!AU18+'STA ANA'!AU18+BOA!AU18+'STA MARIA'!AU18+'CB I'!AU18+IG!AU18+PN!AU18+MJ!AU18+'RB I'!AU18+'SF I'!AU18</f>
        <v>85452.70066482728</v>
      </c>
      <c r="AV18" s="218">
        <f>SLP!AV18+ROSA!AV18+'STA ANA'!AV18+BOA!AV18+'STA MARIA'!AV18+'CB I'!AV18+IG!AV18+PN!AV18+MJ!AV18+'RB I'!AV18+'SF I'!AV18</f>
        <v>78040.450859858043</v>
      </c>
      <c r="AW18" s="218">
        <f>SLP!AW18+ROSA!AW18+'STA ANA'!AW18+BOA!AW18+'STA MARIA'!AW18+'CB I'!AW18+IG!AW18+PN!AW18+MJ!AW18+'RB I'!AW18+'SF I'!AW18</f>
        <v>7412.2498049692322</v>
      </c>
      <c r="AX18" s="218">
        <f>SLP!AX18+ROSA!AX18+'STA ANA'!AX18+BOA!AX18+'STA MARIA'!AX18+'CB I'!AX18+IG!AX18+PN!AX18+MJ!AX18+'RB I'!AX18+'SF I'!AX18</f>
        <v>32330.64506221862</v>
      </c>
      <c r="AY18" s="218">
        <f>SLP!AY18+ROSA!AY18+'STA ANA'!AY18+BOA!AY18+'STA MARIA'!AY18+'CB I'!AY18+IG!AY18+PN!AY18+MJ!AY18+'RB I'!AY18+'SF I'!AY18</f>
        <v>933.18310603235921</v>
      </c>
      <c r="AZ18" s="218">
        <f>SLP!AZ18+ROSA!AZ18+'STA ANA'!AZ18+BOA!AZ18+'STA MARIA'!AZ18+'CB I'!AZ18+IG!AZ18+PN!AZ18+MJ!AZ18+'RB I'!AZ18+'SF I'!AZ18</f>
        <v>33263.828168250984</v>
      </c>
      <c r="BA18" s="221">
        <f t="shared" si="8"/>
        <v>-0.61073403286898653</v>
      </c>
      <c r="BB18" s="218">
        <f>SLP!BB18+ROSA!BB18+'STA ANA'!BB18+BOA!BB18+'STA MARIA'!BB18+'CB I'!BB18+IG!BB18+PN!BB18+MJ!BB18+'RB I'!BB18+'SF I'!BB18</f>
        <v>85452.70066482728</v>
      </c>
      <c r="BC18" s="218">
        <f>SLP!BC18+ROSA!BC18+'STA ANA'!BC18+BOA!BC18+'STA MARIA'!BC18+'CB I'!BC18+IG!BC18+PN!BC18+MJ!BC18+'RB I'!BC18+'SF I'!BC18</f>
        <v>78040.450859858043</v>
      </c>
      <c r="BD18" s="218">
        <f>SLP!BD18+ROSA!BD18+'STA ANA'!BD18+BOA!BD18+'STA MARIA'!BD18+'CB I'!BD18+IG!BD18+PN!BD18+MJ!BD18+'RB I'!BD18+'SF I'!BD18</f>
        <v>7412.2498049692322</v>
      </c>
      <c r="BE18" s="218">
        <f>SLP!BE18+ROSA!BE18+'STA ANA'!BE18+BOA!BE18+'STA MARIA'!BE18+'CB I'!BE18+IG!BE18+PN!BE18+MJ!BE18+'RB I'!BE18+'SF I'!BE18</f>
        <v>0</v>
      </c>
      <c r="BF18" s="218">
        <f>SLP!BF18+ROSA!BF18+'STA ANA'!BF18+BOA!BF18+'STA MARIA'!BF18+'CB I'!BF18+IG!BF18+PN!BF18+MJ!BF18+'RB I'!BF18+'SF I'!BF18</f>
        <v>0</v>
      </c>
      <c r="BG18" s="218">
        <f>SLP!BG18+ROSA!BG18+'STA ANA'!BG18+BOA!BG18+'STA MARIA'!BG18+'CB I'!BG18+IG!BG18+PN!BG18+MJ!BG18+'RB I'!BG18+'SF I'!BG18</f>
        <v>0</v>
      </c>
      <c r="BH18" s="221">
        <f t="shared" si="9"/>
        <v>-1</v>
      </c>
      <c r="BI18" s="218">
        <f>SLP!BI18+ROSA!BI18+'STA ANA'!BI18+BOA!BI18+'STA MARIA'!BI18+'CB I'!BI18+IG!BI18+PN!BI18+MJ!BI18+'RB I'!BI18+'SF I'!BI18</f>
        <v>85452.70066482728</v>
      </c>
      <c r="BJ18" s="218">
        <f>SLP!BJ18+ROSA!BJ18+'STA ANA'!BJ18+BOA!BJ18+'STA MARIA'!BJ18+'CB I'!BJ18+IG!BJ18+PN!BJ18+MJ!BJ18+'RB I'!BJ18+'SF I'!BJ18</f>
        <v>78040.450859858043</v>
      </c>
      <c r="BK18" s="218">
        <f>SLP!BK18+ROSA!BK18+'STA ANA'!BK18+BOA!BK18+'STA MARIA'!BK18+'CB I'!BK18+IG!BK18+PN!BK18+MJ!BK18+'RB I'!BK18+'SF I'!BK18</f>
        <v>7412.2498049692322</v>
      </c>
      <c r="BL18" s="218">
        <f>SLP!BL18+ROSA!BL18+'STA ANA'!BL18+BOA!BL18+'STA MARIA'!BL18+'CB I'!BL18+IG!BL18+PN!BL18+MJ!BL18+'RB I'!BL18+'SF I'!BL18</f>
        <v>0</v>
      </c>
      <c r="BM18" s="218">
        <f>SLP!BM18+ROSA!BM18+'STA ANA'!BM18+BOA!BM18+'STA MARIA'!BM18+'CB I'!BM18+IG!BM18+PN!BM18+MJ!BM18+'RB I'!BM18+'SF I'!BM18</f>
        <v>0</v>
      </c>
      <c r="BN18" s="218">
        <f>SLP!BN18+ROSA!BN18+'STA ANA'!BN18+BOA!BN18+'STA MARIA'!BN18+'CB I'!BN18+IG!BN18+PN!BN18+MJ!BN18+'RB I'!BN18+'SF I'!BN18</f>
        <v>0</v>
      </c>
      <c r="BO18" s="221">
        <f t="shared" si="10"/>
        <v>-1</v>
      </c>
      <c r="BP18" s="218">
        <f>SLP!BP18+ROSA!BP18+'STA ANA'!BP18+BOA!BP18+'STA MARIA'!BP18+'CB I'!BP18+IG!BP18+PN!BP18+MJ!BP18+'RB I'!BP18+'SF I'!BP18</f>
        <v>85452.70066482728</v>
      </c>
      <c r="BQ18" s="218">
        <f>SLP!BQ18+ROSA!BQ18+'STA ANA'!BQ18+BOA!BQ18+'STA MARIA'!BQ18+'CB I'!BQ18+IG!BQ18+PN!BQ18+MJ!BQ18+'RB I'!BQ18+'SF I'!BQ18</f>
        <v>78040.450859858043</v>
      </c>
      <c r="BR18" s="218">
        <f>SLP!BR18+ROSA!BR18+'STA ANA'!BR18+BOA!BR18+'STA MARIA'!BR18+'CB I'!BR18+IG!BR18+PN!BR18+MJ!BR18+'RB I'!BR18+'SF I'!BR18</f>
        <v>7412.2498049692322</v>
      </c>
      <c r="BS18" s="218">
        <f>SLP!BS18+ROSA!BS18+'STA ANA'!BS18+BOA!BS18+'STA MARIA'!BS18+'CB I'!BS18+IG!BS18+PN!BS18+MJ!BS18+'RB I'!BS18+'SF I'!BS18</f>
        <v>0</v>
      </c>
      <c r="BT18" s="218">
        <f>SLP!BT18+ROSA!BT18+'STA ANA'!BT18+BOA!BT18+'STA MARIA'!BT18+'CB I'!BT18+IG!BT18+PN!BT18+MJ!BT18+'RB I'!BT18+'SF I'!BT18</f>
        <v>0</v>
      </c>
      <c r="BU18" s="218">
        <f>SLP!BU18+ROSA!BU18+'STA ANA'!BU18+BOA!BU18+'STA MARIA'!BU18+'CB I'!BU18+IG!BU18+PN!BU18+MJ!BU18+'RB I'!BU18+'SF I'!BU18</f>
        <v>0</v>
      </c>
      <c r="BV18" s="221">
        <f t="shared" si="11"/>
        <v>-1</v>
      </c>
      <c r="BW18" s="218">
        <f>SLP!BW18+ROSA!BW18+'STA ANA'!BW18+BOA!BW18+'STA MARIA'!BW18+'CB I'!BW18+IG!BW18+PN!BW18+MJ!BW18+'RB I'!BW18+'SF I'!BW18</f>
        <v>85452.70066482728</v>
      </c>
      <c r="BX18" s="218">
        <f>SLP!BX18+ROSA!BX18+'STA ANA'!BX18+BOA!BX18+'STA MARIA'!BX18+'CB I'!BX18+IG!BX18+PN!BX18+MJ!BX18+'RB I'!BX18+'SF I'!BX18</f>
        <v>78040.450859858043</v>
      </c>
      <c r="BY18" s="218">
        <f>SLP!BY18+ROSA!BY18+'STA ANA'!BY18+BOA!BY18+'STA MARIA'!BY18+'CB I'!BY18+IG!BY18+PN!BY18+MJ!BY18+'RB I'!BY18+'SF I'!BY18</f>
        <v>7412.2498049692322</v>
      </c>
      <c r="BZ18" s="218">
        <f>SLP!BZ18+ROSA!BZ18+'STA ANA'!BZ18+BOA!BZ18+'STA MARIA'!BZ18+'CB I'!BZ18+IG!BZ18+PN!BZ18+MJ!BZ18+'RB I'!BZ18+'SF I'!BZ18</f>
        <v>0</v>
      </c>
      <c r="CA18" s="218">
        <f>SLP!CA18+ROSA!CA18+'STA ANA'!CA18+BOA!CA18+'STA MARIA'!CA18+'CB I'!CA18+IG!CA18+PN!CA18+MJ!CA18+'RB I'!CA18+'SF I'!CA18</f>
        <v>0</v>
      </c>
      <c r="CB18" s="218">
        <f>SLP!CB18+ROSA!CB18+'STA ANA'!CB18+BOA!CB18+'STA MARIA'!CB18+'CB I'!CB18+IG!CB18+PN!CB18+MJ!CB18+'RB I'!CB18+'SF I'!CB18</f>
        <v>0</v>
      </c>
      <c r="CC18" s="221">
        <f t="shared" si="12"/>
        <v>-1</v>
      </c>
      <c r="CD18" s="218">
        <f>SLP!CD18+ROSA!CD18+'STA ANA'!CD18+BOA!CD18+'STA MARIA'!CD18+'CB I'!CD18+IG!CD18+PN!CD18+MJ!CD18+'RB I'!CD18+'SF I'!CD18</f>
        <v>85452.70066482728</v>
      </c>
      <c r="CE18" s="218">
        <f>SLP!CE18+ROSA!CE18+'STA ANA'!CE18+BOA!CE18+'STA MARIA'!CE18+'CB I'!CE18+IG!CE18+PN!CE18+MJ!CE18+'RB I'!CE18+'SF I'!CE18</f>
        <v>78040.450859858043</v>
      </c>
      <c r="CF18" s="218">
        <f>SLP!CF18+ROSA!CF18+'STA ANA'!CF18+BOA!CF18+'STA MARIA'!CF18+'CB I'!CF18+IG!CF18+PN!CF18+MJ!CF18+'RB I'!CF18+'SF I'!CF18</f>
        <v>7412.2498049692322</v>
      </c>
      <c r="CG18" s="218">
        <f>SLP!CG18+ROSA!CG18+'STA ANA'!CG18+BOA!CG18+'STA MARIA'!CG18+'CB I'!CG18+IG!CG18+PN!CG18+MJ!CG18+'RB I'!CG18+'SF I'!CG18</f>
        <v>0</v>
      </c>
      <c r="CH18" s="218">
        <f>SLP!CH18+ROSA!CH18+'STA ANA'!CH18+BOA!CH18+'STA MARIA'!CH18+'CB I'!CH18+IG!CH18+PN!CH18+MJ!CH18+'RB I'!CH18+'SF I'!CH18</f>
        <v>0</v>
      </c>
      <c r="CI18" s="218">
        <f>SLP!CI18+ROSA!CI18+'STA ANA'!CI18+BOA!CI18+'STA MARIA'!CI18+'CB I'!CI18+IG!CI18+PN!CI18+MJ!CI18+'RB I'!CI18+'SF I'!CI18</f>
        <v>0</v>
      </c>
      <c r="CJ18" s="221">
        <f t="shared" si="13"/>
        <v>-1</v>
      </c>
      <c r="CK18" s="218">
        <f>SLP!CK18+ROSA!CK18+'STA ANA'!CK18+BOA!CK18+'STA MARIA'!CK18+'CB I'!CK18+IG!CK18+PN!CK18+MJ!CK18+'RB I'!CK18+'SF I'!CK18</f>
        <v>85452.70066482728</v>
      </c>
      <c r="CL18" s="218">
        <f>SLP!CL18+ROSA!CL18+'STA ANA'!CL18+BOA!CL18+'STA MARIA'!CL18+'CB I'!CL18+IG!CL18+PN!CL18+MJ!CL18+'RB I'!CL18+'SF I'!CL18</f>
        <v>78040.450859858043</v>
      </c>
      <c r="CM18" s="218">
        <f>SLP!CM18+ROSA!CM18+'STA ANA'!CM18+BOA!CM18+'STA MARIA'!CM18+'CB I'!CM18+IG!CM18+PN!CM18+MJ!CM18+'RB I'!CM18+'SF I'!CM18</f>
        <v>7412.2498049692322</v>
      </c>
      <c r="CN18" s="218">
        <f>SLP!CN18+ROSA!CN18+'STA ANA'!CN18+BOA!CN18+'STA MARIA'!CN18+'CB I'!CN18+IG!CN18+PN!CN18+MJ!CN18+'RB I'!CN18+'SF I'!CN18</f>
        <v>0</v>
      </c>
      <c r="CO18" s="218">
        <f>SLP!CO18+ROSA!CO18+'STA ANA'!CO18+BOA!CO18+'STA MARIA'!CO18+'CB I'!CO18+IG!CO18+PN!CO18+MJ!CO18+'RB I'!CO18+'SF I'!CO18</f>
        <v>0</v>
      </c>
      <c r="CP18" s="218">
        <f>SLP!CP18+ROSA!CP18+'STA ANA'!CP18+BOA!CP18+'STA MARIA'!CP18+'CB I'!CP18+IG!CP18+PN!CP18+MJ!CP18+'RB I'!CP18+'SF I'!CP18</f>
        <v>0</v>
      </c>
      <c r="CQ18" s="221">
        <f t="shared" si="14"/>
        <v>-1</v>
      </c>
      <c r="CR18" s="154"/>
      <c r="CS18" s="222" t="e">
        <f t="shared" si="15"/>
        <v>#VALUE!</v>
      </c>
    </row>
    <row r="19" spans="1:97" ht="16" customHeight="1" thickBot="1" x14ac:dyDescent="0.25">
      <c r="A19" s="223" t="s">
        <v>43</v>
      </c>
      <c r="B19" s="30">
        <f t="shared" si="0"/>
        <v>315170.53092208941</v>
      </c>
      <c r="C19" s="31">
        <f t="shared" si="0"/>
        <v>289098.94867208932</v>
      </c>
      <c r="D19" s="32">
        <f t="shared" si="0"/>
        <v>26071.582249999996</v>
      </c>
      <c r="E19" s="30">
        <f t="shared" si="16"/>
        <v>105056.84364069646</v>
      </c>
      <c r="F19" s="33">
        <f t="shared" si="16"/>
        <v>96366.316224029797</v>
      </c>
      <c r="G19" s="34">
        <f t="shared" si="16"/>
        <v>8690.5274166666659</v>
      </c>
      <c r="H19" s="31">
        <f t="shared" si="1"/>
        <v>191832.67849381495</v>
      </c>
      <c r="I19" s="33">
        <f t="shared" si="1"/>
        <v>16174.649811884668</v>
      </c>
      <c r="J19" s="33">
        <f t="shared" si="1"/>
        <v>208007.3283056996</v>
      </c>
      <c r="K19" s="221">
        <f t="shared" si="2"/>
        <v>0.97995029259686062</v>
      </c>
      <c r="L19" s="218">
        <f>SLP!L19+ROSA!L19+'STA ANA'!L19+BOA!L19+'STA MARIA'!L19+'CB I'!L19+IG!L19+PN!L19+MJ!L19+'RB I'!L19+'SF I'!L19</f>
        <v>26264.210910174115</v>
      </c>
      <c r="M19" s="218">
        <f>SLP!M19+ROSA!M19+'STA ANA'!M19+BOA!M19+'STA MARIA'!M19+'CB I'!M19+IG!M19+PN!M19+MJ!M19+'RB I'!M19+'SF I'!M19</f>
        <v>24091.579056007449</v>
      </c>
      <c r="N19" s="218">
        <f>SLP!N19+ROSA!N19+'STA ANA'!N19+BOA!N19+'STA MARIA'!N19+'CB I'!N19+IG!N19+PN!N19+MJ!N19+'RB I'!N19+'SF I'!N19</f>
        <v>2172.6318541666665</v>
      </c>
      <c r="O19" s="218">
        <f>SLP!O19+ROSA!O19+'STA ANA'!O19+BOA!O19+'STA MARIA'!O19+'CB I'!O19+IG!O19+PN!O19+MJ!O19+'RB I'!O19+'SF I'!O19</f>
        <v>37597.610117253491</v>
      </c>
      <c r="P19" s="218">
        <f>SLP!P19+ROSA!P19+'STA ANA'!P19+BOA!P19+'STA MARIA'!P19+'CB I'!P19+IG!P19+PN!P19+MJ!P19+'RB I'!P19+'SF I'!P19</f>
        <v>3355.8239178611166</v>
      </c>
      <c r="Q19" s="218">
        <f>SLP!Q19+ROSA!Q19+'STA ANA'!Q19+BOA!Q19+'STA MARIA'!Q19+'CB I'!Q19+IG!Q19+PN!Q19+MJ!Q19+'RB I'!Q19+'SF I'!Q19</f>
        <v>40953.434035114609</v>
      </c>
      <c r="R19" s="221">
        <f t="shared" si="3"/>
        <v>0.55928667246767527</v>
      </c>
      <c r="S19" s="218">
        <f>SLP!S19+ROSA!S19+'STA ANA'!S19+BOA!S19+'STA MARIA'!S19+'CB I'!S19+IG!S19+PN!S19+MJ!S19+'RB I'!S19+'SF I'!S19</f>
        <v>26264.210910174115</v>
      </c>
      <c r="T19" s="218">
        <f>SLP!T19+ROSA!T19+'STA ANA'!T19+BOA!T19+'STA MARIA'!T19+'CB I'!T19+IG!T19+PN!T19+MJ!T19+'RB I'!T19+'SF I'!T19</f>
        <v>24091.579056007449</v>
      </c>
      <c r="U19" s="218">
        <f>SLP!U19+ROSA!U19+'STA ANA'!U19+BOA!U19+'STA MARIA'!U19+'CB I'!U19+IG!U19+PN!U19+MJ!U19+'RB I'!U19+'SF I'!U19</f>
        <v>2172.6318541666665</v>
      </c>
      <c r="V19" s="218">
        <f>SLP!V19+ROSA!V19+'STA ANA'!V19+BOA!V19+'STA MARIA'!V19+'CB I'!V19+IG!V19+PN!V19+MJ!V19+'RB I'!V19+'SF I'!V19</f>
        <v>23067.114480698616</v>
      </c>
      <c r="W19" s="218">
        <f>SLP!W19+ROSA!W19+'STA ANA'!W19+BOA!W19+'STA MARIA'!W19+'CB I'!W19+IG!W19+PN!W19+MJ!W19+'RB I'!W19+'SF I'!W19</f>
        <v>2434.9513191232613</v>
      </c>
      <c r="X19" s="218">
        <f>SLP!X19+ROSA!X19+'STA ANA'!X19+BOA!X19+'STA MARIA'!X19+'CB I'!X19+IG!X19+PN!X19+MJ!X19+'RB I'!X19+'SF I'!X19</f>
        <v>25502.065799821878</v>
      </c>
      <c r="Y19" s="221">
        <f t="shared" si="4"/>
        <v>-2.9018389814140622E-2</v>
      </c>
      <c r="Z19" s="218">
        <f>SLP!Z19+ROSA!Z19+'STA ANA'!Z19+BOA!Z19+'STA MARIA'!Z19+'CB I'!Z19+IG!Z19+PN!Z19+MJ!Z19+'RB I'!Z19+'SF I'!Z19</f>
        <v>26264.210910174115</v>
      </c>
      <c r="AA19" s="218">
        <f>SLP!AA19+ROSA!AA19+'STA ANA'!AA19+BOA!AA19+'STA MARIA'!AA19+'CB I'!AA19+IG!AA19+PN!AA19+MJ!AA19+'RB I'!AA19+'SF I'!AA19</f>
        <v>24091.579056007449</v>
      </c>
      <c r="AB19" s="218">
        <f>SLP!AB19+ROSA!AB19+'STA ANA'!AB19+BOA!AB19+'STA MARIA'!AB19+'CB I'!AB19+IG!AB19+PN!AB19+MJ!AB19+'RB I'!AB19+'SF I'!AB19</f>
        <v>2172.6318541666665</v>
      </c>
      <c r="AC19" s="218">
        <f>SLP!AC19+ROSA!AC19+'STA ANA'!AC19+BOA!AC19+'STA MARIA'!AC19+'CB I'!AC19+IG!AC19+PN!AC19+MJ!AC19+'RB I'!AC19+'SF I'!AC19</f>
        <v>24345.573347176258</v>
      </c>
      <c r="AD19" s="218">
        <f>SLP!AD19+ROSA!AD19+'STA ANA'!AD19+BOA!AD19+'STA MARIA'!AD19+'CB I'!AD19+IG!AD19+PN!AD19+MJ!AD19+'RB I'!AD19+'SF I'!AD19</f>
        <v>1356.7801537777984</v>
      </c>
      <c r="AE19" s="218">
        <f>SLP!AE19+ROSA!AE19+'STA ANA'!AE19+BOA!AE19+'STA MARIA'!AE19+'CB I'!AE19+IG!AE19+PN!AE19+MJ!AE19+'RB I'!AE19+'SF I'!AE19</f>
        <v>25702.35350095405</v>
      </c>
      <c r="AF19" s="221">
        <f t="shared" si="5"/>
        <v>-2.1392510559013811E-2</v>
      </c>
      <c r="AG19" s="218">
        <f>SLP!AG19+ROSA!AG19+'STA ANA'!AG19+BOA!AG19+'STA MARIA'!AG19+'CB I'!AG19+IG!AG19+PN!AG19+MJ!AG19+'RB I'!AG19+'SF I'!AG19</f>
        <v>26264.210910174115</v>
      </c>
      <c r="AH19" s="218">
        <f>SLP!AH19+ROSA!AH19+'STA ANA'!AH19+BOA!AH19+'STA MARIA'!AH19+'CB I'!AH19+IG!AH19+PN!AH19+MJ!AH19+'RB I'!AH19+'SF I'!AH19</f>
        <v>24091.579056007449</v>
      </c>
      <c r="AI19" s="218">
        <f>SLP!AI19+ROSA!AI19+'STA ANA'!AI19+BOA!AI19+'STA MARIA'!AI19+'CB I'!AI19+IG!AI19+PN!AI19+MJ!AI19+'RB I'!AI19+'SF I'!AI19</f>
        <v>2172.6318541666665</v>
      </c>
      <c r="AJ19" s="218">
        <f>SLP!AJ19+ROSA!AJ19+'STA ANA'!AJ19+BOA!AJ19+'STA MARIA'!AJ19+'CB I'!AJ19+IG!AJ19+PN!AJ19+MJ!AJ19+'RB I'!AJ19+'SF I'!AJ19</f>
        <v>44127.42212574929</v>
      </c>
      <c r="AK19" s="218">
        <f>SLP!AK19+ROSA!AK19+'STA ANA'!AK19+BOA!AK19+'STA MARIA'!AK19+'CB I'!AK19+IG!AK19+PN!AK19+MJ!AK19+'RB I'!AK19+'SF I'!AK19</f>
        <v>4341.9177588844868</v>
      </c>
      <c r="AL19" s="218">
        <f>SLP!AL19+ROSA!AL19+'STA ANA'!AL19+BOA!AL19+'STA MARIA'!AL19+'CB I'!AL19+IG!AL19+PN!AL19+MJ!AL19+'RB I'!AL19+'SF I'!AL19</f>
        <v>48469.339884633773</v>
      </c>
      <c r="AM19" s="221">
        <f t="shared" si="6"/>
        <v>0.84545197456733545</v>
      </c>
      <c r="AN19" s="218">
        <f>SLP!AN19+ROSA!AN19+'STA ANA'!AN19+BOA!AN19+'STA MARIA'!AN19+'CB I'!AN19+IG!AN19+PN!AN19+MJ!AN19+'RB I'!AN19+'SF I'!AN19</f>
        <v>26264.210910174115</v>
      </c>
      <c r="AO19" s="218">
        <f>SLP!AO19+ROSA!AO19+'STA ANA'!AO19+BOA!AO19+'STA MARIA'!AO19+'CB I'!AO19+IG!AO19+PN!AO19+MJ!AO19+'RB I'!AO19+'SF I'!AO19</f>
        <v>24091.579056007449</v>
      </c>
      <c r="AP19" s="218">
        <f>SLP!AP19+ROSA!AP19+'STA ANA'!AP19+BOA!AP19+'STA MARIA'!AP19+'CB I'!AP19+IG!AP19+PN!AP19+MJ!AP19+'RB I'!AP19+'SF I'!AP19</f>
        <v>2172.6318541666665</v>
      </c>
      <c r="AQ19" s="218">
        <f>SLP!AQ19+ROSA!AQ19+'STA ANA'!AQ19+BOA!AQ19+'STA MARIA'!AQ19+'CB I'!AQ19+IG!AQ19+PN!AQ19+MJ!AQ19+'RB I'!AQ19+'SF I'!AQ19</f>
        <v>31552.556757719271</v>
      </c>
      <c r="AR19" s="218">
        <f>SLP!AR19+ROSA!AR19+'STA ANA'!AR19+BOA!AR19+'STA MARIA'!AR19+'CB I'!AR19+IG!AR19+PN!AR19+MJ!AR19+'RB I'!AR19+'SF I'!AR19</f>
        <v>2532.3689807390724</v>
      </c>
      <c r="AS19" s="218">
        <f>SLP!AS19+ROSA!AS19+'STA ANA'!AS19+BOA!AS19+'STA MARIA'!AS19+'CB I'!AS19+IG!AS19+PN!AS19+MJ!AS19+'RB I'!AS19+'SF I'!AS19</f>
        <v>34084.925738458347</v>
      </c>
      <c r="AT19" s="221">
        <f t="shared" si="7"/>
        <v>0.29777078987949634</v>
      </c>
      <c r="AU19" s="218">
        <f>SLP!AU19+ROSA!AU19+'STA ANA'!AU19+BOA!AU19+'STA MARIA'!AU19+'CB I'!AU19+IG!AU19+PN!AU19+MJ!AU19+'RB I'!AU19+'SF I'!AU19</f>
        <v>26264.210910174115</v>
      </c>
      <c r="AV19" s="218">
        <f>SLP!AV19+ROSA!AV19+'STA ANA'!AV19+BOA!AV19+'STA MARIA'!AV19+'CB I'!AV19+IG!AV19+PN!AV19+MJ!AV19+'RB I'!AV19+'SF I'!AV19</f>
        <v>24091.579056007449</v>
      </c>
      <c r="AW19" s="218">
        <f>SLP!AW19+ROSA!AW19+'STA ANA'!AW19+BOA!AW19+'STA MARIA'!AW19+'CB I'!AW19+IG!AW19+PN!AW19+MJ!AW19+'RB I'!AW19+'SF I'!AW19</f>
        <v>2172.6318541666665</v>
      </c>
      <c r="AX19" s="218">
        <f>SLP!AX19+ROSA!AX19+'STA ANA'!AX19+BOA!AX19+'STA MARIA'!AX19+'CB I'!AX19+IG!AX19+PN!AX19+MJ!AX19+'RB I'!AX19+'SF I'!AX19</f>
        <v>31142.401665217993</v>
      </c>
      <c r="AY19" s="218">
        <f>SLP!AY19+ROSA!AY19+'STA ANA'!AY19+BOA!AY19+'STA MARIA'!AY19+'CB I'!AY19+IG!AY19+PN!AY19+MJ!AY19+'RB I'!AY19+'SF I'!AY19</f>
        <v>2152.8076814989322</v>
      </c>
      <c r="AZ19" s="218">
        <f>SLP!AZ19+ROSA!AZ19+'STA ANA'!AZ19+BOA!AZ19+'STA MARIA'!AZ19+'CB I'!AZ19+IG!AZ19+PN!AZ19+MJ!AZ19+'RB I'!AZ19+'SF I'!AZ19</f>
        <v>33295.209346716925</v>
      </c>
      <c r="BA19" s="221">
        <f t="shared" si="8"/>
        <v>0.2677026338460895</v>
      </c>
      <c r="BB19" s="218">
        <f>SLP!BB19+ROSA!BB19+'STA ANA'!BB19+BOA!BB19+'STA MARIA'!BB19+'CB I'!BB19+IG!BB19+PN!BB19+MJ!BB19+'RB I'!BB19+'SF I'!BB19</f>
        <v>26264.210910174115</v>
      </c>
      <c r="BC19" s="218">
        <f>SLP!BC19+ROSA!BC19+'STA ANA'!BC19+BOA!BC19+'STA MARIA'!BC19+'CB I'!BC19+IG!BC19+PN!BC19+MJ!BC19+'RB I'!BC19+'SF I'!BC19</f>
        <v>24091.579056007449</v>
      </c>
      <c r="BD19" s="218">
        <f>SLP!BD19+ROSA!BD19+'STA ANA'!BD19+BOA!BD19+'STA MARIA'!BD19+'CB I'!BD19+IG!BD19+PN!BD19+MJ!BD19+'RB I'!BD19+'SF I'!BD19</f>
        <v>2172.6318541666665</v>
      </c>
      <c r="BE19" s="218">
        <f>SLP!BE19+ROSA!BE19+'STA ANA'!BE19+BOA!BE19+'STA MARIA'!BE19+'CB I'!BE19+IG!BE19+PN!BE19+MJ!BE19+'RB I'!BE19+'SF I'!BE19</f>
        <v>0</v>
      </c>
      <c r="BF19" s="218">
        <f>SLP!BF19+ROSA!BF19+'STA ANA'!BF19+BOA!BF19+'STA MARIA'!BF19+'CB I'!BF19+IG!BF19+PN!BF19+MJ!BF19+'RB I'!BF19+'SF I'!BF19</f>
        <v>0</v>
      </c>
      <c r="BG19" s="218">
        <f>SLP!BG19+ROSA!BG19+'STA ANA'!BG19+BOA!BG19+'STA MARIA'!BG19+'CB I'!BG19+IG!BG19+PN!BG19+MJ!BG19+'RB I'!BG19+'SF I'!BG19</f>
        <v>0</v>
      </c>
      <c r="BH19" s="221">
        <f t="shared" si="9"/>
        <v>-1</v>
      </c>
      <c r="BI19" s="218">
        <f>SLP!BI19+ROSA!BI19+'STA ANA'!BI19+BOA!BI19+'STA MARIA'!BI19+'CB I'!BI19+IG!BI19+PN!BI19+MJ!BI19+'RB I'!BI19+'SF I'!BI19</f>
        <v>26264.210910174115</v>
      </c>
      <c r="BJ19" s="218">
        <f>SLP!BJ19+ROSA!BJ19+'STA ANA'!BJ19+BOA!BJ19+'STA MARIA'!BJ19+'CB I'!BJ19+IG!BJ19+PN!BJ19+MJ!BJ19+'RB I'!BJ19+'SF I'!BJ19</f>
        <v>24091.579056007449</v>
      </c>
      <c r="BK19" s="218">
        <f>SLP!BK19+ROSA!BK19+'STA ANA'!BK19+BOA!BK19+'STA MARIA'!BK19+'CB I'!BK19+IG!BK19+PN!BK19+MJ!BK19+'RB I'!BK19+'SF I'!BK19</f>
        <v>2172.6318541666665</v>
      </c>
      <c r="BL19" s="218">
        <f>SLP!BL19+ROSA!BL19+'STA ANA'!BL19+BOA!BL19+'STA MARIA'!BL19+'CB I'!BL19+IG!BL19+PN!BL19+MJ!BL19+'RB I'!BL19+'SF I'!BL19</f>
        <v>0</v>
      </c>
      <c r="BM19" s="218">
        <f>SLP!BM19+ROSA!BM19+'STA ANA'!BM19+BOA!BM19+'STA MARIA'!BM19+'CB I'!BM19+IG!BM19+PN!BM19+MJ!BM19+'RB I'!BM19+'SF I'!BM19</f>
        <v>0</v>
      </c>
      <c r="BN19" s="218">
        <f>SLP!BN19+ROSA!BN19+'STA ANA'!BN19+BOA!BN19+'STA MARIA'!BN19+'CB I'!BN19+IG!BN19+PN!BN19+MJ!BN19+'RB I'!BN19+'SF I'!BN19</f>
        <v>0</v>
      </c>
      <c r="BO19" s="221">
        <f t="shared" si="10"/>
        <v>-1</v>
      </c>
      <c r="BP19" s="218">
        <f>SLP!BP19+ROSA!BP19+'STA ANA'!BP19+BOA!BP19+'STA MARIA'!BP19+'CB I'!BP19+IG!BP19+PN!BP19+MJ!BP19+'RB I'!BP19+'SF I'!BP19</f>
        <v>26264.210910174115</v>
      </c>
      <c r="BQ19" s="218">
        <f>SLP!BQ19+ROSA!BQ19+'STA ANA'!BQ19+BOA!BQ19+'STA MARIA'!BQ19+'CB I'!BQ19+IG!BQ19+PN!BQ19+MJ!BQ19+'RB I'!BQ19+'SF I'!BQ19</f>
        <v>24091.579056007449</v>
      </c>
      <c r="BR19" s="218">
        <f>SLP!BR19+ROSA!BR19+'STA ANA'!BR19+BOA!BR19+'STA MARIA'!BR19+'CB I'!BR19+IG!BR19+PN!BR19+MJ!BR19+'RB I'!BR19+'SF I'!BR19</f>
        <v>2172.6318541666665</v>
      </c>
      <c r="BS19" s="218">
        <f>SLP!BS19+ROSA!BS19+'STA ANA'!BS19+BOA!BS19+'STA MARIA'!BS19+'CB I'!BS19+IG!BS19+PN!BS19+MJ!BS19+'RB I'!BS19+'SF I'!BS19</f>
        <v>0</v>
      </c>
      <c r="BT19" s="218">
        <f>SLP!BT19+ROSA!BT19+'STA ANA'!BT19+BOA!BT19+'STA MARIA'!BT19+'CB I'!BT19+IG!BT19+PN!BT19+MJ!BT19+'RB I'!BT19+'SF I'!BT19</f>
        <v>0</v>
      </c>
      <c r="BU19" s="218">
        <f>SLP!BU19+ROSA!BU19+'STA ANA'!BU19+BOA!BU19+'STA MARIA'!BU19+'CB I'!BU19+IG!BU19+PN!BU19+MJ!BU19+'RB I'!BU19+'SF I'!BU19</f>
        <v>0</v>
      </c>
      <c r="BV19" s="221">
        <f t="shared" si="11"/>
        <v>-1</v>
      </c>
      <c r="BW19" s="218">
        <f>SLP!BW19+ROSA!BW19+'STA ANA'!BW19+BOA!BW19+'STA MARIA'!BW19+'CB I'!BW19+IG!BW19+PN!BW19+MJ!BW19+'RB I'!BW19+'SF I'!BW19</f>
        <v>26264.210910174115</v>
      </c>
      <c r="BX19" s="218">
        <f>SLP!BX19+ROSA!BX19+'STA ANA'!BX19+BOA!BX19+'STA MARIA'!BX19+'CB I'!BX19+IG!BX19+PN!BX19+MJ!BX19+'RB I'!BX19+'SF I'!BX19</f>
        <v>24091.579056007449</v>
      </c>
      <c r="BY19" s="218">
        <f>SLP!BY19+ROSA!BY19+'STA ANA'!BY19+BOA!BY19+'STA MARIA'!BY19+'CB I'!BY19+IG!BY19+PN!BY19+MJ!BY19+'RB I'!BY19+'SF I'!BY19</f>
        <v>2172.6318541666665</v>
      </c>
      <c r="BZ19" s="218">
        <f>SLP!BZ19+ROSA!BZ19+'STA ANA'!BZ19+BOA!BZ19+'STA MARIA'!BZ19+'CB I'!BZ19+IG!BZ19+PN!BZ19+MJ!BZ19+'RB I'!BZ19+'SF I'!BZ19</f>
        <v>0</v>
      </c>
      <c r="CA19" s="218">
        <f>SLP!CA19+ROSA!CA19+'STA ANA'!CA19+BOA!CA19+'STA MARIA'!CA19+'CB I'!CA19+IG!CA19+PN!CA19+MJ!CA19+'RB I'!CA19+'SF I'!CA19</f>
        <v>0</v>
      </c>
      <c r="CB19" s="218">
        <f>SLP!CB19+ROSA!CB19+'STA ANA'!CB19+BOA!CB19+'STA MARIA'!CB19+'CB I'!CB19+IG!CB19+PN!CB19+MJ!CB19+'RB I'!CB19+'SF I'!CB19</f>
        <v>0</v>
      </c>
      <c r="CC19" s="221">
        <f t="shared" si="12"/>
        <v>-1</v>
      </c>
      <c r="CD19" s="218">
        <f>SLP!CD19+ROSA!CD19+'STA ANA'!CD19+BOA!CD19+'STA MARIA'!CD19+'CB I'!CD19+IG!CD19+PN!CD19+MJ!CD19+'RB I'!CD19+'SF I'!CD19</f>
        <v>26264.210910174115</v>
      </c>
      <c r="CE19" s="218">
        <f>SLP!CE19+ROSA!CE19+'STA ANA'!CE19+BOA!CE19+'STA MARIA'!CE19+'CB I'!CE19+IG!CE19+PN!CE19+MJ!CE19+'RB I'!CE19+'SF I'!CE19</f>
        <v>24091.579056007449</v>
      </c>
      <c r="CF19" s="218">
        <f>SLP!CF19+ROSA!CF19+'STA ANA'!CF19+BOA!CF19+'STA MARIA'!CF19+'CB I'!CF19+IG!CF19+PN!CF19+MJ!CF19+'RB I'!CF19+'SF I'!CF19</f>
        <v>2172.6318541666665</v>
      </c>
      <c r="CG19" s="218">
        <f>SLP!CG19+ROSA!CG19+'STA ANA'!CG19+BOA!CG19+'STA MARIA'!CG19+'CB I'!CG19+IG!CG19+PN!CG19+MJ!CG19+'RB I'!CG19+'SF I'!CG19</f>
        <v>0</v>
      </c>
      <c r="CH19" s="218">
        <f>SLP!CH19+ROSA!CH19+'STA ANA'!CH19+BOA!CH19+'STA MARIA'!CH19+'CB I'!CH19+IG!CH19+PN!CH19+MJ!CH19+'RB I'!CH19+'SF I'!CH19</f>
        <v>0</v>
      </c>
      <c r="CI19" s="218">
        <f>SLP!CI19+ROSA!CI19+'STA ANA'!CI19+BOA!CI19+'STA MARIA'!CI19+'CB I'!CI19+IG!CI19+PN!CI19+MJ!CI19+'RB I'!CI19+'SF I'!CI19</f>
        <v>0</v>
      </c>
      <c r="CJ19" s="221">
        <f t="shared" si="13"/>
        <v>-1</v>
      </c>
      <c r="CK19" s="218">
        <f>SLP!CK19+ROSA!CK19+'STA ANA'!CK19+BOA!CK19+'STA MARIA'!CK19+'CB I'!CK19+IG!CK19+PN!CK19+MJ!CK19+'RB I'!CK19+'SF I'!CK19</f>
        <v>26264.210910174115</v>
      </c>
      <c r="CL19" s="218">
        <f>SLP!CL19+ROSA!CL19+'STA ANA'!CL19+BOA!CL19+'STA MARIA'!CL19+'CB I'!CL19+IG!CL19+PN!CL19+MJ!CL19+'RB I'!CL19+'SF I'!CL19</f>
        <v>24091.579056007449</v>
      </c>
      <c r="CM19" s="218">
        <f>SLP!CM19+ROSA!CM19+'STA ANA'!CM19+BOA!CM19+'STA MARIA'!CM19+'CB I'!CM19+IG!CM19+PN!CM19+MJ!CM19+'RB I'!CM19+'SF I'!CM19</f>
        <v>2172.6318541666665</v>
      </c>
      <c r="CN19" s="218">
        <f>SLP!CN19+ROSA!CN19+'STA ANA'!CN19+BOA!CN19+'STA MARIA'!CN19+'CB I'!CN19+IG!CN19+PN!CN19+MJ!CN19+'RB I'!CN19+'SF I'!CN19</f>
        <v>0</v>
      </c>
      <c r="CO19" s="218">
        <f>SLP!CO19+ROSA!CO19+'STA ANA'!CO19+BOA!CO19+'STA MARIA'!CO19+'CB I'!CO19+IG!CO19+PN!CO19+MJ!CO19+'RB I'!CO19+'SF I'!CO19</f>
        <v>0</v>
      </c>
      <c r="CP19" s="218">
        <f>SLP!CP19+ROSA!CP19+'STA ANA'!CP19+BOA!CP19+'STA MARIA'!CP19+'CB I'!CP19+IG!CP19+PN!CP19+MJ!CP19+'RB I'!CP19+'SF I'!CP19</f>
        <v>0</v>
      </c>
      <c r="CQ19" s="221">
        <f t="shared" si="14"/>
        <v>-1</v>
      </c>
      <c r="CR19" s="154"/>
      <c r="CS19" s="222" t="e">
        <f t="shared" si="15"/>
        <v>#VALUE!</v>
      </c>
    </row>
    <row r="20" spans="1:97" ht="16" customHeight="1" thickBot="1" x14ac:dyDescent="0.25">
      <c r="A20" s="220" t="s">
        <v>44</v>
      </c>
      <c r="B20" s="30">
        <f t="shared" si="0"/>
        <v>8312620.4848370934</v>
      </c>
      <c r="C20" s="31">
        <f t="shared" si="0"/>
        <v>7522790.9975307779</v>
      </c>
      <c r="D20" s="32">
        <f t="shared" si="0"/>
        <v>789829.48730631382</v>
      </c>
      <c r="E20" s="30">
        <f t="shared" si="16"/>
        <v>3917329.0187284984</v>
      </c>
      <c r="F20" s="33">
        <f t="shared" si="16"/>
        <v>3550492.53481228</v>
      </c>
      <c r="G20" s="34">
        <f t="shared" si="16"/>
        <v>366836.48391621915</v>
      </c>
      <c r="H20" s="31">
        <f t="shared" si="1"/>
        <v>3824501.1455832273</v>
      </c>
      <c r="I20" s="33">
        <f t="shared" si="1"/>
        <v>444730.50139928592</v>
      </c>
      <c r="J20" s="33">
        <f t="shared" si="1"/>
        <v>4269231.6469825134</v>
      </c>
      <c r="K20" s="221">
        <f t="shared" si="2"/>
        <v>8.9832287911378206E-2</v>
      </c>
      <c r="L20" s="218">
        <f>SLP!L20+ROSA!L20+'STA ANA'!L20+BOA!L20+'STA MARIA'!L20+'CB I'!L20+IG!L20+PN!L20+MJ!L20+'RB I'!L20+'SF I'!L20</f>
        <v>0</v>
      </c>
      <c r="M20" s="218">
        <f>SLP!M20+ROSA!M20+'STA ANA'!M20+BOA!M20+'STA MARIA'!M20+'CB I'!M20+IG!M20+PN!M20+MJ!M20+'RB I'!M20+'SF I'!M20</f>
        <v>0</v>
      </c>
      <c r="N20" s="218">
        <f>SLP!N20+ROSA!N20+'STA ANA'!N20+BOA!N20+'STA MARIA'!N20+'CB I'!N20+IG!N20+PN!N20+MJ!N20+'RB I'!N20+'SF I'!N20</f>
        <v>0</v>
      </c>
      <c r="O20" s="218">
        <f>SLP!O20+ROSA!O20+'STA ANA'!O20+BOA!O20+'STA MARIA'!O20+'CB I'!O20+IG!O20+PN!O20+MJ!O20+'RB I'!O20+'SF I'!O20</f>
        <v>47526.389181999999</v>
      </c>
      <c r="P20" s="218">
        <f>SLP!P20+ROSA!P20+'STA ANA'!P20+BOA!P20+'STA MARIA'!P20+'CB I'!P20+IG!P20+PN!P20+MJ!P20+'RB I'!P20+'SF I'!P20</f>
        <v>7166.4008180000019</v>
      </c>
      <c r="Q20" s="218">
        <f>SLP!Q20+ROSA!Q20+'STA ANA'!Q20+BOA!Q20+'STA MARIA'!Q20+'CB I'!Q20+IG!Q20+PN!Q20+MJ!Q20+'RB I'!Q20+'SF I'!Q20</f>
        <v>54692.79</v>
      </c>
      <c r="R20" s="221" t="str">
        <f t="shared" si="3"/>
        <v/>
      </c>
      <c r="S20" s="218">
        <f>SLP!S20+ROSA!S20+'STA ANA'!S20+BOA!S20+'STA MARIA'!S20+'CB I'!S20+IG!S20+PN!S20+MJ!S20+'RB I'!S20+'SF I'!S20</f>
        <v>0</v>
      </c>
      <c r="T20" s="218">
        <f>SLP!T20+ROSA!T20+'STA ANA'!T20+BOA!T20+'STA MARIA'!T20+'CB I'!T20+IG!T20+PN!T20+MJ!T20+'RB I'!T20+'SF I'!T20</f>
        <v>0</v>
      </c>
      <c r="U20" s="218">
        <f>SLP!U20+ROSA!U20+'STA ANA'!U20+BOA!U20+'STA MARIA'!U20+'CB I'!U20+IG!U20+PN!U20+MJ!U20+'RB I'!U20+'SF I'!U20</f>
        <v>0</v>
      </c>
      <c r="V20" s="218">
        <f>SLP!V20+ROSA!V20+'STA ANA'!V20+BOA!V20+'STA MARIA'!V20+'CB I'!V20+IG!V20+PN!V20+MJ!V20+'RB I'!V20+'SF I'!V20</f>
        <v>24900.031974999998</v>
      </c>
      <c r="W20" s="218">
        <f>SLP!W20+ROSA!W20+'STA ANA'!W20+BOA!W20+'STA MARIA'!W20+'CB I'!W20+IG!W20+PN!W20+MJ!W20+'RB I'!W20+'SF I'!W20</f>
        <v>4486.3580250000005</v>
      </c>
      <c r="X20" s="218">
        <f>SLP!X20+ROSA!X20+'STA ANA'!X20+BOA!X20+'STA MARIA'!X20+'CB I'!X20+IG!X20+PN!X20+MJ!X20+'RB I'!X20+'SF I'!X20</f>
        <v>29386.389999999992</v>
      </c>
      <c r="Y20" s="221" t="str">
        <f t="shared" si="4"/>
        <v/>
      </c>
      <c r="Z20" s="218">
        <f>SLP!Z20+ROSA!Z20+'STA ANA'!Z20+BOA!Z20+'STA MARIA'!Z20+'CB I'!Z20+IG!Z20+PN!Z20+MJ!Z20+'RB I'!Z20+'SF I'!Z20</f>
        <v>3917329.0187284984</v>
      </c>
      <c r="AA20" s="218">
        <f>SLP!AA20+ROSA!AA20+'STA ANA'!AA20+BOA!AA20+'STA MARIA'!AA20+'CB I'!AA20+IG!AA20+PN!AA20+MJ!AA20+'RB I'!AA20+'SF I'!AA20</f>
        <v>3550492.53481228</v>
      </c>
      <c r="AB20" s="218">
        <f>SLP!AB20+ROSA!AB20+'STA ANA'!AB20+BOA!AB20+'STA MARIA'!AB20+'CB I'!AB20+IG!AB20+PN!AB20+MJ!AB20+'RB I'!AB20+'SF I'!AB20</f>
        <v>366836.48391621915</v>
      </c>
      <c r="AC20" s="218">
        <f>SLP!AC20+ROSA!AC20+'STA ANA'!AC20+BOA!AC20+'STA MARIA'!AC20+'CB I'!AC20+IG!AC20+PN!AC20+MJ!AC20+'RB I'!AC20+'SF I'!AC20</f>
        <v>1320008.6260229999</v>
      </c>
      <c r="AD20" s="218">
        <f>SLP!AD20+ROSA!AD20+'STA ANA'!AD20+BOA!AD20+'STA MARIA'!AD20+'CB I'!AD20+IG!AD20+PN!AD20+MJ!AD20+'RB I'!AD20+'SF I'!AD20</f>
        <v>135352.66397699999</v>
      </c>
      <c r="AE20" s="218">
        <f>SLP!AE20+ROSA!AE20+'STA ANA'!AE20+BOA!AE20+'STA MARIA'!AE20+'CB I'!AE20+IG!AE20+PN!AE20+MJ!AE20+'RB I'!AE20+'SF I'!AE20</f>
        <v>1455361.29</v>
      </c>
      <c r="AF20" s="221">
        <f t="shared" si="5"/>
        <v>-0.62848122201581447</v>
      </c>
      <c r="AG20" s="218">
        <f>SLP!AG20+ROSA!AG20+'STA ANA'!AG20+BOA!AG20+'STA MARIA'!AG20+'CB I'!AG20+IG!AG20+PN!AG20+MJ!AG20+'RB I'!AG20+'SF I'!AG20</f>
        <v>0</v>
      </c>
      <c r="AH20" s="218">
        <f>SLP!AH20+ROSA!AH20+'STA ANA'!AH20+BOA!AH20+'STA MARIA'!AH20+'CB I'!AH20+IG!AH20+PN!AH20+MJ!AH20+'RB I'!AH20+'SF I'!AH20</f>
        <v>0</v>
      </c>
      <c r="AI20" s="218">
        <f>SLP!AI20+ROSA!AI20+'STA ANA'!AI20+BOA!AI20+'STA MARIA'!AI20+'CB I'!AI20+IG!AI20+PN!AI20+MJ!AI20+'RB I'!AI20+'SF I'!AI20</f>
        <v>0</v>
      </c>
      <c r="AJ20" s="218">
        <f>SLP!AJ20+ROSA!AJ20+'STA ANA'!AJ20+BOA!AJ20+'STA MARIA'!AJ20+'CB I'!AJ20+IG!AJ20+PN!AJ20+MJ!AJ20+'RB I'!AJ20+'SF I'!AJ20</f>
        <v>935446.10154276888</v>
      </c>
      <c r="AK20" s="218">
        <f>SLP!AK20+ROSA!AK20+'STA ANA'!AK20+BOA!AK20+'STA MARIA'!AK20+'CB I'!AK20+IG!AK20+PN!AK20+MJ!AK20+'RB I'!AK20+'SF I'!AK20</f>
        <v>133604.89392199999</v>
      </c>
      <c r="AL20" s="218">
        <f>SLP!AL20+ROSA!AL20+'STA ANA'!AL20+BOA!AL20+'STA MARIA'!AL20+'CB I'!AL20+IG!AL20+PN!AL20+MJ!AL20+'RB I'!AL20+'SF I'!AL20</f>
        <v>1069050.9954647687</v>
      </c>
      <c r="AM20" s="221" t="str">
        <f t="shared" si="6"/>
        <v/>
      </c>
      <c r="AN20" s="218">
        <f>SLP!AN20+ROSA!AN20+'STA ANA'!AN20+BOA!AN20+'STA MARIA'!AN20+'CB I'!AN20+IG!AN20+PN!AN20+MJ!AN20+'RB I'!AN20+'SF I'!AN20</f>
        <v>98479.837472511979</v>
      </c>
      <c r="AO20" s="218">
        <f>SLP!AO20+ROSA!AO20+'STA ANA'!AO20+BOA!AO20+'STA MARIA'!AO20+'CB I'!AO20+IG!AO20+PN!AO20+MJ!AO20+'RB I'!AO20+'SF I'!AO20</f>
        <v>88769.062691622472</v>
      </c>
      <c r="AP20" s="218">
        <f>SLP!AP20+ROSA!AP20+'STA ANA'!AP20+BOA!AP20+'STA MARIA'!AP20+'CB I'!AP20+IG!AP20+PN!AP20+MJ!AP20+'RB I'!AP20+'SF I'!AP20</f>
        <v>9710.7747808894928</v>
      </c>
      <c r="AQ20" s="218">
        <f>SLP!AQ20+ROSA!AQ20+'STA ANA'!AQ20+BOA!AQ20+'STA MARIA'!AQ20+'CB I'!AQ20+IG!AQ20+PN!AQ20+MJ!AQ20+'RB I'!AQ20+'SF I'!AQ20</f>
        <v>1128977.9029350001</v>
      </c>
      <c r="AR20" s="218">
        <f>SLP!AR20+ROSA!AR20+'STA ANA'!AR20+BOA!AR20+'STA MARIA'!AR20+'CB I'!AR20+IG!AR20+PN!AR20+MJ!AR20+'RB I'!AR20+'SF I'!AR20</f>
        <v>133757.80706500006</v>
      </c>
      <c r="AS20" s="218">
        <f>SLP!AS20+ROSA!AS20+'STA ANA'!AS20+BOA!AS20+'STA MARIA'!AS20+'CB I'!AS20+IG!AS20+PN!AS20+MJ!AS20+'RB I'!AS20+'SF I'!AS20</f>
        <v>1262735.71</v>
      </c>
      <c r="AT20" s="221">
        <f t="shared" si="7"/>
        <v>11.822276543180314</v>
      </c>
      <c r="AU20" s="218">
        <f>SLP!AU20+ROSA!AU20+'STA ANA'!AU20+BOA!AU20+'STA MARIA'!AU20+'CB I'!AU20+IG!AU20+PN!AU20+MJ!AU20+'RB I'!AU20+'SF I'!AU20</f>
        <v>98479.837472511979</v>
      </c>
      <c r="AV20" s="218">
        <f>SLP!AV20+ROSA!AV20+'STA ANA'!AV20+BOA!AV20+'STA MARIA'!AV20+'CB I'!AV20+IG!AV20+PN!AV20+MJ!AV20+'RB I'!AV20+'SF I'!AV20</f>
        <v>88769.062691622472</v>
      </c>
      <c r="AW20" s="218">
        <f>SLP!AW20+ROSA!AW20+'STA ANA'!AW20+BOA!AW20+'STA MARIA'!AW20+'CB I'!AW20+IG!AW20+PN!AW20+MJ!AW20+'RB I'!AW20+'SF I'!AW20</f>
        <v>9710.7747808894928</v>
      </c>
      <c r="AX20" s="218">
        <f>SLP!AX20+ROSA!AX20+'STA ANA'!AX20+BOA!AX20+'STA MARIA'!AX20+'CB I'!AX20+IG!AX20+PN!AX20+MJ!AX20+'RB I'!AX20+'SF I'!AX20</f>
        <v>367642.0939254585</v>
      </c>
      <c r="AY20" s="218">
        <f>SLP!AY20+ROSA!AY20+'STA ANA'!AY20+BOA!AY20+'STA MARIA'!AY20+'CB I'!AY20+IG!AY20+PN!AY20+MJ!AY20+'RB I'!AY20+'SF I'!AY20</f>
        <v>30362.377592285935</v>
      </c>
      <c r="AZ20" s="218">
        <f>SLP!AZ20+ROSA!AZ20+'STA ANA'!AZ20+BOA!AZ20+'STA MARIA'!AZ20+'CB I'!AZ20+IG!AZ20+PN!AZ20+MJ!AZ20+'RB I'!AZ20+'SF I'!AZ20</f>
        <v>398004.47151774447</v>
      </c>
      <c r="BA20" s="221">
        <f t="shared" si="8"/>
        <v>3.0414818071652157</v>
      </c>
      <c r="BB20" s="218">
        <f>SLP!BB20+ROSA!BB20+'STA ANA'!BB20+BOA!BB20+'STA MARIA'!BB20+'CB I'!BB20+IG!BB20+PN!BB20+MJ!BB20+'RB I'!BB20+'SF I'!BB20</f>
        <v>1861915.0362725095</v>
      </c>
      <c r="BC20" s="218">
        <f>SLP!BC20+ROSA!BC20+'STA ANA'!BC20+BOA!BC20+'STA MARIA'!BC20+'CB I'!BC20+IG!BC20+PN!BC20+MJ!BC20+'RB I'!BC20+'SF I'!BC20</f>
        <v>1686770.3945957401</v>
      </c>
      <c r="BD20" s="218">
        <f>SLP!BD20+ROSA!BD20+'STA ANA'!BD20+BOA!BD20+'STA MARIA'!BD20+'CB I'!BD20+IG!BD20+PN!BD20+MJ!BD20+'RB I'!BD20+'SF I'!BD20</f>
        <v>175144.64167676913</v>
      </c>
      <c r="BE20" s="218">
        <f>SLP!BE20+ROSA!BE20+'STA ANA'!BE20+BOA!BE20+'STA MARIA'!BE20+'CB I'!BE20+IG!BE20+PN!BE20+MJ!BE20+'RB I'!BE20+'SF I'!BE20</f>
        <v>0</v>
      </c>
      <c r="BF20" s="218">
        <f>SLP!BF20+ROSA!BF20+'STA ANA'!BF20+BOA!BF20+'STA MARIA'!BF20+'CB I'!BF20+IG!BF20+PN!BF20+MJ!BF20+'RB I'!BF20+'SF I'!BF20</f>
        <v>0</v>
      </c>
      <c r="BG20" s="218">
        <f>SLP!BG20+ROSA!BG20+'STA ANA'!BG20+BOA!BG20+'STA MARIA'!BG20+'CB I'!BG20+IG!BG20+PN!BG20+MJ!BG20+'RB I'!BG20+'SF I'!BG20</f>
        <v>0</v>
      </c>
      <c r="BH20" s="221">
        <f t="shared" si="9"/>
        <v>-1</v>
      </c>
      <c r="BI20" s="218">
        <f>SLP!BI20+ROSA!BI20+'STA ANA'!BI20+BOA!BI20+'STA MARIA'!BI20+'CB I'!BI20+IG!BI20+PN!BI20+MJ!BI20+'RB I'!BI20+'SF I'!BI20</f>
        <v>263058.20620101452</v>
      </c>
      <c r="BJ20" s="218">
        <f>SLP!BJ20+ROSA!BJ20+'STA ANA'!BJ20+BOA!BJ20+'STA MARIA'!BJ20+'CB I'!BJ20+IG!BJ20+PN!BJ20+MJ!BJ20+'RB I'!BJ20+'SF I'!BJ20</f>
        <v>237633.49306890558</v>
      </c>
      <c r="BK20" s="218">
        <f>SLP!BK20+ROSA!BK20+'STA ANA'!BK20+BOA!BK20+'STA MARIA'!BK20+'CB I'!BK20+IG!BK20+PN!BK20+MJ!BK20+'RB I'!BK20+'SF I'!BK20</f>
        <v>25424.713132108933</v>
      </c>
      <c r="BL20" s="218">
        <f>SLP!BL20+ROSA!BL20+'STA ANA'!BL20+BOA!BL20+'STA MARIA'!BL20+'CB I'!BL20+IG!BL20+PN!BL20+MJ!BL20+'RB I'!BL20+'SF I'!BL20</f>
        <v>0</v>
      </c>
      <c r="BM20" s="218">
        <f>SLP!BM20+ROSA!BM20+'STA ANA'!BM20+BOA!BM20+'STA MARIA'!BM20+'CB I'!BM20+IG!BM20+PN!BM20+MJ!BM20+'RB I'!BM20+'SF I'!BM20</f>
        <v>0</v>
      </c>
      <c r="BN20" s="218">
        <f>SLP!BN20+ROSA!BN20+'STA ANA'!BN20+BOA!BN20+'STA MARIA'!BN20+'CB I'!BN20+IG!BN20+PN!BN20+MJ!BN20+'RB I'!BN20+'SF I'!BN20</f>
        <v>0</v>
      </c>
      <c r="BO20" s="221">
        <f t="shared" si="10"/>
        <v>-1</v>
      </c>
      <c r="BP20" s="218">
        <f>SLP!BP20+ROSA!BP20+'STA ANA'!BP20+BOA!BP20+'STA MARIA'!BP20+'CB I'!BP20+IG!BP20+PN!BP20+MJ!BP20+'RB I'!BP20+'SF I'!BP20</f>
        <v>1777919.0362725095</v>
      </c>
      <c r="BQ20" s="218">
        <f>SLP!BQ20+ROSA!BQ20+'STA ANA'!BQ20+BOA!BQ20+'STA MARIA'!BQ20+'CB I'!BQ20+IG!BQ20+PN!BQ20+MJ!BQ20+'RB I'!BQ20+'SF I'!BQ20</f>
        <v>1604049.2615957402</v>
      </c>
      <c r="BR20" s="218">
        <f>SLP!BR20+ROSA!BR20+'STA ANA'!BR20+BOA!BR20+'STA MARIA'!BR20+'CB I'!BR20+IG!BR20+PN!BR20+MJ!BR20+'RB I'!BR20+'SF I'!BR20</f>
        <v>173869.77467676913</v>
      </c>
      <c r="BS20" s="218">
        <f>SLP!BS20+ROSA!BS20+'STA ANA'!BS20+BOA!BS20+'STA MARIA'!BS20+'CB I'!BS20+IG!BS20+PN!BS20+MJ!BS20+'RB I'!BS20+'SF I'!BS20</f>
        <v>0</v>
      </c>
      <c r="BT20" s="218">
        <f>SLP!BT20+ROSA!BT20+'STA ANA'!BT20+BOA!BT20+'STA MARIA'!BT20+'CB I'!BT20+IG!BT20+PN!BT20+MJ!BT20+'RB I'!BT20+'SF I'!BT20</f>
        <v>0</v>
      </c>
      <c r="BU20" s="218">
        <f>SLP!BU20+ROSA!BU20+'STA ANA'!BU20+BOA!BU20+'STA MARIA'!BU20+'CB I'!BU20+IG!BU20+PN!BU20+MJ!BU20+'RB I'!BU20+'SF I'!BU20</f>
        <v>0</v>
      </c>
      <c r="BV20" s="221">
        <f t="shared" si="11"/>
        <v>-1</v>
      </c>
      <c r="BW20" s="218">
        <f>SLP!BW20+ROSA!BW20+'STA ANA'!BW20+BOA!BW20+'STA MARIA'!BW20+'CB I'!BW20+IG!BW20+PN!BW20+MJ!BW20+'RB I'!BW20+'SF I'!BW20</f>
        <v>98479.837472511979</v>
      </c>
      <c r="BX20" s="218">
        <f>SLP!BX20+ROSA!BX20+'STA ANA'!BX20+BOA!BX20+'STA MARIA'!BX20+'CB I'!BX20+IG!BX20+PN!BX20+MJ!BX20+'RB I'!BX20+'SF I'!BX20</f>
        <v>88769.062691622472</v>
      </c>
      <c r="BY20" s="218">
        <f>SLP!BY20+ROSA!BY20+'STA ANA'!BY20+BOA!BY20+'STA MARIA'!BY20+'CB I'!BY20+IG!BY20+PN!BY20+MJ!BY20+'RB I'!BY20+'SF I'!BY20</f>
        <v>9710.7747808894928</v>
      </c>
      <c r="BZ20" s="218">
        <f>SLP!BZ20+ROSA!BZ20+'STA ANA'!BZ20+BOA!BZ20+'STA MARIA'!BZ20+'CB I'!BZ20+IG!BZ20+PN!BZ20+MJ!BZ20+'RB I'!BZ20+'SF I'!BZ20</f>
        <v>0</v>
      </c>
      <c r="CA20" s="218">
        <f>SLP!CA20+ROSA!CA20+'STA ANA'!CA20+BOA!CA20+'STA MARIA'!CA20+'CB I'!CA20+IG!CA20+PN!CA20+MJ!CA20+'RB I'!CA20+'SF I'!CA20</f>
        <v>0</v>
      </c>
      <c r="CB20" s="218">
        <f>SLP!CB20+ROSA!CB20+'STA ANA'!CB20+BOA!CB20+'STA MARIA'!CB20+'CB I'!CB20+IG!CB20+PN!CB20+MJ!CB20+'RB I'!CB20+'SF I'!CB20</f>
        <v>0</v>
      </c>
      <c r="CC20" s="221">
        <f t="shared" si="12"/>
        <v>-1</v>
      </c>
      <c r="CD20" s="218">
        <f>SLP!CD20+ROSA!CD20+'STA ANA'!CD20+BOA!CD20+'STA MARIA'!CD20+'CB I'!CD20+IG!CD20+PN!CD20+MJ!CD20+'RB I'!CD20+'SF I'!CD20</f>
        <v>98479.837472511979</v>
      </c>
      <c r="CE20" s="218">
        <f>SLP!CE20+ROSA!CE20+'STA ANA'!CE20+BOA!CE20+'STA MARIA'!CE20+'CB I'!CE20+IG!CE20+PN!CE20+MJ!CE20+'RB I'!CE20+'SF I'!CE20</f>
        <v>88769.062691622472</v>
      </c>
      <c r="CF20" s="218">
        <f>SLP!CF20+ROSA!CF20+'STA ANA'!CF20+BOA!CF20+'STA MARIA'!CF20+'CB I'!CF20+IG!CF20+PN!CF20+MJ!CF20+'RB I'!CF20+'SF I'!CF20</f>
        <v>9710.7747808894928</v>
      </c>
      <c r="CG20" s="218">
        <f>SLP!CG20+ROSA!CG20+'STA ANA'!CG20+BOA!CG20+'STA MARIA'!CG20+'CB I'!CG20+IG!CG20+PN!CG20+MJ!CG20+'RB I'!CG20+'SF I'!CG20</f>
        <v>0</v>
      </c>
      <c r="CH20" s="218">
        <f>SLP!CH20+ROSA!CH20+'STA ANA'!CH20+BOA!CH20+'STA MARIA'!CH20+'CB I'!CH20+IG!CH20+PN!CH20+MJ!CH20+'RB I'!CH20+'SF I'!CH20</f>
        <v>0</v>
      </c>
      <c r="CI20" s="218">
        <f>SLP!CI20+ROSA!CI20+'STA ANA'!CI20+BOA!CI20+'STA MARIA'!CI20+'CB I'!CI20+IG!CI20+PN!CI20+MJ!CI20+'RB I'!CI20+'SF I'!CI20</f>
        <v>0</v>
      </c>
      <c r="CJ20" s="221">
        <f t="shared" si="13"/>
        <v>-1</v>
      </c>
      <c r="CK20" s="218">
        <f>SLP!CK20+ROSA!CK20+'STA ANA'!CK20+BOA!CK20+'STA MARIA'!CK20+'CB I'!CK20+IG!CK20+PN!CK20+MJ!CK20+'RB I'!CK20+'SF I'!CK20</f>
        <v>98479.837472511979</v>
      </c>
      <c r="CL20" s="218">
        <f>SLP!CL20+ROSA!CL20+'STA ANA'!CL20+BOA!CL20+'STA MARIA'!CL20+'CB I'!CL20+IG!CL20+PN!CL20+MJ!CL20+'RB I'!CL20+'SF I'!CL20</f>
        <v>88769.062691622472</v>
      </c>
      <c r="CM20" s="218">
        <f>SLP!CM20+ROSA!CM20+'STA ANA'!CM20+BOA!CM20+'STA MARIA'!CM20+'CB I'!CM20+IG!CM20+PN!CM20+MJ!CM20+'RB I'!CM20+'SF I'!CM20</f>
        <v>9710.7747808894928</v>
      </c>
      <c r="CN20" s="218">
        <f>SLP!CN20+ROSA!CN20+'STA ANA'!CN20+BOA!CN20+'STA MARIA'!CN20+'CB I'!CN20+IG!CN20+PN!CN20+MJ!CN20+'RB I'!CN20+'SF I'!CN20</f>
        <v>0</v>
      </c>
      <c r="CO20" s="218">
        <f>SLP!CO20+ROSA!CO20+'STA ANA'!CO20+BOA!CO20+'STA MARIA'!CO20+'CB I'!CO20+IG!CO20+PN!CO20+MJ!CO20+'RB I'!CO20+'SF I'!CO20</f>
        <v>0</v>
      </c>
      <c r="CP20" s="218">
        <f>SLP!CP20+ROSA!CP20+'STA ANA'!CP20+BOA!CP20+'STA MARIA'!CP20+'CB I'!CP20+IG!CP20+PN!CP20+MJ!CP20+'RB I'!CP20+'SF I'!CP20</f>
        <v>0</v>
      </c>
      <c r="CQ20" s="221">
        <f t="shared" si="14"/>
        <v>-1</v>
      </c>
      <c r="CR20" s="154"/>
      <c r="CS20" s="222" t="e">
        <f t="shared" si="15"/>
        <v>#VALUE!</v>
      </c>
    </row>
    <row r="21" spans="1:97" ht="16" customHeight="1" thickBot="1" x14ac:dyDescent="0.25">
      <c r="A21" s="223" t="s">
        <v>45</v>
      </c>
      <c r="B21" s="30">
        <f t="shared" si="0"/>
        <v>741639.94455299899</v>
      </c>
      <c r="C21" s="31">
        <f t="shared" si="0"/>
        <v>681125.15111344366</v>
      </c>
      <c r="D21" s="32">
        <f t="shared" si="0"/>
        <v>60514.793439555244</v>
      </c>
      <c r="E21" s="30">
        <f t="shared" si="16"/>
        <v>741639.94455299899</v>
      </c>
      <c r="F21" s="33">
        <f t="shared" si="16"/>
        <v>681125.15111344366</v>
      </c>
      <c r="G21" s="34">
        <f t="shared" si="16"/>
        <v>60514.793439555244</v>
      </c>
      <c r="H21" s="31">
        <f t="shared" si="1"/>
        <v>450042.41180178215</v>
      </c>
      <c r="I21" s="33">
        <f t="shared" si="1"/>
        <v>31217.107084341274</v>
      </c>
      <c r="J21" s="33">
        <f t="shared" si="1"/>
        <v>481259.51888612349</v>
      </c>
      <c r="K21" s="221">
        <f t="shared" si="2"/>
        <v>-0.35108738085003222</v>
      </c>
      <c r="L21" s="218">
        <f>SLP!L21+ROSA!L21+'STA ANA'!L21+BOA!L21+'STA MARIA'!L21+'CB I'!L21+IG!L21+PN!L21+MJ!L21+'RB I'!L21+'SF I'!L21</f>
        <v>741639.94455299899</v>
      </c>
      <c r="M21" s="218">
        <f>SLP!M21+ROSA!M21+'STA ANA'!M21+BOA!M21+'STA MARIA'!M21+'CB I'!M21+IG!M21+PN!M21+MJ!M21+'RB I'!M21+'SF I'!M21</f>
        <v>681125.15111344366</v>
      </c>
      <c r="N21" s="218">
        <f>SLP!N21+ROSA!N21+'STA ANA'!N21+BOA!N21+'STA MARIA'!N21+'CB I'!N21+IG!N21+PN!N21+MJ!N21+'RB I'!N21+'SF I'!N21</f>
        <v>60514.793439555244</v>
      </c>
      <c r="O21" s="218">
        <f>SLP!O21+ROSA!O21+'STA ANA'!O21+BOA!O21+'STA MARIA'!O21+'CB I'!O21+IG!O21+PN!O21+MJ!O21+'RB I'!O21+'SF I'!O21</f>
        <v>142851.32770299999</v>
      </c>
      <c r="P21" s="218">
        <f>SLP!P21+ROSA!P21+'STA ANA'!P21+BOA!P21+'STA MARIA'!P21+'CB I'!P21+IG!P21+PN!P21+MJ!P21+'RB I'!P21+'SF I'!P21</f>
        <v>10486.772297</v>
      </c>
      <c r="Q21" s="218">
        <f>SLP!Q21+ROSA!Q21+'STA ANA'!Q21+BOA!Q21+'STA MARIA'!Q21+'CB I'!Q21+IG!Q21+PN!Q21+MJ!Q21+'RB I'!Q21+'SF I'!Q21</f>
        <v>153338.1</v>
      </c>
      <c r="R21" s="221">
        <f t="shared" si="3"/>
        <v>-0.7932445506391651</v>
      </c>
      <c r="S21" s="218">
        <f>SLP!S21+ROSA!S21+'STA ANA'!S21+BOA!S21+'STA MARIA'!S21+'CB I'!S21+IG!S21+PN!S21+MJ!S21+'RB I'!S21+'SF I'!S21</f>
        <v>0</v>
      </c>
      <c r="T21" s="218">
        <f>SLP!T21+ROSA!T21+'STA ANA'!T21+BOA!T21+'STA MARIA'!T21+'CB I'!T21+IG!T21+PN!T21+MJ!T21+'RB I'!T21+'SF I'!T21</f>
        <v>0</v>
      </c>
      <c r="U21" s="218">
        <f>SLP!U21+ROSA!U21+'STA ANA'!U21+BOA!U21+'STA MARIA'!U21+'CB I'!U21+IG!U21+PN!U21+MJ!U21+'RB I'!U21+'SF I'!U21</f>
        <v>0</v>
      </c>
      <c r="V21" s="218">
        <f>SLP!V21+ROSA!V21+'STA ANA'!V21+BOA!V21+'STA MARIA'!V21+'CB I'!V21+IG!V21+PN!V21+MJ!V21+'RB I'!V21+'SF I'!V21</f>
        <v>161142.76918999999</v>
      </c>
      <c r="W21" s="218">
        <f>SLP!W21+ROSA!W21+'STA ANA'!W21+BOA!W21+'STA MARIA'!W21+'CB I'!W21+IG!W21+PN!W21+MJ!W21+'RB I'!W21+'SF I'!W21</f>
        <v>10343.630810000001</v>
      </c>
      <c r="X21" s="218">
        <f>SLP!X21+ROSA!X21+'STA ANA'!X21+BOA!X21+'STA MARIA'!X21+'CB I'!X21+IG!X21+PN!X21+MJ!X21+'RB I'!X21+'SF I'!X21</f>
        <v>171486.4</v>
      </c>
      <c r="Y21" s="221" t="str">
        <f t="shared" si="4"/>
        <v/>
      </c>
      <c r="Z21" s="218">
        <f>SLP!Z21+ROSA!Z21+'STA ANA'!Z21+BOA!Z21+'STA MARIA'!Z21+'CB I'!Z21+IG!Z21+PN!Z21+MJ!Z21+'RB I'!Z21+'SF I'!Z21</f>
        <v>0</v>
      </c>
      <c r="AA21" s="218">
        <f>SLP!AA21+ROSA!AA21+'STA ANA'!AA21+BOA!AA21+'STA MARIA'!AA21+'CB I'!AA21+IG!AA21+PN!AA21+MJ!AA21+'RB I'!AA21+'SF I'!AA21</f>
        <v>0</v>
      </c>
      <c r="AB21" s="218">
        <f>SLP!AB21+ROSA!AB21+'STA ANA'!AB21+BOA!AB21+'STA MARIA'!AB21+'CB I'!AB21+IG!AB21+PN!AB21+MJ!AB21+'RB I'!AB21+'SF I'!AB21</f>
        <v>0</v>
      </c>
      <c r="AC21" s="218">
        <f>SLP!AC21+ROSA!AC21+'STA ANA'!AC21+BOA!AC21+'STA MARIA'!AC21+'CB I'!AC21+IG!AC21+PN!AC21+MJ!AC21+'RB I'!AC21+'SF I'!AC21</f>
        <v>38647.395684000003</v>
      </c>
      <c r="AD21" s="218">
        <f>SLP!AD21+ROSA!AD21+'STA ANA'!AD21+BOA!AD21+'STA MARIA'!AD21+'CB I'!AD21+IG!AD21+PN!AD21+MJ!AD21+'RB I'!AD21+'SF I'!AD21</f>
        <v>2187.4243160000001</v>
      </c>
      <c r="AE21" s="218">
        <f>SLP!AE21+ROSA!AE21+'STA ANA'!AE21+BOA!AE21+'STA MARIA'!AE21+'CB I'!AE21+IG!AE21+PN!AE21+MJ!AE21+'RB I'!AE21+'SF I'!AE21</f>
        <v>40834.82</v>
      </c>
      <c r="AF21" s="221" t="str">
        <f t="shared" si="5"/>
        <v/>
      </c>
      <c r="AG21" s="218">
        <f>SLP!AG21+ROSA!AG21+'STA ANA'!AG21+BOA!AG21+'STA MARIA'!AG21+'CB I'!AG21+IG!AG21+PN!AG21+MJ!AG21+'RB I'!AG21+'SF I'!AG21</f>
        <v>0</v>
      </c>
      <c r="AH21" s="218">
        <f>SLP!AH21+ROSA!AH21+'STA ANA'!AH21+BOA!AH21+'STA MARIA'!AH21+'CB I'!AH21+IG!AH21+PN!AH21+MJ!AH21+'RB I'!AH21+'SF I'!AH21</f>
        <v>0</v>
      </c>
      <c r="AI21" s="218">
        <f>SLP!AI21+ROSA!AI21+'STA ANA'!AI21+BOA!AI21+'STA MARIA'!AI21+'CB I'!AI21+IG!AI21+PN!AI21+MJ!AI21+'RB I'!AI21+'SF I'!AI21</f>
        <v>0</v>
      </c>
      <c r="AJ21" s="218">
        <f>SLP!AJ21+ROSA!AJ21+'STA ANA'!AJ21+BOA!AJ21+'STA MARIA'!AJ21+'CB I'!AJ21+IG!AJ21+PN!AJ21+MJ!AJ21+'RB I'!AJ21+'SF I'!AJ21</f>
        <v>57697.739304057308</v>
      </c>
      <c r="AK21" s="218">
        <f>SLP!AK21+ROSA!AK21+'STA ANA'!AK21+BOA!AK21+'STA MARIA'!AK21+'CB I'!AK21+IG!AK21+PN!AK21+MJ!AK21+'RB I'!AK21+'SF I'!AK21</f>
        <v>4259.2097933412761</v>
      </c>
      <c r="AL21" s="218">
        <f>SLP!AL21+ROSA!AL21+'STA ANA'!AL21+BOA!AL21+'STA MARIA'!AL21+'CB I'!AL21+IG!AL21+PN!AL21+MJ!AL21+'RB I'!AL21+'SF I'!AL21</f>
        <v>61956.949097398581</v>
      </c>
      <c r="AM21" s="221" t="str">
        <f t="shared" si="6"/>
        <v/>
      </c>
      <c r="AN21" s="218">
        <f>SLP!AN21+ROSA!AN21+'STA ANA'!AN21+BOA!AN21+'STA MARIA'!AN21+'CB I'!AN21+IG!AN21+PN!AN21+MJ!AN21+'RB I'!AN21+'SF I'!AN21</f>
        <v>0</v>
      </c>
      <c r="AO21" s="218">
        <f>SLP!AO21+ROSA!AO21+'STA ANA'!AO21+BOA!AO21+'STA MARIA'!AO21+'CB I'!AO21+IG!AO21+PN!AO21+MJ!AO21+'RB I'!AO21+'SF I'!AO21</f>
        <v>0</v>
      </c>
      <c r="AP21" s="218">
        <f>SLP!AP21+ROSA!AP21+'STA ANA'!AP21+BOA!AP21+'STA MARIA'!AP21+'CB I'!AP21+IG!AP21+PN!AP21+MJ!AP21+'RB I'!AP21+'SF I'!AP21</f>
        <v>0</v>
      </c>
      <c r="AQ21" s="218">
        <f>SLP!AQ21+ROSA!AQ21+'STA ANA'!AQ21+BOA!AQ21+'STA MARIA'!AQ21+'CB I'!AQ21+IG!AQ21+PN!AQ21+MJ!AQ21+'RB I'!AQ21+'SF I'!AQ21</f>
        <v>40313.205535802495</v>
      </c>
      <c r="AR21" s="218">
        <f>SLP!AR21+ROSA!AR21+'STA ANA'!AR21+BOA!AR21+'STA MARIA'!AR21+'CB I'!AR21+IG!AR21+PN!AR21+MJ!AR21+'RB I'!AR21+'SF I'!AR21</f>
        <v>3940.069868</v>
      </c>
      <c r="AS21" s="218">
        <f>SLP!AS21+ROSA!AS21+'STA ANA'!AS21+BOA!AS21+'STA MARIA'!AS21+'CB I'!AS21+IG!AS21+PN!AS21+MJ!AS21+'RB I'!AS21+'SF I'!AS21</f>
        <v>44253.275403802501</v>
      </c>
      <c r="AT21" s="221" t="str">
        <f t="shared" si="7"/>
        <v/>
      </c>
      <c r="AU21" s="218">
        <f>SLP!AU21+ROSA!AU21+'STA ANA'!AU21+BOA!AU21+'STA MARIA'!AU21+'CB I'!AU21+IG!AU21+PN!AU21+MJ!AU21+'RB I'!AU21+'SF I'!AU21</f>
        <v>0</v>
      </c>
      <c r="AV21" s="218">
        <f>SLP!AV21+ROSA!AV21+'STA ANA'!AV21+BOA!AV21+'STA MARIA'!AV21+'CB I'!AV21+IG!AV21+PN!AV21+MJ!AV21+'RB I'!AV21+'SF I'!AV21</f>
        <v>0</v>
      </c>
      <c r="AW21" s="218">
        <f>SLP!AW21+ROSA!AW21+'STA ANA'!AW21+BOA!AW21+'STA MARIA'!AW21+'CB I'!AW21+IG!AW21+PN!AW21+MJ!AW21+'RB I'!AW21+'SF I'!AW21</f>
        <v>0</v>
      </c>
      <c r="AX21" s="218">
        <f>SLP!AX21+ROSA!AX21+'STA ANA'!AX21+BOA!AX21+'STA MARIA'!AX21+'CB I'!AX21+IG!AX21+PN!AX21+MJ!AX21+'RB I'!AX21+'SF I'!AX21</f>
        <v>9389.9743849223778</v>
      </c>
      <c r="AY21" s="218">
        <f>SLP!AY21+ROSA!AY21+'STA ANA'!AY21+BOA!AY21+'STA MARIA'!AY21+'CB I'!AY21+IG!AY21+PN!AY21+MJ!AY21+'RB I'!AY21+'SF I'!AY21</f>
        <v>0</v>
      </c>
      <c r="AZ21" s="218">
        <f>SLP!AZ21+ROSA!AZ21+'STA ANA'!AZ21+BOA!AZ21+'STA MARIA'!AZ21+'CB I'!AZ21+IG!AZ21+PN!AZ21+MJ!AZ21+'RB I'!AZ21+'SF I'!AZ21</f>
        <v>9389.9743849223778</v>
      </c>
      <c r="BA21" s="221" t="str">
        <f t="shared" si="8"/>
        <v/>
      </c>
      <c r="BB21" s="218">
        <f>SLP!BB21+ROSA!BB21+'STA ANA'!BB21+BOA!BB21+'STA MARIA'!BB21+'CB I'!BB21+IG!BB21+PN!BB21+MJ!BB21+'RB I'!BB21+'SF I'!BB21</f>
        <v>0</v>
      </c>
      <c r="BC21" s="218">
        <f>SLP!BC21+ROSA!BC21+'STA ANA'!BC21+BOA!BC21+'STA MARIA'!BC21+'CB I'!BC21+IG!BC21+PN!BC21+MJ!BC21+'RB I'!BC21+'SF I'!BC21</f>
        <v>0</v>
      </c>
      <c r="BD21" s="218">
        <f>SLP!BD21+ROSA!BD21+'STA ANA'!BD21+BOA!BD21+'STA MARIA'!BD21+'CB I'!BD21+IG!BD21+PN!BD21+MJ!BD21+'RB I'!BD21+'SF I'!BD21</f>
        <v>0</v>
      </c>
      <c r="BE21" s="218">
        <f>SLP!BE21+ROSA!BE21+'STA ANA'!BE21+BOA!BE21+'STA MARIA'!BE21+'CB I'!BE21+IG!BE21+PN!BE21+MJ!BE21+'RB I'!BE21+'SF I'!BE21</f>
        <v>0</v>
      </c>
      <c r="BF21" s="218">
        <f>SLP!BF21+ROSA!BF21+'STA ANA'!BF21+BOA!BF21+'STA MARIA'!BF21+'CB I'!BF21+IG!BF21+PN!BF21+MJ!BF21+'RB I'!BF21+'SF I'!BF21</f>
        <v>0</v>
      </c>
      <c r="BG21" s="218">
        <f>SLP!BG21+ROSA!BG21+'STA ANA'!BG21+BOA!BG21+'STA MARIA'!BG21+'CB I'!BG21+IG!BG21+PN!BG21+MJ!BG21+'RB I'!BG21+'SF I'!BG21</f>
        <v>0</v>
      </c>
      <c r="BH21" s="221" t="str">
        <f t="shared" si="9"/>
        <v/>
      </c>
      <c r="BI21" s="218">
        <f>SLP!BI21+ROSA!BI21+'STA ANA'!BI21+BOA!BI21+'STA MARIA'!BI21+'CB I'!BI21+IG!BI21+PN!BI21+MJ!BI21+'RB I'!BI21+'SF I'!BI21</f>
        <v>0</v>
      </c>
      <c r="BJ21" s="218">
        <f>SLP!BJ21+ROSA!BJ21+'STA ANA'!BJ21+BOA!BJ21+'STA MARIA'!BJ21+'CB I'!BJ21+IG!BJ21+PN!BJ21+MJ!BJ21+'RB I'!BJ21+'SF I'!BJ21</f>
        <v>0</v>
      </c>
      <c r="BK21" s="218">
        <f>SLP!BK21+ROSA!BK21+'STA ANA'!BK21+BOA!BK21+'STA MARIA'!BK21+'CB I'!BK21+IG!BK21+PN!BK21+MJ!BK21+'RB I'!BK21+'SF I'!BK21</f>
        <v>0</v>
      </c>
      <c r="BL21" s="218">
        <f>SLP!BL21+ROSA!BL21+'STA ANA'!BL21+BOA!BL21+'STA MARIA'!BL21+'CB I'!BL21+IG!BL21+PN!BL21+MJ!BL21+'RB I'!BL21+'SF I'!BL21</f>
        <v>0</v>
      </c>
      <c r="BM21" s="218">
        <f>SLP!BM21+ROSA!BM21+'STA ANA'!BM21+BOA!BM21+'STA MARIA'!BM21+'CB I'!BM21+IG!BM21+PN!BM21+MJ!BM21+'RB I'!BM21+'SF I'!BM21</f>
        <v>0</v>
      </c>
      <c r="BN21" s="218">
        <f>SLP!BN21+ROSA!BN21+'STA ANA'!BN21+BOA!BN21+'STA MARIA'!BN21+'CB I'!BN21+IG!BN21+PN!BN21+MJ!BN21+'RB I'!BN21+'SF I'!BN21</f>
        <v>0</v>
      </c>
      <c r="BO21" s="221" t="str">
        <f t="shared" si="10"/>
        <v/>
      </c>
      <c r="BP21" s="218">
        <f>SLP!BP21+ROSA!BP21+'STA ANA'!BP21+BOA!BP21+'STA MARIA'!BP21+'CB I'!BP21+IG!BP21+PN!BP21+MJ!BP21+'RB I'!BP21+'SF I'!BP21</f>
        <v>0</v>
      </c>
      <c r="BQ21" s="218">
        <f>SLP!BQ21+ROSA!BQ21+'STA ANA'!BQ21+BOA!BQ21+'STA MARIA'!BQ21+'CB I'!BQ21+IG!BQ21+PN!BQ21+MJ!BQ21+'RB I'!BQ21+'SF I'!BQ21</f>
        <v>0</v>
      </c>
      <c r="BR21" s="218">
        <f>SLP!BR21+ROSA!BR21+'STA ANA'!BR21+BOA!BR21+'STA MARIA'!BR21+'CB I'!BR21+IG!BR21+PN!BR21+MJ!BR21+'RB I'!BR21+'SF I'!BR21</f>
        <v>0</v>
      </c>
      <c r="BS21" s="218">
        <f>SLP!BS21+ROSA!BS21+'STA ANA'!BS21+BOA!BS21+'STA MARIA'!BS21+'CB I'!BS21+IG!BS21+PN!BS21+MJ!BS21+'RB I'!BS21+'SF I'!BS21</f>
        <v>0</v>
      </c>
      <c r="BT21" s="218">
        <f>SLP!BT21+ROSA!BT21+'STA ANA'!BT21+BOA!BT21+'STA MARIA'!BT21+'CB I'!BT21+IG!BT21+PN!BT21+MJ!BT21+'RB I'!BT21+'SF I'!BT21</f>
        <v>0</v>
      </c>
      <c r="BU21" s="218">
        <f>SLP!BU21+ROSA!BU21+'STA ANA'!BU21+BOA!BU21+'STA MARIA'!BU21+'CB I'!BU21+IG!BU21+PN!BU21+MJ!BU21+'RB I'!BU21+'SF I'!BU21</f>
        <v>0</v>
      </c>
      <c r="BV21" s="221" t="str">
        <f t="shared" si="11"/>
        <v/>
      </c>
      <c r="BW21" s="218">
        <f>SLP!BW21+ROSA!BW21+'STA ANA'!BW21+BOA!BW21+'STA MARIA'!BW21+'CB I'!BW21+IG!BW21+PN!BW21+MJ!BW21+'RB I'!BW21+'SF I'!BW21</f>
        <v>0</v>
      </c>
      <c r="BX21" s="218">
        <f>SLP!BX21+ROSA!BX21+'STA ANA'!BX21+BOA!BX21+'STA MARIA'!BX21+'CB I'!BX21+IG!BX21+PN!BX21+MJ!BX21+'RB I'!BX21+'SF I'!BX21</f>
        <v>0</v>
      </c>
      <c r="BY21" s="218">
        <f>SLP!BY21+ROSA!BY21+'STA ANA'!BY21+BOA!BY21+'STA MARIA'!BY21+'CB I'!BY21+IG!BY21+PN!BY21+MJ!BY21+'RB I'!BY21+'SF I'!BY21</f>
        <v>0</v>
      </c>
      <c r="BZ21" s="218">
        <f>SLP!BZ21+ROSA!BZ21+'STA ANA'!BZ21+BOA!BZ21+'STA MARIA'!BZ21+'CB I'!BZ21+IG!BZ21+PN!BZ21+MJ!BZ21+'RB I'!BZ21+'SF I'!BZ21</f>
        <v>0</v>
      </c>
      <c r="CA21" s="218">
        <f>SLP!CA21+ROSA!CA21+'STA ANA'!CA21+BOA!CA21+'STA MARIA'!CA21+'CB I'!CA21+IG!CA21+PN!CA21+MJ!CA21+'RB I'!CA21+'SF I'!CA21</f>
        <v>0</v>
      </c>
      <c r="CB21" s="218">
        <f>SLP!CB21+ROSA!CB21+'STA ANA'!CB21+BOA!CB21+'STA MARIA'!CB21+'CB I'!CB21+IG!CB21+PN!CB21+MJ!CB21+'RB I'!CB21+'SF I'!CB21</f>
        <v>0</v>
      </c>
      <c r="CC21" s="221" t="str">
        <f t="shared" si="12"/>
        <v/>
      </c>
      <c r="CD21" s="218">
        <f>SLP!CD21+ROSA!CD21+'STA ANA'!CD21+BOA!CD21+'STA MARIA'!CD21+'CB I'!CD21+IG!CD21+PN!CD21+MJ!CD21+'RB I'!CD21+'SF I'!CD21</f>
        <v>0</v>
      </c>
      <c r="CE21" s="218">
        <f>SLP!CE21+ROSA!CE21+'STA ANA'!CE21+BOA!CE21+'STA MARIA'!CE21+'CB I'!CE21+IG!CE21+PN!CE21+MJ!CE21+'RB I'!CE21+'SF I'!CE21</f>
        <v>0</v>
      </c>
      <c r="CF21" s="218">
        <f>SLP!CF21+ROSA!CF21+'STA ANA'!CF21+BOA!CF21+'STA MARIA'!CF21+'CB I'!CF21+IG!CF21+PN!CF21+MJ!CF21+'RB I'!CF21+'SF I'!CF21</f>
        <v>0</v>
      </c>
      <c r="CG21" s="218">
        <f>SLP!CG21+ROSA!CG21+'STA ANA'!CG21+BOA!CG21+'STA MARIA'!CG21+'CB I'!CG21+IG!CG21+PN!CG21+MJ!CG21+'RB I'!CG21+'SF I'!CG21</f>
        <v>0</v>
      </c>
      <c r="CH21" s="218">
        <f>SLP!CH21+ROSA!CH21+'STA ANA'!CH21+BOA!CH21+'STA MARIA'!CH21+'CB I'!CH21+IG!CH21+PN!CH21+MJ!CH21+'RB I'!CH21+'SF I'!CH21</f>
        <v>0</v>
      </c>
      <c r="CI21" s="218">
        <f>SLP!CI21+ROSA!CI21+'STA ANA'!CI21+BOA!CI21+'STA MARIA'!CI21+'CB I'!CI21+IG!CI21+PN!CI21+MJ!CI21+'RB I'!CI21+'SF I'!CI21</f>
        <v>0</v>
      </c>
      <c r="CJ21" s="221" t="str">
        <f t="shared" si="13"/>
        <v/>
      </c>
      <c r="CK21" s="218">
        <f>SLP!CK21+ROSA!CK21+'STA ANA'!CK21+BOA!CK21+'STA MARIA'!CK21+'CB I'!CK21+IG!CK21+PN!CK21+MJ!CK21+'RB I'!CK21+'SF I'!CK21</f>
        <v>0</v>
      </c>
      <c r="CL21" s="218">
        <f>SLP!CL21+ROSA!CL21+'STA ANA'!CL21+BOA!CL21+'STA MARIA'!CL21+'CB I'!CL21+IG!CL21+PN!CL21+MJ!CL21+'RB I'!CL21+'SF I'!CL21</f>
        <v>0</v>
      </c>
      <c r="CM21" s="218">
        <f>SLP!CM21+ROSA!CM21+'STA ANA'!CM21+BOA!CM21+'STA MARIA'!CM21+'CB I'!CM21+IG!CM21+PN!CM21+MJ!CM21+'RB I'!CM21+'SF I'!CM21</f>
        <v>0</v>
      </c>
      <c r="CN21" s="218">
        <f>SLP!CN21+ROSA!CN21+'STA ANA'!CN21+BOA!CN21+'STA MARIA'!CN21+'CB I'!CN21+IG!CN21+PN!CN21+MJ!CN21+'RB I'!CN21+'SF I'!CN21</f>
        <v>0</v>
      </c>
      <c r="CO21" s="218">
        <f>SLP!CO21+ROSA!CO21+'STA ANA'!CO21+BOA!CO21+'STA MARIA'!CO21+'CB I'!CO21+IG!CO21+PN!CO21+MJ!CO21+'RB I'!CO21+'SF I'!CO21</f>
        <v>0</v>
      </c>
      <c r="CP21" s="218">
        <f>SLP!CP21+ROSA!CP21+'STA ANA'!CP21+BOA!CP21+'STA MARIA'!CP21+'CB I'!CP21+IG!CP21+PN!CP21+MJ!CP21+'RB I'!CP21+'SF I'!CP21</f>
        <v>0</v>
      </c>
      <c r="CQ21" s="221" t="str">
        <f t="shared" si="14"/>
        <v/>
      </c>
      <c r="CR21" s="154"/>
      <c r="CS21" s="222" t="e">
        <f t="shared" si="15"/>
        <v>#VALUE!</v>
      </c>
    </row>
    <row r="22" spans="1:97" ht="16" customHeight="1" thickBot="1" x14ac:dyDescent="0.25">
      <c r="A22" s="223" t="s">
        <v>46</v>
      </c>
      <c r="B22" s="30">
        <f t="shared" si="0"/>
        <v>2506226.317139192</v>
      </c>
      <c r="C22" s="31">
        <f t="shared" si="0"/>
        <v>2262762.9370374945</v>
      </c>
      <c r="D22" s="32">
        <f t="shared" si="0"/>
        <v>243463.38010169708</v>
      </c>
      <c r="E22" s="30">
        <f t="shared" si="16"/>
        <v>835408.77237973071</v>
      </c>
      <c r="F22" s="33">
        <f t="shared" si="16"/>
        <v>754254.31234583154</v>
      </c>
      <c r="G22" s="34">
        <f t="shared" si="16"/>
        <v>81154.460033899013</v>
      </c>
      <c r="H22" s="31">
        <f t="shared" si="1"/>
        <v>1762546.1052662535</v>
      </c>
      <c r="I22" s="33">
        <f t="shared" si="1"/>
        <v>198952.47082331093</v>
      </c>
      <c r="J22" s="33">
        <f t="shared" si="1"/>
        <v>1961498.5760895642</v>
      </c>
      <c r="K22" s="221">
        <f t="shared" si="2"/>
        <v>1.3479506571400655</v>
      </c>
      <c r="L22" s="218">
        <f>SLP!L22+ROSA!L22+'STA ANA'!L22+BOA!L22+'STA MARIA'!L22+'CB I'!L22+IG!L22+PN!L22+MJ!L22+'RB I'!L22+'SF I'!L22</f>
        <v>208852.19309493268</v>
      </c>
      <c r="M22" s="218">
        <f>SLP!M22+ROSA!M22+'STA ANA'!M22+BOA!M22+'STA MARIA'!M22+'CB I'!M22+IG!M22+PN!M22+MJ!M22+'RB I'!M22+'SF I'!M22</f>
        <v>188563.57808645788</v>
      </c>
      <c r="N22" s="218">
        <f>SLP!N22+ROSA!N22+'STA ANA'!N22+BOA!N22+'STA MARIA'!N22+'CB I'!N22+IG!N22+PN!N22+MJ!N22+'RB I'!N22+'SF I'!N22</f>
        <v>20288.615008474753</v>
      </c>
      <c r="O22" s="218">
        <f>SLP!O22+ROSA!O22+'STA ANA'!O22+BOA!O22+'STA MARIA'!O22+'CB I'!O22+IG!O22+PN!O22+MJ!O22+'RB I'!O22+'SF I'!O22</f>
        <v>617501.23116801423</v>
      </c>
      <c r="P22" s="218">
        <f>SLP!P22+ROSA!P22+'STA ANA'!P22+BOA!P22+'STA MARIA'!P22+'CB I'!P22+IG!P22+PN!P22+MJ!P22+'RB I'!P22+'SF I'!P22</f>
        <v>86984.329710895705</v>
      </c>
      <c r="Q22" s="218">
        <f>SLP!Q22+ROSA!Q22+'STA ANA'!Q22+BOA!Q22+'STA MARIA'!Q22+'CB I'!Q22+IG!Q22+PN!Q22+MJ!Q22+'RB I'!Q22+'SF I'!Q22</f>
        <v>704485.56087891001</v>
      </c>
      <c r="R22" s="221">
        <f t="shared" si="3"/>
        <v>2.373129821809866</v>
      </c>
      <c r="S22" s="218">
        <f>SLP!S22+ROSA!S22+'STA ANA'!S22+BOA!S22+'STA MARIA'!S22+'CB I'!S22+IG!S22+PN!S22+MJ!S22+'RB I'!S22+'SF I'!S22</f>
        <v>208852.19309493268</v>
      </c>
      <c r="T22" s="218">
        <f>SLP!T22+ROSA!T22+'STA ANA'!T22+BOA!T22+'STA MARIA'!T22+'CB I'!T22+IG!T22+PN!T22+MJ!T22+'RB I'!T22+'SF I'!T22</f>
        <v>188563.57808645788</v>
      </c>
      <c r="U22" s="218">
        <f>SLP!U22+ROSA!U22+'STA ANA'!U22+BOA!U22+'STA MARIA'!U22+'CB I'!U22+IG!U22+PN!U22+MJ!U22+'RB I'!U22+'SF I'!U22</f>
        <v>20288.615008474753</v>
      </c>
      <c r="V22" s="218">
        <f>SLP!V22+ROSA!V22+'STA ANA'!V22+BOA!V22+'STA MARIA'!V22+'CB I'!V22+IG!V22+PN!V22+MJ!V22+'RB I'!V22+'SF I'!V22</f>
        <v>519231.71423911856</v>
      </c>
      <c r="W22" s="218">
        <f>SLP!W22+ROSA!W22+'STA ANA'!W22+BOA!W22+'STA MARIA'!W22+'CB I'!W22+IG!W22+PN!W22+MJ!W22+'RB I'!W22+'SF I'!W22</f>
        <v>43170.744339988843</v>
      </c>
      <c r="X22" s="218">
        <f>SLP!X22+ROSA!X22+'STA ANA'!X22+BOA!X22+'STA MARIA'!X22+'CB I'!X22+IG!X22+PN!X22+MJ!X22+'RB I'!X22+'SF I'!X22</f>
        <v>562402.45857910742</v>
      </c>
      <c r="Y22" s="221">
        <f t="shared" si="4"/>
        <v>1.6928252475829657</v>
      </c>
      <c r="Z22" s="218">
        <f>SLP!Z22+ROSA!Z22+'STA ANA'!Z22+BOA!Z22+'STA MARIA'!Z22+'CB I'!Z22+IG!Z22+PN!Z22+MJ!Z22+'RB I'!Z22+'SF I'!Z22</f>
        <v>208852.19309493268</v>
      </c>
      <c r="AA22" s="218">
        <f>SLP!AA22+ROSA!AA22+'STA ANA'!AA22+BOA!AA22+'STA MARIA'!AA22+'CB I'!AA22+IG!AA22+PN!AA22+MJ!AA22+'RB I'!AA22+'SF I'!AA22</f>
        <v>188563.57808645788</v>
      </c>
      <c r="AB22" s="218">
        <f>SLP!AB22+ROSA!AB22+'STA ANA'!AB22+BOA!AB22+'STA MARIA'!AB22+'CB I'!AB22+IG!AB22+PN!AB22+MJ!AB22+'RB I'!AB22+'SF I'!AB22</f>
        <v>20288.615008474753</v>
      </c>
      <c r="AC22" s="218">
        <f>SLP!AC22+ROSA!AC22+'STA ANA'!AC22+BOA!AC22+'STA MARIA'!AC22+'CB I'!AC22+IG!AC22+PN!AC22+MJ!AC22+'RB I'!AC22+'SF I'!AC22</f>
        <v>117140.82677985003</v>
      </c>
      <c r="AD22" s="218">
        <f>SLP!AD22+ROSA!AD22+'STA ANA'!AD22+BOA!AD22+'STA MARIA'!AD22+'CB I'!AD22+IG!AD22+PN!AD22+MJ!AD22+'RB I'!AD22+'SF I'!AD22</f>
        <v>9362.9778198672575</v>
      </c>
      <c r="AE22" s="218">
        <f>SLP!AE22+ROSA!AE22+'STA ANA'!AE22+BOA!AE22+'STA MARIA'!AE22+'CB I'!AE22+IG!AE22+PN!AE22+MJ!AE22+'RB I'!AE22+'SF I'!AE22</f>
        <v>126503.80459971732</v>
      </c>
      <c r="AF22" s="221">
        <f t="shared" si="5"/>
        <v>-0.39429027426005692</v>
      </c>
      <c r="AG22" s="218">
        <f>SLP!AG22+ROSA!AG22+'STA ANA'!AG22+BOA!AG22+'STA MARIA'!AG22+'CB I'!AG22+IG!AG22+PN!AG22+MJ!AG22+'RB I'!AG22+'SF I'!AG22</f>
        <v>208852.19309493268</v>
      </c>
      <c r="AH22" s="218">
        <f>SLP!AH22+ROSA!AH22+'STA ANA'!AH22+BOA!AH22+'STA MARIA'!AH22+'CB I'!AH22+IG!AH22+PN!AH22+MJ!AH22+'RB I'!AH22+'SF I'!AH22</f>
        <v>188563.57808645788</v>
      </c>
      <c r="AI22" s="218">
        <f>SLP!AI22+ROSA!AI22+'STA ANA'!AI22+BOA!AI22+'STA MARIA'!AI22+'CB I'!AI22+IG!AI22+PN!AI22+MJ!AI22+'RB I'!AI22+'SF I'!AI22</f>
        <v>20288.615008474753</v>
      </c>
      <c r="AJ22" s="218">
        <f>SLP!AJ22+ROSA!AJ22+'STA ANA'!AJ22+BOA!AJ22+'STA MARIA'!AJ22+'CB I'!AJ22+IG!AJ22+PN!AJ22+MJ!AJ22+'RB I'!AJ22+'SF I'!AJ22</f>
        <v>55047.114329554184</v>
      </c>
      <c r="AK22" s="218">
        <f>SLP!AK22+ROSA!AK22+'STA ANA'!AK22+BOA!AK22+'STA MARIA'!AK22+'CB I'!AK22+IG!AK22+PN!AK22+MJ!AK22+'RB I'!AK22+'SF I'!AK22</f>
        <v>6316.428000272158</v>
      </c>
      <c r="AL22" s="218">
        <f>SLP!AL22+ROSA!AL22+'STA ANA'!AL22+BOA!AL22+'STA MARIA'!AL22+'CB I'!AL22+IG!AL22+PN!AL22+MJ!AL22+'RB I'!AL22+'SF I'!AL22</f>
        <v>61363.542329826349</v>
      </c>
      <c r="AM22" s="221">
        <f t="shared" si="6"/>
        <v>-0.70618674661494274</v>
      </c>
      <c r="AN22" s="218">
        <f>SLP!AN22+ROSA!AN22+'STA ANA'!AN22+BOA!AN22+'STA MARIA'!AN22+'CB I'!AN22+IG!AN22+PN!AN22+MJ!AN22+'RB I'!AN22+'SF I'!AN22</f>
        <v>208852.19309493268</v>
      </c>
      <c r="AO22" s="218">
        <f>SLP!AO22+ROSA!AO22+'STA ANA'!AO22+BOA!AO22+'STA MARIA'!AO22+'CB I'!AO22+IG!AO22+PN!AO22+MJ!AO22+'RB I'!AO22+'SF I'!AO22</f>
        <v>188563.57808645788</v>
      </c>
      <c r="AP22" s="218">
        <f>SLP!AP22+ROSA!AP22+'STA ANA'!AP22+BOA!AP22+'STA MARIA'!AP22+'CB I'!AP22+IG!AP22+PN!AP22+MJ!AP22+'RB I'!AP22+'SF I'!AP22</f>
        <v>20288.615008474753</v>
      </c>
      <c r="AQ22" s="218">
        <f>SLP!AQ22+ROSA!AQ22+'STA ANA'!AQ22+BOA!AQ22+'STA MARIA'!AQ22+'CB I'!AQ22+IG!AQ22+PN!AQ22+MJ!AQ22+'RB I'!AQ22+'SF I'!AQ22</f>
        <v>237747.95083772053</v>
      </c>
      <c r="AR22" s="218">
        <f>SLP!AR22+ROSA!AR22+'STA ANA'!AR22+BOA!AR22+'STA MARIA'!AR22+'CB I'!AR22+IG!AR22+PN!AR22+MJ!AR22+'RB I'!AR22+'SF I'!AR22</f>
        <v>22494.873202483261</v>
      </c>
      <c r="AS22" s="218">
        <f>SLP!AS22+ROSA!AS22+'STA ANA'!AS22+BOA!AS22+'STA MARIA'!AS22+'CB I'!AS22+IG!AS22+PN!AS22+MJ!AS22+'RB I'!AS22+'SF I'!AS22</f>
        <v>260242.82404020379</v>
      </c>
      <c r="AT22" s="221">
        <f t="shared" si="7"/>
        <v>0.2460622040100473</v>
      </c>
      <c r="AU22" s="218">
        <f>SLP!AU22+ROSA!AU22+'STA ANA'!AU22+BOA!AU22+'STA MARIA'!AU22+'CB I'!AU22+IG!AU22+PN!AU22+MJ!AU22+'RB I'!AU22+'SF I'!AU22</f>
        <v>208852.19309493268</v>
      </c>
      <c r="AV22" s="218">
        <f>SLP!AV22+ROSA!AV22+'STA ANA'!AV22+BOA!AV22+'STA MARIA'!AV22+'CB I'!AV22+IG!AV22+PN!AV22+MJ!AV22+'RB I'!AV22+'SF I'!AV22</f>
        <v>188563.57808645788</v>
      </c>
      <c r="AW22" s="218">
        <f>SLP!AW22+ROSA!AW22+'STA ANA'!AW22+BOA!AW22+'STA MARIA'!AW22+'CB I'!AW22+IG!AW22+PN!AW22+MJ!AW22+'RB I'!AW22+'SF I'!AW22</f>
        <v>20288.615008474753</v>
      </c>
      <c r="AX22" s="218">
        <f>SLP!AX22+ROSA!AX22+'STA ANA'!AX22+BOA!AX22+'STA MARIA'!AX22+'CB I'!AX22+IG!AX22+PN!AX22+MJ!AX22+'RB I'!AX22+'SF I'!AX22</f>
        <v>215877.26791199567</v>
      </c>
      <c r="AY22" s="218">
        <f>SLP!AY22+ROSA!AY22+'STA ANA'!AY22+BOA!AY22+'STA MARIA'!AY22+'CB I'!AY22+IG!AY22+PN!AY22+MJ!AY22+'RB I'!AY22+'SF I'!AY22</f>
        <v>30623.11774980371</v>
      </c>
      <c r="AZ22" s="218">
        <f>SLP!AZ22+ROSA!AZ22+'STA ANA'!AZ22+BOA!AZ22+'STA MARIA'!AZ22+'CB I'!AZ22+IG!AZ22+PN!AZ22+MJ!AZ22+'RB I'!AZ22+'SF I'!AZ22</f>
        <v>246500.38566179943</v>
      </c>
      <c r="BA22" s="221">
        <f t="shared" si="8"/>
        <v>0.1802623760323836</v>
      </c>
      <c r="BB22" s="218">
        <f>SLP!BB22+ROSA!BB22+'STA ANA'!BB22+BOA!BB22+'STA MARIA'!BB22+'CB I'!BB22+IG!BB22+PN!BB22+MJ!BB22+'RB I'!BB22+'SF I'!BB22</f>
        <v>208852.19309493268</v>
      </c>
      <c r="BC22" s="218">
        <f>SLP!BC22+ROSA!BC22+'STA ANA'!BC22+BOA!BC22+'STA MARIA'!BC22+'CB I'!BC22+IG!BC22+PN!BC22+MJ!BC22+'RB I'!BC22+'SF I'!BC22</f>
        <v>188563.57808645788</v>
      </c>
      <c r="BD22" s="218">
        <f>SLP!BD22+ROSA!BD22+'STA ANA'!BD22+BOA!BD22+'STA MARIA'!BD22+'CB I'!BD22+IG!BD22+PN!BD22+MJ!BD22+'RB I'!BD22+'SF I'!BD22</f>
        <v>20288.615008474753</v>
      </c>
      <c r="BE22" s="218">
        <f>SLP!BE22+ROSA!BE22+'STA ANA'!BE22+BOA!BE22+'STA MARIA'!BE22+'CB I'!BE22+IG!BE22+PN!BE22+MJ!BE22+'RB I'!BE22+'SF I'!BE22</f>
        <v>0</v>
      </c>
      <c r="BF22" s="218">
        <f>SLP!BF22+ROSA!BF22+'STA ANA'!BF22+BOA!BF22+'STA MARIA'!BF22+'CB I'!BF22+IG!BF22+PN!BF22+MJ!BF22+'RB I'!BF22+'SF I'!BF22</f>
        <v>0</v>
      </c>
      <c r="BG22" s="218">
        <f>SLP!BG22+ROSA!BG22+'STA ANA'!BG22+BOA!BG22+'STA MARIA'!BG22+'CB I'!BG22+IG!BG22+PN!BG22+MJ!BG22+'RB I'!BG22+'SF I'!BG22</f>
        <v>0</v>
      </c>
      <c r="BH22" s="221">
        <f t="shared" si="9"/>
        <v>-1</v>
      </c>
      <c r="BI22" s="218">
        <f>SLP!BI22+ROSA!BI22+'STA ANA'!BI22+BOA!BI22+'STA MARIA'!BI22+'CB I'!BI22+IG!BI22+PN!BI22+MJ!BI22+'RB I'!BI22+'SF I'!BI22</f>
        <v>208852.19309493268</v>
      </c>
      <c r="BJ22" s="218">
        <f>SLP!BJ22+ROSA!BJ22+'STA ANA'!BJ22+BOA!BJ22+'STA MARIA'!BJ22+'CB I'!BJ22+IG!BJ22+PN!BJ22+MJ!BJ22+'RB I'!BJ22+'SF I'!BJ22</f>
        <v>188563.57808645788</v>
      </c>
      <c r="BK22" s="218">
        <f>SLP!BK22+ROSA!BK22+'STA ANA'!BK22+BOA!BK22+'STA MARIA'!BK22+'CB I'!BK22+IG!BK22+PN!BK22+MJ!BK22+'RB I'!BK22+'SF I'!BK22</f>
        <v>20288.615008474753</v>
      </c>
      <c r="BL22" s="218">
        <f>SLP!BL22+ROSA!BL22+'STA ANA'!BL22+BOA!BL22+'STA MARIA'!BL22+'CB I'!BL22+IG!BL22+PN!BL22+MJ!BL22+'RB I'!BL22+'SF I'!BL22</f>
        <v>0</v>
      </c>
      <c r="BM22" s="218">
        <f>SLP!BM22+ROSA!BM22+'STA ANA'!BM22+BOA!BM22+'STA MARIA'!BM22+'CB I'!BM22+IG!BM22+PN!BM22+MJ!BM22+'RB I'!BM22+'SF I'!BM22</f>
        <v>0</v>
      </c>
      <c r="BN22" s="218">
        <f>SLP!BN22+ROSA!BN22+'STA ANA'!BN22+BOA!BN22+'STA MARIA'!BN22+'CB I'!BN22+IG!BN22+PN!BN22+MJ!BN22+'RB I'!BN22+'SF I'!BN22</f>
        <v>0</v>
      </c>
      <c r="BO22" s="221">
        <f t="shared" si="10"/>
        <v>-1</v>
      </c>
      <c r="BP22" s="218">
        <f>SLP!BP22+ROSA!BP22+'STA ANA'!BP22+BOA!BP22+'STA MARIA'!BP22+'CB I'!BP22+IG!BP22+PN!BP22+MJ!BP22+'RB I'!BP22+'SF I'!BP22</f>
        <v>208852.19309493268</v>
      </c>
      <c r="BQ22" s="218">
        <f>SLP!BQ22+ROSA!BQ22+'STA ANA'!BQ22+BOA!BQ22+'STA MARIA'!BQ22+'CB I'!BQ22+IG!BQ22+PN!BQ22+MJ!BQ22+'RB I'!BQ22+'SF I'!BQ22</f>
        <v>188563.57808645788</v>
      </c>
      <c r="BR22" s="218">
        <f>SLP!BR22+ROSA!BR22+'STA ANA'!BR22+BOA!BR22+'STA MARIA'!BR22+'CB I'!BR22+IG!BR22+PN!BR22+MJ!BR22+'RB I'!BR22+'SF I'!BR22</f>
        <v>20288.615008474753</v>
      </c>
      <c r="BS22" s="218">
        <f>SLP!BS22+ROSA!BS22+'STA ANA'!BS22+BOA!BS22+'STA MARIA'!BS22+'CB I'!BS22+IG!BS22+PN!BS22+MJ!BS22+'RB I'!BS22+'SF I'!BS22</f>
        <v>0</v>
      </c>
      <c r="BT22" s="218">
        <f>SLP!BT22+ROSA!BT22+'STA ANA'!BT22+BOA!BT22+'STA MARIA'!BT22+'CB I'!BT22+IG!BT22+PN!BT22+MJ!BT22+'RB I'!BT22+'SF I'!BT22</f>
        <v>0</v>
      </c>
      <c r="BU22" s="218">
        <f>SLP!BU22+ROSA!BU22+'STA ANA'!BU22+BOA!BU22+'STA MARIA'!BU22+'CB I'!BU22+IG!BU22+PN!BU22+MJ!BU22+'RB I'!BU22+'SF I'!BU22</f>
        <v>0</v>
      </c>
      <c r="BV22" s="221">
        <f t="shared" si="11"/>
        <v>-1</v>
      </c>
      <c r="BW22" s="218">
        <f>SLP!BW22+ROSA!BW22+'STA ANA'!BW22+BOA!BW22+'STA MARIA'!BW22+'CB I'!BW22+IG!BW22+PN!BW22+MJ!BW22+'RB I'!BW22+'SF I'!BW22</f>
        <v>208852.19309493268</v>
      </c>
      <c r="BX22" s="218">
        <f>SLP!BX22+ROSA!BX22+'STA ANA'!BX22+BOA!BX22+'STA MARIA'!BX22+'CB I'!BX22+IG!BX22+PN!BX22+MJ!BX22+'RB I'!BX22+'SF I'!BX22</f>
        <v>188563.57808645788</v>
      </c>
      <c r="BY22" s="218">
        <f>SLP!BY22+ROSA!BY22+'STA ANA'!BY22+BOA!BY22+'STA MARIA'!BY22+'CB I'!BY22+IG!BY22+PN!BY22+MJ!BY22+'RB I'!BY22+'SF I'!BY22</f>
        <v>20288.615008474753</v>
      </c>
      <c r="BZ22" s="218">
        <f>SLP!BZ22+ROSA!BZ22+'STA ANA'!BZ22+BOA!BZ22+'STA MARIA'!BZ22+'CB I'!BZ22+IG!BZ22+PN!BZ22+MJ!BZ22+'RB I'!BZ22+'SF I'!BZ22</f>
        <v>0</v>
      </c>
      <c r="CA22" s="218">
        <f>SLP!CA22+ROSA!CA22+'STA ANA'!CA22+BOA!CA22+'STA MARIA'!CA22+'CB I'!CA22+IG!CA22+PN!CA22+MJ!CA22+'RB I'!CA22+'SF I'!CA22</f>
        <v>0</v>
      </c>
      <c r="CB22" s="218">
        <f>SLP!CB22+ROSA!CB22+'STA ANA'!CB22+BOA!CB22+'STA MARIA'!CB22+'CB I'!CB22+IG!CB22+PN!CB22+MJ!CB22+'RB I'!CB22+'SF I'!CB22</f>
        <v>0</v>
      </c>
      <c r="CC22" s="221">
        <f t="shared" si="12"/>
        <v>-1</v>
      </c>
      <c r="CD22" s="218">
        <f>SLP!CD22+ROSA!CD22+'STA ANA'!CD22+BOA!CD22+'STA MARIA'!CD22+'CB I'!CD22+IG!CD22+PN!CD22+MJ!CD22+'RB I'!CD22+'SF I'!CD22</f>
        <v>208852.19309493268</v>
      </c>
      <c r="CE22" s="218">
        <f>SLP!CE22+ROSA!CE22+'STA ANA'!CE22+BOA!CE22+'STA MARIA'!CE22+'CB I'!CE22+IG!CE22+PN!CE22+MJ!CE22+'RB I'!CE22+'SF I'!CE22</f>
        <v>188563.57808645788</v>
      </c>
      <c r="CF22" s="218">
        <f>SLP!CF22+ROSA!CF22+'STA ANA'!CF22+BOA!CF22+'STA MARIA'!CF22+'CB I'!CF22+IG!CF22+PN!CF22+MJ!CF22+'RB I'!CF22+'SF I'!CF22</f>
        <v>20288.615008474753</v>
      </c>
      <c r="CG22" s="218">
        <f>SLP!CG22+ROSA!CG22+'STA ANA'!CG22+BOA!CG22+'STA MARIA'!CG22+'CB I'!CG22+IG!CG22+PN!CG22+MJ!CG22+'RB I'!CG22+'SF I'!CG22</f>
        <v>0</v>
      </c>
      <c r="CH22" s="218">
        <f>SLP!CH22+ROSA!CH22+'STA ANA'!CH22+BOA!CH22+'STA MARIA'!CH22+'CB I'!CH22+IG!CH22+PN!CH22+MJ!CH22+'RB I'!CH22+'SF I'!CH22</f>
        <v>0</v>
      </c>
      <c r="CI22" s="218">
        <f>SLP!CI22+ROSA!CI22+'STA ANA'!CI22+BOA!CI22+'STA MARIA'!CI22+'CB I'!CI22+IG!CI22+PN!CI22+MJ!CI22+'RB I'!CI22+'SF I'!CI22</f>
        <v>0</v>
      </c>
      <c r="CJ22" s="221">
        <f t="shared" si="13"/>
        <v>-1</v>
      </c>
      <c r="CK22" s="218">
        <f>SLP!CK22+ROSA!CK22+'STA ANA'!CK22+BOA!CK22+'STA MARIA'!CK22+'CB I'!CK22+IG!CK22+PN!CK22+MJ!CK22+'RB I'!CK22+'SF I'!CK22</f>
        <v>208852.19309493268</v>
      </c>
      <c r="CL22" s="218">
        <f>SLP!CL22+ROSA!CL22+'STA ANA'!CL22+BOA!CL22+'STA MARIA'!CL22+'CB I'!CL22+IG!CL22+PN!CL22+MJ!CL22+'RB I'!CL22+'SF I'!CL22</f>
        <v>188563.57808645788</v>
      </c>
      <c r="CM22" s="218">
        <f>SLP!CM22+ROSA!CM22+'STA ANA'!CM22+BOA!CM22+'STA MARIA'!CM22+'CB I'!CM22+IG!CM22+PN!CM22+MJ!CM22+'RB I'!CM22+'SF I'!CM22</f>
        <v>20288.615008474753</v>
      </c>
      <c r="CN22" s="218">
        <f>SLP!CN22+ROSA!CN22+'STA ANA'!CN22+BOA!CN22+'STA MARIA'!CN22+'CB I'!CN22+IG!CN22+PN!CN22+MJ!CN22+'RB I'!CN22+'SF I'!CN22</f>
        <v>0</v>
      </c>
      <c r="CO22" s="218">
        <f>SLP!CO22+ROSA!CO22+'STA ANA'!CO22+BOA!CO22+'STA MARIA'!CO22+'CB I'!CO22+IG!CO22+PN!CO22+MJ!CO22+'RB I'!CO22+'SF I'!CO22</f>
        <v>0</v>
      </c>
      <c r="CP22" s="218">
        <f>SLP!CP22+ROSA!CP22+'STA ANA'!CP22+BOA!CP22+'STA MARIA'!CP22+'CB I'!CP22+IG!CP22+PN!CP22+MJ!CP22+'RB I'!CP22+'SF I'!CP22</f>
        <v>0</v>
      </c>
      <c r="CQ22" s="221">
        <f t="shared" si="14"/>
        <v>-1</v>
      </c>
      <c r="CR22" s="154"/>
      <c r="CS22" s="222" t="e">
        <f t="shared" si="15"/>
        <v>#VALUE!</v>
      </c>
    </row>
    <row r="23" spans="1:97" ht="16" customHeight="1" thickBot="1" x14ac:dyDescent="0.25">
      <c r="A23" s="220" t="s">
        <v>47</v>
      </c>
      <c r="B23" s="30">
        <f t="shared" si="0"/>
        <v>0</v>
      </c>
      <c r="C23" s="31">
        <f t="shared" si="0"/>
        <v>0</v>
      </c>
      <c r="D23" s="32">
        <f t="shared" si="0"/>
        <v>0</v>
      </c>
      <c r="E23" s="30">
        <f t="shared" si="16"/>
        <v>0</v>
      </c>
      <c r="F23" s="33">
        <f t="shared" si="16"/>
        <v>0</v>
      </c>
      <c r="G23" s="34">
        <f t="shared" si="16"/>
        <v>0</v>
      </c>
      <c r="H23" s="31">
        <f t="shared" si="1"/>
        <v>151.82668000000001</v>
      </c>
      <c r="I23" s="33">
        <f t="shared" si="1"/>
        <v>57.013320000000007</v>
      </c>
      <c r="J23" s="33">
        <f t="shared" si="1"/>
        <v>208.84</v>
      </c>
      <c r="K23" s="221" t="str">
        <f t="shared" si="2"/>
        <v/>
      </c>
      <c r="L23" s="218">
        <f>SLP!L23+ROSA!L23+'STA ANA'!L23+BOA!L23+'STA MARIA'!L23+'CB I'!L23+IG!L23+PN!L23+MJ!L23+'RB I'!L23+'SF I'!L23</f>
        <v>0</v>
      </c>
      <c r="M23" s="218">
        <f>SLP!M23+ROSA!M23+'STA ANA'!M23+BOA!M23+'STA MARIA'!M23+'CB I'!M23+IG!M23+PN!M23+MJ!M23+'RB I'!M23+'SF I'!M23</f>
        <v>0</v>
      </c>
      <c r="N23" s="218">
        <f>SLP!N23+ROSA!N23+'STA ANA'!N23+BOA!N23+'STA MARIA'!N23+'CB I'!N23+IG!N23+PN!N23+MJ!N23+'RB I'!N23+'SF I'!N23</f>
        <v>0</v>
      </c>
      <c r="O23" s="218">
        <f>SLP!O23+ROSA!O23+'STA ANA'!O23+BOA!O23+'STA MARIA'!O23+'CB I'!O23+IG!O23+PN!O23+MJ!O23+'RB I'!O23+'SF I'!O23</f>
        <v>0</v>
      </c>
      <c r="P23" s="218">
        <f>SLP!P23+ROSA!P23+'STA ANA'!P23+BOA!P23+'STA MARIA'!P23+'CB I'!P23+IG!P23+PN!P23+MJ!P23+'RB I'!P23+'SF I'!P23</f>
        <v>0</v>
      </c>
      <c r="Q23" s="218">
        <f>SLP!Q23+ROSA!Q23+'STA ANA'!Q23+BOA!Q23+'STA MARIA'!Q23+'CB I'!Q23+IG!Q23+PN!Q23+MJ!Q23+'RB I'!Q23+'SF I'!Q23</f>
        <v>0</v>
      </c>
      <c r="R23" s="221" t="str">
        <f t="shared" si="3"/>
        <v/>
      </c>
      <c r="S23" s="218">
        <f>SLP!S23+ROSA!S23+'STA ANA'!S23+BOA!S23+'STA MARIA'!S23+'CB I'!S23+IG!S23+PN!S23+MJ!S23+'RB I'!S23+'SF I'!S23</f>
        <v>0</v>
      </c>
      <c r="T23" s="218">
        <f>SLP!T23+ROSA!T23+'STA ANA'!T23+BOA!T23+'STA MARIA'!T23+'CB I'!T23+IG!T23+PN!T23+MJ!T23+'RB I'!T23+'SF I'!T23</f>
        <v>0</v>
      </c>
      <c r="U23" s="218">
        <f>SLP!U23+ROSA!U23+'STA ANA'!U23+BOA!U23+'STA MARIA'!U23+'CB I'!U23+IG!U23+PN!U23+MJ!U23+'RB I'!U23+'SF I'!U23</f>
        <v>0</v>
      </c>
      <c r="V23" s="218">
        <f>SLP!V23+ROSA!V23+'STA ANA'!V23+BOA!V23+'STA MARIA'!V23+'CB I'!V23+IG!V23+PN!V23+MJ!V23+'RB I'!V23+'SF I'!V23</f>
        <v>0</v>
      </c>
      <c r="W23" s="218">
        <f>SLP!W23+ROSA!W23+'STA ANA'!W23+BOA!W23+'STA MARIA'!W23+'CB I'!W23+IG!W23+PN!W23+MJ!W23+'RB I'!W23+'SF I'!W23</f>
        <v>0</v>
      </c>
      <c r="X23" s="218">
        <f>SLP!X23+ROSA!X23+'STA ANA'!X23+BOA!X23+'STA MARIA'!X23+'CB I'!X23+IG!X23+PN!X23+MJ!X23+'RB I'!X23+'SF I'!X23</f>
        <v>0</v>
      </c>
      <c r="Y23" s="221" t="str">
        <f t="shared" si="4"/>
        <v/>
      </c>
      <c r="Z23" s="218">
        <f>SLP!Z23+ROSA!Z23+'STA ANA'!Z23+BOA!Z23+'STA MARIA'!Z23+'CB I'!Z23+IG!Z23+PN!Z23+MJ!Z23+'RB I'!Z23+'SF I'!Z23</f>
        <v>0</v>
      </c>
      <c r="AA23" s="218">
        <f>SLP!AA23+ROSA!AA23+'STA ANA'!AA23+BOA!AA23+'STA MARIA'!AA23+'CB I'!AA23+IG!AA23+PN!AA23+MJ!AA23+'RB I'!AA23+'SF I'!AA23</f>
        <v>0</v>
      </c>
      <c r="AB23" s="218">
        <f>SLP!AB23+ROSA!AB23+'STA ANA'!AB23+BOA!AB23+'STA MARIA'!AB23+'CB I'!AB23+IG!AB23+PN!AB23+MJ!AB23+'RB I'!AB23+'SF I'!AB23</f>
        <v>0</v>
      </c>
      <c r="AC23" s="218">
        <f>SLP!AC23+ROSA!AC23+'STA ANA'!AC23+BOA!AC23+'STA MARIA'!AC23+'CB I'!AC23+IG!AC23+PN!AC23+MJ!AC23+'RB I'!AC23+'SF I'!AC23</f>
        <v>151.82668000000001</v>
      </c>
      <c r="AD23" s="218">
        <f>SLP!AD23+ROSA!AD23+'STA ANA'!AD23+BOA!AD23+'STA MARIA'!AD23+'CB I'!AD23+IG!AD23+PN!AD23+MJ!AD23+'RB I'!AD23+'SF I'!AD23</f>
        <v>57.013320000000007</v>
      </c>
      <c r="AE23" s="218">
        <f>SLP!AE23+ROSA!AE23+'STA ANA'!AE23+BOA!AE23+'STA MARIA'!AE23+'CB I'!AE23+IG!AE23+PN!AE23+MJ!AE23+'RB I'!AE23+'SF I'!AE23</f>
        <v>208.84</v>
      </c>
      <c r="AF23" s="221" t="str">
        <f t="shared" si="5"/>
        <v/>
      </c>
      <c r="AG23" s="218">
        <f>SLP!AG23+ROSA!AG23+'STA ANA'!AG23+BOA!AG23+'STA MARIA'!AG23+'CB I'!AG23+IG!AG23+PN!AG23+MJ!AG23+'RB I'!AG23+'SF I'!AG23</f>
        <v>0</v>
      </c>
      <c r="AH23" s="218">
        <f>SLP!AH23+ROSA!AH23+'STA ANA'!AH23+BOA!AH23+'STA MARIA'!AH23+'CB I'!AH23+IG!AH23+PN!AH23+MJ!AH23+'RB I'!AH23+'SF I'!AH23</f>
        <v>0</v>
      </c>
      <c r="AI23" s="218">
        <f>SLP!AI23+ROSA!AI23+'STA ANA'!AI23+BOA!AI23+'STA MARIA'!AI23+'CB I'!AI23+IG!AI23+PN!AI23+MJ!AI23+'RB I'!AI23+'SF I'!AI23</f>
        <v>0</v>
      </c>
      <c r="AJ23" s="218">
        <f>SLP!AJ23+ROSA!AJ23+'STA ANA'!AJ23+BOA!AJ23+'STA MARIA'!AJ23+'CB I'!AJ23+IG!AJ23+PN!AJ23+MJ!AJ23+'RB I'!AJ23+'SF I'!AJ23</f>
        <v>0</v>
      </c>
      <c r="AK23" s="218">
        <f>SLP!AK23+ROSA!AK23+'STA ANA'!AK23+BOA!AK23+'STA MARIA'!AK23+'CB I'!AK23+IG!AK23+PN!AK23+MJ!AK23+'RB I'!AK23+'SF I'!AK23</f>
        <v>0</v>
      </c>
      <c r="AL23" s="218">
        <f>SLP!AL23+ROSA!AL23+'STA ANA'!AL23+BOA!AL23+'STA MARIA'!AL23+'CB I'!AL23+IG!AL23+PN!AL23+MJ!AL23+'RB I'!AL23+'SF I'!AL23</f>
        <v>0</v>
      </c>
      <c r="AM23" s="221" t="str">
        <f t="shared" si="6"/>
        <v/>
      </c>
      <c r="AN23" s="218">
        <f>SLP!AN23+ROSA!AN23+'STA ANA'!AN23+BOA!AN23+'STA MARIA'!AN23+'CB I'!AN23+IG!AN23+PN!AN23+MJ!AN23+'RB I'!AN23+'SF I'!AN23</f>
        <v>0</v>
      </c>
      <c r="AO23" s="218">
        <f>SLP!AO23+ROSA!AO23+'STA ANA'!AO23+BOA!AO23+'STA MARIA'!AO23+'CB I'!AO23+IG!AO23+PN!AO23+MJ!AO23+'RB I'!AO23+'SF I'!AO23</f>
        <v>0</v>
      </c>
      <c r="AP23" s="218">
        <f>SLP!AP23+ROSA!AP23+'STA ANA'!AP23+BOA!AP23+'STA MARIA'!AP23+'CB I'!AP23+IG!AP23+PN!AP23+MJ!AP23+'RB I'!AP23+'SF I'!AP23</f>
        <v>0</v>
      </c>
      <c r="AQ23" s="218">
        <f>SLP!AQ23+ROSA!AQ23+'STA ANA'!AQ23+BOA!AQ23+'STA MARIA'!AQ23+'CB I'!AQ23+IG!AQ23+PN!AQ23+MJ!AQ23+'RB I'!AQ23+'SF I'!AQ23</f>
        <v>0</v>
      </c>
      <c r="AR23" s="218">
        <f>SLP!AR23+ROSA!AR23+'STA ANA'!AR23+BOA!AR23+'STA MARIA'!AR23+'CB I'!AR23+IG!AR23+PN!AR23+MJ!AR23+'RB I'!AR23+'SF I'!AR23</f>
        <v>0</v>
      </c>
      <c r="AS23" s="218">
        <f>SLP!AS23+ROSA!AS23+'STA ANA'!AS23+BOA!AS23+'STA MARIA'!AS23+'CB I'!AS23+IG!AS23+PN!AS23+MJ!AS23+'RB I'!AS23+'SF I'!AS23</f>
        <v>0</v>
      </c>
      <c r="AT23" s="221" t="str">
        <f t="shared" si="7"/>
        <v/>
      </c>
      <c r="AU23" s="218">
        <f>SLP!AU23+ROSA!AU23+'STA ANA'!AU23+BOA!AU23+'STA MARIA'!AU23+'CB I'!AU23+IG!AU23+PN!AU23+MJ!AU23+'RB I'!AU23+'SF I'!AU23</f>
        <v>0</v>
      </c>
      <c r="AV23" s="218">
        <f>SLP!AV23+ROSA!AV23+'STA ANA'!AV23+BOA!AV23+'STA MARIA'!AV23+'CB I'!AV23+IG!AV23+PN!AV23+MJ!AV23+'RB I'!AV23+'SF I'!AV23</f>
        <v>0</v>
      </c>
      <c r="AW23" s="218">
        <f>SLP!AW23+ROSA!AW23+'STA ANA'!AW23+BOA!AW23+'STA MARIA'!AW23+'CB I'!AW23+IG!AW23+PN!AW23+MJ!AW23+'RB I'!AW23+'SF I'!AW23</f>
        <v>0</v>
      </c>
      <c r="AX23" s="218">
        <f>SLP!AX23+ROSA!AX23+'STA ANA'!AX23+BOA!AX23+'STA MARIA'!AX23+'CB I'!AX23+IG!AX23+PN!AX23+MJ!AX23+'RB I'!AX23+'SF I'!AX23</f>
        <v>0</v>
      </c>
      <c r="AY23" s="218">
        <f>SLP!AY23+ROSA!AY23+'STA ANA'!AY23+BOA!AY23+'STA MARIA'!AY23+'CB I'!AY23+IG!AY23+PN!AY23+MJ!AY23+'RB I'!AY23+'SF I'!AY23</f>
        <v>0</v>
      </c>
      <c r="AZ23" s="218">
        <f>SLP!AZ23+ROSA!AZ23+'STA ANA'!AZ23+BOA!AZ23+'STA MARIA'!AZ23+'CB I'!AZ23+IG!AZ23+PN!AZ23+MJ!AZ23+'RB I'!AZ23+'SF I'!AZ23</f>
        <v>0</v>
      </c>
      <c r="BA23" s="221" t="str">
        <f t="shared" si="8"/>
        <v/>
      </c>
      <c r="BB23" s="218">
        <f>SLP!BB23+ROSA!BB23+'STA ANA'!BB23+BOA!BB23+'STA MARIA'!BB23+'CB I'!BB23+IG!BB23+PN!BB23+MJ!BB23+'RB I'!BB23+'SF I'!BB23</f>
        <v>0</v>
      </c>
      <c r="BC23" s="218">
        <f>SLP!BC23+ROSA!BC23+'STA ANA'!BC23+BOA!BC23+'STA MARIA'!BC23+'CB I'!BC23+IG!BC23+PN!BC23+MJ!BC23+'RB I'!BC23+'SF I'!BC23</f>
        <v>0</v>
      </c>
      <c r="BD23" s="218">
        <f>SLP!BD23+ROSA!BD23+'STA ANA'!BD23+BOA!BD23+'STA MARIA'!BD23+'CB I'!BD23+IG!BD23+PN!BD23+MJ!BD23+'RB I'!BD23+'SF I'!BD23</f>
        <v>0</v>
      </c>
      <c r="BE23" s="218">
        <f>SLP!BE23+ROSA!BE23+'STA ANA'!BE23+BOA!BE23+'STA MARIA'!BE23+'CB I'!BE23+IG!BE23+PN!BE23+MJ!BE23+'RB I'!BE23+'SF I'!BE23</f>
        <v>0</v>
      </c>
      <c r="BF23" s="218">
        <f>SLP!BF23+ROSA!BF23+'STA ANA'!BF23+BOA!BF23+'STA MARIA'!BF23+'CB I'!BF23+IG!BF23+PN!BF23+MJ!BF23+'RB I'!BF23+'SF I'!BF23</f>
        <v>0</v>
      </c>
      <c r="BG23" s="218">
        <f>SLP!BG23+ROSA!BG23+'STA ANA'!BG23+BOA!BG23+'STA MARIA'!BG23+'CB I'!BG23+IG!BG23+PN!BG23+MJ!BG23+'RB I'!BG23+'SF I'!BG23</f>
        <v>0</v>
      </c>
      <c r="BH23" s="221" t="str">
        <f t="shared" si="9"/>
        <v/>
      </c>
      <c r="BI23" s="218">
        <f>SLP!BI23+ROSA!BI23+'STA ANA'!BI23+BOA!BI23+'STA MARIA'!BI23+'CB I'!BI23+IG!BI23+PN!BI23+MJ!BI23+'RB I'!BI23+'SF I'!BI23</f>
        <v>0</v>
      </c>
      <c r="BJ23" s="218">
        <f>SLP!BJ23+ROSA!BJ23+'STA ANA'!BJ23+BOA!BJ23+'STA MARIA'!BJ23+'CB I'!BJ23+IG!BJ23+PN!BJ23+MJ!BJ23+'RB I'!BJ23+'SF I'!BJ23</f>
        <v>0</v>
      </c>
      <c r="BK23" s="218">
        <f>SLP!BK23+ROSA!BK23+'STA ANA'!BK23+BOA!BK23+'STA MARIA'!BK23+'CB I'!BK23+IG!BK23+PN!BK23+MJ!BK23+'RB I'!BK23+'SF I'!BK23</f>
        <v>0</v>
      </c>
      <c r="BL23" s="218">
        <f>SLP!BL23+ROSA!BL23+'STA ANA'!BL23+BOA!BL23+'STA MARIA'!BL23+'CB I'!BL23+IG!BL23+PN!BL23+MJ!BL23+'RB I'!BL23+'SF I'!BL23</f>
        <v>0</v>
      </c>
      <c r="BM23" s="218">
        <f>SLP!BM23+ROSA!BM23+'STA ANA'!BM23+BOA!BM23+'STA MARIA'!BM23+'CB I'!BM23+IG!BM23+PN!BM23+MJ!BM23+'RB I'!BM23+'SF I'!BM23</f>
        <v>0</v>
      </c>
      <c r="BN23" s="218">
        <f>SLP!BN23+ROSA!BN23+'STA ANA'!BN23+BOA!BN23+'STA MARIA'!BN23+'CB I'!BN23+IG!BN23+PN!BN23+MJ!BN23+'RB I'!BN23+'SF I'!BN23</f>
        <v>0</v>
      </c>
      <c r="BO23" s="221" t="str">
        <f t="shared" si="10"/>
        <v/>
      </c>
      <c r="BP23" s="218">
        <f>SLP!BP23+ROSA!BP23+'STA ANA'!BP23+BOA!BP23+'STA MARIA'!BP23+'CB I'!BP23+IG!BP23+PN!BP23+MJ!BP23+'RB I'!BP23+'SF I'!BP23</f>
        <v>0</v>
      </c>
      <c r="BQ23" s="218">
        <f>SLP!BQ23+ROSA!BQ23+'STA ANA'!BQ23+BOA!BQ23+'STA MARIA'!BQ23+'CB I'!BQ23+IG!BQ23+PN!BQ23+MJ!BQ23+'RB I'!BQ23+'SF I'!BQ23</f>
        <v>0</v>
      </c>
      <c r="BR23" s="218">
        <f>SLP!BR23+ROSA!BR23+'STA ANA'!BR23+BOA!BR23+'STA MARIA'!BR23+'CB I'!BR23+IG!BR23+PN!BR23+MJ!BR23+'RB I'!BR23+'SF I'!BR23</f>
        <v>0</v>
      </c>
      <c r="BS23" s="218">
        <f>SLP!BS23+ROSA!BS23+'STA ANA'!BS23+BOA!BS23+'STA MARIA'!BS23+'CB I'!BS23+IG!BS23+PN!BS23+MJ!BS23+'RB I'!BS23+'SF I'!BS23</f>
        <v>0</v>
      </c>
      <c r="BT23" s="218">
        <f>SLP!BT23+ROSA!BT23+'STA ANA'!BT23+BOA!BT23+'STA MARIA'!BT23+'CB I'!BT23+IG!BT23+PN!BT23+MJ!BT23+'RB I'!BT23+'SF I'!BT23</f>
        <v>0</v>
      </c>
      <c r="BU23" s="218">
        <f>SLP!BU23+ROSA!BU23+'STA ANA'!BU23+BOA!BU23+'STA MARIA'!BU23+'CB I'!BU23+IG!BU23+PN!BU23+MJ!BU23+'RB I'!BU23+'SF I'!BU23</f>
        <v>0</v>
      </c>
      <c r="BV23" s="221" t="str">
        <f t="shared" si="11"/>
        <v/>
      </c>
      <c r="BW23" s="218">
        <f>SLP!BW23+ROSA!BW23+'STA ANA'!BW23+BOA!BW23+'STA MARIA'!BW23+'CB I'!BW23+IG!BW23+PN!BW23+MJ!BW23+'RB I'!BW23+'SF I'!BW23</f>
        <v>0</v>
      </c>
      <c r="BX23" s="218">
        <f>SLP!BX23+ROSA!BX23+'STA ANA'!BX23+BOA!BX23+'STA MARIA'!BX23+'CB I'!BX23+IG!BX23+PN!BX23+MJ!BX23+'RB I'!BX23+'SF I'!BX23</f>
        <v>0</v>
      </c>
      <c r="BY23" s="218">
        <f>SLP!BY23+ROSA!BY23+'STA ANA'!BY23+BOA!BY23+'STA MARIA'!BY23+'CB I'!BY23+IG!BY23+PN!BY23+MJ!BY23+'RB I'!BY23+'SF I'!BY23</f>
        <v>0</v>
      </c>
      <c r="BZ23" s="218">
        <f>SLP!BZ23+ROSA!BZ23+'STA ANA'!BZ23+BOA!BZ23+'STA MARIA'!BZ23+'CB I'!BZ23+IG!BZ23+PN!BZ23+MJ!BZ23+'RB I'!BZ23+'SF I'!BZ23</f>
        <v>0</v>
      </c>
      <c r="CA23" s="218">
        <f>SLP!CA23+ROSA!CA23+'STA ANA'!CA23+BOA!CA23+'STA MARIA'!CA23+'CB I'!CA23+IG!CA23+PN!CA23+MJ!CA23+'RB I'!CA23+'SF I'!CA23</f>
        <v>0</v>
      </c>
      <c r="CB23" s="218">
        <f>SLP!CB23+ROSA!CB23+'STA ANA'!CB23+BOA!CB23+'STA MARIA'!CB23+'CB I'!CB23+IG!CB23+PN!CB23+MJ!CB23+'RB I'!CB23+'SF I'!CB23</f>
        <v>0</v>
      </c>
      <c r="CC23" s="221" t="str">
        <f t="shared" si="12"/>
        <v/>
      </c>
      <c r="CD23" s="218">
        <f>SLP!CD23+ROSA!CD23+'STA ANA'!CD23+BOA!CD23+'STA MARIA'!CD23+'CB I'!CD23+IG!CD23+PN!CD23+MJ!CD23+'RB I'!CD23+'SF I'!CD23</f>
        <v>0</v>
      </c>
      <c r="CE23" s="218">
        <f>SLP!CE23+ROSA!CE23+'STA ANA'!CE23+BOA!CE23+'STA MARIA'!CE23+'CB I'!CE23+IG!CE23+PN!CE23+MJ!CE23+'RB I'!CE23+'SF I'!CE23</f>
        <v>0</v>
      </c>
      <c r="CF23" s="218">
        <f>SLP!CF23+ROSA!CF23+'STA ANA'!CF23+BOA!CF23+'STA MARIA'!CF23+'CB I'!CF23+IG!CF23+PN!CF23+MJ!CF23+'RB I'!CF23+'SF I'!CF23</f>
        <v>0</v>
      </c>
      <c r="CG23" s="218">
        <f>SLP!CG23+ROSA!CG23+'STA ANA'!CG23+BOA!CG23+'STA MARIA'!CG23+'CB I'!CG23+IG!CG23+PN!CG23+MJ!CG23+'RB I'!CG23+'SF I'!CG23</f>
        <v>0</v>
      </c>
      <c r="CH23" s="218">
        <f>SLP!CH23+ROSA!CH23+'STA ANA'!CH23+BOA!CH23+'STA MARIA'!CH23+'CB I'!CH23+IG!CH23+PN!CH23+MJ!CH23+'RB I'!CH23+'SF I'!CH23</f>
        <v>0</v>
      </c>
      <c r="CI23" s="218">
        <f>SLP!CI23+ROSA!CI23+'STA ANA'!CI23+BOA!CI23+'STA MARIA'!CI23+'CB I'!CI23+IG!CI23+PN!CI23+MJ!CI23+'RB I'!CI23+'SF I'!CI23</f>
        <v>0</v>
      </c>
      <c r="CJ23" s="221" t="str">
        <f t="shared" si="13"/>
        <v/>
      </c>
      <c r="CK23" s="218">
        <f>SLP!CK23+ROSA!CK23+'STA ANA'!CK23+BOA!CK23+'STA MARIA'!CK23+'CB I'!CK23+IG!CK23+PN!CK23+MJ!CK23+'RB I'!CK23+'SF I'!CK23</f>
        <v>0</v>
      </c>
      <c r="CL23" s="218">
        <f>SLP!CL23+ROSA!CL23+'STA ANA'!CL23+BOA!CL23+'STA MARIA'!CL23+'CB I'!CL23+IG!CL23+PN!CL23+MJ!CL23+'RB I'!CL23+'SF I'!CL23</f>
        <v>0</v>
      </c>
      <c r="CM23" s="218">
        <f>SLP!CM23+ROSA!CM23+'STA ANA'!CM23+BOA!CM23+'STA MARIA'!CM23+'CB I'!CM23+IG!CM23+PN!CM23+MJ!CM23+'RB I'!CM23+'SF I'!CM23</f>
        <v>0</v>
      </c>
      <c r="CN23" s="218">
        <f>SLP!CN23+ROSA!CN23+'STA ANA'!CN23+BOA!CN23+'STA MARIA'!CN23+'CB I'!CN23+IG!CN23+PN!CN23+MJ!CN23+'RB I'!CN23+'SF I'!CN23</f>
        <v>0</v>
      </c>
      <c r="CO23" s="218">
        <f>SLP!CO23+ROSA!CO23+'STA ANA'!CO23+BOA!CO23+'STA MARIA'!CO23+'CB I'!CO23+IG!CO23+PN!CO23+MJ!CO23+'RB I'!CO23+'SF I'!CO23</f>
        <v>0</v>
      </c>
      <c r="CP23" s="218">
        <f>SLP!CP23+ROSA!CP23+'STA ANA'!CP23+BOA!CP23+'STA MARIA'!CP23+'CB I'!CP23+IG!CP23+PN!CP23+MJ!CP23+'RB I'!CP23+'SF I'!CP23</f>
        <v>0</v>
      </c>
      <c r="CQ23" s="221" t="str">
        <f t="shared" si="14"/>
        <v/>
      </c>
      <c r="CR23" s="154"/>
      <c r="CS23" s="222" t="e">
        <f t="shared" si="15"/>
        <v>#VALUE!</v>
      </c>
    </row>
    <row r="24" spans="1:97" ht="16" customHeight="1" thickBot="1" x14ac:dyDescent="0.25">
      <c r="A24" s="220" t="s">
        <v>48</v>
      </c>
      <c r="B24" s="30">
        <f t="shared" si="0"/>
        <v>2227197.3520307047</v>
      </c>
      <c r="C24" s="31">
        <f t="shared" si="0"/>
        <v>2018972.4400852039</v>
      </c>
      <c r="D24" s="32">
        <f t="shared" si="0"/>
        <v>208224.91194550018</v>
      </c>
      <c r="E24" s="30">
        <f t="shared" si="16"/>
        <v>753191.36519138119</v>
      </c>
      <c r="F24" s="33">
        <f t="shared" si="16"/>
        <v>682752.61766668234</v>
      </c>
      <c r="G24" s="34">
        <f t="shared" si="16"/>
        <v>70438.747524698862</v>
      </c>
      <c r="H24" s="31">
        <f t="shared" si="1"/>
        <v>845458.55594128033</v>
      </c>
      <c r="I24" s="33">
        <f t="shared" si="1"/>
        <v>112633.03674165545</v>
      </c>
      <c r="J24" s="33">
        <f t="shared" si="1"/>
        <v>958091.59268293588</v>
      </c>
      <c r="K24" s="221">
        <f t="shared" si="2"/>
        <v>0.27204271976682959</v>
      </c>
      <c r="L24" s="218">
        <f>SLP!L24+ROSA!L24+'STA ANA'!L24+BOA!L24+'STA MARIA'!L24+'CB I'!L24+IG!L24+PN!L24+MJ!L24+'RB I'!L24+'SF I'!L24</f>
        <v>188297.8412978453</v>
      </c>
      <c r="M24" s="218">
        <f>SLP!M24+ROSA!M24+'STA ANA'!M24+BOA!M24+'STA MARIA'!M24+'CB I'!M24+IG!M24+PN!M24+MJ!M24+'RB I'!M24+'SF I'!M24</f>
        <v>170688.15441667059</v>
      </c>
      <c r="N24" s="218">
        <f>SLP!N24+ROSA!N24+'STA ANA'!N24+BOA!N24+'STA MARIA'!N24+'CB I'!N24+IG!N24+PN!N24+MJ!N24+'RB I'!N24+'SF I'!N24</f>
        <v>17609.686881174715</v>
      </c>
      <c r="O24" s="218">
        <f>SLP!O24+ROSA!O24+'STA ANA'!O24+BOA!O24+'STA MARIA'!O24+'CB I'!O24+IG!O24+PN!O24+MJ!O24+'RB I'!O24+'SF I'!O24</f>
        <v>184851.39531599998</v>
      </c>
      <c r="P24" s="218">
        <f>SLP!P24+ROSA!P24+'STA ANA'!P24+BOA!P24+'STA MARIA'!P24+'CB I'!P24+IG!P24+PN!P24+MJ!P24+'RB I'!P24+'SF I'!P24</f>
        <v>29730.344684</v>
      </c>
      <c r="Q24" s="218">
        <f>SLP!Q24+ROSA!Q24+'STA ANA'!Q24+BOA!Q24+'STA MARIA'!Q24+'CB I'!Q24+IG!Q24+PN!Q24+MJ!Q24+'RB I'!Q24+'SF I'!Q24</f>
        <v>214581.74</v>
      </c>
      <c r="R24" s="221">
        <f t="shared" si="3"/>
        <v>0.13958682967894154</v>
      </c>
      <c r="S24" s="218">
        <f>SLP!S24+ROSA!S24+'STA ANA'!S24+BOA!S24+'STA MARIA'!S24+'CB I'!S24+IG!S24+PN!S24+MJ!S24+'RB I'!S24+'SF I'!S24</f>
        <v>188297.8412978453</v>
      </c>
      <c r="T24" s="218">
        <f>SLP!T24+ROSA!T24+'STA ANA'!T24+BOA!T24+'STA MARIA'!T24+'CB I'!T24+IG!T24+PN!T24+MJ!T24+'RB I'!T24+'SF I'!T24</f>
        <v>170688.15441667059</v>
      </c>
      <c r="U24" s="218">
        <f>SLP!U24+ROSA!U24+'STA ANA'!U24+BOA!U24+'STA MARIA'!U24+'CB I'!U24+IG!U24+PN!U24+MJ!U24+'RB I'!U24+'SF I'!U24</f>
        <v>17609.686881174715</v>
      </c>
      <c r="V24" s="218">
        <f>SLP!V24+ROSA!V24+'STA ANA'!V24+BOA!V24+'STA MARIA'!V24+'CB I'!V24+IG!V24+PN!V24+MJ!V24+'RB I'!V24+'SF I'!V24</f>
        <v>143262.22030700001</v>
      </c>
      <c r="W24" s="218">
        <f>SLP!W24+ROSA!W24+'STA ANA'!W24+BOA!W24+'STA MARIA'!W24+'CB I'!W24+IG!W24+PN!W24+MJ!W24+'RB I'!W24+'SF I'!W24</f>
        <v>22698.629692999995</v>
      </c>
      <c r="X24" s="218">
        <f>SLP!X24+ROSA!X24+'STA ANA'!X24+BOA!X24+'STA MARIA'!X24+'CB I'!X24+IG!X24+PN!X24+MJ!X24+'RB I'!X24+'SF I'!X24</f>
        <v>165960.84999999998</v>
      </c>
      <c r="Y24" s="221">
        <f t="shared" si="4"/>
        <v>-0.11862584904790896</v>
      </c>
      <c r="Z24" s="218">
        <f>SLP!Z24+ROSA!Z24+'STA ANA'!Z24+BOA!Z24+'STA MARIA'!Z24+'CB I'!Z24+IG!Z24+PN!Z24+MJ!Z24+'RB I'!Z24+'SF I'!Z24</f>
        <v>188297.8412978453</v>
      </c>
      <c r="AA24" s="218">
        <f>SLP!AA24+ROSA!AA24+'STA ANA'!AA24+BOA!AA24+'STA MARIA'!AA24+'CB I'!AA24+IG!AA24+PN!AA24+MJ!AA24+'RB I'!AA24+'SF I'!AA24</f>
        <v>170688.15441667059</v>
      </c>
      <c r="AB24" s="218">
        <f>SLP!AB24+ROSA!AB24+'STA ANA'!AB24+BOA!AB24+'STA MARIA'!AB24+'CB I'!AB24+IG!AB24+PN!AB24+MJ!AB24+'RB I'!AB24+'SF I'!AB24</f>
        <v>17609.686881174715</v>
      </c>
      <c r="AC24" s="218">
        <f>SLP!AC24+ROSA!AC24+'STA ANA'!AC24+BOA!AC24+'STA MARIA'!AC24+'CB I'!AC24+IG!AC24+PN!AC24+MJ!AC24+'RB I'!AC24+'SF I'!AC24</f>
        <v>156140.96685600001</v>
      </c>
      <c r="AD24" s="218">
        <f>SLP!AD24+ROSA!AD24+'STA ANA'!AD24+BOA!AD24+'STA MARIA'!AD24+'CB I'!AD24+IG!AD24+PN!AD24+MJ!AD24+'RB I'!AD24+'SF I'!AD24</f>
        <v>17811.483144000002</v>
      </c>
      <c r="AE24" s="218">
        <f>SLP!AE24+ROSA!AE24+'STA ANA'!AE24+BOA!AE24+'STA MARIA'!AE24+'CB I'!AE24+IG!AE24+PN!AE24+MJ!AE24+'RB I'!AE24+'SF I'!AE24</f>
        <v>173952.45</v>
      </c>
      <c r="AF24" s="221">
        <f t="shared" si="5"/>
        <v>-7.6184576514364166E-2</v>
      </c>
      <c r="AG24" s="218">
        <f>SLP!AG24+ROSA!AG24+'STA ANA'!AG24+BOA!AG24+'STA MARIA'!AG24+'CB I'!AG24+IG!AG24+PN!AG24+MJ!AG24+'RB I'!AG24+'SF I'!AG24</f>
        <v>188297.8412978453</v>
      </c>
      <c r="AH24" s="218">
        <f>SLP!AH24+ROSA!AH24+'STA ANA'!AH24+BOA!AH24+'STA MARIA'!AH24+'CB I'!AH24+IG!AH24+PN!AH24+MJ!AH24+'RB I'!AH24+'SF I'!AH24</f>
        <v>170688.15441667059</v>
      </c>
      <c r="AI24" s="218">
        <f>SLP!AI24+ROSA!AI24+'STA ANA'!AI24+BOA!AI24+'STA MARIA'!AI24+'CB I'!AI24+IG!AI24+PN!AI24+MJ!AI24+'RB I'!AI24+'SF I'!AI24</f>
        <v>17609.686881174715</v>
      </c>
      <c r="AJ24" s="218">
        <f>SLP!AJ24+ROSA!AJ24+'STA ANA'!AJ24+BOA!AJ24+'STA MARIA'!AJ24+'CB I'!AJ24+IG!AJ24+PN!AJ24+MJ!AJ24+'RB I'!AJ24+'SF I'!AJ24</f>
        <v>106253.56557200001</v>
      </c>
      <c r="AK24" s="218">
        <f>SLP!AK24+ROSA!AK24+'STA ANA'!AK24+BOA!AK24+'STA MARIA'!AK24+'CB I'!AK24+IG!AK24+PN!AK24+MJ!AK24+'RB I'!AK24+'SF I'!AK24</f>
        <v>17375.384428000001</v>
      </c>
      <c r="AL24" s="218">
        <f>SLP!AL24+ROSA!AL24+'STA ANA'!AL24+BOA!AL24+'STA MARIA'!AL24+'CB I'!AL24+IG!AL24+PN!AL24+MJ!AL24+'RB I'!AL24+'SF I'!AL24</f>
        <v>123628.95000000001</v>
      </c>
      <c r="AM24" s="221">
        <f t="shared" si="6"/>
        <v>-0.34343936633640681</v>
      </c>
      <c r="AN24" s="218">
        <f>SLP!AN24+ROSA!AN24+'STA ANA'!AN24+BOA!AN24+'STA MARIA'!AN24+'CB I'!AN24+IG!AN24+PN!AN24+MJ!AN24+'RB I'!AN24+'SF I'!AN24</f>
        <v>188297.8412978453</v>
      </c>
      <c r="AO24" s="218">
        <f>SLP!AO24+ROSA!AO24+'STA ANA'!AO24+BOA!AO24+'STA MARIA'!AO24+'CB I'!AO24+IG!AO24+PN!AO24+MJ!AO24+'RB I'!AO24+'SF I'!AO24</f>
        <v>170688.15441667059</v>
      </c>
      <c r="AP24" s="218">
        <f>SLP!AP24+ROSA!AP24+'STA ANA'!AP24+BOA!AP24+'STA MARIA'!AP24+'CB I'!AP24+IG!AP24+PN!AP24+MJ!AP24+'RB I'!AP24+'SF I'!AP24</f>
        <v>17609.686881174715</v>
      </c>
      <c r="AQ24" s="218">
        <f>SLP!AQ24+ROSA!AQ24+'STA ANA'!AQ24+BOA!AQ24+'STA MARIA'!AQ24+'CB I'!AQ24+IG!AQ24+PN!AQ24+MJ!AQ24+'RB I'!AQ24+'SF I'!AQ24</f>
        <v>71130.425629999998</v>
      </c>
      <c r="AR24" s="218">
        <f>SLP!AR24+ROSA!AR24+'STA ANA'!AR24+BOA!AR24+'STA MARIA'!AR24+'CB I'!AR24+IG!AR24+PN!AR24+MJ!AR24+'RB I'!AR24+'SF I'!AR24</f>
        <v>5982.0843699999996</v>
      </c>
      <c r="AS24" s="218">
        <f>SLP!AS24+ROSA!AS24+'STA ANA'!AS24+BOA!AS24+'STA MARIA'!AS24+'CB I'!AS24+IG!AS24+PN!AS24+MJ!AS24+'RB I'!AS24+'SF I'!AS24</f>
        <v>77112.509999999995</v>
      </c>
      <c r="AT24" s="221">
        <f t="shared" si="7"/>
        <v>-0.59047586807952213</v>
      </c>
      <c r="AU24" s="218">
        <f>SLP!AU24+ROSA!AU24+'STA ANA'!AU24+BOA!AU24+'STA MARIA'!AU24+'CB I'!AU24+IG!AU24+PN!AU24+MJ!AU24+'RB I'!AU24+'SF I'!AU24</f>
        <v>188297.8412978453</v>
      </c>
      <c r="AV24" s="218">
        <f>SLP!AV24+ROSA!AV24+'STA ANA'!AV24+BOA!AV24+'STA MARIA'!AV24+'CB I'!AV24+IG!AV24+PN!AV24+MJ!AV24+'RB I'!AV24+'SF I'!AV24</f>
        <v>170688.15441667059</v>
      </c>
      <c r="AW24" s="218">
        <f>SLP!AW24+ROSA!AW24+'STA ANA'!AW24+BOA!AW24+'STA MARIA'!AW24+'CB I'!AW24+IG!AW24+PN!AW24+MJ!AW24+'RB I'!AW24+'SF I'!AW24</f>
        <v>17609.686881174715</v>
      </c>
      <c r="AX24" s="218">
        <f>SLP!AX24+ROSA!AX24+'STA ANA'!AX24+BOA!AX24+'STA MARIA'!AX24+'CB I'!AX24+IG!AX24+PN!AX24+MJ!AX24+'RB I'!AX24+'SF I'!AX24</f>
        <v>183819.98226028038</v>
      </c>
      <c r="AY24" s="218">
        <f>SLP!AY24+ROSA!AY24+'STA ANA'!AY24+BOA!AY24+'STA MARIA'!AY24+'CB I'!AY24+IG!AY24+PN!AY24+MJ!AY24+'RB I'!AY24+'SF I'!AY24</f>
        <v>19035.110422655463</v>
      </c>
      <c r="AZ24" s="218">
        <f>SLP!AZ24+ROSA!AZ24+'STA ANA'!AZ24+BOA!AZ24+'STA MARIA'!AZ24+'CB I'!AZ24+IG!AZ24+PN!AZ24+MJ!AZ24+'RB I'!AZ24+'SF I'!AZ24</f>
        <v>202855.09268293588</v>
      </c>
      <c r="BA24" s="221">
        <f t="shared" si="8"/>
        <v>7.7309709366578661E-2</v>
      </c>
      <c r="BB24" s="218">
        <f>SLP!BB24+ROSA!BB24+'STA ANA'!BB24+BOA!BB24+'STA MARIA'!BB24+'CB I'!BB24+IG!BB24+PN!BB24+MJ!BB24+'RB I'!BB24+'SF I'!BB24</f>
        <v>155921.09775440596</v>
      </c>
      <c r="BC24" s="218">
        <f>SLP!BC24+ROSA!BC24+'STA ANA'!BC24+BOA!BC24+'STA MARIA'!BC24+'CB I'!BC24+IG!BC24+PN!BC24+MJ!BC24+'RB I'!BC24+'SF I'!BC24</f>
        <v>141402.74150182764</v>
      </c>
      <c r="BD24" s="218">
        <f>SLP!BD24+ROSA!BD24+'STA ANA'!BD24+BOA!BD24+'STA MARIA'!BD24+'CB I'!BD24+IG!BD24+PN!BD24+MJ!BD24+'RB I'!BD24+'SF I'!BD24</f>
        <v>14518.356252578335</v>
      </c>
      <c r="BE24" s="218">
        <f>SLP!BE24+ROSA!BE24+'STA ANA'!BE24+BOA!BE24+'STA MARIA'!BE24+'CB I'!BE24+IG!BE24+PN!BE24+MJ!BE24+'RB I'!BE24+'SF I'!BE24</f>
        <v>0</v>
      </c>
      <c r="BF24" s="218">
        <f>SLP!BF24+ROSA!BF24+'STA ANA'!BF24+BOA!BF24+'STA MARIA'!BF24+'CB I'!BF24+IG!BF24+PN!BF24+MJ!BF24+'RB I'!BF24+'SF I'!BF24</f>
        <v>0</v>
      </c>
      <c r="BG24" s="218">
        <f>SLP!BG24+ROSA!BG24+'STA ANA'!BG24+BOA!BG24+'STA MARIA'!BG24+'CB I'!BG24+IG!BG24+PN!BG24+MJ!BG24+'RB I'!BG24+'SF I'!BG24</f>
        <v>0</v>
      </c>
      <c r="BH24" s="221">
        <f t="shared" si="9"/>
        <v>-1</v>
      </c>
      <c r="BI24" s="218">
        <f>SLP!BI24+ROSA!BI24+'STA ANA'!BI24+BOA!BI24+'STA MARIA'!BI24+'CB I'!BI24+IG!BI24+PN!BI24+MJ!BI24+'RB I'!BI24+'SF I'!BI24</f>
        <v>188297.8412978453</v>
      </c>
      <c r="BJ24" s="218">
        <f>SLP!BJ24+ROSA!BJ24+'STA ANA'!BJ24+BOA!BJ24+'STA MARIA'!BJ24+'CB I'!BJ24+IG!BJ24+PN!BJ24+MJ!BJ24+'RB I'!BJ24+'SF I'!BJ24</f>
        <v>170688.15441667059</v>
      </c>
      <c r="BK24" s="218">
        <f>SLP!BK24+ROSA!BK24+'STA ANA'!BK24+BOA!BK24+'STA MARIA'!BK24+'CB I'!BK24+IG!BK24+PN!BK24+MJ!BK24+'RB I'!BK24+'SF I'!BK24</f>
        <v>17609.686881174715</v>
      </c>
      <c r="BL24" s="218">
        <f>SLP!BL24+ROSA!BL24+'STA ANA'!BL24+BOA!BL24+'STA MARIA'!BL24+'CB I'!BL24+IG!BL24+PN!BL24+MJ!BL24+'RB I'!BL24+'SF I'!BL24</f>
        <v>0</v>
      </c>
      <c r="BM24" s="218">
        <f>SLP!BM24+ROSA!BM24+'STA ANA'!BM24+BOA!BM24+'STA MARIA'!BM24+'CB I'!BM24+IG!BM24+PN!BM24+MJ!BM24+'RB I'!BM24+'SF I'!BM24</f>
        <v>0</v>
      </c>
      <c r="BN24" s="218">
        <f>SLP!BN24+ROSA!BN24+'STA ANA'!BN24+BOA!BN24+'STA MARIA'!BN24+'CB I'!BN24+IG!BN24+PN!BN24+MJ!BN24+'RB I'!BN24+'SF I'!BN24</f>
        <v>0</v>
      </c>
      <c r="BO24" s="221">
        <f t="shared" si="10"/>
        <v>-1</v>
      </c>
      <c r="BP24" s="218">
        <f>SLP!BP24+ROSA!BP24+'STA ANA'!BP24+BOA!BP24+'STA MARIA'!BP24+'CB I'!BP24+IG!BP24+PN!BP24+MJ!BP24+'RB I'!BP24+'SF I'!BP24</f>
        <v>188297.8412978453</v>
      </c>
      <c r="BQ24" s="218">
        <f>SLP!BQ24+ROSA!BQ24+'STA ANA'!BQ24+BOA!BQ24+'STA MARIA'!BQ24+'CB I'!BQ24+IG!BQ24+PN!BQ24+MJ!BQ24+'RB I'!BQ24+'SF I'!BQ24</f>
        <v>170688.15441667059</v>
      </c>
      <c r="BR24" s="218">
        <f>SLP!BR24+ROSA!BR24+'STA ANA'!BR24+BOA!BR24+'STA MARIA'!BR24+'CB I'!BR24+IG!BR24+PN!BR24+MJ!BR24+'RB I'!BR24+'SF I'!BR24</f>
        <v>17609.686881174715</v>
      </c>
      <c r="BS24" s="218">
        <f>SLP!BS24+ROSA!BS24+'STA ANA'!BS24+BOA!BS24+'STA MARIA'!BS24+'CB I'!BS24+IG!BS24+PN!BS24+MJ!BS24+'RB I'!BS24+'SF I'!BS24</f>
        <v>0</v>
      </c>
      <c r="BT24" s="218">
        <f>SLP!BT24+ROSA!BT24+'STA ANA'!BT24+BOA!BT24+'STA MARIA'!BT24+'CB I'!BT24+IG!BT24+PN!BT24+MJ!BT24+'RB I'!BT24+'SF I'!BT24</f>
        <v>0</v>
      </c>
      <c r="BU24" s="218">
        <f>SLP!BU24+ROSA!BU24+'STA ANA'!BU24+BOA!BU24+'STA MARIA'!BU24+'CB I'!BU24+IG!BU24+PN!BU24+MJ!BU24+'RB I'!BU24+'SF I'!BU24</f>
        <v>0</v>
      </c>
      <c r="BV24" s="221">
        <f t="shared" si="11"/>
        <v>-1</v>
      </c>
      <c r="BW24" s="218">
        <f>SLP!BW24+ROSA!BW24+'STA ANA'!BW24+BOA!BW24+'STA MARIA'!BW24+'CB I'!BW24+IG!BW24+PN!BW24+MJ!BW24+'RB I'!BW24+'SF I'!BW24</f>
        <v>188297.8412978453</v>
      </c>
      <c r="BX24" s="218">
        <f>SLP!BX24+ROSA!BX24+'STA ANA'!BX24+BOA!BX24+'STA MARIA'!BX24+'CB I'!BX24+IG!BX24+PN!BX24+MJ!BX24+'RB I'!BX24+'SF I'!BX24</f>
        <v>170688.15441667059</v>
      </c>
      <c r="BY24" s="218">
        <f>SLP!BY24+ROSA!BY24+'STA ANA'!BY24+BOA!BY24+'STA MARIA'!BY24+'CB I'!BY24+IG!BY24+PN!BY24+MJ!BY24+'RB I'!BY24+'SF I'!BY24</f>
        <v>17609.686881174715</v>
      </c>
      <c r="BZ24" s="218">
        <f>SLP!BZ24+ROSA!BZ24+'STA ANA'!BZ24+BOA!BZ24+'STA MARIA'!BZ24+'CB I'!BZ24+IG!BZ24+PN!BZ24+MJ!BZ24+'RB I'!BZ24+'SF I'!BZ24</f>
        <v>0</v>
      </c>
      <c r="CA24" s="218">
        <f>SLP!CA24+ROSA!CA24+'STA ANA'!CA24+BOA!CA24+'STA MARIA'!CA24+'CB I'!CA24+IG!CA24+PN!CA24+MJ!CA24+'RB I'!CA24+'SF I'!CA24</f>
        <v>0</v>
      </c>
      <c r="CB24" s="218">
        <f>SLP!CB24+ROSA!CB24+'STA ANA'!CB24+BOA!CB24+'STA MARIA'!CB24+'CB I'!CB24+IG!CB24+PN!CB24+MJ!CB24+'RB I'!CB24+'SF I'!CB24</f>
        <v>0</v>
      </c>
      <c r="CC24" s="221">
        <f t="shared" si="12"/>
        <v>-1</v>
      </c>
      <c r="CD24" s="218">
        <f>SLP!CD24+ROSA!CD24+'STA ANA'!CD24+BOA!CD24+'STA MARIA'!CD24+'CB I'!CD24+IG!CD24+PN!CD24+MJ!CD24+'RB I'!CD24+'SF I'!CD24</f>
        <v>188297.8412978453</v>
      </c>
      <c r="CE24" s="218">
        <f>SLP!CE24+ROSA!CE24+'STA ANA'!CE24+BOA!CE24+'STA MARIA'!CE24+'CB I'!CE24+IG!CE24+PN!CE24+MJ!CE24+'RB I'!CE24+'SF I'!CE24</f>
        <v>170688.15441667059</v>
      </c>
      <c r="CF24" s="218">
        <f>SLP!CF24+ROSA!CF24+'STA ANA'!CF24+BOA!CF24+'STA MARIA'!CF24+'CB I'!CF24+IG!CF24+PN!CF24+MJ!CF24+'RB I'!CF24+'SF I'!CF24</f>
        <v>17609.686881174715</v>
      </c>
      <c r="CG24" s="218">
        <f>SLP!CG24+ROSA!CG24+'STA ANA'!CG24+BOA!CG24+'STA MARIA'!CG24+'CB I'!CG24+IG!CG24+PN!CG24+MJ!CG24+'RB I'!CG24+'SF I'!CG24</f>
        <v>0</v>
      </c>
      <c r="CH24" s="218">
        <f>SLP!CH24+ROSA!CH24+'STA ANA'!CH24+BOA!CH24+'STA MARIA'!CH24+'CB I'!CH24+IG!CH24+PN!CH24+MJ!CH24+'RB I'!CH24+'SF I'!CH24</f>
        <v>0</v>
      </c>
      <c r="CI24" s="218">
        <f>SLP!CI24+ROSA!CI24+'STA ANA'!CI24+BOA!CI24+'STA MARIA'!CI24+'CB I'!CI24+IG!CI24+PN!CI24+MJ!CI24+'RB I'!CI24+'SF I'!CI24</f>
        <v>0</v>
      </c>
      <c r="CJ24" s="221">
        <f t="shared" si="13"/>
        <v>-1</v>
      </c>
      <c r="CK24" s="218">
        <f>SLP!CK24+ROSA!CK24+'STA ANA'!CK24+BOA!CK24+'STA MARIA'!CK24+'CB I'!CK24+IG!CK24+PN!CK24+MJ!CK24+'RB I'!CK24+'SF I'!CK24</f>
        <v>188297.8412978453</v>
      </c>
      <c r="CL24" s="218">
        <f>SLP!CL24+ROSA!CL24+'STA ANA'!CL24+BOA!CL24+'STA MARIA'!CL24+'CB I'!CL24+IG!CL24+PN!CL24+MJ!CL24+'RB I'!CL24+'SF I'!CL24</f>
        <v>170688.15441667059</v>
      </c>
      <c r="CM24" s="218">
        <f>SLP!CM24+ROSA!CM24+'STA ANA'!CM24+BOA!CM24+'STA MARIA'!CM24+'CB I'!CM24+IG!CM24+PN!CM24+MJ!CM24+'RB I'!CM24+'SF I'!CM24</f>
        <v>17609.686881174715</v>
      </c>
      <c r="CN24" s="218">
        <f>SLP!CN24+ROSA!CN24+'STA ANA'!CN24+BOA!CN24+'STA MARIA'!CN24+'CB I'!CN24+IG!CN24+PN!CN24+MJ!CN24+'RB I'!CN24+'SF I'!CN24</f>
        <v>0</v>
      </c>
      <c r="CO24" s="218">
        <f>SLP!CO24+ROSA!CO24+'STA ANA'!CO24+BOA!CO24+'STA MARIA'!CO24+'CB I'!CO24+IG!CO24+PN!CO24+MJ!CO24+'RB I'!CO24+'SF I'!CO24</f>
        <v>0</v>
      </c>
      <c r="CP24" s="218">
        <f>SLP!CP24+ROSA!CP24+'STA ANA'!CP24+BOA!CP24+'STA MARIA'!CP24+'CB I'!CP24+IG!CP24+PN!CP24+MJ!CP24+'RB I'!CP24+'SF I'!CP24</f>
        <v>0</v>
      </c>
      <c r="CQ24" s="221">
        <f t="shared" si="14"/>
        <v>-1</v>
      </c>
      <c r="CR24" s="154"/>
      <c r="CS24" s="222" t="e">
        <f t="shared" si="15"/>
        <v>#VALUE!</v>
      </c>
    </row>
    <row r="25" spans="1:97" ht="16" customHeight="1" thickBot="1" x14ac:dyDescent="0.25">
      <c r="A25" s="220" t="s">
        <v>49</v>
      </c>
      <c r="B25" s="30">
        <f t="shared" si="0"/>
        <v>4964486.2377105802</v>
      </c>
      <c r="C25" s="31">
        <f t="shared" si="0"/>
        <v>4465839.9242186863</v>
      </c>
      <c r="D25" s="32">
        <f t="shared" si="0"/>
        <v>498646.31349189504</v>
      </c>
      <c r="E25" s="30">
        <f t="shared" si="16"/>
        <v>1584289.9055767986</v>
      </c>
      <c r="F25" s="33">
        <f t="shared" si="16"/>
        <v>1428786.7597640296</v>
      </c>
      <c r="G25" s="34">
        <f t="shared" si="16"/>
        <v>155503.14581276884</v>
      </c>
      <c r="H25" s="31">
        <f t="shared" si="1"/>
        <v>3711349.3707296941</v>
      </c>
      <c r="I25" s="33">
        <f t="shared" si="1"/>
        <v>417677.49343082384</v>
      </c>
      <c r="J25" s="33">
        <f t="shared" si="1"/>
        <v>4129026.8641605177</v>
      </c>
      <c r="K25" s="221">
        <f t="shared" si="2"/>
        <v>1.6062318832090563</v>
      </c>
      <c r="L25" s="218">
        <f>SLP!L25+ROSA!L25+'STA ANA'!L25+BOA!L25+'STA MARIA'!L25+'CB I'!L25+IG!L25+PN!L25+MJ!L25+'RB I'!L25+'SF I'!L25</f>
        <v>0</v>
      </c>
      <c r="M25" s="218">
        <f>SLP!M25+ROSA!M25+'STA ANA'!M25+BOA!M25+'STA MARIA'!M25+'CB I'!M25+IG!M25+PN!M25+MJ!M25+'RB I'!M25+'SF I'!M25</f>
        <v>0</v>
      </c>
      <c r="N25" s="218">
        <f>SLP!N25+ROSA!N25+'STA ANA'!N25+BOA!N25+'STA MARIA'!N25+'CB I'!N25+IG!N25+PN!N25+MJ!N25+'RB I'!N25+'SF I'!N25</f>
        <v>0</v>
      </c>
      <c r="O25" s="218">
        <f>SLP!O25+ROSA!O25+'STA ANA'!O25+BOA!O25+'STA MARIA'!O25+'CB I'!O25+IG!O25+PN!O25+MJ!O25+'RB I'!O25+'SF I'!O25</f>
        <v>77262.412252999988</v>
      </c>
      <c r="P25" s="218">
        <f>SLP!P25+ROSA!P25+'STA ANA'!P25+BOA!P25+'STA MARIA'!P25+'CB I'!P25+IG!P25+PN!P25+MJ!P25+'RB I'!P25+'SF I'!P25</f>
        <v>11504.007747</v>
      </c>
      <c r="Q25" s="218">
        <f>SLP!Q25+ROSA!Q25+'STA ANA'!Q25+BOA!Q25+'STA MARIA'!Q25+'CB I'!Q25+IG!Q25+PN!Q25+MJ!Q25+'RB I'!Q25+'SF I'!Q25</f>
        <v>88766.42</v>
      </c>
      <c r="R25" s="221" t="str">
        <f t="shared" si="3"/>
        <v/>
      </c>
      <c r="S25" s="218">
        <f>SLP!S25+ROSA!S25+'STA ANA'!S25+BOA!S25+'STA MARIA'!S25+'CB I'!S25+IG!S25+PN!S25+MJ!S25+'RB I'!S25+'SF I'!S25</f>
        <v>0</v>
      </c>
      <c r="T25" s="218">
        <f>SLP!T25+ROSA!T25+'STA ANA'!T25+BOA!T25+'STA MARIA'!T25+'CB I'!T25+IG!T25+PN!T25+MJ!T25+'RB I'!T25+'SF I'!T25</f>
        <v>0</v>
      </c>
      <c r="U25" s="218">
        <f>SLP!U25+ROSA!U25+'STA ANA'!U25+BOA!U25+'STA MARIA'!U25+'CB I'!U25+IG!U25+PN!U25+MJ!U25+'RB I'!U25+'SF I'!U25</f>
        <v>0</v>
      </c>
      <c r="V25" s="218">
        <f>SLP!V25+ROSA!V25+'STA ANA'!V25+BOA!V25+'STA MARIA'!V25+'CB I'!V25+IG!V25+PN!V25+MJ!V25+'RB I'!V25+'SF I'!V25</f>
        <v>161944.0034608398</v>
      </c>
      <c r="W25" s="218">
        <f>SLP!W25+ROSA!W25+'STA ANA'!W25+BOA!W25+'STA MARIA'!W25+'CB I'!W25+IG!W25+PN!W25+MJ!W25+'RB I'!W25+'SF I'!W25</f>
        <v>17030.100119974366</v>
      </c>
      <c r="X25" s="218">
        <f>SLP!X25+ROSA!X25+'STA ANA'!X25+BOA!X25+'STA MARIA'!X25+'CB I'!X25+IG!X25+PN!X25+MJ!X25+'RB I'!X25+'SF I'!X25</f>
        <v>178974.10358081418</v>
      </c>
      <c r="Y25" s="221" t="str">
        <f t="shared" si="4"/>
        <v/>
      </c>
      <c r="Z25" s="218">
        <f>SLP!Z25+ROSA!Z25+'STA ANA'!Z25+BOA!Z25+'STA MARIA'!Z25+'CB I'!Z25+IG!Z25+PN!Z25+MJ!Z25+'RB I'!Z25+'SF I'!Z25</f>
        <v>683265.36646927753</v>
      </c>
      <c r="AA25" s="218">
        <f>SLP!AA25+ROSA!AA25+'STA ANA'!AA25+BOA!AA25+'STA MARIA'!AA25+'CB I'!AA25+IG!AA25+PN!AA25+MJ!AA25+'RB I'!AA25+'SF I'!AA25</f>
        <v>616930.77650264348</v>
      </c>
      <c r="AB25" s="218">
        <f>SLP!AB25+ROSA!AB25+'STA ANA'!AB25+BOA!AB25+'STA MARIA'!AB25+'CB I'!AB25+IG!AB25+PN!AB25+MJ!AB25+'RB I'!AB25+'SF I'!AB25</f>
        <v>66334.589966634157</v>
      </c>
      <c r="AC25" s="218">
        <f>SLP!AC25+ROSA!AC25+'STA ANA'!AC25+BOA!AC25+'STA MARIA'!AC25+'CB I'!AC25+IG!AC25+PN!AC25+MJ!AC25+'RB I'!AC25+'SF I'!AC25</f>
        <v>329152.20379800006</v>
      </c>
      <c r="AD25" s="218">
        <f>SLP!AD25+ROSA!AD25+'STA ANA'!AD25+BOA!AD25+'STA MARIA'!AD25+'CB I'!AD25+IG!AD25+PN!AD25+MJ!AD25+'RB I'!AD25+'SF I'!AD25</f>
        <v>29550.896202000004</v>
      </c>
      <c r="AE25" s="218">
        <f>SLP!AE25+ROSA!AE25+'STA ANA'!AE25+BOA!AE25+'STA MARIA'!AE25+'CB I'!AE25+IG!AE25+PN!AE25+MJ!AE25+'RB I'!AE25+'SF I'!AE25</f>
        <v>358703.10000000003</v>
      </c>
      <c r="AF25" s="221">
        <f t="shared" si="5"/>
        <v>-0.47501641733493483</v>
      </c>
      <c r="AG25" s="218">
        <f>SLP!AG25+ROSA!AG25+'STA ANA'!AG25+BOA!AG25+'STA MARIA'!AG25+'CB I'!AG25+IG!AG25+PN!AG25+MJ!AG25+'RB I'!AG25+'SF I'!AG25</f>
        <v>901024.53910752106</v>
      </c>
      <c r="AH25" s="218">
        <f>SLP!AH25+ROSA!AH25+'STA ANA'!AH25+BOA!AH25+'STA MARIA'!AH25+'CB I'!AH25+IG!AH25+PN!AH25+MJ!AH25+'RB I'!AH25+'SF I'!AH25</f>
        <v>811855.98326138628</v>
      </c>
      <c r="AI25" s="218">
        <f>SLP!AI25+ROSA!AI25+'STA ANA'!AI25+BOA!AI25+'STA MARIA'!AI25+'CB I'!AI25+IG!AI25+PN!AI25+MJ!AI25+'RB I'!AI25+'SF I'!AI25</f>
        <v>89168.555846134681</v>
      </c>
      <c r="AJ25" s="218">
        <f>SLP!AJ25+ROSA!AJ25+'STA ANA'!AJ25+BOA!AJ25+'STA MARIA'!AJ25+'CB I'!AJ25+IG!AJ25+PN!AJ25+MJ!AJ25+'RB I'!AJ25+'SF I'!AJ25</f>
        <v>992324.33407700015</v>
      </c>
      <c r="AK25" s="218">
        <f>SLP!AK25+ROSA!AK25+'STA ANA'!AK25+BOA!AK25+'STA MARIA'!AK25+'CB I'!AK25+IG!AK25+PN!AK25+MJ!AK25+'RB I'!AK25+'SF I'!AK25</f>
        <v>117307.395923</v>
      </c>
      <c r="AL25" s="218">
        <f>SLP!AL25+ROSA!AL25+'STA ANA'!AL25+BOA!AL25+'STA MARIA'!AL25+'CB I'!AL25+IG!AL25+PN!AL25+MJ!AL25+'RB I'!AL25+'SF I'!AL25</f>
        <v>1109631.7300000002</v>
      </c>
      <c r="AM25" s="221">
        <f t="shared" si="6"/>
        <v>0.23152220815107638</v>
      </c>
      <c r="AN25" s="218">
        <f>SLP!AN25+ROSA!AN25+'STA ANA'!AN25+BOA!AN25+'STA MARIA'!AN25+'CB I'!AN25+IG!AN25+PN!AN25+MJ!AN25+'RB I'!AN25+'SF I'!AN25</f>
        <v>871077.2672705201</v>
      </c>
      <c r="AO25" s="218">
        <f>SLP!AO25+ROSA!AO25+'STA ANA'!AO25+BOA!AO25+'STA MARIA'!AO25+'CB I'!AO25+IG!AO25+PN!AO25+MJ!AO25+'RB I'!AO25+'SF I'!AO25</f>
        <v>781908.71142438543</v>
      </c>
      <c r="AP25" s="218">
        <f>SLP!AP25+ROSA!AP25+'STA ANA'!AP25+BOA!AP25+'STA MARIA'!AP25+'CB I'!AP25+IG!AP25+PN!AP25+MJ!AP25+'RB I'!AP25+'SF I'!AP25</f>
        <v>89168.555846134637</v>
      </c>
      <c r="AQ25" s="218">
        <f>SLP!AQ25+ROSA!AQ25+'STA ANA'!AQ25+BOA!AQ25+'STA MARIA'!AQ25+'CB I'!AQ25+IG!AQ25+PN!AQ25+MJ!AQ25+'RB I'!AQ25+'SF I'!AQ25</f>
        <v>914986.90380763775</v>
      </c>
      <c r="AR25" s="218">
        <f>SLP!AR25+ROSA!AR25+'STA ANA'!AR25+BOA!AR25+'STA MARIA'!AR25+'CB I'!AR25+IG!AR25+PN!AR25+MJ!AR25+'RB I'!AR25+'SF I'!AR25</f>
        <v>101373.36131484943</v>
      </c>
      <c r="AS25" s="218">
        <f>SLP!AS25+ROSA!AS25+'STA ANA'!AS25+BOA!AS25+'STA MARIA'!AS25+'CB I'!AS25+IG!AS25+PN!AS25+MJ!AS25+'RB I'!AS25+'SF I'!AS25</f>
        <v>1016360.2651224871</v>
      </c>
      <c r="AT25" s="221">
        <f t="shared" si="7"/>
        <v>0.16678543145455338</v>
      </c>
      <c r="AU25" s="218">
        <f>SLP!AU25+ROSA!AU25+'STA ANA'!AU25+BOA!AU25+'STA MARIA'!AU25+'CB I'!AU25+IG!AU25+PN!AU25+MJ!AU25+'RB I'!AU25+'SF I'!AU25</f>
        <v>905486.92589201522</v>
      </c>
      <c r="AV25" s="218">
        <f>SLP!AV25+ROSA!AV25+'STA ANA'!AV25+BOA!AV25+'STA MARIA'!AV25+'CB I'!AV25+IG!AV25+PN!AV25+MJ!AV25+'RB I'!AV25+'SF I'!AV25</f>
        <v>812744.47117136547</v>
      </c>
      <c r="AW25" s="218">
        <f>SLP!AW25+ROSA!AW25+'STA ANA'!AW25+BOA!AW25+'STA MARIA'!AW25+'CB I'!AW25+IG!AW25+PN!AW25+MJ!AW25+'RB I'!AW25+'SF I'!AW25</f>
        <v>92742.454720649897</v>
      </c>
      <c r="AX25" s="218">
        <f>SLP!AX25+ROSA!AX25+'STA ANA'!AX25+BOA!AX25+'STA MARIA'!AX25+'CB I'!AX25+IG!AX25+PN!AX25+MJ!AX25+'RB I'!AX25+'SF I'!AX25</f>
        <v>1235679.5133332161</v>
      </c>
      <c r="AY25" s="218">
        <f>SLP!AY25+ROSA!AY25+'STA ANA'!AY25+BOA!AY25+'STA MARIA'!AY25+'CB I'!AY25+IG!AY25+PN!AY25+MJ!AY25+'RB I'!AY25+'SF I'!AY25</f>
        <v>140911.73212400003</v>
      </c>
      <c r="AZ25" s="218">
        <f>SLP!AZ25+ROSA!AZ25+'STA ANA'!AZ25+BOA!AZ25+'STA MARIA'!AZ25+'CB I'!AZ25+IG!AZ25+PN!AZ25+MJ!AZ25+'RB I'!AZ25+'SF I'!AZ25</f>
        <v>1376591.2454572162</v>
      </c>
      <c r="BA25" s="221">
        <f t="shared" si="8"/>
        <v>0.52027732935084137</v>
      </c>
      <c r="BB25" s="218">
        <f>SLP!BB25+ROSA!BB25+'STA ANA'!BB25+BOA!BB25+'STA MARIA'!BB25+'CB I'!BB25+IG!BB25+PN!BB25+MJ!BB25+'RB I'!BB25+'SF I'!BB25</f>
        <v>337769.53154273715</v>
      </c>
      <c r="BC25" s="218">
        <f>SLP!BC25+ROSA!BC25+'STA ANA'!BC25+BOA!BC25+'STA MARIA'!BC25+'CB I'!BC25+IG!BC25+PN!BC25+MJ!BC25+'RB I'!BC25+'SF I'!BC25</f>
        <v>303992.04880934738</v>
      </c>
      <c r="BD25" s="218">
        <f>SLP!BD25+ROSA!BD25+'STA ANA'!BD25+BOA!BD25+'STA MARIA'!BD25+'CB I'!BD25+IG!BD25+PN!BD25+MJ!BD25+'RB I'!BD25+'SF I'!BD25</f>
        <v>33777.482733389799</v>
      </c>
      <c r="BE25" s="218">
        <f>SLP!BE25+ROSA!BE25+'STA ANA'!BE25+BOA!BE25+'STA MARIA'!BE25+'CB I'!BE25+IG!BE25+PN!BE25+MJ!BE25+'RB I'!BE25+'SF I'!BE25</f>
        <v>0</v>
      </c>
      <c r="BF25" s="218">
        <f>SLP!BF25+ROSA!BF25+'STA ANA'!BF25+BOA!BF25+'STA MARIA'!BF25+'CB I'!BF25+IG!BF25+PN!BF25+MJ!BF25+'RB I'!BF25+'SF I'!BF25</f>
        <v>0</v>
      </c>
      <c r="BG25" s="218">
        <f>SLP!BG25+ROSA!BG25+'STA ANA'!BG25+BOA!BG25+'STA MARIA'!BG25+'CB I'!BG25+IG!BG25+PN!BG25+MJ!BG25+'RB I'!BG25+'SF I'!BG25</f>
        <v>0</v>
      </c>
      <c r="BH25" s="221">
        <f t="shared" si="9"/>
        <v>-1</v>
      </c>
      <c r="BI25" s="218">
        <f>SLP!BI25+ROSA!BI25+'STA ANA'!BI25+BOA!BI25+'STA MARIA'!BI25+'CB I'!BI25+IG!BI25+PN!BI25+MJ!BI25+'RB I'!BI25+'SF I'!BI25</f>
        <v>337769.53154273715</v>
      </c>
      <c r="BJ25" s="218">
        <f>SLP!BJ25+ROSA!BJ25+'STA ANA'!BJ25+BOA!BJ25+'STA MARIA'!BJ25+'CB I'!BJ25+IG!BJ25+PN!BJ25+MJ!BJ25+'RB I'!BJ25+'SF I'!BJ25</f>
        <v>303992.04880934738</v>
      </c>
      <c r="BK25" s="218">
        <f>SLP!BK25+ROSA!BK25+'STA ANA'!BK25+BOA!BK25+'STA MARIA'!BK25+'CB I'!BK25+IG!BK25+PN!BK25+MJ!BK25+'RB I'!BK25+'SF I'!BK25</f>
        <v>33777.482733389799</v>
      </c>
      <c r="BL25" s="218">
        <f>SLP!BL25+ROSA!BL25+'STA ANA'!BL25+BOA!BL25+'STA MARIA'!BL25+'CB I'!BL25+IG!BL25+PN!BL25+MJ!BL25+'RB I'!BL25+'SF I'!BL25</f>
        <v>0</v>
      </c>
      <c r="BM25" s="218">
        <f>SLP!BM25+ROSA!BM25+'STA ANA'!BM25+BOA!BM25+'STA MARIA'!BM25+'CB I'!BM25+IG!BM25+PN!BM25+MJ!BM25+'RB I'!BM25+'SF I'!BM25</f>
        <v>0</v>
      </c>
      <c r="BN25" s="218">
        <f>SLP!BN25+ROSA!BN25+'STA ANA'!BN25+BOA!BN25+'STA MARIA'!BN25+'CB I'!BN25+IG!BN25+PN!BN25+MJ!BN25+'RB I'!BN25+'SF I'!BN25</f>
        <v>0</v>
      </c>
      <c r="BO25" s="221">
        <f t="shared" si="10"/>
        <v>-1</v>
      </c>
      <c r="BP25" s="218">
        <f>SLP!BP25+ROSA!BP25+'STA ANA'!BP25+BOA!BP25+'STA MARIA'!BP25+'CB I'!BP25+IG!BP25+PN!BP25+MJ!BP25+'RB I'!BP25+'SF I'!BP25</f>
        <v>337769.53154273715</v>
      </c>
      <c r="BQ25" s="218">
        <f>SLP!BQ25+ROSA!BQ25+'STA ANA'!BQ25+BOA!BQ25+'STA MARIA'!BQ25+'CB I'!BQ25+IG!BQ25+PN!BQ25+MJ!BQ25+'RB I'!BQ25+'SF I'!BQ25</f>
        <v>303992.04880934738</v>
      </c>
      <c r="BR25" s="218">
        <f>SLP!BR25+ROSA!BR25+'STA ANA'!BR25+BOA!BR25+'STA MARIA'!BR25+'CB I'!BR25+IG!BR25+PN!BR25+MJ!BR25+'RB I'!BR25+'SF I'!BR25</f>
        <v>33777.482733389799</v>
      </c>
      <c r="BS25" s="218">
        <f>SLP!BS25+ROSA!BS25+'STA ANA'!BS25+BOA!BS25+'STA MARIA'!BS25+'CB I'!BS25+IG!BS25+PN!BS25+MJ!BS25+'RB I'!BS25+'SF I'!BS25</f>
        <v>0</v>
      </c>
      <c r="BT25" s="218">
        <f>SLP!BT25+ROSA!BT25+'STA ANA'!BT25+BOA!BT25+'STA MARIA'!BT25+'CB I'!BT25+IG!BT25+PN!BT25+MJ!BT25+'RB I'!BT25+'SF I'!BT25</f>
        <v>0</v>
      </c>
      <c r="BU25" s="218">
        <f>SLP!BU25+ROSA!BU25+'STA ANA'!BU25+BOA!BU25+'STA MARIA'!BU25+'CB I'!BU25+IG!BU25+PN!BU25+MJ!BU25+'RB I'!BU25+'SF I'!BU25</f>
        <v>0</v>
      </c>
      <c r="BV25" s="221">
        <f t="shared" si="11"/>
        <v>-1</v>
      </c>
      <c r="BW25" s="218">
        <f>SLP!BW25+ROSA!BW25+'STA ANA'!BW25+BOA!BW25+'STA MARIA'!BW25+'CB I'!BW25+IG!BW25+PN!BW25+MJ!BW25+'RB I'!BW25+'SF I'!BW25</f>
        <v>264811.1394077242</v>
      </c>
      <c r="BX25" s="218">
        <f>SLP!BX25+ROSA!BX25+'STA ANA'!BX25+BOA!BX25+'STA MARIA'!BX25+'CB I'!BX25+IG!BX25+PN!BX25+MJ!BX25+'RB I'!BX25+'SF I'!BX25</f>
        <v>238617.45843122574</v>
      </c>
      <c r="BY25" s="218">
        <f>SLP!BY25+ROSA!BY25+'STA ANA'!BY25+BOA!BY25+'STA MARIA'!BY25+'CB I'!BY25+IG!BY25+PN!BY25+MJ!BY25+'RB I'!BY25+'SF I'!BY25</f>
        <v>26193.680976498454</v>
      </c>
      <c r="BZ25" s="218">
        <f>SLP!BZ25+ROSA!BZ25+'STA ANA'!BZ25+BOA!BZ25+'STA MARIA'!BZ25+'CB I'!BZ25+IG!BZ25+PN!BZ25+MJ!BZ25+'RB I'!BZ25+'SF I'!BZ25</f>
        <v>0</v>
      </c>
      <c r="CA25" s="218">
        <f>SLP!CA25+ROSA!CA25+'STA ANA'!CA25+BOA!CA25+'STA MARIA'!CA25+'CB I'!CA25+IG!CA25+PN!CA25+MJ!CA25+'RB I'!CA25+'SF I'!CA25</f>
        <v>0</v>
      </c>
      <c r="CB25" s="218">
        <f>SLP!CB25+ROSA!CB25+'STA ANA'!CB25+BOA!CB25+'STA MARIA'!CB25+'CB I'!CB25+IG!CB25+PN!CB25+MJ!CB25+'RB I'!CB25+'SF I'!CB25</f>
        <v>0</v>
      </c>
      <c r="CC25" s="221">
        <f t="shared" si="12"/>
        <v>-1</v>
      </c>
      <c r="CD25" s="218">
        <f>SLP!CD25+ROSA!CD25+'STA ANA'!CD25+BOA!CD25+'STA MARIA'!CD25+'CB I'!CD25+IG!CD25+PN!CD25+MJ!CD25+'RB I'!CD25+'SF I'!CD25</f>
        <v>162756.20246765608</v>
      </c>
      <c r="CE25" s="218">
        <f>SLP!CE25+ROSA!CE25+'STA ANA'!CE25+BOA!CE25+'STA MARIA'!CE25+'CB I'!CE25+IG!CE25+PN!CE25+MJ!CE25+'RB I'!CE25+'SF I'!CE25</f>
        <v>145903.1884998192</v>
      </c>
      <c r="CF25" s="218">
        <f>SLP!CF25+ROSA!CF25+'STA ANA'!CF25+BOA!CF25+'STA MARIA'!CF25+'CB I'!CF25+IG!CF25+PN!CF25+MJ!CF25+'RB I'!CF25+'SF I'!CF25</f>
        <v>16853.013967836869</v>
      </c>
      <c r="CG25" s="218">
        <f>SLP!CG25+ROSA!CG25+'STA ANA'!CG25+BOA!CG25+'STA MARIA'!CG25+'CB I'!CG25+IG!CG25+PN!CG25+MJ!CG25+'RB I'!CG25+'SF I'!CG25</f>
        <v>0</v>
      </c>
      <c r="CH25" s="218">
        <f>SLP!CH25+ROSA!CH25+'STA ANA'!CH25+BOA!CH25+'STA MARIA'!CH25+'CB I'!CH25+IG!CH25+PN!CH25+MJ!CH25+'RB I'!CH25+'SF I'!CH25</f>
        <v>0</v>
      </c>
      <c r="CI25" s="218">
        <f>SLP!CI25+ROSA!CI25+'STA ANA'!CI25+BOA!CI25+'STA MARIA'!CI25+'CB I'!CI25+IG!CI25+PN!CI25+MJ!CI25+'RB I'!CI25+'SF I'!CI25</f>
        <v>0</v>
      </c>
      <c r="CJ25" s="221">
        <f t="shared" si="13"/>
        <v>-1</v>
      </c>
      <c r="CK25" s="218">
        <f>SLP!CK25+ROSA!CK25+'STA ANA'!CK25+BOA!CK25+'STA MARIA'!CK25+'CB I'!CK25+IG!CK25+PN!CK25+MJ!CK25+'RB I'!CK25+'SF I'!CK25</f>
        <v>162756.20246765608</v>
      </c>
      <c r="CL25" s="218">
        <f>SLP!CL25+ROSA!CL25+'STA ANA'!CL25+BOA!CL25+'STA MARIA'!CL25+'CB I'!CL25+IG!CL25+PN!CL25+MJ!CL25+'RB I'!CL25+'SF I'!CL25</f>
        <v>145903.1884998192</v>
      </c>
      <c r="CM25" s="218">
        <f>SLP!CM25+ROSA!CM25+'STA ANA'!CM25+BOA!CM25+'STA MARIA'!CM25+'CB I'!CM25+IG!CM25+PN!CM25+MJ!CM25+'RB I'!CM25+'SF I'!CM25</f>
        <v>16853.013967836869</v>
      </c>
      <c r="CN25" s="218">
        <f>SLP!CN25+ROSA!CN25+'STA ANA'!CN25+BOA!CN25+'STA MARIA'!CN25+'CB I'!CN25+IG!CN25+PN!CN25+MJ!CN25+'RB I'!CN25+'SF I'!CN25</f>
        <v>0</v>
      </c>
      <c r="CO25" s="218">
        <f>SLP!CO25+ROSA!CO25+'STA ANA'!CO25+BOA!CO25+'STA MARIA'!CO25+'CB I'!CO25+IG!CO25+PN!CO25+MJ!CO25+'RB I'!CO25+'SF I'!CO25</f>
        <v>0</v>
      </c>
      <c r="CP25" s="218">
        <f>SLP!CP25+ROSA!CP25+'STA ANA'!CP25+BOA!CP25+'STA MARIA'!CP25+'CB I'!CP25+IG!CP25+PN!CP25+MJ!CP25+'RB I'!CP25+'SF I'!CP25</f>
        <v>0</v>
      </c>
      <c r="CQ25" s="221">
        <f t="shared" si="14"/>
        <v>-1</v>
      </c>
      <c r="CR25" s="154"/>
      <c r="CS25" s="222" t="e">
        <f t="shared" si="15"/>
        <v>#VALUE!</v>
      </c>
    </row>
    <row r="26" spans="1:97" ht="16" customHeight="1" thickBot="1" x14ac:dyDescent="0.25">
      <c r="A26" s="220" t="s">
        <v>50</v>
      </c>
      <c r="B26" s="30">
        <f t="shared" si="0"/>
        <v>26023464.974411041</v>
      </c>
      <c r="C26" s="31">
        <f t="shared" si="0"/>
        <v>23381406.512061246</v>
      </c>
      <c r="D26" s="32">
        <f t="shared" si="0"/>
        <v>2642058.462349792</v>
      </c>
      <c r="E26" s="30">
        <f t="shared" si="16"/>
        <v>7016611.0420459481</v>
      </c>
      <c r="F26" s="33">
        <f t="shared" si="16"/>
        <v>6329912.7471455336</v>
      </c>
      <c r="G26" s="34">
        <f t="shared" si="16"/>
        <v>686698.2949004136</v>
      </c>
      <c r="H26" s="31">
        <f t="shared" si="1"/>
        <v>10579268.147796549</v>
      </c>
      <c r="I26" s="33">
        <f t="shared" si="1"/>
        <v>1157995.0631726936</v>
      </c>
      <c r="J26" s="33">
        <f t="shared" si="1"/>
        <v>11737263.210969241</v>
      </c>
      <c r="K26" s="221">
        <f t="shared" si="2"/>
        <v>0.67278236468225483</v>
      </c>
      <c r="L26" s="218">
        <f>SLP!L26+ROSA!L26+'STA ANA'!L26+BOA!L26+'STA MARIA'!L26+'CB I'!L26+IG!L26+PN!L26+MJ!L26+'RB I'!L26+'SF I'!L26</f>
        <v>804736.61253400764</v>
      </c>
      <c r="M26" s="218">
        <f>SLP!M26+ROSA!M26+'STA ANA'!M26+BOA!M26+'STA MARIA'!M26+'CB I'!M26+IG!M26+PN!M26+MJ!M26+'RB I'!M26+'SF I'!M26</f>
        <v>722986.48755100532</v>
      </c>
      <c r="N26" s="218">
        <f>SLP!N26+ROSA!N26+'STA ANA'!N26+BOA!N26+'STA MARIA'!N26+'CB I'!N26+IG!N26+PN!N26+MJ!N26+'RB I'!N26+'SF I'!N26</f>
        <v>81750.124983002228</v>
      </c>
      <c r="O26" s="218">
        <f>SLP!O26+ROSA!O26+'STA ANA'!O26+BOA!O26+'STA MARIA'!O26+'CB I'!O26+IG!O26+PN!O26+MJ!O26+'RB I'!O26+'SF I'!O26</f>
        <v>1118052.1662218464</v>
      </c>
      <c r="P26" s="218">
        <f>SLP!P26+ROSA!P26+'STA ANA'!P26+BOA!P26+'STA MARIA'!P26+'CB I'!P26+IG!P26+PN!P26+MJ!P26+'RB I'!P26+'SF I'!P26</f>
        <v>138242.57010607797</v>
      </c>
      <c r="Q26" s="218">
        <f>SLP!Q26+ROSA!Q26+'STA ANA'!Q26+BOA!Q26+'STA MARIA'!Q26+'CB I'!Q26+IG!Q26+PN!Q26+MJ!Q26+'RB I'!Q26+'SF I'!Q26</f>
        <v>1256294.7363279245</v>
      </c>
      <c r="R26" s="221">
        <f t="shared" si="3"/>
        <v>0.56112536295822424</v>
      </c>
      <c r="S26" s="218">
        <f>SLP!S26+ROSA!S26+'STA ANA'!S26+BOA!S26+'STA MARIA'!S26+'CB I'!S26+IG!S26+PN!S26+MJ!S26+'RB I'!S26+'SF I'!S26</f>
        <v>1579984.7794797383</v>
      </c>
      <c r="T26" s="218">
        <f>SLP!T26+ROSA!T26+'STA ANA'!T26+BOA!T26+'STA MARIA'!T26+'CB I'!T26+IG!T26+PN!T26+MJ!T26+'RB I'!T26+'SF I'!T26</f>
        <v>1419590.6914768692</v>
      </c>
      <c r="U26" s="218">
        <f>SLP!U26+ROSA!U26+'STA ANA'!U26+BOA!U26+'STA MARIA'!U26+'CB I'!U26+IG!U26+PN!U26+MJ!U26+'RB I'!U26+'SF I'!U26</f>
        <v>160394.08800286916</v>
      </c>
      <c r="V26" s="218">
        <f>SLP!V26+ROSA!V26+'STA ANA'!V26+BOA!V26+'STA MARIA'!V26+'CB I'!V26+IG!V26+PN!V26+MJ!V26+'RB I'!V26+'SF I'!V26</f>
        <v>1424095.3629890189</v>
      </c>
      <c r="W26" s="218">
        <f>SLP!W26+ROSA!W26+'STA ANA'!W26+BOA!W26+'STA MARIA'!W26+'CB I'!W26+IG!W26+PN!W26+MJ!W26+'RB I'!W26+'SF I'!W26</f>
        <v>137943.66862927086</v>
      </c>
      <c r="X26" s="218">
        <f>SLP!X26+ROSA!X26+'STA ANA'!X26+BOA!X26+'STA MARIA'!X26+'CB I'!X26+IG!X26+PN!X26+MJ!X26+'RB I'!X26+'SF I'!X26</f>
        <v>1562039.0316182901</v>
      </c>
      <c r="Y26" s="221">
        <f t="shared" si="4"/>
        <v>-1.1358177682798565E-2</v>
      </c>
      <c r="Z26" s="218">
        <f>SLP!Z26+ROSA!Z26+'STA ANA'!Z26+BOA!Z26+'STA MARIA'!Z26+'CB I'!Z26+IG!Z26+PN!Z26+MJ!Z26+'RB I'!Z26+'SF I'!Z26</f>
        <v>2265277.0955107878</v>
      </c>
      <c r="AA26" s="218">
        <f>SLP!AA26+ROSA!AA26+'STA ANA'!AA26+BOA!AA26+'STA MARIA'!AA26+'CB I'!AA26+IG!AA26+PN!AA26+MJ!AA26+'RB I'!AA26+'SF I'!AA26</f>
        <v>2058337.3137405533</v>
      </c>
      <c r="AB26" s="218">
        <f>SLP!AB26+ROSA!AB26+'STA ANA'!AB26+BOA!AB26+'STA MARIA'!AB26+'CB I'!AB26+IG!AB26+PN!AB26+MJ!AB26+'RB I'!AB26+'SF I'!AB26</f>
        <v>206939.78177023443</v>
      </c>
      <c r="AC26" s="218">
        <f>SLP!AC26+ROSA!AC26+'STA ANA'!AC26+BOA!AC26+'STA MARIA'!AC26+'CB I'!AC26+IG!AC26+PN!AC26+MJ!AC26+'RB I'!AC26+'SF I'!AC26</f>
        <v>1934365.6966194785</v>
      </c>
      <c r="AD26" s="218">
        <f>SLP!AD26+ROSA!AD26+'STA ANA'!AD26+BOA!AD26+'STA MARIA'!AD26+'CB I'!AD26+IG!AD26+PN!AD26+MJ!AD26+'RB I'!AD26+'SF I'!AD26</f>
        <v>193608.33946005179</v>
      </c>
      <c r="AE26" s="218">
        <f>SLP!AE26+ROSA!AE26+'STA ANA'!AE26+BOA!AE26+'STA MARIA'!AE26+'CB I'!AE26+IG!AE26+PN!AE26+MJ!AE26+'RB I'!AE26+'SF I'!AE26</f>
        <v>2127974.0360795306</v>
      </c>
      <c r="AF26" s="221">
        <f t="shared" si="5"/>
        <v>-6.0612037133716434E-2</v>
      </c>
      <c r="AG26" s="218">
        <f>SLP!AG26+ROSA!AG26+'STA ANA'!AG26+BOA!AG26+'STA MARIA'!AG26+'CB I'!AG26+IG!AG26+PN!AG26+MJ!AG26+'RB I'!AG26+'SF I'!AG26</f>
        <v>2366612.5545214145</v>
      </c>
      <c r="AH26" s="218">
        <f>SLP!AH26+ROSA!AH26+'STA ANA'!AH26+BOA!AH26+'STA MARIA'!AH26+'CB I'!AH26+IG!AH26+PN!AH26+MJ!AH26+'RB I'!AH26+'SF I'!AH26</f>
        <v>2128998.2543771067</v>
      </c>
      <c r="AI26" s="218">
        <f>SLP!AI26+ROSA!AI26+'STA ANA'!AI26+BOA!AI26+'STA MARIA'!AI26+'CB I'!AI26+IG!AI26+PN!AI26+MJ!AI26+'RB I'!AI26+'SF I'!AI26</f>
        <v>237614.30014430778</v>
      </c>
      <c r="AJ26" s="218">
        <f>SLP!AJ26+ROSA!AJ26+'STA ANA'!AJ26+BOA!AJ26+'STA MARIA'!AJ26+'CB I'!AJ26+IG!AJ26+PN!AJ26+MJ!AJ26+'RB I'!AJ26+'SF I'!AJ26</f>
        <v>2608024.2596662724</v>
      </c>
      <c r="AK26" s="218">
        <f>SLP!AK26+ROSA!AK26+'STA ANA'!AK26+BOA!AK26+'STA MARIA'!AK26+'CB I'!AK26+IG!AK26+PN!AK26+MJ!AK26+'RB I'!AK26+'SF I'!AK26</f>
        <v>311994.52252908953</v>
      </c>
      <c r="AL26" s="218">
        <f>SLP!AL26+ROSA!AL26+'STA ANA'!AL26+BOA!AL26+'STA MARIA'!AL26+'CB I'!AL26+IG!AL26+PN!AL26+MJ!AL26+'RB I'!AL26+'SF I'!AL26</f>
        <v>2920018.7821953618</v>
      </c>
      <c r="AM26" s="221">
        <f t="shared" si="6"/>
        <v>0.23383896388813818</v>
      </c>
      <c r="AN26" s="218">
        <f>SLP!AN26+ROSA!AN26+'STA ANA'!AN26+BOA!AN26+'STA MARIA'!AN26+'CB I'!AN26+IG!AN26+PN!AN26+MJ!AN26+'RB I'!AN26+'SF I'!AN26</f>
        <v>2681381.4685663977</v>
      </c>
      <c r="AO26" s="218">
        <f>SLP!AO26+ROSA!AO26+'STA ANA'!AO26+BOA!AO26+'STA MARIA'!AO26+'CB I'!AO26+IG!AO26+PN!AO26+MJ!AO26+'RB I'!AO26+'SF I'!AO26</f>
        <v>2408494.0829449045</v>
      </c>
      <c r="AP26" s="218">
        <f>SLP!AP26+ROSA!AP26+'STA ANA'!AP26+BOA!AP26+'STA MARIA'!AP26+'CB I'!AP26+IG!AP26+PN!AP26+MJ!AP26+'RB I'!AP26+'SF I'!AP26</f>
        <v>272887.38562149351</v>
      </c>
      <c r="AQ26" s="218">
        <f>SLP!AQ26+ROSA!AQ26+'STA ANA'!AQ26+BOA!AQ26+'STA MARIA'!AQ26+'CB I'!AQ26+IG!AQ26+PN!AQ26+MJ!AQ26+'RB I'!AQ26+'SF I'!AQ26</f>
        <v>2270596.6236709398</v>
      </c>
      <c r="AR26" s="218">
        <f>SLP!AR26+ROSA!AR26+'STA ANA'!AR26+BOA!AR26+'STA MARIA'!AR26+'CB I'!AR26+IG!AR26+PN!AR26+MJ!AR26+'RB I'!AR26+'SF I'!AR26</f>
        <v>235339.48335978546</v>
      </c>
      <c r="AS26" s="218">
        <f>SLP!AS26+ROSA!AS26+'STA ANA'!AS26+BOA!AS26+'STA MARIA'!AS26+'CB I'!AS26+IG!AS26+PN!AS26+MJ!AS26+'RB I'!AS26+'SF I'!AS26</f>
        <v>2505936.1070307251</v>
      </c>
      <c r="AT26" s="221">
        <f t="shared" si="7"/>
        <v>-6.5430959224714313E-2</v>
      </c>
      <c r="AU26" s="218">
        <f>SLP!AU26+ROSA!AU26+'STA ANA'!AU26+BOA!AU26+'STA MARIA'!AU26+'CB I'!AU26+IG!AU26+PN!AU26+MJ!AU26+'RB I'!AU26+'SF I'!AU26</f>
        <v>2091076.334173572</v>
      </c>
      <c r="AV26" s="218">
        <f>SLP!AV26+ROSA!AV26+'STA ANA'!AV26+BOA!AV26+'STA MARIA'!AV26+'CB I'!AV26+IG!AV26+PN!AV26+MJ!AV26+'RB I'!AV26+'SF I'!AV26</f>
        <v>1878715.6126271831</v>
      </c>
      <c r="AW26" s="218">
        <f>SLP!AW26+ROSA!AW26+'STA ANA'!AW26+BOA!AW26+'STA MARIA'!AW26+'CB I'!AW26+IG!AW26+PN!AW26+MJ!AW26+'RB I'!AW26+'SF I'!AW26</f>
        <v>212360.7215463889</v>
      </c>
      <c r="AX26" s="218">
        <f>SLP!AX26+ROSA!AX26+'STA ANA'!AX26+BOA!AX26+'STA MARIA'!AX26+'CB I'!AX26+IG!AX26+PN!AX26+MJ!AX26+'RB I'!AX26+'SF I'!AX26</f>
        <v>1224134.0386289917</v>
      </c>
      <c r="AY26" s="218">
        <f>SLP!AY26+ROSA!AY26+'STA ANA'!AY26+BOA!AY26+'STA MARIA'!AY26+'CB I'!AY26+IG!AY26+PN!AY26+MJ!AY26+'RB I'!AY26+'SF I'!AY26</f>
        <v>140866.47908841792</v>
      </c>
      <c r="AZ26" s="218">
        <f>SLP!AZ26+ROSA!AZ26+'STA ANA'!AZ26+BOA!AZ26+'STA MARIA'!AZ26+'CB I'!AZ26+IG!AZ26+PN!AZ26+MJ!AZ26+'RB I'!AZ26+'SF I'!AZ26</f>
        <v>1365000.5177174096</v>
      </c>
      <c r="BA26" s="221">
        <f t="shared" si="8"/>
        <v>-0.34722587817107098</v>
      </c>
      <c r="BB26" s="218">
        <f>SLP!BB26+ROSA!BB26+'STA ANA'!BB26+BOA!BB26+'STA MARIA'!BB26+'CB I'!BB26+IG!BB26+PN!BB26+MJ!BB26+'RB I'!BB26+'SF I'!BB26</f>
        <v>1785705.6780928585</v>
      </c>
      <c r="BC26" s="218">
        <f>SLP!BC26+ROSA!BC26+'STA ANA'!BC26+BOA!BC26+'STA MARIA'!BC26+'CB I'!BC26+IG!BC26+PN!BC26+MJ!BC26+'RB I'!BC26+'SF I'!BC26</f>
        <v>1608618.0420236553</v>
      </c>
      <c r="BD26" s="218">
        <f>SLP!BD26+ROSA!BD26+'STA ANA'!BD26+BOA!BD26+'STA MARIA'!BD26+'CB I'!BD26+IG!BD26+PN!BD26+MJ!BD26+'RB I'!BD26+'SF I'!BD26</f>
        <v>177087.63606920326</v>
      </c>
      <c r="BE26" s="218">
        <f>SLP!BE26+ROSA!BE26+'STA ANA'!BE26+BOA!BE26+'STA MARIA'!BE26+'CB I'!BE26+IG!BE26+PN!BE26+MJ!BE26+'RB I'!BE26+'SF I'!BE26</f>
        <v>0</v>
      </c>
      <c r="BF26" s="218">
        <f>SLP!BF26+ROSA!BF26+'STA ANA'!BF26+BOA!BF26+'STA MARIA'!BF26+'CB I'!BF26+IG!BF26+PN!BF26+MJ!BF26+'RB I'!BF26+'SF I'!BF26</f>
        <v>0</v>
      </c>
      <c r="BG26" s="218">
        <f>SLP!BG26+ROSA!BG26+'STA ANA'!BG26+BOA!BG26+'STA MARIA'!BG26+'CB I'!BG26+IG!BG26+PN!BG26+MJ!BG26+'RB I'!BG26+'SF I'!BG26</f>
        <v>0</v>
      </c>
      <c r="BH26" s="221">
        <f t="shared" si="9"/>
        <v>-1</v>
      </c>
      <c r="BI26" s="218">
        <f>SLP!BI26+ROSA!BI26+'STA ANA'!BI26+BOA!BI26+'STA MARIA'!BI26+'CB I'!BI26+IG!BI26+PN!BI26+MJ!BI26+'RB I'!BI26+'SF I'!BI26</f>
        <v>2396552.385475399</v>
      </c>
      <c r="BJ26" s="218">
        <f>SLP!BJ26+ROSA!BJ26+'STA ANA'!BJ26+BOA!BJ26+'STA MARIA'!BJ26+'CB I'!BJ26+IG!BJ26+PN!BJ26+MJ!BJ26+'RB I'!BJ26+'SF I'!BJ26</f>
        <v>2152470.5809068219</v>
      </c>
      <c r="BK26" s="218">
        <f>SLP!BK26+ROSA!BK26+'STA ANA'!BK26+BOA!BK26+'STA MARIA'!BK26+'CB I'!BK26+IG!BK26+PN!BK26+MJ!BK26+'RB I'!BK26+'SF I'!BK26</f>
        <v>244081.80456857741</v>
      </c>
      <c r="BL26" s="218">
        <f>SLP!BL26+ROSA!BL26+'STA ANA'!BL26+BOA!BL26+'STA MARIA'!BL26+'CB I'!BL26+IG!BL26+PN!BL26+MJ!BL26+'RB I'!BL26+'SF I'!BL26</f>
        <v>0</v>
      </c>
      <c r="BM26" s="218">
        <f>SLP!BM26+ROSA!BM26+'STA ANA'!BM26+BOA!BM26+'STA MARIA'!BM26+'CB I'!BM26+IG!BM26+PN!BM26+MJ!BM26+'RB I'!BM26+'SF I'!BM26</f>
        <v>0</v>
      </c>
      <c r="BN26" s="218">
        <f>SLP!BN26+ROSA!BN26+'STA ANA'!BN26+BOA!BN26+'STA MARIA'!BN26+'CB I'!BN26+IG!BN26+PN!BN26+MJ!BN26+'RB I'!BN26+'SF I'!BN26</f>
        <v>0</v>
      </c>
      <c r="BO26" s="221">
        <f t="shared" si="10"/>
        <v>-1</v>
      </c>
      <c r="BP26" s="218">
        <f>SLP!BP26+ROSA!BP26+'STA ANA'!BP26+BOA!BP26+'STA MARIA'!BP26+'CB I'!BP26+IG!BP26+PN!BP26+MJ!BP26+'RB I'!BP26+'SF I'!BP26</f>
        <v>3004204.1863876027</v>
      </c>
      <c r="BQ26" s="218">
        <f>SLP!BQ26+ROSA!BQ26+'STA ANA'!BQ26+BOA!BQ26+'STA MARIA'!BQ26+'CB I'!BQ26+IG!BQ26+PN!BQ26+MJ!BQ26+'RB I'!BQ26+'SF I'!BQ26</f>
        <v>2699514.1955740061</v>
      </c>
      <c r="BR26" s="218">
        <f>SLP!BR26+ROSA!BR26+'STA ANA'!BR26+BOA!BR26+'STA MARIA'!BR26+'CB I'!BR26+IG!BR26+PN!BR26+MJ!BR26+'RB I'!BR26+'SF I'!BR26</f>
        <v>304689.99081359612</v>
      </c>
      <c r="BS26" s="218">
        <f>SLP!BS26+ROSA!BS26+'STA ANA'!BS26+BOA!BS26+'STA MARIA'!BS26+'CB I'!BS26+IG!BS26+PN!BS26+MJ!BS26+'RB I'!BS26+'SF I'!BS26</f>
        <v>0</v>
      </c>
      <c r="BT26" s="218">
        <f>SLP!BT26+ROSA!BT26+'STA ANA'!BT26+BOA!BT26+'STA MARIA'!BT26+'CB I'!BT26+IG!BT26+PN!BT26+MJ!BT26+'RB I'!BT26+'SF I'!BT26</f>
        <v>0</v>
      </c>
      <c r="BU26" s="218">
        <f>SLP!BU26+ROSA!BU26+'STA ANA'!BU26+BOA!BU26+'STA MARIA'!BU26+'CB I'!BU26+IG!BU26+PN!BU26+MJ!BU26+'RB I'!BU26+'SF I'!BU26</f>
        <v>0</v>
      </c>
      <c r="BV26" s="221">
        <f t="shared" si="11"/>
        <v>-1</v>
      </c>
      <c r="BW26" s="218">
        <f>SLP!BW26+ROSA!BW26+'STA ANA'!BW26+BOA!BW26+'STA MARIA'!BW26+'CB I'!BW26+IG!BW26+PN!BW26+MJ!BW26+'RB I'!BW26+'SF I'!BW26</f>
        <v>2735706.8658190249</v>
      </c>
      <c r="BX26" s="218">
        <f>SLP!BX26+ROSA!BX26+'STA ANA'!BX26+BOA!BX26+'STA MARIA'!BX26+'CB I'!BX26+IG!BX26+PN!BX26+MJ!BX26+'RB I'!BX26+'SF I'!BX26</f>
        <v>2452672.0065352777</v>
      </c>
      <c r="BY26" s="218">
        <f>SLP!BY26+ROSA!BY26+'STA ANA'!BY26+BOA!BY26+'STA MARIA'!BY26+'CB I'!BY26+IG!BY26+PN!BY26+MJ!BY26+'RB I'!BY26+'SF I'!BY26</f>
        <v>283034.85928374762</v>
      </c>
      <c r="BZ26" s="218">
        <f>SLP!BZ26+ROSA!BZ26+'STA ANA'!BZ26+BOA!BZ26+'STA MARIA'!BZ26+'CB I'!BZ26+IG!BZ26+PN!BZ26+MJ!BZ26+'RB I'!BZ26+'SF I'!BZ26</f>
        <v>0</v>
      </c>
      <c r="CA26" s="218">
        <f>SLP!CA26+ROSA!CA26+'STA ANA'!CA26+BOA!CA26+'STA MARIA'!CA26+'CB I'!CA26+IG!CA26+PN!CA26+MJ!CA26+'RB I'!CA26+'SF I'!CA26</f>
        <v>0</v>
      </c>
      <c r="CB26" s="218">
        <f>SLP!CB26+ROSA!CB26+'STA ANA'!CB26+BOA!CB26+'STA MARIA'!CB26+'CB I'!CB26+IG!CB26+PN!CB26+MJ!CB26+'RB I'!CB26+'SF I'!CB26</f>
        <v>0</v>
      </c>
      <c r="CC26" s="221">
        <f t="shared" si="12"/>
        <v>-1</v>
      </c>
      <c r="CD26" s="218">
        <f>SLP!CD26+ROSA!CD26+'STA ANA'!CD26+BOA!CD26+'STA MARIA'!CD26+'CB I'!CD26+IG!CD26+PN!CD26+MJ!CD26+'RB I'!CD26+'SF I'!CD26</f>
        <v>2272596.4244838338</v>
      </c>
      <c r="CE26" s="218">
        <f>SLP!CE26+ROSA!CE26+'STA ANA'!CE26+BOA!CE26+'STA MARIA'!CE26+'CB I'!CE26+IG!CE26+PN!CE26+MJ!CE26+'RB I'!CE26+'SF I'!CE26</f>
        <v>2020818.0926988286</v>
      </c>
      <c r="CF26" s="218">
        <f>SLP!CF26+ROSA!CF26+'STA ANA'!CF26+BOA!CF26+'STA MARIA'!CF26+'CB I'!CF26+IG!CF26+PN!CF26+MJ!CF26+'RB I'!CF26+'SF I'!CF26</f>
        <v>251778.33178500566</v>
      </c>
      <c r="CG26" s="218">
        <f>SLP!CG26+ROSA!CG26+'STA ANA'!CG26+BOA!CG26+'STA MARIA'!CG26+'CB I'!CG26+IG!CG26+PN!CG26+MJ!CG26+'RB I'!CG26+'SF I'!CG26</f>
        <v>0</v>
      </c>
      <c r="CH26" s="218">
        <f>SLP!CH26+ROSA!CH26+'STA ANA'!CH26+BOA!CH26+'STA MARIA'!CH26+'CB I'!CH26+IG!CH26+PN!CH26+MJ!CH26+'RB I'!CH26+'SF I'!CH26</f>
        <v>0</v>
      </c>
      <c r="CI26" s="218">
        <f>SLP!CI26+ROSA!CI26+'STA ANA'!CI26+BOA!CI26+'STA MARIA'!CI26+'CB I'!CI26+IG!CI26+PN!CI26+MJ!CI26+'RB I'!CI26+'SF I'!CI26</f>
        <v>0</v>
      </c>
      <c r="CJ26" s="221">
        <f t="shared" si="13"/>
        <v>-1</v>
      </c>
      <c r="CK26" s="218">
        <f>SLP!CK26+ROSA!CK26+'STA ANA'!CK26+BOA!CK26+'STA MARIA'!CK26+'CB I'!CK26+IG!CK26+PN!CK26+MJ!CK26+'RB I'!CK26+'SF I'!CK26</f>
        <v>2039630.5893664043</v>
      </c>
      <c r="CL26" s="218">
        <f>SLP!CL26+ROSA!CL26+'STA ANA'!CL26+BOA!CL26+'STA MARIA'!CL26+'CB I'!CL26+IG!CL26+PN!CL26+MJ!CL26+'RB I'!CL26+'SF I'!CL26</f>
        <v>1830191.151605038</v>
      </c>
      <c r="CM26" s="218">
        <f>SLP!CM26+ROSA!CM26+'STA ANA'!CM26+BOA!CM26+'STA MARIA'!CM26+'CB I'!CM26+IG!CM26+PN!CM26+MJ!CM26+'RB I'!CM26+'SF I'!CM26</f>
        <v>209439.43776136616</v>
      </c>
      <c r="CN26" s="218">
        <f>SLP!CN26+ROSA!CN26+'STA ANA'!CN26+BOA!CN26+'STA MARIA'!CN26+'CB I'!CN26+IG!CN26+PN!CN26+MJ!CN26+'RB I'!CN26+'SF I'!CN26</f>
        <v>0</v>
      </c>
      <c r="CO26" s="218">
        <f>SLP!CO26+ROSA!CO26+'STA ANA'!CO26+BOA!CO26+'STA MARIA'!CO26+'CB I'!CO26+IG!CO26+PN!CO26+MJ!CO26+'RB I'!CO26+'SF I'!CO26</f>
        <v>0</v>
      </c>
      <c r="CP26" s="218">
        <f>SLP!CP26+ROSA!CP26+'STA ANA'!CP26+BOA!CP26+'STA MARIA'!CP26+'CB I'!CP26+IG!CP26+PN!CP26+MJ!CP26+'RB I'!CP26+'SF I'!CP26</f>
        <v>0</v>
      </c>
      <c r="CQ26" s="221">
        <f t="shared" si="14"/>
        <v>-1</v>
      </c>
      <c r="CR26" s="154"/>
      <c r="CS26" s="222" t="e">
        <f t="shared" si="15"/>
        <v>#VALUE!</v>
      </c>
    </row>
    <row r="27" spans="1:97" ht="16" customHeight="1" thickBot="1" x14ac:dyDescent="0.25">
      <c r="A27" s="220" t="s">
        <v>51</v>
      </c>
      <c r="B27" s="30">
        <f t="shared" si="0"/>
        <v>1379810.2118625785</v>
      </c>
      <c r="C27" s="31">
        <f t="shared" si="0"/>
        <v>1244114.7942910222</v>
      </c>
      <c r="D27" s="32">
        <f t="shared" si="0"/>
        <v>135695.417571556</v>
      </c>
      <c r="E27" s="30">
        <f t="shared" si="16"/>
        <v>417542.49070793146</v>
      </c>
      <c r="F27" s="33">
        <f t="shared" si="16"/>
        <v>377185.63950308657</v>
      </c>
      <c r="G27" s="34">
        <f t="shared" si="16"/>
        <v>40356.851204844817</v>
      </c>
      <c r="H27" s="31">
        <f t="shared" si="1"/>
        <v>1154191.6221699079</v>
      </c>
      <c r="I27" s="33">
        <f t="shared" si="1"/>
        <v>131728.26015878341</v>
      </c>
      <c r="J27" s="33">
        <f t="shared" si="1"/>
        <v>1285919.8823286912</v>
      </c>
      <c r="K27" s="221">
        <f t="shared" si="2"/>
        <v>2.0797341850130042</v>
      </c>
      <c r="L27" s="218">
        <f>SLP!L27+ROSA!L27+'STA ANA'!L27+BOA!L27+'STA MARIA'!L27+'CB I'!L27+IG!L27+PN!L27+MJ!L27+'RB I'!L27+'SF I'!L27</f>
        <v>34613.611607348466</v>
      </c>
      <c r="M27" s="218">
        <f>SLP!M27+ROSA!M27+'STA ANA'!M27+BOA!M27+'STA MARIA'!M27+'CB I'!M27+IG!M27+PN!M27+MJ!M27+'RB I'!M27+'SF I'!M27</f>
        <v>31299.702208711962</v>
      </c>
      <c r="N27" s="218">
        <f>SLP!N27+ROSA!N27+'STA ANA'!N27+BOA!N27+'STA MARIA'!N27+'CB I'!N27+IG!N27+PN!N27+MJ!N27+'RB I'!N27+'SF I'!N27</f>
        <v>3313.9093986365115</v>
      </c>
      <c r="O27" s="218">
        <f>SLP!O27+ROSA!O27+'STA ANA'!O27+BOA!O27+'STA MARIA'!O27+'CB I'!O27+IG!O27+PN!O27+MJ!O27+'RB I'!O27+'SF I'!O27</f>
        <v>142677.7878552457</v>
      </c>
      <c r="P27" s="218">
        <f>SLP!P27+ROSA!P27+'STA ANA'!P27+BOA!P27+'STA MARIA'!P27+'CB I'!P27+IG!P27+PN!P27+MJ!P27+'RB I'!P27+'SF I'!P27</f>
        <v>18518.595009783414</v>
      </c>
      <c r="Q27" s="218">
        <f>SLP!Q27+ROSA!Q27+'STA ANA'!Q27+BOA!Q27+'STA MARIA'!Q27+'CB I'!Q27+IG!Q27+PN!Q27+MJ!Q27+'RB I'!Q27+'SF I'!Q27</f>
        <v>161196.3828650291</v>
      </c>
      <c r="R27" s="221">
        <f t="shared" si="3"/>
        <v>3.6570229276741273</v>
      </c>
      <c r="S27" s="218">
        <f>SLP!S27+ROSA!S27+'STA ANA'!S27+BOA!S27+'STA MARIA'!S27+'CB I'!S27+IG!S27+PN!S27+MJ!S27+'RB I'!S27+'SF I'!S27</f>
        <v>124957.51030720354</v>
      </c>
      <c r="T27" s="218">
        <f>SLP!T27+ROSA!T27+'STA ANA'!T27+BOA!T27+'STA MARIA'!T27+'CB I'!T27+IG!T27+PN!T27+MJ!T27+'RB I'!T27+'SF I'!T27</f>
        <v>112994.07024394968</v>
      </c>
      <c r="U27" s="218">
        <f>SLP!U27+ROSA!U27+'STA ANA'!U27+BOA!U27+'STA MARIA'!U27+'CB I'!U27+IG!U27+PN!U27+MJ!U27+'RB I'!U27+'SF I'!U27</f>
        <v>11963.440063253838</v>
      </c>
      <c r="V27" s="218">
        <f>SLP!V27+ROSA!V27+'STA ANA'!V27+BOA!V27+'STA MARIA'!V27+'CB I'!V27+IG!V27+PN!V27+MJ!V27+'RB I'!V27+'SF I'!V27</f>
        <v>123110.19888699999</v>
      </c>
      <c r="W27" s="218">
        <f>SLP!W27+ROSA!W27+'STA ANA'!W27+BOA!W27+'STA MARIA'!W27+'CB I'!W27+IG!W27+PN!W27+MJ!W27+'RB I'!W27+'SF I'!W27</f>
        <v>15156.981113000002</v>
      </c>
      <c r="X27" s="218">
        <f>SLP!X27+ROSA!X27+'STA ANA'!X27+BOA!X27+'STA MARIA'!X27+'CB I'!X27+IG!X27+PN!X27+MJ!X27+'RB I'!X27+'SF I'!X27</f>
        <v>138267.18</v>
      </c>
      <c r="Y27" s="221">
        <f t="shared" si="4"/>
        <v>0.10651356337106188</v>
      </c>
      <c r="Z27" s="218">
        <f>SLP!Z27+ROSA!Z27+'STA ANA'!Z27+BOA!Z27+'STA MARIA'!Z27+'CB I'!Z27+IG!Z27+PN!Z27+MJ!Z27+'RB I'!Z27+'SF I'!Z27</f>
        <v>124957.51030720354</v>
      </c>
      <c r="AA27" s="218">
        <f>SLP!AA27+ROSA!AA27+'STA ANA'!AA27+BOA!AA27+'STA MARIA'!AA27+'CB I'!AA27+IG!AA27+PN!AA27+MJ!AA27+'RB I'!AA27+'SF I'!AA27</f>
        <v>112994.07024394968</v>
      </c>
      <c r="AB27" s="218">
        <f>SLP!AB27+ROSA!AB27+'STA ANA'!AB27+BOA!AB27+'STA MARIA'!AB27+'CB I'!AB27+IG!AB27+PN!AB27+MJ!AB27+'RB I'!AB27+'SF I'!AB27</f>
        <v>11963.440063253838</v>
      </c>
      <c r="AC27" s="218">
        <f>SLP!AC27+ROSA!AC27+'STA ANA'!AC27+BOA!AC27+'STA MARIA'!AC27+'CB I'!AC27+IG!AC27+PN!AC27+MJ!AC27+'RB I'!AC27+'SF I'!AC27</f>
        <v>194149.19581499996</v>
      </c>
      <c r="AD27" s="218">
        <f>SLP!AD27+ROSA!AD27+'STA ANA'!AD27+BOA!AD27+'STA MARIA'!AD27+'CB I'!AD27+IG!AD27+PN!AD27+MJ!AD27+'RB I'!AD27+'SF I'!AD27</f>
        <v>24828.774184999998</v>
      </c>
      <c r="AE27" s="218">
        <f>SLP!AE27+ROSA!AE27+'STA ANA'!AE27+BOA!AE27+'STA MARIA'!AE27+'CB I'!AE27+IG!AE27+PN!AE27+MJ!AE27+'RB I'!AE27+'SF I'!AE27</f>
        <v>218977.97</v>
      </c>
      <c r="AF27" s="221">
        <f t="shared" si="5"/>
        <v>0.75241943810860623</v>
      </c>
      <c r="AG27" s="218">
        <f>SLP!AG27+ROSA!AG27+'STA ANA'!AG27+BOA!AG27+'STA MARIA'!AG27+'CB I'!AG27+IG!AG27+PN!AG27+MJ!AG27+'RB I'!AG27+'SF I'!AG27</f>
        <v>133013.85848617586</v>
      </c>
      <c r="AH27" s="218">
        <f>SLP!AH27+ROSA!AH27+'STA ANA'!AH27+BOA!AH27+'STA MARIA'!AH27+'CB I'!AH27+IG!AH27+PN!AH27+MJ!AH27+'RB I'!AH27+'SF I'!AH27</f>
        <v>119897.79680647522</v>
      </c>
      <c r="AI27" s="218">
        <f>SLP!AI27+ROSA!AI27+'STA ANA'!AI27+BOA!AI27+'STA MARIA'!AI27+'CB I'!AI27+IG!AI27+PN!AI27+MJ!AI27+'RB I'!AI27+'SF I'!AI27</f>
        <v>13116.061679700633</v>
      </c>
      <c r="AJ27" s="218">
        <f>SLP!AJ27+ROSA!AJ27+'STA ANA'!AJ27+BOA!AJ27+'STA MARIA'!AJ27+'CB I'!AJ27+IG!AJ27+PN!AJ27+MJ!AJ27+'RB I'!AJ27+'SF I'!AJ27</f>
        <v>136529.21179966218</v>
      </c>
      <c r="AK27" s="218">
        <f>SLP!AK27+ROSA!AK27+'STA ANA'!AK27+BOA!AK27+'STA MARIA'!AK27+'CB I'!AK27+IG!AK27+PN!AK27+MJ!AK27+'RB I'!AK27+'SF I'!AK27</f>
        <v>14621.647664</v>
      </c>
      <c r="AL27" s="218">
        <f>SLP!AL27+ROSA!AL27+'STA ANA'!AL27+BOA!AL27+'STA MARIA'!AL27+'CB I'!AL27+IG!AL27+PN!AL27+MJ!AL27+'RB I'!AL27+'SF I'!AL27</f>
        <v>151150.85946366217</v>
      </c>
      <c r="AM27" s="221">
        <f t="shared" si="6"/>
        <v>0.13635422040908085</v>
      </c>
      <c r="AN27" s="218">
        <f>SLP!AN27+ROSA!AN27+'STA ANA'!AN27+BOA!AN27+'STA MARIA'!AN27+'CB I'!AN27+IG!AN27+PN!AN27+MJ!AN27+'RB I'!AN27+'SF I'!AN27</f>
        <v>52104.086629535981</v>
      </c>
      <c r="AO27" s="218">
        <f>SLP!AO27+ROSA!AO27+'STA ANA'!AO27+BOA!AO27+'STA MARIA'!AO27+'CB I'!AO27+IG!AO27+PN!AO27+MJ!AO27+'RB I'!AO27+'SF I'!AO27</f>
        <v>46966.273007893797</v>
      </c>
      <c r="AP27" s="218">
        <f>SLP!AP27+ROSA!AP27+'STA ANA'!AP27+BOA!AP27+'STA MARIA'!AP27+'CB I'!AP27+IG!AP27+PN!AP27+MJ!AP27+'RB I'!AP27+'SF I'!AP27</f>
        <v>5137.8136216421717</v>
      </c>
      <c r="AQ27" s="218">
        <f>SLP!AQ27+ROSA!AQ27+'STA ANA'!AQ27+BOA!AQ27+'STA MARIA'!AQ27+'CB I'!AQ27+IG!AQ27+PN!AQ27+MJ!AQ27+'RB I'!AQ27+'SF I'!AQ27</f>
        <v>309624.00067799998</v>
      </c>
      <c r="AR27" s="218">
        <f>SLP!AR27+ROSA!AR27+'STA ANA'!AR27+BOA!AR27+'STA MARIA'!AR27+'CB I'!AR27+IG!AR27+PN!AR27+MJ!AR27+'RB I'!AR27+'SF I'!AR27</f>
        <v>32163.549321999995</v>
      </c>
      <c r="AS27" s="218">
        <f>SLP!AS27+ROSA!AS27+'STA ANA'!AS27+BOA!AS27+'STA MARIA'!AS27+'CB I'!AS27+IG!AS27+PN!AS27+MJ!AS27+'RB I'!AS27+'SF I'!AS27</f>
        <v>341787.55</v>
      </c>
      <c r="AT27" s="221">
        <f t="shared" si="7"/>
        <v>5.5597071575236594</v>
      </c>
      <c r="AU27" s="218">
        <f>SLP!AU27+ROSA!AU27+'STA ANA'!AU27+BOA!AU27+'STA MARIA'!AU27+'CB I'!AU27+IG!AU27+PN!AU27+MJ!AU27+'RB I'!AU27+'SF I'!AU27</f>
        <v>167627.47009352426</v>
      </c>
      <c r="AV27" s="218">
        <f>SLP!AV27+ROSA!AV27+'STA ANA'!AV27+BOA!AV27+'STA MARIA'!AV27+'CB I'!AV27+IG!AV27+PN!AV27+MJ!AV27+'RB I'!AV27+'SF I'!AV27</f>
        <v>151197.49901518712</v>
      </c>
      <c r="AW27" s="218">
        <f>SLP!AW27+ROSA!AW27+'STA ANA'!AW27+BOA!AW27+'STA MARIA'!AW27+'CB I'!AW27+IG!AW27+PN!AW27+MJ!AW27+'RB I'!AW27+'SF I'!AW27</f>
        <v>16429.971078337127</v>
      </c>
      <c r="AX27" s="218">
        <f>SLP!AX27+ROSA!AX27+'STA ANA'!AX27+BOA!AX27+'STA MARIA'!AX27+'CB I'!AX27+IG!AX27+PN!AX27+MJ!AX27+'RB I'!AX27+'SF I'!AX27</f>
        <v>248101.22713499999</v>
      </c>
      <c r="AY27" s="218">
        <f>SLP!AY27+ROSA!AY27+'STA ANA'!AY27+BOA!AY27+'STA MARIA'!AY27+'CB I'!AY27+IG!AY27+PN!AY27+MJ!AY27+'RB I'!AY27+'SF I'!AY27</f>
        <v>26438.712864999998</v>
      </c>
      <c r="AZ27" s="218">
        <f>SLP!AZ27+ROSA!AZ27+'STA ANA'!AZ27+BOA!AZ27+'STA MARIA'!AZ27+'CB I'!AZ27+IG!AZ27+PN!AZ27+MJ!AZ27+'RB I'!AZ27+'SF I'!AZ27</f>
        <v>274539.94</v>
      </c>
      <c r="BA27" s="221">
        <f t="shared" si="8"/>
        <v>0.63779802825173082</v>
      </c>
      <c r="BB27" s="218">
        <f>SLP!BB27+ROSA!BB27+'STA ANA'!BB27+BOA!BB27+'STA MARIA'!BB27+'CB I'!BB27+IG!BB27+PN!BB27+MJ!BB27+'RB I'!BB27+'SF I'!BB27</f>
        <v>86717.69823688436</v>
      </c>
      <c r="BC27" s="218">
        <f>SLP!BC27+ROSA!BC27+'STA ANA'!BC27+BOA!BC27+'STA MARIA'!BC27+'CB I'!BC27+IG!BC27+PN!BC27+MJ!BC27+'RB I'!BC27+'SF I'!BC27</f>
        <v>78265.975216605701</v>
      </c>
      <c r="BD27" s="218">
        <f>SLP!BD27+ROSA!BD27+'STA ANA'!BD27+BOA!BD27+'STA MARIA'!BD27+'CB I'!BD27+IG!BD27+PN!BD27+MJ!BD27+'RB I'!BD27+'SF I'!BD27</f>
        <v>8451.7230202786704</v>
      </c>
      <c r="BE27" s="218">
        <f>SLP!BE27+ROSA!BE27+'STA ANA'!BE27+BOA!BE27+'STA MARIA'!BE27+'CB I'!BE27+IG!BE27+PN!BE27+MJ!BE27+'RB I'!BE27+'SF I'!BE27</f>
        <v>0</v>
      </c>
      <c r="BF27" s="218">
        <f>SLP!BF27+ROSA!BF27+'STA ANA'!BF27+BOA!BF27+'STA MARIA'!BF27+'CB I'!BF27+IG!BF27+PN!BF27+MJ!BF27+'RB I'!BF27+'SF I'!BF27</f>
        <v>0</v>
      </c>
      <c r="BG27" s="218">
        <f>SLP!BG27+ROSA!BG27+'STA ANA'!BG27+BOA!BG27+'STA MARIA'!BG27+'CB I'!BG27+IG!BG27+PN!BG27+MJ!BG27+'RB I'!BG27+'SF I'!BG27</f>
        <v>0</v>
      </c>
      <c r="BH27" s="221">
        <f t="shared" si="9"/>
        <v>-1</v>
      </c>
      <c r="BI27" s="218">
        <f>SLP!BI27+ROSA!BI27+'STA ANA'!BI27+BOA!BI27+'STA MARIA'!BI27+'CB I'!BI27+IG!BI27+PN!BI27+MJ!BI27+'RB I'!BI27+'SF I'!BI27</f>
        <v>167627.47009352426</v>
      </c>
      <c r="BJ27" s="218">
        <f>SLP!BJ27+ROSA!BJ27+'STA ANA'!BJ27+BOA!BJ27+'STA MARIA'!BJ27+'CB I'!BJ27+IG!BJ27+PN!BJ27+MJ!BJ27+'RB I'!BJ27+'SF I'!BJ27</f>
        <v>151197.49901518712</v>
      </c>
      <c r="BK27" s="218">
        <f>SLP!BK27+ROSA!BK27+'STA ANA'!BK27+BOA!BK27+'STA MARIA'!BK27+'CB I'!BK27+IG!BK27+PN!BK27+MJ!BK27+'RB I'!BK27+'SF I'!BK27</f>
        <v>16429.971078337127</v>
      </c>
      <c r="BL27" s="218">
        <f>SLP!BL27+ROSA!BL27+'STA ANA'!BL27+BOA!BL27+'STA MARIA'!BL27+'CB I'!BL27+IG!BL27+PN!BL27+MJ!BL27+'RB I'!BL27+'SF I'!BL27</f>
        <v>0</v>
      </c>
      <c r="BM27" s="218">
        <f>SLP!BM27+ROSA!BM27+'STA ANA'!BM27+BOA!BM27+'STA MARIA'!BM27+'CB I'!BM27+IG!BM27+PN!BM27+MJ!BM27+'RB I'!BM27+'SF I'!BM27</f>
        <v>0</v>
      </c>
      <c r="BN27" s="218">
        <f>SLP!BN27+ROSA!BN27+'STA ANA'!BN27+BOA!BN27+'STA MARIA'!BN27+'CB I'!BN27+IG!BN27+PN!BN27+MJ!BN27+'RB I'!BN27+'SF I'!BN27</f>
        <v>0</v>
      </c>
      <c r="BO27" s="221">
        <f t="shared" si="10"/>
        <v>-1</v>
      </c>
      <c r="BP27" s="218">
        <f>SLP!BP27+ROSA!BP27+'STA ANA'!BP27+BOA!BP27+'STA MARIA'!BP27+'CB I'!BP27+IG!BP27+PN!BP27+MJ!BP27+'RB I'!BP27+'SF I'!BP27</f>
        <v>167627.47009352426</v>
      </c>
      <c r="BQ27" s="218">
        <f>SLP!BQ27+ROSA!BQ27+'STA ANA'!BQ27+BOA!BQ27+'STA MARIA'!BQ27+'CB I'!BQ27+IG!BQ27+PN!BQ27+MJ!BQ27+'RB I'!BQ27+'SF I'!BQ27</f>
        <v>151197.49901518712</v>
      </c>
      <c r="BR27" s="218">
        <f>SLP!BR27+ROSA!BR27+'STA ANA'!BR27+BOA!BR27+'STA MARIA'!BR27+'CB I'!BR27+IG!BR27+PN!BR27+MJ!BR27+'RB I'!BR27+'SF I'!BR27</f>
        <v>16429.971078337127</v>
      </c>
      <c r="BS27" s="218">
        <f>SLP!BS27+ROSA!BS27+'STA ANA'!BS27+BOA!BS27+'STA MARIA'!BS27+'CB I'!BS27+IG!BS27+PN!BS27+MJ!BS27+'RB I'!BS27+'SF I'!BS27</f>
        <v>0</v>
      </c>
      <c r="BT27" s="218">
        <f>SLP!BT27+ROSA!BT27+'STA ANA'!BT27+BOA!BT27+'STA MARIA'!BT27+'CB I'!BT27+IG!BT27+PN!BT27+MJ!BT27+'RB I'!BT27+'SF I'!BT27</f>
        <v>0</v>
      </c>
      <c r="BU27" s="218">
        <f>SLP!BU27+ROSA!BU27+'STA ANA'!BU27+BOA!BU27+'STA MARIA'!BU27+'CB I'!BU27+IG!BU27+PN!BU27+MJ!BU27+'RB I'!BU27+'SF I'!BU27</f>
        <v>0</v>
      </c>
      <c r="BV27" s="221">
        <f t="shared" si="11"/>
        <v>-1</v>
      </c>
      <c r="BW27" s="218">
        <f>SLP!BW27+ROSA!BW27+'STA ANA'!BW27+BOA!BW27+'STA MARIA'!BW27+'CB I'!BW27+IG!BW27+PN!BW27+MJ!BW27+'RB I'!BW27+'SF I'!BW27</f>
        <v>128582.50818777017</v>
      </c>
      <c r="BX27" s="218">
        <f>SLP!BX27+ROSA!BX27+'STA ANA'!BX27+BOA!BX27+'STA MARIA'!BX27+'CB I'!BX27+IG!BX27+PN!BX27+MJ!BX27+'RB I'!BX27+'SF I'!BX27</f>
        <v>115553.52975875288</v>
      </c>
      <c r="BY27" s="218">
        <f>SLP!BY27+ROSA!BY27+'STA ANA'!BY27+BOA!BY27+'STA MARIA'!BY27+'CB I'!BY27+IG!BY27+PN!BY27+MJ!BY27+'RB I'!BY27+'SF I'!BY27</f>
        <v>13028.978429017297</v>
      </c>
      <c r="BZ27" s="218">
        <f>SLP!BZ27+ROSA!BZ27+'STA ANA'!BZ27+BOA!BZ27+'STA MARIA'!BZ27+'CB I'!BZ27+IG!BZ27+PN!BZ27+MJ!BZ27+'RB I'!BZ27+'SF I'!BZ27</f>
        <v>0</v>
      </c>
      <c r="CA27" s="218">
        <f>SLP!CA27+ROSA!CA27+'STA ANA'!CA27+BOA!CA27+'STA MARIA'!CA27+'CB I'!CA27+IG!CA27+PN!CA27+MJ!CA27+'RB I'!CA27+'SF I'!CA27</f>
        <v>0</v>
      </c>
      <c r="CB27" s="218">
        <f>SLP!CB27+ROSA!CB27+'STA ANA'!CB27+BOA!CB27+'STA MARIA'!CB27+'CB I'!CB27+IG!CB27+PN!CB27+MJ!CB27+'RB I'!CB27+'SF I'!CB27</f>
        <v>0</v>
      </c>
      <c r="CC27" s="221">
        <f t="shared" si="12"/>
        <v>-1</v>
      </c>
      <c r="CD27" s="218">
        <f>SLP!CD27+ROSA!CD27+'STA ANA'!CD27+BOA!CD27+'STA MARIA'!CD27+'CB I'!CD27+IG!CD27+PN!CD27+MJ!CD27+'RB I'!CD27+'SF I'!CD27</f>
        <v>95990.508909941782</v>
      </c>
      <c r="CE27" s="218">
        <f>SLP!CE27+ROSA!CE27+'STA ANA'!CE27+BOA!CE27+'STA MARIA'!CE27+'CB I'!CE27+IG!CE27+PN!CE27+MJ!CE27+'RB I'!CE27+'SF I'!CE27</f>
        <v>86275.43987956096</v>
      </c>
      <c r="CF27" s="218">
        <f>SLP!CF27+ROSA!CF27+'STA ANA'!CF27+BOA!CF27+'STA MARIA'!CF27+'CB I'!CF27+IG!CF27+PN!CF27+MJ!CF27+'RB I'!CF27+'SF I'!CF27</f>
        <v>9715.0690303808242</v>
      </c>
      <c r="CG27" s="218">
        <f>SLP!CG27+ROSA!CG27+'STA ANA'!CG27+BOA!CG27+'STA MARIA'!CG27+'CB I'!CG27+IG!CG27+PN!CG27+MJ!CG27+'RB I'!CG27+'SF I'!CG27</f>
        <v>0</v>
      </c>
      <c r="CH27" s="218">
        <f>SLP!CH27+ROSA!CH27+'STA ANA'!CH27+BOA!CH27+'STA MARIA'!CH27+'CB I'!CH27+IG!CH27+PN!CH27+MJ!CH27+'RB I'!CH27+'SF I'!CH27</f>
        <v>0</v>
      </c>
      <c r="CI27" s="218">
        <f>SLP!CI27+ROSA!CI27+'STA ANA'!CI27+BOA!CI27+'STA MARIA'!CI27+'CB I'!CI27+IG!CI27+PN!CI27+MJ!CI27+'RB I'!CI27+'SF I'!CI27</f>
        <v>0</v>
      </c>
      <c r="CJ27" s="221">
        <f t="shared" si="13"/>
        <v>-1</v>
      </c>
      <c r="CK27" s="218">
        <f>SLP!CK27+ROSA!CK27+'STA ANA'!CK27+BOA!CK27+'STA MARIA'!CK27+'CB I'!CK27+IG!CK27+PN!CK27+MJ!CK27+'RB I'!CK27+'SF I'!CK27</f>
        <v>95990.508909941782</v>
      </c>
      <c r="CL27" s="218">
        <f>SLP!CL27+ROSA!CL27+'STA ANA'!CL27+BOA!CL27+'STA MARIA'!CL27+'CB I'!CL27+IG!CL27+PN!CL27+MJ!CL27+'RB I'!CL27+'SF I'!CL27</f>
        <v>86275.43987956096</v>
      </c>
      <c r="CM27" s="218">
        <f>SLP!CM27+ROSA!CM27+'STA ANA'!CM27+BOA!CM27+'STA MARIA'!CM27+'CB I'!CM27+IG!CM27+PN!CM27+MJ!CM27+'RB I'!CM27+'SF I'!CM27</f>
        <v>9715.0690303808242</v>
      </c>
      <c r="CN27" s="218">
        <f>SLP!CN27+ROSA!CN27+'STA ANA'!CN27+BOA!CN27+'STA MARIA'!CN27+'CB I'!CN27+IG!CN27+PN!CN27+MJ!CN27+'RB I'!CN27+'SF I'!CN27</f>
        <v>0</v>
      </c>
      <c r="CO27" s="218">
        <f>SLP!CO27+ROSA!CO27+'STA ANA'!CO27+BOA!CO27+'STA MARIA'!CO27+'CB I'!CO27+IG!CO27+PN!CO27+MJ!CO27+'RB I'!CO27+'SF I'!CO27</f>
        <v>0</v>
      </c>
      <c r="CP27" s="218">
        <f>SLP!CP27+ROSA!CP27+'STA ANA'!CP27+BOA!CP27+'STA MARIA'!CP27+'CB I'!CP27+IG!CP27+PN!CP27+MJ!CP27+'RB I'!CP27+'SF I'!CP27</f>
        <v>0</v>
      </c>
      <c r="CQ27" s="221">
        <f t="shared" si="14"/>
        <v>-1</v>
      </c>
      <c r="CR27" s="154"/>
      <c r="CS27" s="222" t="e">
        <f t="shared" si="15"/>
        <v>#VALUE!</v>
      </c>
    </row>
    <row r="28" spans="1:97" ht="16" customHeight="1" thickBot="1" x14ac:dyDescent="0.25">
      <c r="A28" s="220" t="s">
        <v>52</v>
      </c>
      <c r="B28" s="30">
        <f t="shared" si="0"/>
        <v>1428017.2907759449</v>
      </c>
      <c r="C28" s="31">
        <f t="shared" si="0"/>
        <v>1280848.937555769</v>
      </c>
      <c r="D28" s="32">
        <f t="shared" si="0"/>
        <v>147168.35322017546</v>
      </c>
      <c r="E28" s="30">
        <f t="shared" si="16"/>
        <v>491521.70595390373</v>
      </c>
      <c r="F28" s="33">
        <f t="shared" si="16"/>
        <v>440680.53114467976</v>
      </c>
      <c r="G28" s="34">
        <f t="shared" si="16"/>
        <v>50841.174809223958</v>
      </c>
      <c r="H28" s="31">
        <f t="shared" si="1"/>
        <v>678556.8166478778</v>
      </c>
      <c r="I28" s="33">
        <f t="shared" si="1"/>
        <v>76644.853473138399</v>
      </c>
      <c r="J28" s="33">
        <f t="shared" si="1"/>
        <v>755201.67012101621</v>
      </c>
      <c r="K28" s="221">
        <f t="shared" si="2"/>
        <v>0.5364563985132349</v>
      </c>
      <c r="L28" s="218">
        <f>SLP!L28+ROSA!L28+'STA ANA'!L28+BOA!L28+'STA MARIA'!L28+'CB I'!L28+IG!L28+PN!L28+MJ!L28+'RB I'!L28+'SF I'!L28</f>
        <v>104214.66215851199</v>
      </c>
      <c r="M28" s="218">
        <f>SLP!M28+ROSA!M28+'STA ANA'!M28+BOA!M28+'STA MARIA'!M28+'CB I'!M28+IG!M28+PN!M28+MJ!M28+'RB I'!M28+'SF I'!M28</f>
        <v>93390.588955889893</v>
      </c>
      <c r="N28" s="218">
        <f>SLP!N28+ROSA!N28+'STA ANA'!N28+BOA!N28+'STA MARIA'!N28+'CB I'!N28+IG!N28+PN!N28+MJ!N28+'RB I'!N28+'SF I'!N28</f>
        <v>10824.073202622089</v>
      </c>
      <c r="O28" s="218">
        <f>SLP!O28+ROSA!O28+'STA ANA'!O28+BOA!O28+'STA MARIA'!O28+'CB I'!O28+IG!O28+PN!O28+MJ!O28+'RB I'!O28+'SF I'!O28</f>
        <v>129334.86349969485</v>
      </c>
      <c r="P28" s="218">
        <f>SLP!P28+ROSA!P28+'STA ANA'!P28+BOA!P28+'STA MARIA'!P28+'CB I'!P28+IG!P28+PN!P28+MJ!P28+'RB I'!P28+'SF I'!P28</f>
        <v>16964.749089033437</v>
      </c>
      <c r="Q28" s="218">
        <f>SLP!Q28+ROSA!Q28+'STA ANA'!Q28+BOA!Q28+'STA MARIA'!Q28+'CB I'!Q28+IG!Q28+PN!Q28+MJ!Q28+'RB I'!Q28+'SF I'!Q28</f>
        <v>146299.61258872831</v>
      </c>
      <c r="R28" s="221">
        <f t="shared" si="3"/>
        <v>0.4038294569933405</v>
      </c>
      <c r="S28" s="218">
        <f>SLP!S28+ROSA!S28+'STA ANA'!S28+BOA!S28+'STA MARIA'!S28+'CB I'!S28+IG!S28+PN!S28+MJ!S28+'RB I'!S28+'SF I'!S28</f>
        <v>104214.66215851199</v>
      </c>
      <c r="T28" s="218">
        <f>SLP!T28+ROSA!T28+'STA ANA'!T28+BOA!T28+'STA MARIA'!T28+'CB I'!T28+IG!T28+PN!T28+MJ!T28+'RB I'!T28+'SF I'!T28</f>
        <v>93390.588955889893</v>
      </c>
      <c r="U28" s="218">
        <f>SLP!U28+ROSA!U28+'STA ANA'!U28+BOA!U28+'STA MARIA'!U28+'CB I'!U28+IG!U28+PN!U28+MJ!U28+'RB I'!U28+'SF I'!U28</f>
        <v>10824.073202622089</v>
      </c>
      <c r="V28" s="218">
        <f>SLP!V28+ROSA!V28+'STA ANA'!V28+BOA!V28+'STA MARIA'!V28+'CB I'!V28+IG!V28+PN!V28+MJ!V28+'RB I'!V28+'SF I'!V28</f>
        <v>120809.44741024391</v>
      </c>
      <c r="W28" s="218">
        <f>SLP!W28+ROSA!W28+'STA ANA'!W28+BOA!W28+'STA MARIA'!W28+'CB I'!W28+IG!W28+PN!W28+MJ!W28+'RB I'!W28+'SF I'!W28</f>
        <v>13688.946208000001</v>
      </c>
      <c r="X28" s="218">
        <f>SLP!X28+ROSA!X28+'STA ANA'!X28+BOA!X28+'STA MARIA'!X28+'CB I'!X28+IG!X28+PN!X28+MJ!X28+'RB I'!X28+'SF I'!X28</f>
        <v>134498.39361824389</v>
      </c>
      <c r="Y28" s="221">
        <f t="shared" si="4"/>
        <v>0.29058993074957074</v>
      </c>
      <c r="Z28" s="218">
        <f>SLP!Z28+ROSA!Z28+'STA ANA'!Z28+BOA!Z28+'STA MARIA'!Z28+'CB I'!Z28+IG!Z28+PN!Z28+MJ!Z28+'RB I'!Z28+'SF I'!Z28</f>
        <v>138952.88287801589</v>
      </c>
      <c r="AA28" s="218">
        <f>SLP!AA28+ROSA!AA28+'STA ANA'!AA28+BOA!AA28+'STA MARIA'!AA28+'CB I'!AA28+IG!AA28+PN!AA28+MJ!AA28+'RB I'!AA28+'SF I'!AA28</f>
        <v>124520.78527451975</v>
      </c>
      <c r="AB28" s="218">
        <f>SLP!AB28+ROSA!AB28+'STA ANA'!AB28+BOA!AB28+'STA MARIA'!AB28+'CB I'!AB28+IG!AB28+PN!AB28+MJ!AB28+'RB I'!AB28+'SF I'!AB28</f>
        <v>14432.097603496117</v>
      </c>
      <c r="AC28" s="218">
        <f>SLP!AC28+ROSA!AC28+'STA ANA'!AC28+BOA!AC28+'STA MARIA'!AC28+'CB I'!AC28+IG!AC28+PN!AC28+MJ!AC28+'RB I'!AC28+'SF I'!AC28</f>
        <v>90066.882312000002</v>
      </c>
      <c r="AD28" s="218">
        <f>SLP!AD28+ROSA!AD28+'STA ANA'!AD28+BOA!AD28+'STA MARIA'!AD28+'CB I'!AD28+IG!AD28+PN!AD28+MJ!AD28+'RB I'!AD28+'SF I'!AD28</f>
        <v>8844.2476880000013</v>
      </c>
      <c r="AE28" s="218">
        <f>SLP!AE28+ROSA!AE28+'STA ANA'!AE28+BOA!AE28+'STA MARIA'!AE28+'CB I'!AE28+IG!AE28+PN!AE28+MJ!AE28+'RB I'!AE28+'SF I'!AE28</f>
        <v>98911.13</v>
      </c>
      <c r="AF28" s="221">
        <f t="shared" si="5"/>
        <v>-0.28816784544994134</v>
      </c>
      <c r="AG28" s="218">
        <f>SLP!AG28+ROSA!AG28+'STA ANA'!AG28+BOA!AG28+'STA MARIA'!AG28+'CB I'!AG28+IG!AG28+PN!AG28+MJ!AG28+'RB I'!AG28+'SF I'!AG28</f>
        <v>144139.49875886389</v>
      </c>
      <c r="AH28" s="218">
        <f>SLP!AH28+ROSA!AH28+'STA ANA'!AH28+BOA!AH28+'STA MARIA'!AH28+'CB I'!AH28+IG!AH28+PN!AH28+MJ!AH28+'RB I'!AH28+'SF I'!AH28</f>
        <v>129378.5679583802</v>
      </c>
      <c r="AI28" s="218">
        <f>SLP!AI28+ROSA!AI28+'STA ANA'!AI28+BOA!AI28+'STA MARIA'!AI28+'CB I'!AI28+IG!AI28+PN!AI28+MJ!AI28+'RB I'!AI28+'SF I'!AI28</f>
        <v>14760.930800483664</v>
      </c>
      <c r="AJ28" s="218">
        <f>SLP!AJ28+ROSA!AJ28+'STA ANA'!AJ28+BOA!AJ28+'STA MARIA'!AJ28+'CB I'!AJ28+IG!AJ28+PN!AJ28+MJ!AJ28+'RB I'!AJ28+'SF I'!AJ28</f>
        <v>74670.022929292187</v>
      </c>
      <c r="AK28" s="218">
        <f>SLP!AK28+ROSA!AK28+'STA ANA'!AK28+BOA!AK28+'STA MARIA'!AK28+'CB I'!AK28+IG!AK28+PN!AK28+MJ!AK28+'RB I'!AK28+'SF I'!AK28</f>
        <v>8725.0465619999995</v>
      </c>
      <c r="AL28" s="218">
        <f>SLP!AL28+ROSA!AL28+'STA ANA'!AL28+BOA!AL28+'STA MARIA'!AL28+'CB I'!AL28+IG!AL28+PN!AL28+MJ!AL28+'RB I'!AL28+'SF I'!AL28</f>
        <v>83395.069491292204</v>
      </c>
      <c r="AM28" s="221">
        <f t="shared" si="6"/>
        <v>-0.42142805955772888</v>
      </c>
      <c r="AN28" s="218">
        <f>SLP!AN28+ROSA!AN28+'STA ANA'!AN28+BOA!AN28+'STA MARIA'!AN28+'CB I'!AN28+IG!AN28+PN!AN28+MJ!AN28+'RB I'!AN28+'SF I'!AN28</f>
        <v>122046.72782576378</v>
      </c>
      <c r="AO28" s="218">
        <f>SLP!AO28+ROSA!AO28+'STA ANA'!AO28+BOA!AO28+'STA MARIA'!AO28+'CB I'!AO28+IG!AO28+PN!AO28+MJ!AO28+'RB I'!AO28+'SF I'!AO28</f>
        <v>109418.64242270468</v>
      </c>
      <c r="AP28" s="218">
        <f>SLP!AP28+ROSA!AP28+'STA ANA'!AP28+BOA!AP28+'STA MARIA'!AP28+'CB I'!AP28+IG!AP28+PN!AP28+MJ!AP28+'RB I'!AP28+'SF I'!AP28</f>
        <v>12628.085403059087</v>
      </c>
      <c r="AQ28" s="218">
        <f>SLP!AQ28+ROSA!AQ28+'STA ANA'!AQ28+BOA!AQ28+'STA MARIA'!AQ28+'CB I'!AQ28+IG!AQ28+PN!AQ28+MJ!AQ28+'RB I'!AQ28+'SF I'!AQ28</f>
        <v>86999.011794000005</v>
      </c>
      <c r="AR28" s="218">
        <f>SLP!AR28+ROSA!AR28+'STA ANA'!AR28+BOA!AR28+'STA MARIA'!AR28+'CB I'!AR28+IG!AR28+PN!AR28+MJ!AR28+'RB I'!AR28+'SF I'!AR28</f>
        <v>9147.3882059999996</v>
      </c>
      <c r="AS28" s="218">
        <f>SLP!AS28+ROSA!AS28+'STA ANA'!AS28+BOA!AS28+'STA MARIA'!AS28+'CB I'!AS28+IG!AS28+PN!AS28+MJ!AS28+'RB I'!AS28+'SF I'!AS28</f>
        <v>96146.4</v>
      </c>
      <c r="AT28" s="221">
        <f t="shared" si="7"/>
        <v>-0.21221648697324835</v>
      </c>
      <c r="AU28" s="218">
        <f>SLP!AU28+ROSA!AU28+'STA ANA'!AU28+BOA!AU28+'STA MARIA'!AU28+'CB I'!AU28+IG!AU28+PN!AU28+MJ!AU28+'RB I'!AU28+'SF I'!AU28</f>
        <v>109401.27803935976</v>
      </c>
      <c r="AV28" s="218">
        <f>SLP!AV28+ROSA!AV28+'STA ANA'!AV28+BOA!AV28+'STA MARIA'!AV28+'CB I'!AV28+IG!AV28+PN!AV28+MJ!AV28+'RB I'!AV28+'SF I'!AV28</f>
        <v>98248.371639750141</v>
      </c>
      <c r="AW28" s="218">
        <f>SLP!AW28+ROSA!AW28+'STA ANA'!AW28+BOA!AW28+'STA MARIA'!AW28+'CB I'!AW28+IG!AW28+PN!AW28+MJ!AW28+'RB I'!AW28+'SF I'!AW28</f>
        <v>11152.906399609623</v>
      </c>
      <c r="AX28" s="218">
        <f>SLP!AX28+ROSA!AX28+'STA ANA'!AX28+BOA!AX28+'STA MARIA'!AX28+'CB I'!AX28+IG!AX28+PN!AX28+MJ!AX28+'RB I'!AX28+'SF I'!AX28</f>
        <v>176676.58870264687</v>
      </c>
      <c r="AY28" s="218">
        <f>SLP!AY28+ROSA!AY28+'STA ANA'!AY28+BOA!AY28+'STA MARIA'!AY28+'CB I'!AY28+IG!AY28+PN!AY28+MJ!AY28+'RB I'!AY28+'SF I'!AY28</f>
        <v>19274.475720104947</v>
      </c>
      <c r="AZ28" s="218">
        <f>SLP!AZ28+ROSA!AZ28+'STA ANA'!AZ28+BOA!AZ28+'STA MARIA'!AZ28+'CB I'!AZ28+IG!AZ28+PN!AZ28+MJ!AZ28+'RB I'!AZ28+'SF I'!AZ28</f>
        <v>195951.06442275181</v>
      </c>
      <c r="BA28" s="221">
        <f t="shared" si="8"/>
        <v>0.79112226049364476</v>
      </c>
      <c r="BB28" s="218">
        <f>SLP!BB28+ROSA!BB28+'STA ANA'!BB28+BOA!BB28+'STA MARIA'!BB28+'CB I'!BB28+IG!BB28+PN!BB28+MJ!BB28+'RB I'!BB28+'SF I'!BB28</f>
        <v>89329.102221259978</v>
      </c>
      <c r="BC28" s="218">
        <f>SLP!BC28+ROSA!BC28+'STA ANA'!BC28+BOA!BC28+'STA MARIA'!BC28+'CB I'!BC28+IG!BC28+PN!BC28+MJ!BC28+'RB I'!BC28+'SF I'!BC28</f>
        <v>80309.041219074905</v>
      </c>
      <c r="BD28" s="218">
        <f>SLP!BD28+ROSA!BD28+'STA ANA'!BD28+BOA!BD28+'STA MARIA'!BD28+'CB I'!BD28+IG!BD28+PN!BD28+MJ!BD28+'RB I'!BD28+'SF I'!BD28</f>
        <v>9020.0610021850716</v>
      </c>
      <c r="BE28" s="218">
        <f>SLP!BE28+ROSA!BE28+'STA ANA'!BE28+BOA!BE28+'STA MARIA'!BE28+'CB I'!BE28+IG!BE28+PN!BE28+MJ!BE28+'RB I'!BE28+'SF I'!BE28</f>
        <v>0</v>
      </c>
      <c r="BF28" s="218">
        <f>SLP!BF28+ROSA!BF28+'STA ANA'!BF28+BOA!BF28+'STA MARIA'!BF28+'CB I'!BF28+IG!BF28+PN!BF28+MJ!BF28+'RB I'!BF28+'SF I'!BF28</f>
        <v>0</v>
      </c>
      <c r="BG28" s="218">
        <f>SLP!BG28+ROSA!BG28+'STA ANA'!BG28+BOA!BG28+'STA MARIA'!BG28+'CB I'!BG28+IG!BG28+PN!BG28+MJ!BG28+'RB I'!BG28+'SF I'!BG28</f>
        <v>0</v>
      </c>
      <c r="BH28" s="221">
        <f t="shared" si="9"/>
        <v>-1</v>
      </c>
      <c r="BI28" s="218">
        <f>SLP!BI28+ROSA!BI28+'STA ANA'!BI28+BOA!BI28+'STA MARIA'!BI28+'CB I'!BI28+IG!BI28+PN!BI28+MJ!BI28+'RB I'!BI28+'SF I'!BI28</f>
        <v>144139.49875886389</v>
      </c>
      <c r="BJ28" s="218">
        <f>SLP!BJ28+ROSA!BJ28+'STA ANA'!BJ28+BOA!BJ28+'STA MARIA'!BJ28+'CB I'!BJ28+IG!BJ28+PN!BJ28+MJ!BJ28+'RB I'!BJ28+'SF I'!BJ28</f>
        <v>129378.5679583802</v>
      </c>
      <c r="BK28" s="218">
        <f>SLP!BK28+ROSA!BK28+'STA ANA'!BK28+BOA!BK28+'STA MARIA'!BK28+'CB I'!BK28+IG!BK28+PN!BK28+MJ!BK28+'RB I'!BK28+'SF I'!BK28</f>
        <v>14760.930800483664</v>
      </c>
      <c r="BL28" s="218">
        <f>SLP!BL28+ROSA!BL28+'STA ANA'!BL28+BOA!BL28+'STA MARIA'!BL28+'CB I'!BL28+IG!BL28+PN!BL28+MJ!BL28+'RB I'!BL28+'SF I'!BL28</f>
        <v>0</v>
      </c>
      <c r="BM28" s="218">
        <f>SLP!BM28+ROSA!BM28+'STA ANA'!BM28+BOA!BM28+'STA MARIA'!BM28+'CB I'!BM28+IG!BM28+PN!BM28+MJ!BM28+'RB I'!BM28+'SF I'!BM28</f>
        <v>0</v>
      </c>
      <c r="BN28" s="218">
        <f>SLP!BN28+ROSA!BN28+'STA ANA'!BN28+BOA!BN28+'STA MARIA'!BN28+'CB I'!BN28+IG!BN28+PN!BN28+MJ!BN28+'RB I'!BN28+'SF I'!BN28</f>
        <v>0</v>
      </c>
      <c r="BO28" s="221">
        <f t="shared" si="10"/>
        <v>-1</v>
      </c>
      <c r="BP28" s="218">
        <f>SLP!BP28+ROSA!BP28+'STA ANA'!BP28+BOA!BP28+'STA MARIA'!BP28+'CB I'!BP28+IG!BP28+PN!BP28+MJ!BP28+'RB I'!BP28+'SF I'!BP28</f>
        <v>144139.49875886389</v>
      </c>
      <c r="BQ28" s="218">
        <f>SLP!BQ28+ROSA!BQ28+'STA ANA'!BQ28+BOA!BQ28+'STA MARIA'!BQ28+'CB I'!BQ28+IG!BQ28+PN!BQ28+MJ!BQ28+'RB I'!BQ28+'SF I'!BQ28</f>
        <v>129378.5679583802</v>
      </c>
      <c r="BR28" s="218">
        <f>SLP!BR28+ROSA!BR28+'STA ANA'!BR28+BOA!BR28+'STA MARIA'!BR28+'CB I'!BR28+IG!BR28+PN!BR28+MJ!BR28+'RB I'!BR28+'SF I'!BR28</f>
        <v>14760.930800483664</v>
      </c>
      <c r="BS28" s="218">
        <f>SLP!BS28+ROSA!BS28+'STA ANA'!BS28+BOA!BS28+'STA MARIA'!BS28+'CB I'!BS28+IG!BS28+PN!BS28+MJ!BS28+'RB I'!BS28+'SF I'!BS28</f>
        <v>0</v>
      </c>
      <c r="BT28" s="218">
        <f>SLP!BT28+ROSA!BT28+'STA ANA'!BT28+BOA!BT28+'STA MARIA'!BT28+'CB I'!BT28+IG!BT28+PN!BT28+MJ!BT28+'RB I'!BT28+'SF I'!BT28</f>
        <v>0</v>
      </c>
      <c r="BU28" s="218">
        <f>SLP!BU28+ROSA!BU28+'STA ANA'!BU28+BOA!BU28+'STA MARIA'!BU28+'CB I'!BU28+IG!BU28+PN!BU28+MJ!BU28+'RB I'!BU28+'SF I'!BU28</f>
        <v>0</v>
      </c>
      <c r="BV28" s="221">
        <f t="shared" si="11"/>
        <v>-1</v>
      </c>
      <c r="BW28" s="218">
        <f>SLP!BW28+ROSA!BW28+'STA ANA'!BW28+BOA!BW28+'STA MARIA'!BW28+'CB I'!BW28+IG!BW28+PN!BW28+MJ!BW28+'RB I'!BW28+'SF I'!BW28</f>
        <v>132305.3068856459</v>
      </c>
      <c r="BX28" s="218">
        <f>SLP!BX28+ROSA!BX28+'STA ANA'!BX28+BOA!BX28+'STA MARIA'!BX28+'CB I'!BX28+IG!BX28+PN!BX28+MJ!BX28+'RB I'!BX28+'SF I'!BX28</f>
        <v>118565.20261668641</v>
      </c>
      <c r="BY28" s="218">
        <f>SLP!BY28+ROSA!BY28+'STA ANA'!BY28+BOA!BY28+'STA MARIA'!BY28+'CB I'!BY28+IG!BY28+PN!BY28+MJ!BY28+'RB I'!BY28+'SF I'!BY28</f>
        <v>13740.104268959481</v>
      </c>
      <c r="BZ28" s="218">
        <f>SLP!BZ28+ROSA!BZ28+'STA ANA'!BZ28+BOA!BZ28+'STA MARIA'!BZ28+'CB I'!BZ28+IG!BZ28+PN!BZ28+MJ!BZ28+'RB I'!BZ28+'SF I'!BZ28</f>
        <v>0</v>
      </c>
      <c r="CA28" s="218">
        <f>SLP!CA28+ROSA!CA28+'STA ANA'!CA28+BOA!CA28+'STA MARIA'!CA28+'CB I'!CA28+IG!CA28+PN!CA28+MJ!CA28+'RB I'!CA28+'SF I'!CA28</f>
        <v>0</v>
      </c>
      <c r="CB28" s="218">
        <f>SLP!CB28+ROSA!CB28+'STA ANA'!CB28+BOA!CB28+'STA MARIA'!CB28+'CB I'!CB28+IG!CB28+PN!CB28+MJ!CB28+'RB I'!CB28+'SF I'!CB28</f>
        <v>0</v>
      </c>
      <c r="CC28" s="221">
        <f t="shared" si="12"/>
        <v>-1</v>
      </c>
      <c r="CD28" s="218">
        <f>SLP!CD28+ROSA!CD28+'STA ANA'!CD28+BOA!CD28+'STA MARIA'!CD28+'CB I'!CD28+IG!CD28+PN!CD28+MJ!CD28+'RB I'!CD28+'SF I'!CD28</f>
        <v>97567.086166141904</v>
      </c>
      <c r="CE28" s="218">
        <f>SLP!CE28+ROSA!CE28+'STA ANA'!CE28+BOA!CE28+'STA MARIA'!CE28+'CB I'!CE28+IG!CE28+PN!CE28+MJ!CE28+'RB I'!CE28+'SF I'!CE28</f>
        <v>87435.00629805644</v>
      </c>
      <c r="CF28" s="218">
        <f>SLP!CF28+ROSA!CF28+'STA ANA'!CF28+BOA!CF28+'STA MARIA'!CF28+'CB I'!CF28+IG!CF28+PN!CF28+MJ!CF28+'RB I'!CF28+'SF I'!CF28</f>
        <v>10132.079868085453</v>
      </c>
      <c r="CG28" s="218">
        <f>SLP!CG28+ROSA!CG28+'STA ANA'!CG28+BOA!CG28+'STA MARIA'!CG28+'CB I'!CG28+IG!CG28+PN!CG28+MJ!CG28+'RB I'!CG28+'SF I'!CG28</f>
        <v>0</v>
      </c>
      <c r="CH28" s="218">
        <f>SLP!CH28+ROSA!CH28+'STA ANA'!CH28+BOA!CH28+'STA MARIA'!CH28+'CB I'!CH28+IG!CH28+PN!CH28+MJ!CH28+'RB I'!CH28+'SF I'!CH28</f>
        <v>0</v>
      </c>
      <c r="CI28" s="218">
        <f>SLP!CI28+ROSA!CI28+'STA ANA'!CI28+BOA!CI28+'STA MARIA'!CI28+'CB I'!CI28+IG!CI28+PN!CI28+MJ!CI28+'RB I'!CI28+'SF I'!CI28</f>
        <v>0</v>
      </c>
      <c r="CJ28" s="221">
        <f t="shared" si="13"/>
        <v>-1</v>
      </c>
      <c r="CK28" s="218">
        <f>SLP!CK28+ROSA!CK28+'STA ANA'!CK28+BOA!CK28+'STA MARIA'!CK28+'CB I'!CK28+IG!CK28+PN!CK28+MJ!CK28+'RB I'!CK28+'SF I'!CK28</f>
        <v>97567.086166141904</v>
      </c>
      <c r="CL28" s="218">
        <f>SLP!CL28+ROSA!CL28+'STA ANA'!CL28+BOA!CL28+'STA MARIA'!CL28+'CB I'!CL28+IG!CL28+PN!CL28+MJ!CL28+'RB I'!CL28+'SF I'!CL28</f>
        <v>87435.00629805644</v>
      </c>
      <c r="CM28" s="218">
        <f>SLP!CM28+ROSA!CM28+'STA ANA'!CM28+BOA!CM28+'STA MARIA'!CM28+'CB I'!CM28+IG!CM28+PN!CM28+MJ!CM28+'RB I'!CM28+'SF I'!CM28</f>
        <v>10132.079868085453</v>
      </c>
      <c r="CN28" s="218">
        <f>SLP!CN28+ROSA!CN28+'STA ANA'!CN28+BOA!CN28+'STA MARIA'!CN28+'CB I'!CN28+IG!CN28+PN!CN28+MJ!CN28+'RB I'!CN28+'SF I'!CN28</f>
        <v>0</v>
      </c>
      <c r="CO28" s="218">
        <f>SLP!CO28+ROSA!CO28+'STA ANA'!CO28+BOA!CO28+'STA MARIA'!CO28+'CB I'!CO28+IG!CO28+PN!CO28+MJ!CO28+'RB I'!CO28+'SF I'!CO28</f>
        <v>0</v>
      </c>
      <c r="CP28" s="218">
        <f>SLP!CP28+ROSA!CP28+'STA ANA'!CP28+BOA!CP28+'STA MARIA'!CP28+'CB I'!CP28+IG!CP28+PN!CP28+MJ!CP28+'RB I'!CP28+'SF I'!CP28</f>
        <v>0</v>
      </c>
      <c r="CQ28" s="221">
        <f t="shared" si="14"/>
        <v>-1</v>
      </c>
      <c r="CR28" s="154"/>
      <c r="CS28" s="222" t="e">
        <f t="shared" si="15"/>
        <v>#VALUE!</v>
      </c>
    </row>
    <row r="29" spans="1:97" ht="16" customHeight="1" thickBot="1" x14ac:dyDescent="0.25">
      <c r="A29" s="220" t="s">
        <v>53</v>
      </c>
      <c r="B29" s="30">
        <f t="shared" si="0"/>
        <v>2824382.3241759962</v>
      </c>
      <c r="C29" s="31">
        <f t="shared" si="0"/>
        <v>2512306.8462614599</v>
      </c>
      <c r="D29" s="32">
        <f t="shared" si="0"/>
        <v>312075.4779145373</v>
      </c>
      <c r="E29" s="30">
        <f t="shared" si="16"/>
        <v>941460.77472533239</v>
      </c>
      <c r="F29" s="33">
        <f t="shared" si="16"/>
        <v>837435.61542048655</v>
      </c>
      <c r="G29" s="34">
        <f t="shared" si="16"/>
        <v>104025.15930484576</v>
      </c>
      <c r="H29" s="31">
        <f t="shared" si="1"/>
        <v>20559.849073999998</v>
      </c>
      <c r="I29" s="33">
        <f t="shared" si="1"/>
        <v>4410.1609260000005</v>
      </c>
      <c r="J29" s="33">
        <f t="shared" si="1"/>
        <v>24970.010000000002</v>
      </c>
      <c r="K29" s="221">
        <f t="shared" si="2"/>
        <v>-0.97347737614741847</v>
      </c>
      <c r="L29" s="218">
        <f>SLP!L29+ROSA!L29+'STA ANA'!L29+BOA!L29+'STA MARIA'!L29+'CB I'!L29+IG!L29+PN!L29+MJ!L29+'RB I'!L29+'SF I'!L29</f>
        <v>197941.65910733314</v>
      </c>
      <c r="M29" s="218">
        <f>SLP!M29+ROSA!M29+'STA ANA'!M29+BOA!M29+'STA MARIA'!M29+'CB I'!M29+IG!M29+PN!M29+MJ!M29+'RB I'!M29+'SF I'!M29</f>
        <v>175545.25856260906</v>
      </c>
      <c r="N29" s="218">
        <f>SLP!N29+ROSA!N29+'STA ANA'!N29+BOA!N29+'STA MARIA'!N29+'CB I'!N29+IG!N29+PN!N29+MJ!N29+'RB I'!N29+'SF I'!N29</f>
        <v>22396.400544724045</v>
      </c>
      <c r="O29" s="218">
        <f>SLP!O29+ROSA!O29+'STA ANA'!O29+BOA!O29+'STA MARIA'!O29+'CB I'!O29+IG!O29+PN!O29+MJ!O29+'RB I'!O29+'SF I'!O29</f>
        <v>0</v>
      </c>
      <c r="P29" s="218">
        <f>SLP!P29+ROSA!P29+'STA ANA'!P29+BOA!P29+'STA MARIA'!P29+'CB I'!P29+IG!P29+PN!P29+MJ!P29+'RB I'!P29+'SF I'!P29</f>
        <v>0</v>
      </c>
      <c r="Q29" s="218">
        <f>SLP!Q29+ROSA!Q29+'STA ANA'!Q29+BOA!Q29+'STA MARIA'!Q29+'CB I'!Q29+IG!Q29+PN!Q29+MJ!Q29+'RB I'!Q29+'SF I'!Q29</f>
        <v>0</v>
      </c>
      <c r="R29" s="221">
        <f t="shared" si="3"/>
        <v>-1</v>
      </c>
      <c r="S29" s="218">
        <f>SLP!S29+ROSA!S29+'STA ANA'!S29+BOA!S29+'STA MARIA'!S29+'CB I'!S29+IG!S29+PN!S29+MJ!S29+'RB I'!S29+'SF I'!S29</f>
        <v>272788.72825533303</v>
      </c>
      <c r="T29" s="218">
        <f>SLP!T29+ROSA!T29+'STA ANA'!T29+BOA!T29+'STA MARIA'!T29+'CB I'!T29+IG!T29+PN!T29+MJ!T29+'RB I'!T29+'SF I'!T29</f>
        <v>243172.54914763424</v>
      </c>
      <c r="U29" s="218">
        <f>SLP!U29+ROSA!U29+'STA ANA'!U29+BOA!U29+'STA MARIA'!U29+'CB I'!U29+IG!U29+PN!U29+MJ!U29+'RB I'!U29+'SF I'!U29</f>
        <v>29616.179107698837</v>
      </c>
      <c r="V29" s="218">
        <f>SLP!V29+ROSA!V29+'STA ANA'!V29+BOA!V29+'STA MARIA'!V29+'CB I'!V29+IG!V29+PN!V29+MJ!V29+'RB I'!V29+'SF I'!V29</f>
        <v>0</v>
      </c>
      <c r="W29" s="218">
        <f>SLP!W29+ROSA!W29+'STA ANA'!W29+BOA!W29+'STA MARIA'!W29+'CB I'!W29+IG!W29+PN!W29+MJ!W29+'RB I'!W29+'SF I'!W29</f>
        <v>0</v>
      </c>
      <c r="X29" s="218">
        <f>SLP!X29+ROSA!X29+'STA ANA'!X29+BOA!X29+'STA MARIA'!X29+'CB I'!X29+IG!X29+PN!X29+MJ!X29+'RB I'!X29+'SF I'!X29</f>
        <v>0</v>
      </c>
      <c r="Y29" s="221">
        <f t="shared" si="4"/>
        <v>-1</v>
      </c>
      <c r="Z29" s="218">
        <f>SLP!Z29+ROSA!Z29+'STA ANA'!Z29+BOA!Z29+'STA MARIA'!Z29+'CB I'!Z29+IG!Z29+PN!Z29+MJ!Z29+'RB I'!Z29+'SF I'!Z29</f>
        <v>197941.65910733314</v>
      </c>
      <c r="AA29" s="218">
        <f>SLP!AA29+ROSA!AA29+'STA ANA'!AA29+BOA!AA29+'STA MARIA'!AA29+'CB I'!AA29+IG!AA29+PN!AA29+MJ!AA29+'RB I'!AA29+'SF I'!AA29</f>
        <v>175545.25856260906</v>
      </c>
      <c r="AB29" s="218">
        <f>SLP!AB29+ROSA!AB29+'STA ANA'!AB29+BOA!AB29+'STA MARIA'!AB29+'CB I'!AB29+IG!AB29+PN!AB29+MJ!AB29+'RB I'!AB29+'SF I'!AB29</f>
        <v>22396.400544724045</v>
      </c>
      <c r="AC29" s="218">
        <f>SLP!AC29+ROSA!AC29+'STA ANA'!AC29+BOA!AC29+'STA MARIA'!AC29+'CB I'!AC29+IG!AC29+PN!AC29+MJ!AC29+'RB I'!AC29+'SF I'!AC29</f>
        <v>0</v>
      </c>
      <c r="AD29" s="218">
        <f>SLP!AD29+ROSA!AD29+'STA ANA'!AD29+BOA!AD29+'STA MARIA'!AD29+'CB I'!AD29+IG!AD29+PN!AD29+MJ!AD29+'RB I'!AD29+'SF I'!AD29</f>
        <v>0</v>
      </c>
      <c r="AE29" s="218">
        <f>SLP!AE29+ROSA!AE29+'STA ANA'!AE29+BOA!AE29+'STA MARIA'!AE29+'CB I'!AE29+IG!AE29+PN!AE29+MJ!AE29+'RB I'!AE29+'SF I'!AE29</f>
        <v>0</v>
      </c>
      <c r="AF29" s="221">
        <f t="shared" si="5"/>
        <v>-1</v>
      </c>
      <c r="AG29" s="218">
        <f>SLP!AG29+ROSA!AG29+'STA ANA'!AG29+BOA!AG29+'STA MARIA'!AG29+'CB I'!AG29+IG!AG29+PN!AG29+MJ!AG29+'RB I'!AG29+'SF I'!AG29</f>
        <v>272788.72825533303</v>
      </c>
      <c r="AH29" s="218">
        <f>SLP!AH29+ROSA!AH29+'STA ANA'!AH29+BOA!AH29+'STA MARIA'!AH29+'CB I'!AH29+IG!AH29+PN!AH29+MJ!AH29+'RB I'!AH29+'SF I'!AH29</f>
        <v>243172.54914763424</v>
      </c>
      <c r="AI29" s="218">
        <f>SLP!AI29+ROSA!AI29+'STA ANA'!AI29+BOA!AI29+'STA MARIA'!AI29+'CB I'!AI29+IG!AI29+PN!AI29+MJ!AI29+'RB I'!AI29+'SF I'!AI29</f>
        <v>29616.179107698837</v>
      </c>
      <c r="AJ29" s="218">
        <f>SLP!AJ29+ROSA!AJ29+'STA ANA'!AJ29+BOA!AJ29+'STA MARIA'!AJ29+'CB I'!AJ29+IG!AJ29+PN!AJ29+MJ!AJ29+'RB I'!AJ29+'SF I'!AJ29</f>
        <v>0</v>
      </c>
      <c r="AK29" s="218">
        <f>SLP!AK29+ROSA!AK29+'STA ANA'!AK29+BOA!AK29+'STA MARIA'!AK29+'CB I'!AK29+IG!AK29+PN!AK29+MJ!AK29+'RB I'!AK29+'SF I'!AK29</f>
        <v>0</v>
      </c>
      <c r="AL29" s="218">
        <f>SLP!AL29+ROSA!AL29+'STA ANA'!AL29+BOA!AL29+'STA MARIA'!AL29+'CB I'!AL29+IG!AL29+PN!AL29+MJ!AL29+'RB I'!AL29+'SF I'!AL29</f>
        <v>0</v>
      </c>
      <c r="AM29" s="221">
        <f t="shared" si="6"/>
        <v>-1</v>
      </c>
      <c r="AN29" s="218">
        <f>SLP!AN29+ROSA!AN29+'STA ANA'!AN29+BOA!AN29+'STA MARIA'!AN29+'CB I'!AN29+IG!AN29+PN!AN29+MJ!AN29+'RB I'!AN29+'SF I'!AN29</f>
        <v>197941.65910733314</v>
      </c>
      <c r="AO29" s="218">
        <f>SLP!AO29+ROSA!AO29+'STA ANA'!AO29+BOA!AO29+'STA MARIA'!AO29+'CB I'!AO29+IG!AO29+PN!AO29+MJ!AO29+'RB I'!AO29+'SF I'!AO29</f>
        <v>175545.25856260906</v>
      </c>
      <c r="AP29" s="218">
        <f>SLP!AP29+ROSA!AP29+'STA ANA'!AP29+BOA!AP29+'STA MARIA'!AP29+'CB I'!AP29+IG!AP29+PN!AP29+MJ!AP29+'RB I'!AP29+'SF I'!AP29</f>
        <v>22396.400544724045</v>
      </c>
      <c r="AQ29" s="218">
        <f>SLP!AQ29+ROSA!AQ29+'STA ANA'!AQ29+BOA!AQ29+'STA MARIA'!AQ29+'CB I'!AQ29+IG!AQ29+PN!AQ29+MJ!AQ29+'RB I'!AQ29+'SF I'!AQ29</f>
        <v>0</v>
      </c>
      <c r="AR29" s="218">
        <f>SLP!AR29+ROSA!AR29+'STA ANA'!AR29+BOA!AR29+'STA MARIA'!AR29+'CB I'!AR29+IG!AR29+PN!AR29+MJ!AR29+'RB I'!AR29+'SF I'!AR29</f>
        <v>0</v>
      </c>
      <c r="AS29" s="218">
        <f>SLP!AS29+ROSA!AS29+'STA ANA'!AS29+BOA!AS29+'STA MARIA'!AS29+'CB I'!AS29+IG!AS29+PN!AS29+MJ!AS29+'RB I'!AS29+'SF I'!AS29</f>
        <v>0</v>
      </c>
      <c r="AT29" s="221">
        <f t="shared" si="7"/>
        <v>-1</v>
      </c>
      <c r="AU29" s="218">
        <f>SLP!AU29+ROSA!AU29+'STA ANA'!AU29+BOA!AU29+'STA MARIA'!AU29+'CB I'!AU29+IG!AU29+PN!AU29+MJ!AU29+'RB I'!AU29+'SF I'!AU29</f>
        <v>272788.72825533303</v>
      </c>
      <c r="AV29" s="218">
        <f>SLP!AV29+ROSA!AV29+'STA ANA'!AV29+BOA!AV29+'STA MARIA'!AV29+'CB I'!AV29+IG!AV29+PN!AV29+MJ!AV29+'RB I'!AV29+'SF I'!AV29</f>
        <v>243172.54914763424</v>
      </c>
      <c r="AW29" s="218">
        <f>SLP!AW29+ROSA!AW29+'STA ANA'!AW29+BOA!AW29+'STA MARIA'!AW29+'CB I'!AW29+IG!AW29+PN!AW29+MJ!AW29+'RB I'!AW29+'SF I'!AW29</f>
        <v>29616.179107698837</v>
      </c>
      <c r="AX29" s="218">
        <f>SLP!AX29+ROSA!AX29+'STA ANA'!AX29+BOA!AX29+'STA MARIA'!AX29+'CB I'!AX29+IG!AX29+PN!AX29+MJ!AX29+'RB I'!AX29+'SF I'!AX29</f>
        <v>20559.849073999998</v>
      </c>
      <c r="AY29" s="218">
        <f>SLP!AY29+ROSA!AY29+'STA ANA'!AY29+BOA!AY29+'STA MARIA'!AY29+'CB I'!AY29+IG!AY29+PN!AY29+MJ!AY29+'RB I'!AY29+'SF I'!AY29</f>
        <v>4410.1609260000005</v>
      </c>
      <c r="AZ29" s="218">
        <f>SLP!AZ29+ROSA!AZ29+'STA ANA'!AZ29+BOA!AZ29+'STA MARIA'!AZ29+'CB I'!AZ29+IG!AZ29+PN!AZ29+MJ!AZ29+'RB I'!AZ29+'SF I'!AZ29</f>
        <v>24970.010000000002</v>
      </c>
      <c r="BA29" s="221">
        <f t="shared" si="8"/>
        <v>-0.90846392312578317</v>
      </c>
      <c r="BB29" s="218">
        <f>SLP!BB29+ROSA!BB29+'STA ANA'!BB29+BOA!BB29+'STA MARIA'!BB29+'CB I'!BB29+IG!BB29+PN!BB29+MJ!BB29+'RB I'!BB29+'SF I'!BB29</f>
        <v>197941.65910733314</v>
      </c>
      <c r="BC29" s="218">
        <f>SLP!BC29+ROSA!BC29+'STA ANA'!BC29+BOA!BC29+'STA MARIA'!BC29+'CB I'!BC29+IG!BC29+PN!BC29+MJ!BC29+'RB I'!BC29+'SF I'!BC29</f>
        <v>175545.25856260906</v>
      </c>
      <c r="BD29" s="218">
        <f>SLP!BD29+ROSA!BD29+'STA ANA'!BD29+BOA!BD29+'STA MARIA'!BD29+'CB I'!BD29+IG!BD29+PN!BD29+MJ!BD29+'RB I'!BD29+'SF I'!BD29</f>
        <v>22396.400544724045</v>
      </c>
      <c r="BE29" s="218">
        <f>SLP!BE29+ROSA!BE29+'STA ANA'!BE29+BOA!BE29+'STA MARIA'!BE29+'CB I'!BE29+IG!BE29+PN!BE29+MJ!BE29+'RB I'!BE29+'SF I'!BE29</f>
        <v>0</v>
      </c>
      <c r="BF29" s="218">
        <f>SLP!BF29+ROSA!BF29+'STA ANA'!BF29+BOA!BF29+'STA MARIA'!BF29+'CB I'!BF29+IG!BF29+PN!BF29+MJ!BF29+'RB I'!BF29+'SF I'!BF29</f>
        <v>0</v>
      </c>
      <c r="BG29" s="218">
        <f>SLP!BG29+ROSA!BG29+'STA ANA'!BG29+BOA!BG29+'STA MARIA'!BG29+'CB I'!BG29+IG!BG29+PN!BG29+MJ!BG29+'RB I'!BG29+'SF I'!BG29</f>
        <v>0</v>
      </c>
      <c r="BH29" s="221">
        <f t="shared" si="9"/>
        <v>-1</v>
      </c>
      <c r="BI29" s="218">
        <f>SLP!BI29+ROSA!BI29+'STA ANA'!BI29+BOA!BI29+'STA MARIA'!BI29+'CB I'!BI29+IG!BI29+PN!BI29+MJ!BI29+'RB I'!BI29+'SF I'!BI29</f>
        <v>272788.72825533303</v>
      </c>
      <c r="BJ29" s="218">
        <f>SLP!BJ29+ROSA!BJ29+'STA ANA'!BJ29+BOA!BJ29+'STA MARIA'!BJ29+'CB I'!BJ29+IG!BJ29+PN!BJ29+MJ!BJ29+'RB I'!BJ29+'SF I'!BJ29</f>
        <v>243172.54914763424</v>
      </c>
      <c r="BK29" s="218">
        <f>SLP!BK29+ROSA!BK29+'STA ANA'!BK29+BOA!BK29+'STA MARIA'!BK29+'CB I'!BK29+IG!BK29+PN!BK29+MJ!BK29+'RB I'!BK29+'SF I'!BK29</f>
        <v>29616.179107698837</v>
      </c>
      <c r="BL29" s="218">
        <f>SLP!BL29+ROSA!BL29+'STA ANA'!BL29+BOA!BL29+'STA MARIA'!BL29+'CB I'!BL29+IG!BL29+PN!BL29+MJ!BL29+'RB I'!BL29+'SF I'!BL29</f>
        <v>0</v>
      </c>
      <c r="BM29" s="218">
        <f>SLP!BM29+ROSA!BM29+'STA ANA'!BM29+BOA!BM29+'STA MARIA'!BM29+'CB I'!BM29+IG!BM29+PN!BM29+MJ!BM29+'RB I'!BM29+'SF I'!BM29</f>
        <v>0</v>
      </c>
      <c r="BN29" s="218">
        <f>SLP!BN29+ROSA!BN29+'STA ANA'!BN29+BOA!BN29+'STA MARIA'!BN29+'CB I'!BN29+IG!BN29+PN!BN29+MJ!BN29+'RB I'!BN29+'SF I'!BN29</f>
        <v>0</v>
      </c>
      <c r="BO29" s="221">
        <f t="shared" si="10"/>
        <v>-1</v>
      </c>
      <c r="BP29" s="218">
        <f>SLP!BP29+ROSA!BP29+'STA ANA'!BP29+BOA!BP29+'STA MARIA'!BP29+'CB I'!BP29+IG!BP29+PN!BP29+MJ!BP29+'RB I'!BP29+'SF I'!BP29</f>
        <v>197941.65910733314</v>
      </c>
      <c r="BQ29" s="218">
        <f>SLP!BQ29+ROSA!BQ29+'STA ANA'!BQ29+BOA!BQ29+'STA MARIA'!BQ29+'CB I'!BQ29+IG!BQ29+PN!BQ29+MJ!BQ29+'RB I'!BQ29+'SF I'!BQ29</f>
        <v>175545.25856260906</v>
      </c>
      <c r="BR29" s="218">
        <f>SLP!BR29+ROSA!BR29+'STA ANA'!BR29+BOA!BR29+'STA MARIA'!BR29+'CB I'!BR29+IG!BR29+PN!BR29+MJ!BR29+'RB I'!BR29+'SF I'!BR29</f>
        <v>22396.400544724045</v>
      </c>
      <c r="BS29" s="218">
        <f>SLP!BS29+ROSA!BS29+'STA ANA'!BS29+BOA!BS29+'STA MARIA'!BS29+'CB I'!BS29+IG!BS29+PN!BS29+MJ!BS29+'RB I'!BS29+'SF I'!BS29</f>
        <v>0</v>
      </c>
      <c r="BT29" s="218">
        <f>SLP!BT29+ROSA!BT29+'STA ANA'!BT29+BOA!BT29+'STA MARIA'!BT29+'CB I'!BT29+IG!BT29+PN!BT29+MJ!BT29+'RB I'!BT29+'SF I'!BT29</f>
        <v>0</v>
      </c>
      <c r="BU29" s="218">
        <f>SLP!BU29+ROSA!BU29+'STA ANA'!BU29+BOA!BU29+'STA MARIA'!BU29+'CB I'!BU29+IG!BU29+PN!BU29+MJ!BU29+'RB I'!BU29+'SF I'!BU29</f>
        <v>0</v>
      </c>
      <c r="BV29" s="221">
        <f t="shared" si="11"/>
        <v>-1</v>
      </c>
      <c r="BW29" s="218">
        <f>SLP!BW29+ROSA!BW29+'STA ANA'!BW29+BOA!BW29+'STA MARIA'!BW29+'CB I'!BW29+IG!BW29+PN!BW29+MJ!BW29+'RB I'!BW29+'SF I'!BW29</f>
        <v>272788.72825533303</v>
      </c>
      <c r="BX29" s="218">
        <f>SLP!BX29+ROSA!BX29+'STA ANA'!BX29+BOA!BX29+'STA MARIA'!BX29+'CB I'!BX29+IG!BX29+PN!BX29+MJ!BX29+'RB I'!BX29+'SF I'!BX29</f>
        <v>243172.54914763424</v>
      </c>
      <c r="BY29" s="218">
        <f>SLP!BY29+ROSA!BY29+'STA ANA'!BY29+BOA!BY29+'STA MARIA'!BY29+'CB I'!BY29+IG!BY29+PN!BY29+MJ!BY29+'RB I'!BY29+'SF I'!BY29</f>
        <v>29616.179107698837</v>
      </c>
      <c r="BZ29" s="218">
        <f>SLP!BZ29+ROSA!BZ29+'STA ANA'!BZ29+BOA!BZ29+'STA MARIA'!BZ29+'CB I'!BZ29+IG!BZ29+PN!BZ29+MJ!BZ29+'RB I'!BZ29+'SF I'!BZ29</f>
        <v>0</v>
      </c>
      <c r="CA29" s="218">
        <f>SLP!CA29+ROSA!CA29+'STA ANA'!CA29+BOA!CA29+'STA MARIA'!CA29+'CB I'!CA29+IG!CA29+PN!CA29+MJ!CA29+'RB I'!CA29+'SF I'!CA29</f>
        <v>0</v>
      </c>
      <c r="CB29" s="218">
        <f>SLP!CB29+ROSA!CB29+'STA ANA'!CB29+BOA!CB29+'STA MARIA'!CB29+'CB I'!CB29+IG!CB29+PN!CB29+MJ!CB29+'RB I'!CB29+'SF I'!CB29</f>
        <v>0</v>
      </c>
      <c r="CC29" s="221">
        <f t="shared" si="12"/>
        <v>-1</v>
      </c>
      <c r="CD29" s="218">
        <f>SLP!CD29+ROSA!CD29+'STA ANA'!CD29+BOA!CD29+'STA MARIA'!CD29+'CB I'!CD29+IG!CD29+PN!CD29+MJ!CD29+'RB I'!CD29+'SF I'!CD29</f>
        <v>197941.65910733314</v>
      </c>
      <c r="CE29" s="218">
        <f>SLP!CE29+ROSA!CE29+'STA ANA'!CE29+BOA!CE29+'STA MARIA'!CE29+'CB I'!CE29+IG!CE29+PN!CE29+MJ!CE29+'RB I'!CE29+'SF I'!CE29</f>
        <v>175545.25856260906</v>
      </c>
      <c r="CF29" s="218">
        <f>SLP!CF29+ROSA!CF29+'STA ANA'!CF29+BOA!CF29+'STA MARIA'!CF29+'CB I'!CF29+IG!CF29+PN!CF29+MJ!CF29+'RB I'!CF29+'SF I'!CF29</f>
        <v>22396.400544724045</v>
      </c>
      <c r="CG29" s="218">
        <f>SLP!CG29+ROSA!CG29+'STA ANA'!CG29+BOA!CG29+'STA MARIA'!CG29+'CB I'!CG29+IG!CG29+PN!CG29+MJ!CG29+'RB I'!CG29+'SF I'!CG29</f>
        <v>0</v>
      </c>
      <c r="CH29" s="218">
        <f>SLP!CH29+ROSA!CH29+'STA ANA'!CH29+BOA!CH29+'STA MARIA'!CH29+'CB I'!CH29+IG!CH29+PN!CH29+MJ!CH29+'RB I'!CH29+'SF I'!CH29</f>
        <v>0</v>
      </c>
      <c r="CI29" s="218">
        <f>SLP!CI29+ROSA!CI29+'STA ANA'!CI29+BOA!CI29+'STA MARIA'!CI29+'CB I'!CI29+IG!CI29+PN!CI29+MJ!CI29+'RB I'!CI29+'SF I'!CI29</f>
        <v>0</v>
      </c>
      <c r="CJ29" s="221">
        <f t="shared" si="13"/>
        <v>-1</v>
      </c>
      <c r="CK29" s="218">
        <f>SLP!CK29+ROSA!CK29+'STA ANA'!CK29+BOA!CK29+'STA MARIA'!CK29+'CB I'!CK29+IG!CK29+PN!CK29+MJ!CK29+'RB I'!CK29+'SF I'!CK29</f>
        <v>272788.72825533303</v>
      </c>
      <c r="CL29" s="218">
        <f>SLP!CL29+ROSA!CL29+'STA ANA'!CL29+BOA!CL29+'STA MARIA'!CL29+'CB I'!CL29+IG!CL29+PN!CL29+MJ!CL29+'RB I'!CL29+'SF I'!CL29</f>
        <v>243172.54914763424</v>
      </c>
      <c r="CM29" s="218">
        <f>SLP!CM29+ROSA!CM29+'STA ANA'!CM29+BOA!CM29+'STA MARIA'!CM29+'CB I'!CM29+IG!CM29+PN!CM29+MJ!CM29+'RB I'!CM29+'SF I'!CM29</f>
        <v>29616.179107698837</v>
      </c>
      <c r="CN29" s="218">
        <f>SLP!CN29+ROSA!CN29+'STA ANA'!CN29+BOA!CN29+'STA MARIA'!CN29+'CB I'!CN29+IG!CN29+PN!CN29+MJ!CN29+'RB I'!CN29+'SF I'!CN29</f>
        <v>0</v>
      </c>
      <c r="CO29" s="218">
        <f>SLP!CO29+ROSA!CO29+'STA ANA'!CO29+BOA!CO29+'STA MARIA'!CO29+'CB I'!CO29+IG!CO29+PN!CO29+MJ!CO29+'RB I'!CO29+'SF I'!CO29</f>
        <v>0</v>
      </c>
      <c r="CP29" s="218">
        <f>SLP!CP29+ROSA!CP29+'STA ANA'!CP29+BOA!CP29+'STA MARIA'!CP29+'CB I'!CP29+IG!CP29+PN!CP29+MJ!CP29+'RB I'!CP29+'SF I'!CP29</f>
        <v>0</v>
      </c>
      <c r="CQ29" s="221">
        <f t="shared" si="14"/>
        <v>-1</v>
      </c>
      <c r="CR29" s="154"/>
      <c r="CS29" s="222" t="e">
        <f t="shared" si="15"/>
        <v>#VALUE!</v>
      </c>
    </row>
    <row r="30" spans="1:97" ht="16" customHeight="1" thickBot="1" x14ac:dyDescent="0.25">
      <c r="A30" s="220" t="s">
        <v>54</v>
      </c>
      <c r="B30" s="30">
        <f t="shared" si="0"/>
        <v>1249805.8371065075</v>
      </c>
      <c r="C30" s="31">
        <f t="shared" si="0"/>
        <v>1116149.2491065073</v>
      </c>
      <c r="D30" s="32">
        <f t="shared" si="0"/>
        <v>133656.58800000002</v>
      </c>
      <c r="E30" s="30">
        <f t="shared" si="16"/>
        <v>416601.94570216915</v>
      </c>
      <c r="F30" s="33">
        <f t="shared" si="16"/>
        <v>372049.74970216909</v>
      </c>
      <c r="G30" s="34">
        <f t="shared" si="16"/>
        <v>44552.196000000004</v>
      </c>
      <c r="H30" s="31">
        <f t="shared" si="1"/>
        <v>218013.97025991074</v>
      </c>
      <c r="I30" s="33">
        <f t="shared" si="1"/>
        <v>33750.045315000003</v>
      </c>
      <c r="J30" s="33">
        <f t="shared" si="1"/>
        <v>251764.01557491074</v>
      </c>
      <c r="K30" s="221">
        <f t="shared" si="2"/>
        <v>-0.3956724922381949</v>
      </c>
      <c r="L30" s="218">
        <f>SLP!L30+ROSA!L30+'STA ANA'!L30+BOA!L30+'STA MARIA'!L30+'CB I'!L30+IG!L30+PN!L30+MJ!L30+'RB I'!L30+'SF I'!L30</f>
        <v>104150.48642554229</v>
      </c>
      <c r="M30" s="218">
        <f>SLP!M30+ROSA!M30+'STA ANA'!M30+BOA!M30+'STA MARIA'!M30+'CB I'!M30+IG!M30+PN!M30+MJ!M30+'RB I'!M30+'SF I'!M30</f>
        <v>93012.437425542274</v>
      </c>
      <c r="N30" s="218">
        <f>SLP!N30+ROSA!N30+'STA ANA'!N30+BOA!N30+'STA MARIA'!N30+'CB I'!N30+IG!N30+PN!N30+MJ!N30+'RB I'!N30+'SF I'!N30</f>
        <v>11138.049000000001</v>
      </c>
      <c r="O30" s="218">
        <f>SLP!O30+ROSA!O30+'STA ANA'!O30+BOA!O30+'STA MARIA'!O30+'CB I'!O30+IG!O30+PN!O30+MJ!O30+'RB I'!O30+'SF I'!O30</f>
        <v>29693.036640768962</v>
      </c>
      <c r="P30" s="218">
        <f>SLP!P30+ROSA!P30+'STA ANA'!P30+BOA!P30+'STA MARIA'!P30+'CB I'!P30+IG!P30+PN!P30+MJ!P30+'RB I'!P30+'SF I'!P30</f>
        <v>9351.85232</v>
      </c>
      <c r="Q30" s="218">
        <f>SLP!Q30+ROSA!Q30+'STA ANA'!Q30+BOA!Q30+'STA MARIA'!Q30+'CB I'!Q30+IG!Q30+PN!Q30+MJ!Q30+'RB I'!Q30+'SF I'!Q30</f>
        <v>39044.888960768963</v>
      </c>
      <c r="R30" s="221">
        <f t="shared" si="3"/>
        <v>-0.62511083432450065</v>
      </c>
      <c r="S30" s="218">
        <f>SLP!S30+ROSA!S30+'STA ANA'!S30+BOA!S30+'STA MARIA'!S30+'CB I'!S30+IG!S30+PN!S30+MJ!S30+'RB I'!S30+'SF I'!S30</f>
        <v>104150.48642554229</v>
      </c>
      <c r="T30" s="218">
        <f>SLP!T30+ROSA!T30+'STA ANA'!T30+BOA!T30+'STA MARIA'!T30+'CB I'!T30+IG!T30+PN!T30+MJ!T30+'RB I'!T30+'SF I'!T30</f>
        <v>93012.437425542274</v>
      </c>
      <c r="U30" s="218">
        <f>SLP!U30+ROSA!U30+'STA ANA'!U30+BOA!U30+'STA MARIA'!U30+'CB I'!U30+IG!U30+PN!U30+MJ!U30+'RB I'!U30+'SF I'!U30</f>
        <v>11138.049000000001</v>
      </c>
      <c r="V30" s="218">
        <f>SLP!V30+ROSA!V30+'STA ANA'!V30+BOA!V30+'STA MARIA'!V30+'CB I'!V30+IG!V30+PN!V30+MJ!V30+'RB I'!V30+'SF I'!V30</f>
        <v>6058.3637093444595</v>
      </c>
      <c r="W30" s="218">
        <f>SLP!W30+ROSA!W30+'STA ANA'!W30+BOA!W30+'STA MARIA'!W30+'CB I'!W30+IG!W30+PN!W30+MJ!W30+'RB I'!W30+'SF I'!W30</f>
        <v>236.68820000000002</v>
      </c>
      <c r="X30" s="218">
        <f>SLP!X30+ROSA!X30+'STA ANA'!X30+BOA!X30+'STA MARIA'!X30+'CB I'!X30+IG!X30+PN!X30+MJ!X30+'RB I'!X30+'SF I'!X30</f>
        <v>6295.0519093444591</v>
      </c>
      <c r="Y30" s="221">
        <f t="shared" si="4"/>
        <v>-0.93955811321299176</v>
      </c>
      <c r="Z30" s="218">
        <f>SLP!Z30+ROSA!Z30+'STA ANA'!Z30+BOA!Z30+'STA MARIA'!Z30+'CB I'!Z30+IG!Z30+PN!Z30+MJ!Z30+'RB I'!Z30+'SF I'!Z30</f>
        <v>104150.48642554229</v>
      </c>
      <c r="AA30" s="218">
        <f>SLP!AA30+ROSA!AA30+'STA ANA'!AA30+BOA!AA30+'STA MARIA'!AA30+'CB I'!AA30+IG!AA30+PN!AA30+MJ!AA30+'RB I'!AA30+'SF I'!AA30</f>
        <v>93012.437425542274</v>
      </c>
      <c r="AB30" s="218">
        <f>SLP!AB30+ROSA!AB30+'STA ANA'!AB30+BOA!AB30+'STA MARIA'!AB30+'CB I'!AB30+IG!AB30+PN!AB30+MJ!AB30+'RB I'!AB30+'SF I'!AB30</f>
        <v>11138.049000000001</v>
      </c>
      <c r="AC30" s="218">
        <f>SLP!AC30+ROSA!AC30+'STA ANA'!AC30+BOA!AC30+'STA MARIA'!AC30+'CB I'!AC30+IG!AC30+PN!AC30+MJ!AC30+'RB I'!AC30+'SF I'!AC30</f>
        <v>4880.0290608107371</v>
      </c>
      <c r="AD30" s="218">
        <f>SLP!AD30+ROSA!AD30+'STA ANA'!AD30+BOA!AD30+'STA MARIA'!AD30+'CB I'!AD30+IG!AD30+PN!AD30+MJ!AD30+'RB I'!AD30+'SF I'!AD30</f>
        <v>487.62900000000002</v>
      </c>
      <c r="AE30" s="218">
        <f>SLP!AE30+ROSA!AE30+'STA ANA'!AE30+BOA!AE30+'STA MARIA'!AE30+'CB I'!AE30+IG!AE30+PN!AE30+MJ!AE30+'RB I'!AE30+'SF I'!AE30</f>
        <v>5367.658060810737</v>
      </c>
      <c r="AF30" s="221">
        <f t="shared" si="5"/>
        <v>-0.94846247727658861</v>
      </c>
      <c r="AG30" s="218">
        <f>SLP!AG30+ROSA!AG30+'STA ANA'!AG30+BOA!AG30+'STA MARIA'!AG30+'CB I'!AG30+IG!AG30+PN!AG30+MJ!AG30+'RB I'!AG30+'SF I'!AG30</f>
        <v>104150.48642554229</v>
      </c>
      <c r="AH30" s="218">
        <f>SLP!AH30+ROSA!AH30+'STA ANA'!AH30+BOA!AH30+'STA MARIA'!AH30+'CB I'!AH30+IG!AH30+PN!AH30+MJ!AH30+'RB I'!AH30+'SF I'!AH30</f>
        <v>93012.437425542274</v>
      </c>
      <c r="AI30" s="218">
        <f>SLP!AI30+ROSA!AI30+'STA ANA'!AI30+BOA!AI30+'STA MARIA'!AI30+'CB I'!AI30+IG!AI30+PN!AI30+MJ!AI30+'RB I'!AI30+'SF I'!AI30</f>
        <v>11138.049000000001</v>
      </c>
      <c r="AJ30" s="218">
        <f>SLP!AJ30+ROSA!AJ30+'STA ANA'!AJ30+BOA!AJ30+'STA MARIA'!AJ30+'CB I'!AJ30+IG!AJ30+PN!AJ30+MJ!AJ30+'RB I'!AJ30+'SF I'!AJ30</f>
        <v>3927.1977373226309</v>
      </c>
      <c r="AK30" s="218">
        <f>SLP!AK30+ROSA!AK30+'STA ANA'!AK30+BOA!AK30+'STA MARIA'!AK30+'CB I'!AK30+IG!AK30+PN!AK30+MJ!AK30+'RB I'!AK30+'SF I'!AK30</f>
        <v>252.14400000000003</v>
      </c>
      <c r="AL30" s="218">
        <f>SLP!AL30+ROSA!AL30+'STA ANA'!AL30+BOA!AL30+'STA MARIA'!AL30+'CB I'!AL30+IG!AL30+PN!AL30+MJ!AL30+'RB I'!AL30+'SF I'!AL30</f>
        <v>4179.3417373226312</v>
      </c>
      <c r="AM30" s="221">
        <f t="shared" si="6"/>
        <v>-0.95987208624022635</v>
      </c>
      <c r="AN30" s="218">
        <f>SLP!AN30+ROSA!AN30+'STA ANA'!AN30+BOA!AN30+'STA MARIA'!AN30+'CB I'!AN30+IG!AN30+PN!AN30+MJ!AN30+'RB I'!AN30+'SF I'!AN30</f>
        <v>104150.48642554229</v>
      </c>
      <c r="AO30" s="218">
        <f>SLP!AO30+ROSA!AO30+'STA ANA'!AO30+BOA!AO30+'STA MARIA'!AO30+'CB I'!AO30+IG!AO30+PN!AO30+MJ!AO30+'RB I'!AO30+'SF I'!AO30</f>
        <v>93012.437425542274</v>
      </c>
      <c r="AP30" s="218">
        <f>SLP!AP30+ROSA!AP30+'STA ANA'!AP30+BOA!AP30+'STA MARIA'!AP30+'CB I'!AP30+IG!AP30+PN!AP30+MJ!AP30+'RB I'!AP30+'SF I'!AP30</f>
        <v>11138.049000000001</v>
      </c>
      <c r="AQ30" s="218">
        <f>SLP!AQ30+ROSA!AQ30+'STA ANA'!AQ30+BOA!AQ30+'STA MARIA'!AQ30+'CB I'!AQ30+IG!AQ30+PN!AQ30+MJ!AQ30+'RB I'!AQ30+'SF I'!AQ30</f>
        <v>57962.840171204763</v>
      </c>
      <c r="AR30" s="218">
        <f>SLP!AR30+ROSA!AR30+'STA ANA'!AR30+BOA!AR30+'STA MARIA'!AR30+'CB I'!AR30+IG!AR30+PN!AR30+MJ!AR30+'RB I'!AR30+'SF I'!AR30</f>
        <v>10724.41951</v>
      </c>
      <c r="AS30" s="218">
        <f>SLP!AS30+ROSA!AS30+'STA ANA'!AS30+BOA!AS30+'STA MARIA'!AS30+'CB I'!AS30+IG!AS30+PN!AS30+MJ!AS30+'RB I'!AS30+'SF I'!AS30</f>
        <v>68687.259681204756</v>
      </c>
      <c r="AT30" s="221">
        <f t="shared" si="7"/>
        <v>-0.34049986669712173</v>
      </c>
      <c r="AU30" s="218">
        <f>SLP!AU30+ROSA!AU30+'STA ANA'!AU30+BOA!AU30+'STA MARIA'!AU30+'CB I'!AU30+IG!AU30+PN!AU30+MJ!AU30+'RB I'!AU30+'SF I'!AU30</f>
        <v>104150.48642554229</v>
      </c>
      <c r="AV30" s="218">
        <f>SLP!AV30+ROSA!AV30+'STA ANA'!AV30+BOA!AV30+'STA MARIA'!AV30+'CB I'!AV30+IG!AV30+PN!AV30+MJ!AV30+'RB I'!AV30+'SF I'!AV30</f>
        <v>93012.437425542274</v>
      </c>
      <c r="AW30" s="218">
        <f>SLP!AW30+ROSA!AW30+'STA ANA'!AW30+BOA!AW30+'STA MARIA'!AW30+'CB I'!AW30+IG!AW30+PN!AW30+MJ!AW30+'RB I'!AW30+'SF I'!AW30</f>
        <v>11138.049000000001</v>
      </c>
      <c r="AX30" s="218">
        <f>SLP!AX30+ROSA!AX30+'STA ANA'!AX30+BOA!AX30+'STA MARIA'!AX30+'CB I'!AX30+IG!AX30+PN!AX30+MJ!AX30+'RB I'!AX30+'SF I'!AX30</f>
        <v>115492.50294045919</v>
      </c>
      <c r="AY30" s="218">
        <f>SLP!AY30+ROSA!AY30+'STA ANA'!AY30+BOA!AY30+'STA MARIA'!AY30+'CB I'!AY30+IG!AY30+PN!AY30+MJ!AY30+'RB I'!AY30+'SF I'!AY30</f>
        <v>12697.312285</v>
      </c>
      <c r="AZ30" s="218">
        <f>SLP!AZ30+ROSA!AZ30+'STA ANA'!AZ30+BOA!AZ30+'STA MARIA'!AZ30+'CB I'!AZ30+IG!AZ30+PN!AZ30+MJ!AZ30+'RB I'!AZ30+'SF I'!AZ30</f>
        <v>128189.81522545918</v>
      </c>
      <c r="BA30" s="221">
        <f t="shared" si="8"/>
        <v>0.23081340879864953</v>
      </c>
      <c r="BB30" s="218">
        <f>SLP!BB30+ROSA!BB30+'STA ANA'!BB30+BOA!BB30+'STA MARIA'!BB30+'CB I'!BB30+IG!BB30+PN!BB30+MJ!BB30+'RB I'!BB30+'SF I'!BB30</f>
        <v>104150.48642554229</v>
      </c>
      <c r="BC30" s="218">
        <f>SLP!BC30+ROSA!BC30+'STA ANA'!BC30+BOA!BC30+'STA MARIA'!BC30+'CB I'!BC30+IG!BC30+PN!BC30+MJ!BC30+'RB I'!BC30+'SF I'!BC30</f>
        <v>93012.437425542274</v>
      </c>
      <c r="BD30" s="218">
        <f>SLP!BD30+ROSA!BD30+'STA ANA'!BD30+BOA!BD30+'STA MARIA'!BD30+'CB I'!BD30+IG!BD30+PN!BD30+MJ!BD30+'RB I'!BD30+'SF I'!BD30</f>
        <v>11138.049000000001</v>
      </c>
      <c r="BE30" s="218">
        <f>SLP!BE30+ROSA!BE30+'STA ANA'!BE30+BOA!BE30+'STA MARIA'!BE30+'CB I'!BE30+IG!BE30+PN!BE30+MJ!BE30+'RB I'!BE30+'SF I'!BE30</f>
        <v>0</v>
      </c>
      <c r="BF30" s="218">
        <f>SLP!BF30+ROSA!BF30+'STA ANA'!BF30+BOA!BF30+'STA MARIA'!BF30+'CB I'!BF30+IG!BF30+PN!BF30+MJ!BF30+'RB I'!BF30+'SF I'!BF30</f>
        <v>0</v>
      </c>
      <c r="BG30" s="218">
        <f>SLP!BG30+ROSA!BG30+'STA ANA'!BG30+BOA!BG30+'STA MARIA'!BG30+'CB I'!BG30+IG!BG30+PN!BG30+MJ!BG30+'RB I'!BG30+'SF I'!BG30</f>
        <v>0</v>
      </c>
      <c r="BH30" s="221">
        <f t="shared" si="9"/>
        <v>-1</v>
      </c>
      <c r="BI30" s="218">
        <f>SLP!BI30+ROSA!BI30+'STA ANA'!BI30+BOA!BI30+'STA MARIA'!BI30+'CB I'!BI30+IG!BI30+PN!BI30+MJ!BI30+'RB I'!BI30+'SF I'!BI30</f>
        <v>104150.48642554229</v>
      </c>
      <c r="BJ30" s="218">
        <f>SLP!BJ30+ROSA!BJ30+'STA ANA'!BJ30+BOA!BJ30+'STA MARIA'!BJ30+'CB I'!BJ30+IG!BJ30+PN!BJ30+MJ!BJ30+'RB I'!BJ30+'SF I'!BJ30</f>
        <v>93012.437425542274</v>
      </c>
      <c r="BK30" s="218">
        <f>SLP!BK30+ROSA!BK30+'STA ANA'!BK30+BOA!BK30+'STA MARIA'!BK30+'CB I'!BK30+IG!BK30+PN!BK30+MJ!BK30+'RB I'!BK30+'SF I'!BK30</f>
        <v>11138.049000000001</v>
      </c>
      <c r="BL30" s="218">
        <f>SLP!BL30+ROSA!BL30+'STA ANA'!BL30+BOA!BL30+'STA MARIA'!BL30+'CB I'!BL30+IG!BL30+PN!BL30+MJ!BL30+'RB I'!BL30+'SF I'!BL30</f>
        <v>0</v>
      </c>
      <c r="BM30" s="218">
        <f>SLP!BM30+ROSA!BM30+'STA ANA'!BM30+BOA!BM30+'STA MARIA'!BM30+'CB I'!BM30+IG!BM30+PN!BM30+MJ!BM30+'RB I'!BM30+'SF I'!BM30</f>
        <v>0</v>
      </c>
      <c r="BN30" s="218">
        <f>SLP!BN30+ROSA!BN30+'STA ANA'!BN30+BOA!BN30+'STA MARIA'!BN30+'CB I'!BN30+IG!BN30+PN!BN30+MJ!BN30+'RB I'!BN30+'SF I'!BN30</f>
        <v>0</v>
      </c>
      <c r="BO30" s="221">
        <f t="shared" si="10"/>
        <v>-1</v>
      </c>
      <c r="BP30" s="218">
        <f>SLP!BP30+ROSA!BP30+'STA ANA'!BP30+BOA!BP30+'STA MARIA'!BP30+'CB I'!BP30+IG!BP30+PN!BP30+MJ!BP30+'RB I'!BP30+'SF I'!BP30</f>
        <v>104150.48642554229</v>
      </c>
      <c r="BQ30" s="218">
        <f>SLP!BQ30+ROSA!BQ30+'STA ANA'!BQ30+BOA!BQ30+'STA MARIA'!BQ30+'CB I'!BQ30+IG!BQ30+PN!BQ30+MJ!BQ30+'RB I'!BQ30+'SF I'!BQ30</f>
        <v>93012.437425542274</v>
      </c>
      <c r="BR30" s="218">
        <f>SLP!BR30+ROSA!BR30+'STA ANA'!BR30+BOA!BR30+'STA MARIA'!BR30+'CB I'!BR30+IG!BR30+PN!BR30+MJ!BR30+'RB I'!BR30+'SF I'!BR30</f>
        <v>11138.049000000001</v>
      </c>
      <c r="BS30" s="218">
        <f>SLP!BS30+ROSA!BS30+'STA ANA'!BS30+BOA!BS30+'STA MARIA'!BS30+'CB I'!BS30+IG!BS30+PN!BS30+MJ!BS30+'RB I'!BS30+'SF I'!BS30</f>
        <v>0</v>
      </c>
      <c r="BT30" s="218">
        <f>SLP!BT30+ROSA!BT30+'STA ANA'!BT30+BOA!BT30+'STA MARIA'!BT30+'CB I'!BT30+IG!BT30+PN!BT30+MJ!BT30+'RB I'!BT30+'SF I'!BT30</f>
        <v>0</v>
      </c>
      <c r="BU30" s="218">
        <f>SLP!BU30+ROSA!BU30+'STA ANA'!BU30+BOA!BU30+'STA MARIA'!BU30+'CB I'!BU30+IG!BU30+PN!BU30+MJ!BU30+'RB I'!BU30+'SF I'!BU30</f>
        <v>0</v>
      </c>
      <c r="BV30" s="221">
        <f t="shared" si="11"/>
        <v>-1</v>
      </c>
      <c r="BW30" s="218">
        <f>SLP!BW30+ROSA!BW30+'STA ANA'!BW30+BOA!BW30+'STA MARIA'!BW30+'CB I'!BW30+IG!BW30+PN!BW30+MJ!BW30+'RB I'!BW30+'SF I'!BW30</f>
        <v>104150.48642554229</v>
      </c>
      <c r="BX30" s="218">
        <f>SLP!BX30+ROSA!BX30+'STA ANA'!BX30+BOA!BX30+'STA MARIA'!BX30+'CB I'!BX30+IG!BX30+PN!BX30+MJ!BX30+'RB I'!BX30+'SF I'!BX30</f>
        <v>93012.437425542274</v>
      </c>
      <c r="BY30" s="218">
        <f>SLP!BY30+ROSA!BY30+'STA ANA'!BY30+BOA!BY30+'STA MARIA'!BY30+'CB I'!BY30+IG!BY30+PN!BY30+MJ!BY30+'RB I'!BY30+'SF I'!BY30</f>
        <v>11138.049000000001</v>
      </c>
      <c r="BZ30" s="218">
        <f>SLP!BZ30+ROSA!BZ30+'STA ANA'!BZ30+BOA!BZ30+'STA MARIA'!BZ30+'CB I'!BZ30+IG!BZ30+PN!BZ30+MJ!BZ30+'RB I'!BZ30+'SF I'!BZ30</f>
        <v>0</v>
      </c>
      <c r="CA30" s="218">
        <f>SLP!CA30+ROSA!CA30+'STA ANA'!CA30+BOA!CA30+'STA MARIA'!CA30+'CB I'!CA30+IG!CA30+PN!CA30+MJ!CA30+'RB I'!CA30+'SF I'!CA30</f>
        <v>0</v>
      </c>
      <c r="CB30" s="218">
        <f>SLP!CB30+ROSA!CB30+'STA ANA'!CB30+BOA!CB30+'STA MARIA'!CB30+'CB I'!CB30+IG!CB30+PN!CB30+MJ!CB30+'RB I'!CB30+'SF I'!CB30</f>
        <v>0</v>
      </c>
      <c r="CC30" s="221">
        <f t="shared" si="12"/>
        <v>-1</v>
      </c>
      <c r="CD30" s="218">
        <f>SLP!CD30+ROSA!CD30+'STA ANA'!CD30+BOA!CD30+'STA MARIA'!CD30+'CB I'!CD30+IG!CD30+PN!CD30+MJ!CD30+'RB I'!CD30+'SF I'!CD30</f>
        <v>104150.48642554229</v>
      </c>
      <c r="CE30" s="218">
        <f>SLP!CE30+ROSA!CE30+'STA ANA'!CE30+BOA!CE30+'STA MARIA'!CE30+'CB I'!CE30+IG!CE30+PN!CE30+MJ!CE30+'RB I'!CE30+'SF I'!CE30</f>
        <v>93012.437425542274</v>
      </c>
      <c r="CF30" s="218">
        <f>SLP!CF30+ROSA!CF30+'STA ANA'!CF30+BOA!CF30+'STA MARIA'!CF30+'CB I'!CF30+IG!CF30+PN!CF30+MJ!CF30+'RB I'!CF30+'SF I'!CF30</f>
        <v>11138.049000000001</v>
      </c>
      <c r="CG30" s="218">
        <f>SLP!CG30+ROSA!CG30+'STA ANA'!CG30+BOA!CG30+'STA MARIA'!CG30+'CB I'!CG30+IG!CG30+PN!CG30+MJ!CG30+'RB I'!CG30+'SF I'!CG30</f>
        <v>0</v>
      </c>
      <c r="CH30" s="218">
        <f>SLP!CH30+ROSA!CH30+'STA ANA'!CH30+BOA!CH30+'STA MARIA'!CH30+'CB I'!CH30+IG!CH30+PN!CH30+MJ!CH30+'RB I'!CH30+'SF I'!CH30</f>
        <v>0</v>
      </c>
      <c r="CI30" s="218">
        <f>SLP!CI30+ROSA!CI30+'STA ANA'!CI30+BOA!CI30+'STA MARIA'!CI30+'CB I'!CI30+IG!CI30+PN!CI30+MJ!CI30+'RB I'!CI30+'SF I'!CI30</f>
        <v>0</v>
      </c>
      <c r="CJ30" s="221">
        <f t="shared" si="13"/>
        <v>-1</v>
      </c>
      <c r="CK30" s="218">
        <f>SLP!CK30+ROSA!CK30+'STA ANA'!CK30+BOA!CK30+'STA MARIA'!CK30+'CB I'!CK30+IG!CK30+PN!CK30+MJ!CK30+'RB I'!CK30+'SF I'!CK30</f>
        <v>104150.48642554229</v>
      </c>
      <c r="CL30" s="218">
        <f>SLP!CL30+ROSA!CL30+'STA ANA'!CL30+BOA!CL30+'STA MARIA'!CL30+'CB I'!CL30+IG!CL30+PN!CL30+MJ!CL30+'RB I'!CL30+'SF I'!CL30</f>
        <v>93012.437425542274</v>
      </c>
      <c r="CM30" s="218">
        <f>SLP!CM30+ROSA!CM30+'STA ANA'!CM30+BOA!CM30+'STA MARIA'!CM30+'CB I'!CM30+IG!CM30+PN!CM30+MJ!CM30+'RB I'!CM30+'SF I'!CM30</f>
        <v>11138.049000000001</v>
      </c>
      <c r="CN30" s="218">
        <f>SLP!CN30+ROSA!CN30+'STA ANA'!CN30+BOA!CN30+'STA MARIA'!CN30+'CB I'!CN30+IG!CN30+PN!CN30+MJ!CN30+'RB I'!CN30+'SF I'!CN30</f>
        <v>0</v>
      </c>
      <c r="CO30" s="218">
        <f>SLP!CO30+ROSA!CO30+'STA ANA'!CO30+BOA!CO30+'STA MARIA'!CO30+'CB I'!CO30+IG!CO30+PN!CO30+MJ!CO30+'RB I'!CO30+'SF I'!CO30</f>
        <v>0</v>
      </c>
      <c r="CP30" s="218">
        <f>SLP!CP30+ROSA!CP30+'STA ANA'!CP30+BOA!CP30+'STA MARIA'!CP30+'CB I'!CP30+IG!CP30+PN!CP30+MJ!CP30+'RB I'!CP30+'SF I'!CP30</f>
        <v>0</v>
      </c>
      <c r="CQ30" s="221">
        <f t="shared" si="14"/>
        <v>-1</v>
      </c>
      <c r="CR30" s="104"/>
      <c r="CS30" s="222" t="e">
        <f t="shared" si="15"/>
        <v>#VALUE!</v>
      </c>
    </row>
    <row r="31" spans="1:97" ht="16" customHeight="1" thickBot="1" x14ac:dyDescent="0.25">
      <c r="A31" s="223" t="s">
        <v>55</v>
      </c>
      <c r="B31" s="30">
        <f t="shared" si="0"/>
        <v>409370.90618441784</v>
      </c>
      <c r="C31" s="31">
        <f t="shared" si="0"/>
        <v>337890.4940944179</v>
      </c>
      <c r="D31" s="32">
        <f t="shared" si="0"/>
        <v>71480.412090000013</v>
      </c>
      <c r="E31" s="30">
        <f t="shared" si="16"/>
        <v>136456.96872813927</v>
      </c>
      <c r="F31" s="33">
        <f t="shared" si="16"/>
        <v>112630.1646981393</v>
      </c>
      <c r="G31" s="34">
        <f t="shared" si="16"/>
        <v>23826.804030000007</v>
      </c>
      <c r="H31" s="31">
        <f t="shared" si="1"/>
        <v>487371.57597146276</v>
      </c>
      <c r="I31" s="33">
        <f t="shared" si="1"/>
        <v>107827.13120981293</v>
      </c>
      <c r="J31" s="33">
        <f t="shared" si="1"/>
        <v>595198.70718127571</v>
      </c>
      <c r="K31" s="221">
        <f t="shared" si="2"/>
        <v>3.3618051370251321</v>
      </c>
      <c r="L31" s="218">
        <f>SLP!L31+ROSA!L31+'STA ANA'!L31+BOA!L31+'STA MARIA'!L31+'CB I'!L31+IG!L31+PN!L31+MJ!L31+'RB I'!L31+'SF I'!L31</f>
        <v>34114.242182034817</v>
      </c>
      <c r="M31" s="218">
        <f>SLP!M31+ROSA!M31+'STA ANA'!M31+BOA!M31+'STA MARIA'!M31+'CB I'!M31+IG!M31+PN!M31+MJ!M31+'RB I'!M31+'SF I'!M31</f>
        <v>28157.541174534825</v>
      </c>
      <c r="N31" s="218">
        <f>SLP!N31+ROSA!N31+'STA ANA'!N31+BOA!N31+'STA MARIA'!N31+'CB I'!N31+IG!N31+PN!N31+MJ!N31+'RB I'!N31+'SF I'!N31</f>
        <v>5956.7010075000017</v>
      </c>
      <c r="O31" s="218">
        <f>SLP!O31+ROSA!O31+'STA ANA'!O31+BOA!O31+'STA MARIA'!O31+'CB I'!O31+IG!O31+PN!O31+MJ!O31+'RB I'!O31+'SF I'!O31</f>
        <v>93092.847236967878</v>
      </c>
      <c r="P31" s="218">
        <f>SLP!P31+ROSA!P31+'STA ANA'!P31+BOA!P31+'STA MARIA'!P31+'CB I'!P31+IG!P31+PN!P31+MJ!P31+'RB I'!P31+'SF I'!P31</f>
        <v>18065.007907433657</v>
      </c>
      <c r="Q31" s="218">
        <f>SLP!Q31+ROSA!Q31+'STA ANA'!Q31+BOA!Q31+'STA MARIA'!Q31+'CB I'!Q31+IG!Q31+PN!Q31+MJ!Q31+'RB I'!Q31+'SF I'!Q31</f>
        <v>111157.85514440155</v>
      </c>
      <c r="R31" s="221">
        <f t="shared" si="3"/>
        <v>2.2584002467725726</v>
      </c>
      <c r="S31" s="218">
        <f>SLP!S31+ROSA!S31+'STA ANA'!S31+BOA!S31+'STA MARIA'!S31+'CB I'!S31+IG!S31+PN!S31+MJ!S31+'RB I'!S31+'SF I'!S31</f>
        <v>34114.242182034817</v>
      </c>
      <c r="T31" s="218">
        <f>SLP!T31+ROSA!T31+'STA ANA'!T31+BOA!T31+'STA MARIA'!T31+'CB I'!T31+IG!T31+PN!T31+MJ!T31+'RB I'!T31+'SF I'!T31</f>
        <v>28157.541174534825</v>
      </c>
      <c r="U31" s="218">
        <f>SLP!U31+ROSA!U31+'STA ANA'!U31+BOA!U31+'STA MARIA'!U31+'CB I'!U31+IG!U31+PN!U31+MJ!U31+'RB I'!U31+'SF I'!U31</f>
        <v>5956.7010075000017</v>
      </c>
      <c r="V31" s="218">
        <f>SLP!V31+ROSA!V31+'STA ANA'!V31+BOA!V31+'STA MARIA'!V31+'CB I'!V31+IG!V31+PN!V31+MJ!V31+'RB I'!V31+'SF I'!V31</f>
        <v>174347.77094776285</v>
      </c>
      <c r="W31" s="218">
        <f>SLP!W31+ROSA!W31+'STA ANA'!W31+BOA!W31+'STA MARIA'!W31+'CB I'!W31+IG!W31+PN!W31+MJ!W31+'RB I'!W31+'SF I'!W31</f>
        <v>26682.928854659807</v>
      </c>
      <c r="X31" s="218">
        <f>SLP!X31+ROSA!X31+'STA ANA'!X31+BOA!X31+'STA MARIA'!X31+'CB I'!X31+IG!X31+PN!X31+MJ!X31+'RB I'!X31+'SF I'!X31</f>
        <v>201030.69980242266</v>
      </c>
      <c r="Y31" s="221">
        <f t="shared" si="4"/>
        <v>4.8928672291682647</v>
      </c>
      <c r="Z31" s="218">
        <f>SLP!Z31+ROSA!Z31+'STA ANA'!Z31+BOA!Z31+'STA MARIA'!Z31+'CB I'!Z31+IG!Z31+PN!Z31+MJ!Z31+'RB I'!Z31+'SF I'!Z31</f>
        <v>34114.242182034817</v>
      </c>
      <c r="AA31" s="218">
        <f>SLP!AA31+ROSA!AA31+'STA ANA'!AA31+BOA!AA31+'STA MARIA'!AA31+'CB I'!AA31+IG!AA31+PN!AA31+MJ!AA31+'RB I'!AA31+'SF I'!AA31</f>
        <v>28157.541174534825</v>
      </c>
      <c r="AB31" s="218">
        <f>SLP!AB31+ROSA!AB31+'STA ANA'!AB31+BOA!AB31+'STA MARIA'!AB31+'CB I'!AB31+IG!AB31+PN!AB31+MJ!AB31+'RB I'!AB31+'SF I'!AB31</f>
        <v>5956.7010075000017</v>
      </c>
      <c r="AC31" s="218">
        <f>SLP!AC31+ROSA!AC31+'STA ANA'!AC31+BOA!AC31+'STA MARIA'!AC31+'CB I'!AC31+IG!AC31+PN!AC31+MJ!AC31+'RB I'!AC31+'SF I'!AC31</f>
        <v>51588.779212146321</v>
      </c>
      <c r="AD31" s="218">
        <f>SLP!AD31+ROSA!AD31+'STA ANA'!AD31+BOA!AD31+'STA MARIA'!AD31+'CB I'!AD31+IG!AD31+PN!AD31+MJ!AD31+'RB I'!AD31+'SF I'!AD31</f>
        <v>18554.861073825079</v>
      </c>
      <c r="AE31" s="218">
        <f>SLP!AE31+ROSA!AE31+'STA ANA'!AE31+BOA!AE31+'STA MARIA'!AE31+'CB I'!AE31+IG!AE31+PN!AE31+MJ!AE31+'RB I'!AE31+'SF I'!AE31</f>
        <v>70143.640285971414</v>
      </c>
      <c r="AF31" s="221">
        <f t="shared" si="5"/>
        <v>1.0561394830839985</v>
      </c>
      <c r="AG31" s="218">
        <f>SLP!AG31+ROSA!AG31+'STA ANA'!AG31+BOA!AG31+'STA MARIA'!AG31+'CB I'!AG31+IG!AG31+PN!AG31+MJ!AG31+'RB I'!AG31+'SF I'!AG31</f>
        <v>34114.242182034817</v>
      </c>
      <c r="AH31" s="218">
        <f>SLP!AH31+ROSA!AH31+'STA ANA'!AH31+BOA!AH31+'STA MARIA'!AH31+'CB I'!AH31+IG!AH31+PN!AH31+MJ!AH31+'RB I'!AH31+'SF I'!AH31</f>
        <v>28157.541174534825</v>
      </c>
      <c r="AI31" s="218">
        <f>SLP!AI31+ROSA!AI31+'STA ANA'!AI31+BOA!AI31+'STA MARIA'!AI31+'CB I'!AI31+IG!AI31+PN!AI31+MJ!AI31+'RB I'!AI31+'SF I'!AI31</f>
        <v>5956.7010075000017</v>
      </c>
      <c r="AJ31" s="218">
        <f>SLP!AJ31+ROSA!AJ31+'STA ANA'!AJ31+BOA!AJ31+'STA MARIA'!AJ31+'CB I'!AJ31+IG!AJ31+PN!AJ31+MJ!AJ31+'RB I'!AJ31+'SF I'!AJ31</f>
        <v>97541.121590463808</v>
      </c>
      <c r="AK31" s="218">
        <f>SLP!AK31+ROSA!AK31+'STA ANA'!AK31+BOA!AK31+'STA MARIA'!AK31+'CB I'!AK31+IG!AK31+PN!AK31+MJ!AK31+'RB I'!AK31+'SF I'!AK31</f>
        <v>24249.415776044731</v>
      </c>
      <c r="AL31" s="218">
        <f>SLP!AL31+ROSA!AL31+'STA ANA'!AL31+BOA!AL31+'STA MARIA'!AL31+'CB I'!AL31+IG!AL31+PN!AL31+MJ!AL31+'RB I'!AL31+'SF I'!AL31</f>
        <v>121790.53736650855</v>
      </c>
      <c r="AM31" s="221">
        <f t="shared" si="6"/>
        <v>2.5700789340894601</v>
      </c>
      <c r="AN31" s="218">
        <f>SLP!AN31+ROSA!AN31+'STA ANA'!AN31+BOA!AN31+'STA MARIA'!AN31+'CB I'!AN31+IG!AN31+PN!AN31+MJ!AN31+'RB I'!AN31+'SF I'!AN31</f>
        <v>34114.242182034817</v>
      </c>
      <c r="AO31" s="218">
        <f>SLP!AO31+ROSA!AO31+'STA ANA'!AO31+BOA!AO31+'STA MARIA'!AO31+'CB I'!AO31+IG!AO31+PN!AO31+MJ!AO31+'RB I'!AO31+'SF I'!AO31</f>
        <v>28157.541174534825</v>
      </c>
      <c r="AP31" s="218">
        <f>SLP!AP31+ROSA!AP31+'STA ANA'!AP31+BOA!AP31+'STA MARIA'!AP31+'CB I'!AP31+IG!AP31+PN!AP31+MJ!AP31+'RB I'!AP31+'SF I'!AP31</f>
        <v>5956.7010075000017</v>
      </c>
      <c r="AQ31" s="218">
        <f>SLP!AQ31+ROSA!AQ31+'STA ANA'!AQ31+BOA!AQ31+'STA MARIA'!AQ31+'CB I'!AQ31+IG!AQ31+PN!AQ31+MJ!AQ31+'RB I'!AQ31+'SF I'!AQ31</f>
        <v>41018.392947083783</v>
      </c>
      <c r="AR31" s="218">
        <f>SLP!AR31+ROSA!AR31+'STA ANA'!AR31+BOA!AR31+'STA MARIA'!AR31+'CB I'!AR31+IG!AR31+PN!AR31+MJ!AR31+'RB I'!AR31+'SF I'!AR31</f>
        <v>13823.429044915074</v>
      </c>
      <c r="AS31" s="218">
        <f>SLP!AS31+ROSA!AS31+'STA ANA'!AS31+BOA!AS31+'STA MARIA'!AS31+'CB I'!AS31+IG!AS31+PN!AS31+MJ!AS31+'RB I'!AS31+'SF I'!AS31</f>
        <v>54841.821991998848</v>
      </c>
      <c r="AT31" s="221">
        <f t="shared" si="7"/>
        <v>0.60759314832089539</v>
      </c>
      <c r="AU31" s="218">
        <f>SLP!AU31+ROSA!AU31+'STA ANA'!AU31+BOA!AU31+'STA MARIA'!AU31+'CB I'!AU31+IG!AU31+PN!AU31+MJ!AU31+'RB I'!AU31+'SF I'!AU31</f>
        <v>34114.242182034817</v>
      </c>
      <c r="AV31" s="218">
        <f>SLP!AV31+ROSA!AV31+'STA ANA'!AV31+BOA!AV31+'STA MARIA'!AV31+'CB I'!AV31+IG!AV31+PN!AV31+MJ!AV31+'RB I'!AV31+'SF I'!AV31</f>
        <v>28157.541174534825</v>
      </c>
      <c r="AW31" s="218">
        <f>SLP!AW31+ROSA!AW31+'STA ANA'!AW31+BOA!AW31+'STA MARIA'!AW31+'CB I'!AW31+IG!AW31+PN!AW31+MJ!AW31+'RB I'!AW31+'SF I'!AW31</f>
        <v>5956.7010075000017</v>
      </c>
      <c r="AX31" s="218">
        <f>SLP!AX31+ROSA!AX31+'STA ANA'!AX31+BOA!AX31+'STA MARIA'!AX31+'CB I'!AX31+IG!AX31+PN!AX31+MJ!AX31+'RB I'!AX31+'SF I'!AX31</f>
        <v>29782.664037038077</v>
      </c>
      <c r="AY31" s="218">
        <f>SLP!AY31+ROSA!AY31+'STA ANA'!AY31+BOA!AY31+'STA MARIA'!AY31+'CB I'!AY31+IG!AY31+PN!AY31+MJ!AY31+'RB I'!AY31+'SF I'!AY31</f>
        <v>6451.4885529345802</v>
      </c>
      <c r="AZ31" s="218">
        <f>SLP!AZ31+ROSA!AZ31+'STA ANA'!AZ31+BOA!AZ31+'STA MARIA'!AZ31+'CB I'!AZ31+IG!AZ31+PN!AZ31+MJ!AZ31+'RB I'!AZ31+'SF I'!AZ31</f>
        <v>36234.152589972662</v>
      </c>
      <c r="BA31" s="221">
        <f t="shared" si="8"/>
        <v>6.2141506665337243E-2</v>
      </c>
      <c r="BB31" s="218">
        <f>SLP!BB31+ROSA!BB31+'STA ANA'!BB31+BOA!BB31+'STA MARIA'!BB31+'CB I'!BB31+IG!BB31+PN!BB31+MJ!BB31+'RB I'!BB31+'SF I'!BB31</f>
        <v>34114.242182034817</v>
      </c>
      <c r="BC31" s="218">
        <f>SLP!BC31+ROSA!BC31+'STA ANA'!BC31+BOA!BC31+'STA MARIA'!BC31+'CB I'!BC31+IG!BC31+PN!BC31+MJ!BC31+'RB I'!BC31+'SF I'!BC31</f>
        <v>28157.541174534825</v>
      </c>
      <c r="BD31" s="218">
        <f>SLP!BD31+ROSA!BD31+'STA ANA'!BD31+BOA!BD31+'STA MARIA'!BD31+'CB I'!BD31+IG!BD31+PN!BD31+MJ!BD31+'RB I'!BD31+'SF I'!BD31</f>
        <v>5956.7010075000017</v>
      </c>
      <c r="BE31" s="218">
        <f>SLP!BE31+ROSA!BE31+'STA ANA'!BE31+BOA!BE31+'STA MARIA'!BE31+'CB I'!BE31+IG!BE31+PN!BE31+MJ!BE31+'RB I'!BE31+'SF I'!BE31</f>
        <v>0</v>
      </c>
      <c r="BF31" s="218">
        <f>SLP!BF31+ROSA!BF31+'STA ANA'!BF31+BOA!BF31+'STA MARIA'!BF31+'CB I'!BF31+IG!BF31+PN!BF31+MJ!BF31+'RB I'!BF31+'SF I'!BF31</f>
        <v>0</v>
      </c>
      <c r="BG31" s="218">
        <f>SLP!BG31+ROSA!BG31+'STA ANA'!BG31+BOA!BG31+'STA MARIA'!BG31+'CB I'!BG31+IG!BG31+PN!BG31+MJ!BG31+'RB I'!BG31+'SF I'!BG31</f>
        <v>0</v>
      </c>
      <c r="BH31" s="221">
        <f t="shared" si="9"/>
        <v>-1</v>
      </c>
      <c r="BI31" s="218">
        <f>SLP!BI31+ROSA!BI31+'STA ANA'!BI31+BOA!BI31+'STA MARIA'!BI31+'CB I'!BI31+IG!BI31+PN!BI31+MJ!BI31+'RB I'!BI31+'SF I'!BI31</f>
        <v>34114.242182034817</v>
      </c>
      <c r="BJ31" s="218">
        <f>SLP!BJ31+ROSA!BJ31+'STA ANA'!BJ31+BOA!BJ31+'STA MARIA'!BJ31+'CB I'!BJ31+IG!BJ31+PN!BJ31+MJ!BJ31+'RB I'!BJ31+'SF I'!BJ31</f>
        <v>28157.541174534825</v>
      </c>
      <c r="BK31" s="218">
        <f>SLP!BK31+ROSA!BK31+'STA ANA'!BK31+BOA!BK31+'STA MARIA'!BK31+'CB I'!BK31+IG!BK31+PN!BK31+MJ!BK31+'RB I'!BK31+'SF I'!BK31</f>
        <v>5956.7010075000017</v>
      </c>
      <c r="BL31" s="218">
        <f>SLP!BL31+ROSA!BL31+'STA ANA'!BL31+BOA!BL31+'STA MARIA'!BL31+'CB I'!BL31+IG!BL31+PN!BL31+MJ!BL31+'RB I'!BL31+'SF I'!BL31</f>
        <v>0</v>
      </c>
      <c r="BM31" s="218">
        <f>SLP!BM31+ROSA!BM31+'STA ANA'!BM31+BOA!BM31+'STA MARIA'!BM31+'CB I'!BM31+IG!BM31+PN!BM31+MJ!BM31+'RB I'!BM31+'SF I'!BM31</f>
        <v>0</v>
      </c>
      <c r="BN31" s="218">
        <f>SLP!BN31+ROSA!BN31+'STA ANA'!BN31+BOA!BN31+'STA MARIA'!BN31+'CB I'!BN31+IG!BN31+PN!BN31+MJ!BN31+'RB I'!BN31+'SF I'!BN31</f>
        <v>0</v>
      </c>
      <c r="BO31" s="221">
        <f t="shared" si="10"/>
        <v>-1</v>
      </c>
      <c r="BP31" s="218">
        <f>SLP!BP31+ROSA!BP31+'STA ANA'!BP31+BOA!BP31+'STA MARIA'!BP31+'CB I'!BP31+IG!BP31+PN!BP31+MJ!BP31+'RB I'!BP31+'SF I'!BP31</f>
        <v>34114.242182034817</v>
      </c>
      <c r="BQ31" s="218">
        <f>SLP!BQ31+ROSA!BQ31+'STA ANA'!BQ31+BOA!BQ31+'STA MARIA'!BQ31+'CB I'!BQ31+IG!BQ31+PN!BQ31+MJ!BQ31+'RB I'!BQ31+'SF I'!BQ31</f>
        <v>28157.541174534825</v>
      </c>
      <c r="BR31" s="218">
        <f>SLP!BR31+ROSA!BR31+'STA ANA'!BR31+BOA!BR31+'STA MARIA'!BR31+'CB I'!BR31+IG!BR31+PN!BR31+MJ!BR31+'RB I'!BR31+'SF I'!BR31</f>
        <v>5956.7010075000017</v>
      </c>
      <c r="BS31" s="218">
        <f>SLP!BS31+ROSA!BS31+'STA ANA'!BS31+BOA!BS31+'STA MARIA'!BS31+'CB I'!BS31+IG!BS31+PN!BS31+MJ!BS31+'RB I'!BS31+'SF I'!BS31</f>
        <v>0</v>
      </c>
      <c r="BT31" s="218">
        <f>SLP!BT31+ROSA!BT31+'STA ANA'!BT31+BOA!BT31+'STA MARIA'!BT31+'CB I'!BT31+IG!BT31+PN!BT31+MJ!BT31+'RB I'!BT31+'SF I'!BT31</f>
        <v>0</v>
      </c>
      <c r="BU31" s="218">
        <f>SLP!BU31+ROSA!BU31+'STA ANA'!BU31+BOA!BU31+'STA MARIA'!BU31+'CB I'!BU31+IG!BU31+PN!BU31+MJ!BU31+'RB I'!BU31+'SF I'!BU31</f>
        <v>0</v>
      </c>
      <c r="BV31" s="221">
        <f t="shared" si="11"/>
        <v>-1</v>
      </c>
      <c r="BW31" s="218">
        <f>SLP!BW31+ROSA!BW31+'STA ANA'!BW31+BOA!BW31+'STA MARIA'!BW31+'CB I'!BW31+IG!BW31+PN!BW31+MJ!BW31+'RB I'!BW31+'SF I'!BW31</f>
        <v>34114.242182034817</v>
      </c>
      <c r="BX31" s="218">
        <f>SLP!BX31+ROSA!BX31+'STA ANA'!BX31+BOA!BX31+'STA MARIA'!BX31+'CB I'!BX31+IG!BX31+PN!BX31+MJ!BX31+'RB I'!BX31+'SF I'!BX31</f>
        <v>28157.541174534825</v>
      </c>
      <c r="BY31" s="218">
        <f>SLP!BY31+ROSA!BY31+'STA ANA'!BY31+BOA!BY31+'STA MARIA'!BY31+'CB I'!BY31+IG!BY31+PN!BY31+MJ!BY31+'RB I'!BY31+'SF I'!BY31</f>
        <v>5956.7010075000017</v>
      </c>
      <c r="BZ31" s="218">
        <f>SLP!BZ31+ROSA!BZ31+'STA ANA'!BZ31+BOA!BZ31+'STA MARIA'!BZ31+'CB I'!BZ31+IG!BZ31+PN!BZ31+MJ!BZ31+'RB I'!BZ31+'SF I'!BZ31</f>
        <v>0</v>
      </c>
      <c r="CA31" s="218">
        <f>SLP!CA31+ROSA!CA31+'STA ANA'!CA31+BOA!CA31+'STA MARIA'!CA31+'CB I'!CA31+IG!CA31+PN!CA31+MJ!CA31+'RB I'!CA31+'SF I'!CA31</f>
        <v>0</v>
      </c>
      <c r="CB31" s="218">
        <f>SLP!CB31+ROSA!CB31+'STA ANA'!CB31+BOA!CB31+'STA MARIA'!CB31+'CB I'!CB31+IG!CB31+PN!CB31+MJ!CB31+'RB I'!CB31+'SF I'!CB31</f>
        <v>0</v>
      </c>
      <c r="CC31" s="221">
        <f t="shared" si="12"/>
        <v>-1</v>
      </c>
      <c r="CD31" s="218">
        <f>SLP!CD31+ROSA!CD31+'STA ANA'!CD31+BOA!CD31+'STA MARIA'!CD31+'CB I'!CD31+IG!CD31+PN!CD31+MJ!CD31+'RB I'!CD31+'SF I'!CD31</f>
        <v>34114.242182034817</v>
      </c>
      <c r="CE31" s="218">
        <f>SLP!CE31+ROSA!CE31+'STA ANA'!CE31+BOA!CE31+'STA MARIA'!CE31+'CB I'!CE31+IG!CE31+PN!CE31+MJ!CE31+'RB I'!CE31+'SF I'!CE31</f>
        <v>28157.541174534825</v>
      </c>
      <c r="CF31" s="218">
        <f>SLP!CF31+ROSA!CF31+'STA ANA'!CF31+BOA!CF31+'STA MARIA'!CF31+'CB I'!CF31+IG!CF31+PN!CF31+MJ!CF31+'RB I'!CF31+'SF I'!CF31</f>
        <v>5956.7010075000017</v>
      </c>
      <c r="CG31" s="218">
        <f>SLP!CG31+ROSA!CG31+'STA ANA'!CG31+BOA!CG31+'STA MARIA'!CG31+'CB I'!CG31+IG!CG31+PN!CG31+MJ!CG31+'RB I'!CG31+'SF I'!CG31</f>
        <v>0</v>
      </c>
      <c r="CH31" s="218">
        <f>SLP!CH31+ROSA!CH31+'STA ANA'!CH31+BOA!CH31+'STA MARIA'!CH31+'CB I'!CH31+IG!CH31+PN!CH31+MJ!CH31+'RB I'!CH31+'SF I'!CH31</f>
        <v>0</v>
      </c>
      <c r="CI31" s="218">
        <f>SLP!CI31+ROSA!CI31+'STA ANA'!CI31+BOA!CI31+'STA MARIA'!CI31+'CB I'!CI31+IG!CI31+PN!CI31+MJ!CI31+'RB I'!CI31+'SF I'!CI31</f>
        <v>0</v>
      </c>
      <c r="CJ31" s="221">
        <f t="shared" si="13"/>
        <v>-1</v>
      </c>
      <c r="CK31" s="218">
        <f>SLP!CK31+ROSA!CK31+'STA ANA'!CK31+BOA!CK31+'STA MARIA'!CK31+'CB I'!CK31+IG!CK31+PN!CK31+MJ!CK31+'RB I'!CK31+'SF I'!CK31</f>
        <v>34114.242182034817</v>
      </c>
      <c r="CL31" s="218">
        <f>SLP!CL31+ROSA!CL31+'STA ANA'!CL31+BOA!CL31+'STA MARIA'!CL31+'CB I'!CL31+IG!CL31+PN!CL31+MJ!CL31+'RB I'!CL31+'SF I'!CL31</f>
        <v>28157.541174534825</v>
      </c>
      <c r="CM31" s="218">
        <f>SLP!CM31+ROSA!CM31+'STA ANA'!CM31+BOA!CM31+'STA MARIA'!CM31+'CB I'!CM31+IG!CM31+PN!CM31+MJ!CM31+'RB I'!CM31+'SF I'!CM31</f>
        <v>5956.7010075000017</v>
      </c>
      <c r="CN31" s="218">
        <f>SLP!CN31+ROSA!CN31+'STA ANA'!CN31+BOA!CN31+'STA MARIA'!CN31+'CB I'!CN31+IG!CN31+PN!CN31+MJ!CN31+'RB I'!CN31+'SF I'!CN31</f>
        <v>0</v>
      </c>
      <c r="CO31" s="218">
        <f>SLP!CO31+ROSA!CO31+'STA ANA'!CO31+BOA!CO31+'STA MARIA'!CO31+'CB I'!CO31+IG!CO31+PN!CO31+MJ!CO31+'RB I'!CO31+'SF I'!CO31</f>
        <v>0</v>
      </c>
      <c r="CP31" s="218">
        <f>SLP!CP31+ROSA!CP31+'STA ANA'!CP31+BOA!CP31+'STA MARIA'!CP31+'CB I'!CP31+IG!CP31+PN!CP31+MJ!CP31+'RB I'!CP31+'SF I'!CP31</f>
        <v>0</v>
      </c>
      <c r="CQ31" s="221">
        <f t="shared" si="14"/>
        <v>-1</v>
      </c>
      <c r="CR31" s="154"/>
      <c r="CS31" s="222" t="e">
        <f t="shared" si="15"/>
        <v>#VALUE!</v>
      </c>
    </row>
    <row r="32" spans="1:97" ht="16" customHeight="1" thickBot="1" x14ac:dyDescent="0.25">
      <c r="A32" s="220" t="s">
        <v>207</v>
      </c>
      <c r="B32" s="30">
        <f t="shared" si="0"/>
        <v>36049286.940518931</v>
      </c>
      <c r="C32" s="31">
        <f t="shared" si="0"/>
        <v>32831128.015571292</v>
      </c>
      <c r="D32" s="32">
        <f t="shared" si="0"/>
        <v>3218158.9249476395</v>
      </c>
      <c r="E32" s="30">
        <f t="shared" si="16"/>
        <v>19164297.41661093</v>
      </c>
      <c r="F32" s="33">
        <f t="shared" si="16"/>
        <v>17477342.709413648</v>
      </c>
      <c r="G32" s="34">
        <f t="shared" si="16"/>
        <v>1686954.7071972804</v>
      </c>
      <c r="H32" s="31">
        <f t="shared" si="1"/>
        <v>21609319.9397441</v>
      </c>
      <c r="I32" s="33">
        <f t="shared" si="1"/>
        <v>2157452.8449159008</v>
      </c>
      <c r="J32" s="33">
        <f t="shared" si="1"/>
        <v>23766772.78466</v>
      </c>
      <c r="K32" s="221">
        <f t="shared" si="2"/>
        <v>0.24015883640272717</v>
      </c>
      <c r="L32" s="218">
        <f>SLP!L32+ROSA!L32+'STA ANA'!L32+BOA!L32+'STA MARIA'!L32+'CB I'!L32+IG!L32+PN!L32+MJ!L32+'RB I'!L32+'SF I'!L32</f>
        <v>5357251.8560543368</v>
      </c>
      <c r="M32" s="218">
        <f>SLP!M32+ROSA!M32+'STA ANA'!M32+BOA!M32+'STA MARIA'!M32+'CB I'!M32+IG!M32+PN!M32+MJ!M32+'RB I'!M32+'SF I'!M32</f>
        <v>4902085.9392829435</v>
      </c>
      <c r="N32" s="218">
        <f>SLP!N32+ROSA!N32+'STA ANA'!N32+BOA!N32+'STA MARIA'!N32+'CB I'!N32+IG!N32+PN!N32+MJ!N32+'RB I'!N32+'SF I'!N32</f>
        <v>455165.9167713935</v>
      </c>
      <c r="O32" s="218">
        <f>SLP!O32+ROSA!O32+'STA ANA'!O32+BOA!O32+'STA MARIA'!O32+'CB I'!O32+IG!O32+PN!O32+MJ!O32+'RB I'!O32+'SF I'!O32</f>
        <v>4732451.5898950007</v>
      </c>
      <c r="P32" s="218">
        <f>SLP!P32+ROSA!P32+'STA ANA'!P32+BOA!P32+'STA MARIA'!P32+'CB I'!P32+IG!P32+PN!P32+MJ!P32+'RB I'!P32+'SF I'!P32</f>
        <v>399902.25010499998</v>
      </c>
      <c r="Q32" s="218">
        <f>SLP!Q32+ROSA!Q32+'STA ANA'!Q32+BOA!Q32+'STA MARIA'!Q32+'CB I'!Q32+IG!Q32+PN!Q32+MJ!Q32+'RB I'!Q32+'SF I'!Q32</f>
        <v>5132353.8400000008</v>
      </c>
      <c r="R32" s="221">
        <f t="shared" si="3"/>
        <v>-4.1980108850057984E-2</v>
      </c>
      <c r="S32" s="218">
        <f>SLP!S32+ROSA!S32+'STA ANA'!S32+BOA!S32+'STA MARIA'!S32+'CB I'!S32+IG!S32+PN!S32+MJ!S32+'RB I'!S32+'SF I'!S32</f>
        <v>4538473.1419271175</v>
      </c>
      <c r="T32" s="218">
        <f>SLP!T32+ROSA!T32+'STA ANA'!T32+BOA!T32+'STA MARIA'!T32+'CB I'!T32+IG!T32+PN!T32+MJ!T32+'RB I'!T32+'SF I'!T32</f>
        <v>4128162.8280292125</v>
      </c>
      <c r="U32" s="218">
        <f>SLP!U32+ROSA!U32+'STA ANA'!U32+BOA!U32+'STA MARIA'!U32+'CB I'!U32+IG!U32+PN!U32+MJ!U32+'RB I'!U32+'SF I'!U32</f>
        <v>410310.31389790383</v>
      </c>
      <c r="V32" s="218">
        <f>SLP!V32+ROSA!V32+'STA ANA'!V32+BOA!V32+'STA MARIA'!V32+'CB I'!V32+IG!V32+PN!V32+MJ!V32+'RB I'!V32+'SF I'!V32</f>
        <v>3464719.0251695677</v>
      </c>
      <c r="W32" s="218">
        <f>SLP!W32+ROSA!W32+'STA ANA'!W32+BOA!W32+'STA MARIA'!W32+'CB I'!W32+IG!W32+PN!W32+MJ!W32+'RB I'!W32+'SF I'!W32</f>
        <v>359578.90804643306</v>
      </c>
      <c r="X32" s="218">
        <f>SLP!X32+ROSA!X32+'STA ANA'!X32+BOA!X32+'STA MARIA'!X32+'CB I'!X32+IG!X32+PN!X32+MJ!X32+'RB I'!X32+'SF I'!X32</f>
        <v>3824297.9332160004</v>
      </c>
      <c r="Y32" s="221">
        <f t="shared" si="4"/>
        <v>-0.15736023688527667</v>
      </c>
      <c r="Z32" s="218">
        <f>SLP!Z32+ROSA!Z32+'STA ANA'!Z32+BOA!Z32+'STA MARIA'!Z32+'CB I'!Z32+IG!Z32+PN!Z32+MJ!Z32+'RB I'!Z32+'SF I'!Z32</f>
        <v>4624692.2859271169</v>
      </c>
      <c r="AA32" s="218">
        <f>SLP!AA32+ROSA!AA32+'STA ANA'!AA32+BOA!AA32+'STA MARIA'!AA32+'CB I'!AA32+IG!AA32+PN!AA32+MJ!AA32+'RB I'!AA32+'SF I'!AA32</f>
        <v>4216637.6927800132</v>
      </c>
      <c r="AB32" s="218">
        <f>SLP!AB32+ROSA!AB32+'STA ANA'!AB32+BOA!AB32+'STA MARIA'!AB32+'CB I'!AB32+IG!AB32+PN!AB32+MJ!AB32+'RB I'!AB32+'SF I'!AB32</f>
        <v>408054.59314710379</v>
      </c>
      <c r="AC32" s="218">
        <f>SLP!AC32+ROSA!AC32+'STA ANA'!AC32+BOA!AC32+'STA MARIA'!AC32+'CB I'!AC32+IG!AC32+PN!AC32+MJ!AC32+'RB I'!AC32+'SF I'!AC32</f>
        <v>4432631.2322650002</v>
      </c>
      <c r="AD32" s="218">
        <f>SLP!AD32+ROSA!AD32+'STA ANA'!AD32+BOA!AD32+'STA MARIA'!AD32+'CB I'!AD32+IG!AD32+PN!AD32+MJ!AD32+'RB I'!AD32+'SF I'!AD32</f>
        <v>452305.34773500019</v>
      </c>
      <c r="AE32" s="218">
        <f>SLP!AE32+ROSA!AE32+'STA ANA'!AE32+BOA!AE32+'STA MARIA'!AE32+'CB I'!AE32+IG!AE32+PN!AE32+MJ!AE32+'RB I'!AE32+'SF I'!AE32</f>
        <v>4884936.58</v>
      </c>
      <c r="AF32" s="221">
        <f t="shared" si="5"/>
        <v>5.627278054040552E-2</v>
      </c>
      <c r="AG32" s="218">
        <f>SLP!AG32+ROSA!AG32+'STA ANA'!AG32+BOA!AG32+'STA MARIA'!AG32+'CB I'!AG32+IG!AG32+PN!AG32+MJ!AG32+'RB I'!AG32+'SF I'!AG32</f>
        <v>4643880.1327023581</v>
      </c>
      <c r="AH32" s="218">
        <f>SLP!AH32+ROSA!AH32+'STA ANA'!AH32+BOA!AH32+'STA MARIA'!AH32+'CB I'!AH32+IG!AH32+PN!AH32+MJ!AH32+'RB I'!AH32+'SF I'!AH32</f>
        <v>4230456.2493214794</v>
      </c>
      <c r="AI32" s="218">
        <f>SLP!AI32+ROSA!AI32+'STA ANA'!AI32+BOA!AI32+'STA MARIA'!AI32+'CB I'!AI32+IG!AI32+PN!AI32+MJ!AI32+'RB I'!AI32+'SF I'!AI32</f>
        <v>413423.88338087942</v>
      </c>
      <c r="AJ32" s="218">
        <f>SLP!AJ32+ROSA!AJ32+'STA ANA'!AJ32+BOA!AJ32+'STA MARIA'!AJ32+'CB I'!AJ32+IG!AJ32+PN!AJ32+MJ!AJ32+'RB I'!AJ32+'SF I'!AJ32</f>
        <v>3433514.8721650001</v>
      </c>
      <c r="AK32" s="218">
        <f>SLP!AK32+ROSA!AK32+'STA ANA'!AK32+BOA!AK32+'STA MARIA'!AK32+'CB I'!AK32+IG!AK32+PN!AK32+MJ!AK32+'RB I'!AK32+'SF I'!AK32</f>
        <v>358507.07783499995</v>
      </c>
      <c r="AL32" s="218">
        <f>SLP!AL32+ROSA!AL32+'STA ANA'!AL32+BOA!AL32+'STA MARIA'!AL32+'CB I'!AL32+IG!AL32+PN!AL32+MJ!AL32+'RB I'!AL32+'SF I'!AL32</f>
        <v>3792021.95</v>
      </c>
      <c r="AM32" s="221">
        <f t="shared" si="6"/>
        <v>-0.18343672927807597</v>
      </c>
      <c r="AN32" s="218">
        <f>SLP!AN32+ROSA!AN32+'STA ANA'!AN32+BOA!AN32+'STA MARIA'!AN32+'CB I'!AN32+IG!AN32+PN!AN32+MJ!AN32+'RB I'!AN32+'SF I'!AN32</f>
        <v>4837969.3071951997</v>
      </c>
      <c r="AO32" s="218">
        <f>SLP!AO32+ROSA!AO32+'STA ANA'!AO32+BOA!AO32+'STA MARIA'!AO32+'CB I'!AO32+IG!AO32+PN!AO32+MJ!AO32+'RB I'!AO32+'SF I'!AO32</f>
        <v>4402380.8172658216</v>
      </c>
      <c r="AP32" s="218">
        <f>SLP!AP32+ROSA!AP32+'STA ANA'!AP32+BOA!AP32+'STA MARIA'!AP32+'CB I'!AP32+IG!AP32+PN!AP32+MJ!AP32+'RB I'!AP32+'SF I'!AP32</f>
        <v>435588.48992937867</v>
      </c>
      <c r="AQ32" s="218">
        <f>SLP!AQ32+ROSA!AQ32+'STA ANA'!AQ32+BOA!AQ32+'STA MARIA'!AQ32+'CB I'!AQ32+IG!AQ32+PN!AQ32+MJ!AQ32+'RB I'!AQ32+'SF I'!AQ32</f>
        <v>2772442.4909275323</v>
      </c>
      <c r="AR32" s="218">
        <f>SLP!AR32+ROSA!AR32+'STA ANA'!AR32+BOA!AR32+'STA MARIA'!AR32+'CB I'!AR32+IG!AR32+PN!AR32+MJ!AR32+'RB I'!AR32+'SF I'!AR32</f>
        <v>285848.72051646764</v>
      </c>
      <c r="AS32" s="218">
        <f>SLP!AS32+ROSA!AS32+'STA ANA'!AS32+BOA!AS32+'STA MARIA'!AS32+'CB I'!AS32+IG!AS32+PN!AS32+MJ!AS32+'RB I'!AS32+'SF I'!AS32</f>
        <v>3058291.2114439998</v>
      </c>
      <c r="AT32" s="221">
        <f t="shared" si="7"/>
        <v>-0.36785642544370822</v>
      </c>
      <c r="AU32" s="218">
        <f>SLP!AU32+ROSA!AU32+'STA ANA'!AU32+BOA!AU32+'STA MARIA'!AU32+'CB I'!AU32+IG!AU32+PN!AU32+MJ!AU32+'RB I'!AU32+'SF I'!AU32</f>
        <v>5204983.6084399996</v>
      </c>
      <c r="AV32" s="218">
        <f>SLP!AV32+ROSA!AV32+'STA ANA'!AV32+BOA!AV32+'STA MARIA'!AV32+'CB I'!AV32+IG!AV32+PN!AV32+MJ!AV32+'RB I'!AV32+'SF I'!AV32</f>
        <v>4730781.8972548209</v>
      </c>
      <c r="AW32" s="218">
        <f>SLP!AW32+ROSA!AW32+'STA ANA'!AW32+BOA!AW32+'STA MARIA'!AW32+'CB I'!AW32+IG!AW32+PN!AW32+MJ!AW32+'RB I'!AW32+'SF I'!AW32</f>
        <v>474201.71118518</v>
      </c>
      <c r="AX32" s="218">
        <f>SLP!AX32+ROSA!AX32+'STA ANA'!AX32+BOA!AX32+'STA MARIA'!AX32+'CB I'!AX32+IG!AX32+PN!AX32+MJ!AX32+'RB I'!AX32+'SF I'!AX32</f>
        <v>2773560.7293219999</v>
      </c>
      <c r="AY32" s="218">
        <f>SLP!AY32+ROSA!AY32+'STA ANA'!AY32+BOA!AY32+'STA MARIA'!AY32+'CB I'!AY32+IG!AY32+PN!AY32+MJ!AY32+'RB I'!AY32+'SF I'!AY32</f>
        <v>301310.54067799996</v>
      </c>
      <c r="AZ32" s="218">
        <f>SLP!AZ32+ROSA!AZ32+'STA ANA'!AZ32+BOA!AZ32+'STA MARIA'!AZ32+'CB I'!AZ32+IG!AZ32+PN!AZ32+MJ!AZ32+'RB I'!AZ32+'SF I'!AZ32</f>
        <v>3074871.2699999991</v>
      </c>
      <c r="BA32" s="221">
        <f t="shared" si="8"/>
        <v>-0.40924477360235578</v>
      </c>
      <c r="BB32" s="218">
        <f>SLP!BB32+ROSA!BB32+'STA ANA'!BB32+BOA!BB32+'STA MARIA'!BB32+'CB I'!BB32+IG!BB32+PN!BB32+MJ!BB32+'RB I'!BB32+'SF I'!BB32</f>
        <v>5101982.8642727984</v>
      </c>
      <c r="BC32" s="218">
        <f>SLP!BC32+ROSA!BC32+'STA ANA'!BC32+BOA!BC32+'STA MARIA'!BC32+'CB I'!BC32+IG!BC32+PN!BC32+MJ!BC32+'RB I'!BC32+'SF I'!BC32</f>
        <v>4685162.6578753991</v>
      </c>
      <c r="BD32" s="218">
        <f>SLP!BD32+ROSA!BD32+'STA ANA'!BD32+BOA!BD32+'STA MARIA'!BD32+'CB I'!BD32+IG!BD32+PN!BD32+MJ!BD32+'RB I'!BD32+'SF I'!BD32</f>
        <v>416820.20639740006</v>
      </c>
      <c r="BE32" s="218">
        <f>SLP!BE32+ROSA!BE32+'STA ANA'!BE32+BOA!BE32+'STA MARIA'!BE32+'CB I'!BE32+IG!BE32+PN!BE32+MJ!BE32+'RB I'!BE32+'SF I'!BE32</f>
        <v>0</v>
      </c>
      <c r="BF32" s="218">
        <f>SLP!BF32+ROSA!BF32+'STA ANA'!BF32+BOA!BF32+'STA MARIA'!BF32+'CB I'!BF32+IG!BF32+PN!BF32+MJ!BF32+'RB I'!BF32+'SF I'!BF32</f>
        <v>0</v>
      </c>
      <c r="BG32" s="218">
        <f>SLP!BG32+ROSA!BG32+'STA ANA'!BG32+BOA!BG32+'STA MARIA'!BG32+'CB I'!BG32+IG!BG32+PN!BG32+MJ!BG32+'RB I'!BG32+'SF I'!BG32</f>
        <v>0</v>
      </c>
      <c r="BH32" s="221">
        <f t="shared" si="9"/>
        <v>-1</v>
      </c>
      <c r="BI32" s="218">
        <f>SLP!BI32+ROSA!BI32+'STA ANA'!BI32+BOA!BI32+'STA MARIA'!BI32+'CB I'!BI32+IG!BI32+PN!BI32+MJ!BI32+'RB I'!BI32+'SF I'!BI32</f>
        <v>1595729.1680000001</v>
      </c>
      <c r="BJ32" s="218">
        <f>SLP!BJ32+ROSA!BJ32+'STA ANA'!BJ32+BOA!BJ32+'STA MARIA'!BJ32+'CB I'!BJ32+IG!BJ32+PN!BJ32+MJ!BJ32+'RB I'!BJ32+'SF I'!BJ32</f>
        <v>1404977.8701552004</v>
      </c>
      <c r="BK32" s="218">
        <f>SLP!BK32+ROSA!BK32+'STA ANA'!BK32+BOA!BK32+'STA MARIA'!BK32+'CB I'!BK32+IG!BK32+PN!BK32+MJ!BK32+'RB I'!BK32+'SF I'!BK32</f>
        <v>190751.29784480002</v>
      </c>
      <c r="BL32" s="218">
        <f>SLP!BL32+ROSA!BL32+'STA ANA'!BL32+BOA!BL32+'STA MARIA'!BL32+'CB I'!BL32+IG!BL32+PN!BL32+MJ!BL32+'RB I'!BL32+'SF I'!BL32</f>
        <v>0</v>
      </c>
      <c r="BM32" s="218">
        <f>SLP!BM32+ROSA!BM32+'STA ANA'!BM32+BOA!BM32+'STA MARIA'!BM32+'CB I'!BM32+IG!BM32+PN!BM32+MJ!BM32+'RB I'!BM32+'SF I'!BM32</f>
        <v>0</v>
      </c>
      <c r="BN32" s="218">
        <f>SLP!BN32+ROSA!BN32+'STA ANA'!BN32+BOA!BN32+'STA MARIA'!BN32+'CB I'!BN32+IG!BN32+PN!BN32+MJ!BN32+'RB I'!BN32+'SF I'!BN32</f>
        <v>0</v>
      </c>
      <c r="BO32" s="221">
        <f t="shared" si="10"/>
        <v>-1</v>
      </c>
      <c r="BP32" s="218">
        <f>SLP!BP32+ROSA!BP32+'STA ANA'!BP32+BOA!BP32+'STA MARIA'!BP32+'CB I'!BP32+IG!BP32+PN!BP32+MJ!BP32+'RB I'!BP32+'SF I'!BP32</f>
        <v>96362.288</v>
      </c>
      <c r="BQ32" s="218">
        <f>SLP!BQ32+ROSA!BQ32+'STA ANA'!BQ32+BOA!BQ32+'STA MARIA'!BQ32+'CB I'!BQ32+IG!BQ32+PN!BQ32+MJ!BQ32+'RB I'!BQ32+'SF I'!BQ32</f>
        <v>87114.751803199993</v>
      </c>
      <c r="BR32" s="218">
        <f>SLP!BR32+ROSA!BR32+'STA ANA'!BR32+BOA!BR32+'STA MARIA'!BR32+'CB I'!BR32+IG!BR32+PN!BR32+MJ!BR32+'RB I'!BR32+'SF I'!BR32</f>
        <v>9247.5361967999997</v>
      </c>
      <c r="BS32" s="218">
        <f>SLP!BS32+ROSA!BS32+'STA ANA'!BS32+BOA!BS32+'STA MARIA'!BS32+'CB I'!BS32+IG!BS32+PN!BS32+MJ!BS32+'RB I'!BS32+'SF I'!BS32</f>
        <v>0</v>
      </c>
      <c r="BT32" s="218">
        <f>SLP!BT32+ROSA!BT32+'STA ANA'!BT32+BOA!BT32+'STA MARIA'!BT32+'CB I'!BT32+IG!BT32+PN!BT32+MJ!BT32+'RB I'!BT32+'SF I'!BT32</f>
        <v>0</v>
      </c>
      <c r="BU32" s="218">
        <f>SLP!BU32+ROSA!BU32+'STA ANA'!BU32+BOA!BU32+'STA MARIA'!BU32+'CB I'!BU32+IG!BU32+PN!BU32+MJ!BU32+'RB I'!BU32+'SF I'!BU32</f>
        <v>0</v>
      </c>
      <c r="BV32" s="221">
        <f t="shared" si="11"/>
        <v>-1</v>
      </c>
      <c r="BW32" s="218">
        <f>SLP!BW32+ROSA!BW32+'STA ANA'!BW32+BOA!BW32+'STA MARIA'!BW32+'CB I'!BW32+IG!BW32+PN!BW32+MJ!BW32+'RB I'!BW32+'SF I'!BW32</f>
        <v>47962.288</v>
      </c>
      <c r="BX32" s="218">
        <f>SLP!BX32+ROSA!BX32+'STA ANA'!BX32+BOA!BX32+'STA MARIA'!BX32+'CB I'!BX32+IG!BX32+PN!BX32+MJ!BX32+'RB I'!BX32+'SF I'!BX32</f>
        <v>43367.311803199991</v>
      </c>
      <c r="BY32" s="218">
        <f>SLP!BY32+ROSA!BY32+'STA ANA'!BY32+BOA!BY32+'STA MARIA'!BY32+'CB I'!BY32+IG!BY32+PN!BY32+MJ!BY32+'RB I'!BY32+'SF I'!BY32</f>
        <v>4594.9761967999993</v>
      </c>
      <c r="BZ32" s="218">
        <f>SLP!BZ32+ROSA!BZ32+'STA ANA'!BZ32+BOA!BZ32+'STA MARIA'!BZ32+'CB I'!BZ32+IG!BZ32+PN!BZ32+MJ!BZ32+'RB I'!BZ32+'SF I'!BZ32</f>
        <v>0</v>
      </c>
      <c r="CA32" s="218">
        <f>SLP!CA32+ROSA!CA32+'STA ANA'!CA32+BOA!CA32+'STA MARIA'!CA32+'CB I'!CA32+IG!CA32+PN!CA32+MJ!CA32+'RB I'!CA32+'SF I'!CA32</f>
        <v>0</v>
      </c>
      <c r="CB32" s="218">
        <f>SLP!CB32+ROSA!CB32+'STA ANA'!CB32+BOA!CB32+'STA MARIA'!CB32+'CB I'!CB32+IG!CB32+PN!CB32+MJ!CB32+'RB I'!CB32+'SF I'!CB32</f>
        <v>0</v>
      </c>
      <c r="CC32" s="221">
        <f t="shared" si="12"/>
        <v>-1</v>
      </c>
      <c r="CD32" s="218">
        <f>SLP!CD32+ROSA!CD32+'STA ANA'!CD32+BOA!CD32+'STA MARIA'!CD32+'CB I'!CD32+IG!CD32+PN!CD32+MJ!CD32+'RB I'!CD32+'SF I'!CD32</f>
        <v>0</v>
      </c>
      <c r="CE32" s="218">
        <f>SLP!CE32+ROSA!CE32+'STA ANA'!CE32+BOA!CE32+'STA MARIA'!CE32+'CB I'!CE32+IG!CE32+PN!CE32+MJ!CE32+'RB I'!CE32+'SF I'!CE32</f>
        <v>0</v>
      </c>
      <c r="CF32" s="218">
        <f>SLP!CF32+ROSA!CF32+'STA ANA'!CF32+BOA!CF32+'STA MARIA'!CF32+'CB I'!CF32+IG!CF32+PN!CF32+MJ!CF32+'RB I'!CF32+'SF I'!CF32</f>
        <v>0</v>
      </c>
      <c r="CG32" s="218">
        <f>SLP!CG32+ROSA!CG32+'STA ANA'!CG32+BOA!CG32+'STA MARIA'!CG32+'CB I'!CG32+IG!CG32+PN!CG32+MJ!CG32+'RB I'!CG32+'SF I'!CG32</f>
        <v>0</v>
      </c>
      <c r="CH32" s="218">
        <f>SLP!CH32+ROSA!CH32+'STA ANA'!CH32+BOA!CH32+'STA MARIA'!CH32+'CB I'!CH32+IG!CH32+PN!CH32+MJ!CH32+'RB I'!CH32+'SF I'!CH32</f>
        <v>0</v>
      </c>
      <c r="CI32" s="218">
        <f>SLP!CI32+ROSA!CI32+'STA ANA'!CI32+BOA!CI32+'STA MARIA'!CI32+'CB I'!CI32+IG!CI32+PN!CI32+MJ!CI32+'RB I'!CI32+'SF I'!CI32</f>
        <v>0</v>
      </c>
      <c r="CJ32" s="221" t="str">
        <f t="shared" si="13"/>
        <v/>
      </c>
      <c r="CK32" s="218">
        <f>SLP!CK32+ROSA!CK32+'STA ANA'!CK32+BOA!CK32+'STA MARIA'!CK32+'CB I'!CK32+IG!CK32+PN!CK32+MJ!CK32+'RB I'!CK32+'SF I'!CK32</f>
        <v>0</v>
      </c>
      <c r="CL32" s="218">
        <f>SLP!CL32+ROSA!CL32+'STA ANA'!CL32+BOA!CL32+'STA MARIA'!CL32+'CB I'!CL32+IG!CL32+PN!CL32+MJ!CL32+'RB I'!CL32+'SF I'!CL32</f>
        <v>0</v>
      </c>
      <c r="CM32" s="218">
        <f>SLP!CM32+ROSA!CM32+'STA ANA'!CM32+BOA!CM32+'STA MARIA'!CM32+'CB I'!CM32+IG!CM32+PN!CM32+MJ!CM32+'RB I'!CM32+'SF I'!CM32</f>
        <v>0</v>
      </c>
      <c r="CN32" s="218">
        <f>SLP!CN32+ROSA!CN32+'STA ANA'!CN32+BOA!CN32+'STA MARIA'!CN32+'CB I'!CN32+IG!CN32+PN!CN32+MJ!CN32+'RB I'!CN32+'SF I'!CN32</f>
        <v>0</v>
      </c>
      <c r="CO32" s="218">
        <f>SLP!CO32+ROSA!CO32+'STA ANA'!CO32+BOA!CO32+'STA MARIA'!CO32+'CB I'!CO32+IG!CO32+PN!CO32+MJ!CO32+'RB I'!CO32+'SF I'!CO32</f>
        <v>0</v>
      </c>
      <c r="CP32" s="218">
        <f>SLP!CP32+ROSA!CP32+'STA ANA'!CP32+BOA!CP32+'STA MARIA'!CP32+'CB I'!CP32+IG!CP32+PN!CP32+MJ!CP32+'RB I'!CP32+'SF I'!CP32</f>
        <v>0</v>
      </c>
      <c r="CQ32" s="221" t="str">
        <f t="shared" si="14"/>
        <v/>
      </c>
      <c r="CR32" s="154"/>
      <c r="CS32" s="222" t="e">
        <f t="shared" si="15"/>
        <v>#VALUE!</v>
      </c>
    </row>
    <row r="33" spans="1:97" ht="16" customHeight="1" thickBot="1" x14ac:dyDescent="0.25">
      <c r="A33" s="220" t="s">
        <v>57</v>
      </c>
      <c r="B33" s="30">
        <f t="shared" si="0"/>
        <v>19720040.816326529</v>
      </c>
      <c r="C33" s="31">
        <f t="shared" si="0"/>
        <v>17827669.514285713</v>
      </c>
      <c r="D33" s="32">
        <f t="shared" si="0"/>
        <v>1892371.3020408165</v>
      </c>
      <c r="E33" s="30">
        <f t="shared" si="16"/>
        <v>11779285.714285715</v>
      </c>
      <c r="F33" s="33">
        <f t="shared" si="16"/>
        <v>10645265.426530613</v>
      </c>
      <c r="G33" s="34">
        <f t="shared" si="16"/>
        <v>1134020.2877551024</v>
      </c>
      <c r="H33" s="31">
        <f t="shared" si="1"/>
        <v>13028260.818232</v>
      </c>
      <c r="I33" s="33">
        <f t="shared" si="1"/>
        <v>1385188.7317679999</v>
      </c>
      <c r="J33" s="33">
        <f t="shared" si="1"/>
        <v>14413449.549999997</v>
      </c>
      <c r="K33" s="221">
        <f t="shared" si="2"/>
        <v>0.22362678855133078</v>
      </c>
      <c r="L33" s="218">
        <f>SLP!L33+ROSA!L33+'STA ANA'!L33+BOA!L33+'STA MARIA'!L33+'CB I'!L33+IG!L33+PN!L33+MJ!L33+'RB I'!L33+'SF I'!L33</f>
        <v>3130159.1836734693</v>
      </c>
      <c r="M33" s="218">
        <f>SLP!M33+ROSA!M33+'STA ANA'!M33+BOA!M33+'STA MARIA'!M33+'CB I'!M33+IG!M33+PN!M33+MJ!M33+'RB I'!M33+'SF I'!M33</f>
        <v>2847241.5106122447</v>
      </c>
      <c r="N33" s="218">
        <f>SLP!N33+ROSA!N33+'STA ANA'!N33+BOA!N33+'STA MARIA'!N33+'CB I'!N33+IG!N33+PN!N33+MJ!N33+'RB I'!N33+'SF I'!N33</f>
        <v>282917.67306122452</v>
      </c>
      <c r="O33" s="218">
        <f>SLP!O33+ROSA!O33+'STA ANA'!O33+BOA!O33+'STA MARIA'!O33+'CB I'!O33+IG!O33+PN!O33+MJ!O33+'RB I'!O33+'SF I'!O33</f>
        <v>2854858.2171530002</v>
      </c>
      <c r="P33" s="218">
        <f>SLP!P33+ROSA!P33+'STA ANA'!P33+BOA!P33+'STA MARIA'!P33+'CB I'!P33+IG!P33+PN!P33+MJ!P33+'RB I'!P33+'SF I'!P33</f>
        <v>300007.93284700002</v>
      </c>
      <c r="Q33" s="218">
        <f>SLP!Q33+ROSA!Q33+'STA ANA'!Q33+BOA!Q33+'STA MARIA'!Q33+'CB I'!Q33+IG!Q33+PN!Q33+MJ!Q33+'RB I'!Q33+'SF I'!Q33</f>
        <v>3154866.1500000004</v>
      </c>
      <c r="R33" s="221">
        <f t="shared" si="3"/>
        <v>7.8931980377865418E-3</v>
      </c>
      <c r="S33" s="218">
        <f>SLP!S33+ROSA!S33+'STA ANA'!S33+BOA!S33+'STA MARIA'!S33+'CB I'!S33+IG!S33+PN!S33+MJ!S33+'RB I'!S33+'SF I'!S33</f>
        <v>2786477.551020408</v>
      </c>
      <c r="T33" s="218">
        <f>SLP!T33+ROSA!T33+'STA ANA'!T33+BOA!T33+'STA MARIA'!T33+'CB I'!T33+IG!T33+PN!T33+MJ!T33+'RB I'!T33+'SF I'!T33</f>
        <v>2507099.2910204083</v>
      </c>
      <c r="U33" s="218">
        <f>SLP!U33+ROSA!U33+'STA ANA'!U33+BOA!U33+'STA MARIA'!U33+'CB I'!U33+IG!U33+PN!U33+MJ!U33+'RB I'!U33+'SF I'!U33</f>
        <v>279378.26000000007</v>
      </c>
      <c r="V33" s="218">
        <f>SLP!V33+ROSA!V33+'STA ANA'!V33+BOA!V33+'STA MARIA'!V33+'CB I'!V33+IG!V33+PN!V33+MJ!V33+'RB I'!V33+'SF I'!V33</f>
        <v>1983091.0609880001</v>
      </c>
      <c r="W33" s="218">
        <f>SLP!W33+ROSA!W33+'STA ANA'!W33+BOA!W33+'STA MARIA'!W33+'CB I'!W33+IG!W33+PN!W33+MJ!W33+'RB I'!W33+'SF I'!W33</f>
        <v>144475.12901200002</v>
      </c>
      <c r="X33" s="218">
        <f>SLP!X33+ROSA!X33+'STA ANA'!X33+BOA!X33+'STA MARIA'!X33+'CB I'!X33+IG!X33+PN!X33+MJ!X33+'RB I'!X33+'SF I'!X33</f>
        <v>2127566.19</v>
      </c>
      <c r="Y33" s="221">
        <f t="shared" si="4"/>
        <v>-0.23646749308248138</v>
      </c>
      <c r="Z33" s="218">
        <f>SLP!Z33+ROSA!Z33+'STA ANA'!Z33+BOA!Z33+'STA MARIA'!Z33+'CB I'!Z33+IG!Z33+PN!Z33+MJ!Z33+'RB I'!Z33+'SF I'!Z33</f>
        <v>2882600</v>
      </c>
      <c r="AA33" s="218">
        <f>SLP!AA33+ROSA!AA33+'STA ANA'!AA33+BOA!AA33+'STA MARIA'!AA33+'CB I'!AA33+IG!AA33+PN!AA33+MJ!AA33+'RB I'!AA33+'SF I'!AA33</f>
        <v>2601533.6991836736</v>
      </c>
      <c r="AB33" s="218">
        <f>SLP!AB33+ROSA!AB33+'STA ANA'!AB33+BOA!AB33+'STA MARIA'!AB33+'CB I'!AB33+IG!AB33+PN!AB33+MJ!AB33+'RB I'!AB33+'SF I'!AB33</f>
        <v>281066.30081632658</v>
      </c>
      <c r="AC33" s="218">
        <f>SLP!AC33+ROSA!AC33+'STA ANA'!AC33+BOA!AC33+'STA MARIA'!AC33+'CB I'!AC33+IG!AC33+PN!AC33+MJ!AC33+'RB I'!AC33+'SF I'!AC33</f>
        <v>2408798.1279460001</v>
      </c>
      <c r="AD33" s="218">
        <f>SLP!AD33+ROSA!AD33+'STA ANA'!AD33+BOA!AD33+'STA MARIA'!AD33+'CB I'!AD33+IG!AD33+PN!AD33+MJ!AD33+'RB I'!AD33+'SF I'!AD33</f>
        <v>276566.53205400001</v>
      </c>
      <c r="AE33" s="218">
        <f>SLP!AE33+ROSA!AE33+'STA ANA'!AE33+BOA!AE33+'STA MARIA'!AE33+'CB I'!AE33+IG!AE33+PN!AE33+MJ!AE33+'RB I'!AE33+'SF I'!AE33</f>
        <v>2685364.66</v>
      </c>
      <c r="AF33" s="221">
        <f t="shared" si="5"/>
        <v>-6.8422722542149428E-2</v>
      </c>
      <c r="AG33" s="218">
        <f>SLP!AG33+ROSA!AG33+'STA ANA'!AG33+BOA!AG33+'STA MARIA'!AG33+'CB I'!AG33+IG!AG33+PN!AG33+MJ!AG33+'RB I'!AG33+'SF I'!AG33</f>
        <v>2980048.9795918367</v>
      </c>
      <c r="AH33" s="218">
        <f>SLP!AH33+ROSA!AH33+'STA ANA'!AH33+BOA!AH33+'STA MARIA'!AH33+'CB I'!AH33+IG!AH33+PN!AH33+MJ!AH33+'RB I'!AH33+'SF I'!AH33</f>
        <v>2689390.925714286</v>
      </c>
      <c r="AI33" s="218">
        <f>SLP!AI33+ROSA!AI33+'STA ANA'!AI33+BOA!AI33+'STA MARIA'!AI33+'CB I'!AI33+IG!AI33+PN!AI33+MJ!AI33+'RB I'!AI33+'SF I'!AI33</f>
        <v>290658.05387755105</v>
      </c>
      <c r="AJ33" s="218">
        <f>SLP!AJ33+ROSA!AJ33+'STA ANA'!AJ33+BOA!AJ33+'STA MARIA'!AJ33+'CB I'!AJ33+IG!AJ33+PN!AJ33+MJ!AJ33+'RB I'!AJ33+'SF I'!AJ33</f>
        <v>1912273.1954880001</v>
      </c>
      <c r="AK33" s="218">
        <f>SLP!AK33+ROSA!AK33+'STA ANA'!AK33+BOA!AK33+'STA MARIA'!AK33+'CB I'!AK33+IG!AK33+PN!AK33+MJ!AK33+'RB I'!AK33+'SF I'!AK33</f>
        <v>217583.27451199995</v>
      </c>
      <c r="AL33" s="218">
        <f>SLP!AL33+ROSA!AL33+'STA ANA'!AL33+BOA!AL33+'STA MARIA'!AL33+'CB I'!AL33+IG!AL33+PN!AL33+MJ!AL33+'RB I'!AL33+'SF I'!AL33</f>
        <v>2129856.4699999997</v>
      </c>
      <c r="AM33" s="221">
        <f t="shared" si="6"/>
        <v>-0.28529481072766927</v>
      </c>
      <c r="AN33" s="218">
        <f>SLP!AN33+ROSA!AN33+'STA ANA'!AN33+BOA!AN33+'STA MARIA'!AN33+'CB I'!AN33+IG!AN33+PN!AN33+MJ!AN33+'RB I'!AN33+'SF I'!AN33</f>
        <v>3033975.5102040814</v>
      </c>
      <c r="AO33" s="218">
        <f>SLP!AO33+ROSA!AO33+'STA ANA'!AO33+BOA!AO33+'STA MARIA'!AO33+'CB I'!AO33+IG!AO33+PN!AO33+MJ!AO33+'RB I'!AO33+'SF I'!AO33</f>
        <v>2731382.6881632651</v>
      </c>
      <c r="AP33" s="218">
        <f>SLP!AP33+ROSA!AP33+'STA ANA'!AP33+BOA!AP33+'STA MARIA'!AP33+'CB I'!AP33+IG!AP33+PN!AP33+MJ!AP33+'RB I'!AP33+'SF I'!AP33</f>
        <v>302592.8220408163</v>
      </c>
      <c r="AQ33" s="218">
        <f>SLP!AQ33+ROSA!AQ33+'STA ANA'!AQ33+BOA!AQ33+'STA MARIA'!AQ33+'CB I'!AQ33+IG!AQ33+PN!AQ33+MJ!AQ33+'RB I'!AQ33+'SF I'!AQ33</f>
        <v>1776297.1820749999</v>
      </c>
      <c r="AR33" s="218">
        <f>SLP!AR33+ROSA!AR33+'STA ANA'!AR33+BOA!AR33+'STA MARIA'!AR33+'CB I'!AR33+IG!AR33+PN!AR33+MJ!AR33+'RB I'!AR33+'SF I'!AR33</f>
        <v>235926.01792500002</v>
      </c>
      <c r="AS33" s="218">
        <f>SLP!AS33+ROSA!AS33+'STA ANA'!AS33+BOA!AS33+'STA MARIA'!AS33+'CB I'!AS33+IG!AS33+PN!AS33+MJ!AS33+'RB I'!AS33+'SF I'!AS33</f>
        <v>2012223.2</v>
      </c>
      <c r="AT33" s="221">
        <f t="shared" si="7"/>
        <v>-0.33677012446793053</v>
      </c>
      <c r="AU33" s="218">
        <f>SLP!AU33+ROSA!AU33+'STA ANA'!AU33+BOA!AU33+'STA MARIA'!AU33+'CB I'!AU33+IG!AU33+PN!AU33+MJ!AU33+'RB I'!AU33+'SF I'!AU33</f>
        <v>2866122.448979592</v>
      </c>
      <c r="AV33" s="218">
        <f>SLP!AV33+ROSA!AV33+'STA ANA'!AV33+BOA!AV33+'STA MARIA'!AV33+'CB I'!AV33+IG!AV33+PN!AV33+MJ!AV33+'RB I'!AV33+'SF I'!AV33</f>
        <v>2581278.2653061231</v>
      </c>
      <c r="AW33" s="218">
        <f>SLP!AW33+ROSA!AW33+'STA ANA'!AW33+BOA!AW33+'STA MARIA'!AW33+'CB I'!AW33+IG!AW33+PN!AW33+MJ!AW33+'RB I'!AW33+'SF I'!AW33</f>
        <v>284844.18367346947</v>
      </c>
      <c r="AX33" s="218">
        <f>SLP!AX33+ROSA!AX33+'STA ANA'!AX33+BOA!AX33+'STA MARIA'!AX33+'CB I'!AX33+IG!AX33+PN!AX33+MJ!AX33+'RB I'!AX33+'SF I'!AX33</f>
        <v>2092943.034582</v>
      </c>
      <c r="AY33" s="218">
        <f>SLP!AY33+ROSA!AY33+'STA ANA'!AY33+BOA!AY33+'STA MARIA'!AY33+'CB I'!AY33+IG!AY33+PN!AY33+MJ!AY33+'RB I'!AY33+'SF I'!AY33</f>
        <v>210629.84541799998</v>
      </c>
      <c r="AZ33" s="218">
        <f>SLP!AZ33+ROSA!AZ33+'STA ANA'!AZ33+BOA!AZ33+'STA MARIA'!AZ33+'CB I'!AZ33+IG!AZ33+PN!AZ33+MJ!AZ33+'RB I'!AZ33+'SF I'!AZ33</f>
        <v>2303572.88</v>
      </c>
      <c r="BA33" s="221">
        <f t="shared" si="8"/>
        <v>-0.19627548333808043</v>
      </c>
      <c r="BB33" s="218">
        <f>SLP!BB33+ROSA!BB33+'STA ANA'!BB33+BOA!BB33+'STA MARIA'!BB33+'CB I'!BB33+IG!BB33+PN!BB33+MJ!BB33+'RB I'!BB33+'SF I'!BB33</f>
        <v>2040657.1428571427</v>
      </c>
      <c r="BC33" s="218">
        <f>SLP!BC33+ROSA!BC33+'STA ANA'!BC33+BOA!BC33+'STA MARIA'!BC33+'CB I'!BC33+IG!BC33+PN!BC33+MJ!BC33+'RB I'!BC33+'SF I'!BC33</f>
        <v>1869743.1342857145</v>
      </c>
      <c r="BD33" s="218">
        <f>SLP!BD33+ROSA!BD33+'STA ANA'!BD33+BOA!BD33+'STA MARIA'!BD33+'CB I'!BD33+IG!BD33+PN!BD33+MJ!BD33+'RB I'!BD33+'SF I'!BD33</f>
        <v>170914.00857142857</v>
      </c>
      <c r="BE33" s="218">
        <f>SLP!BE33+ROSA!BE33+'STA ANA'!BE33+BOA!BE33+'STA MARIA'!BE33+'CB I'!BE33+IG!BE33+PN!BE33+MJ!BE33+'RB I'!BE33+'SF I'!BE33</f>
        <v>0</v>
      </c>
      <c r="BF33" s="218">
        <f>SLP!BF33+ROSA!BF33+'STA ANA'!BF33+BOA!BF33+'STA MARIA'!BF33+'CB I'!BF33+IG!BF33+PN!BF33+MJ!BF33+'RB I'!BF33+'SF I'!BF33</f>
        <v>0</v>
      </c>
      <c r="BG33" s="218">
        <f>SLP!BG33+ROSA!BG33+'STA ANA'!BG33+BOA!BG33+'STA MARIA'!BG33+'CB I'!BG33+IG!BG33+PN!BG33+MJ!BG33+'RB I'!BG33+'SF I'!BG33</f>
        <v>0</v>
      </c>
      <c r="BH33" s="221">
        <f t="shared" si="9"/>
        <v>-1</v>
      </c>
      <c r="BI33" s="218">
        <f>SLP!BI33+ROSA!BI33+'STA ANA'!BI33+BOA!BI33+'STA MARIA'!BI33+'CB I'!BI33+IG!BI33+PN!BI33+MJ!BI33+'RB I'!BI33+'SF I'!BI33</f>
        <v>0</v>
      </c>
      <c r="BJ33" s="218">
        <f>SLP!BJ33+ROSA!BJ33+'STA ANA'!BJ33+BOA!BJ33+'STA MARIA'!BJ33+'CB I'!BJ33+IG!BJ33+PN!BJ33+MJ!BJ33+'RB I'!BJ33+'SF I'!BJ33</f>
        <v>0</v>
      </c>
      <c r="BK33" s="218">
        <f>SLP!BK33+ROSA!BK33+'STA ANA'!BK33+BOA!BK33+'STA MARIA'!BK33+'CB I'!BK33+IG!BK33+PN!BK33+MJ!BK33+'RB I'!BK33+'SF I'!BK33</f>
        <v>0</v>
      </c>
      <c r="BL33" s="218">
        <f>SLP!BL33+ROSA!BL33+'STA ANA'!BL33+BOA!BL33+'STA MARIA'!BL33+'CB I'!BL33+IG!BL33+PN!BL33+MJ!BL33+'RB I'!BL33+'SF I'!BL33</f>
        <v>0</v>
      </c>
      <c r="BM33" s="218">
        <f>SLP!BM33+ROSA!BM33+'STA ANA'!BM33+BOA!BM33+'STA MARIA'!BM33+'CB I'!BM33+IG!BM33+PN!BM33+MJ!BM33+'RB I'!BM33+'SF I'!BM33</f>
        <v>0</v>
      </c>
      <c r="BN33" s="218">
        <f>SLP!BN33+ROSA!BN33+'STA ANA'!BN33+BOA!BN33+'STA MARIA'!BN33+'CB I'!BN33+IG!BN33+PN!BN33+MJ!BN33+'RB I'!BN33+'SF I'!BN33</f>
        <v>0</v>
      </c>
      <c r="BO33" s="221" t="str">
        <f t="shared" si="10"/>
        <v/>
      </c>
      <c r="BP33" s="218">
        <f>SLP!BP33+ROSA!BP33+'STA ANA'!BP33+BOA!BP33+'STA MARIA'!BP33+'CB I'!BP33+IG!BP33+PN!BP33+MJ!BP33+'RB I'!BP33+'SF I'!BP33</f>
        <v>0</v>
      </c>
      <c r="BQ33" s="218">
        <f>SLP!BQ33+ROSA!BQ33+'STA ANA'!BQ33+BOA!BQ33+'STA MARIA'!BQ33+'CB I'!BQ33+IG!BQ33+PN!BQ33+MJ!BQ33+'RB I'!BQ33+'SF I'!BQ33</f>
        <v>0</v>
      </c>
      <c r="BR33" s="218">
        <f>SLP!BR33+ROSA!BR33+'STA ANA'!BR33+BOA!BR33+'STA MARIA'!BR33+'CB I'!BR33+IG!BR33+PN!BR33+MJ!BR33+'RB I'!BR33+'SF I'!BR33</f>
        <v>0</v>
      </c>
      <c r="BS33" s="218">
        <f>SLP!BS33+ROSA!BS33+'STA ANA'!BS33+BOA!BS33+'STA MARIA'!BS33+'CB I'!BS33+IG!BS33+PN!BS33+MJ!BS33+'RB I'!BS33+'SF I'!BS33</f>
        <v>0</v>
      </c>
      <c r="BT33" s="218">
        <f>SLP!BT33+ROSA!BT33+'STA ANA'!BT33+BOA!BT33+'STA MARIA'!BT33+'CB I'!BT33+IG!BT33+PN!BT33+MJ!BT33+'RB I'!BT33+'SF I'!BT33</f>
        <v>0</v>
      </c>
      <c r="BU33" s="218">
        <f>SLP!BU33+ROSA!BU33+'STA ANA'!BU33+BOA!BU33+'STA MARIA'!BU33+'CB I'!BU33+IG!BU33+PN!BU33+MJ!BU33+'RB I'!BU33+'SF I'!BU33</f>
        <v>0</v>
      </c>
      <c r="BV33" s="221" t="str">
        <f t="shared" si="11"/>
        <v/>
      </c>
      <c r="BW33" s="218">
        <f>SLP!BW33+ROSA!BW33+'STA ANA'!BW33+BOA!BW33+'STA MARIA'!BW33+'CB I'!BW33+IG!BW33+PN!BW33+MJ!BW33+'RB I'!BW33+'SF I'!BW33</f>
        <v>0</v>
      </c>
      <c r="BX33" s="218">
        <f>SLP!BX33+ROSA!BX33+'STA ANA'!BX33+BOA!BX33+'STA MARIA'!BX33+'CB I'!BX33+IG!BX33+PN!BX33+MJ!BX33+'RB I'!BX33+'SF I'!BX33</f>
        <v>0</v>
      </c>
      <c r="BY33" s="218">
        <f>SLP!BY33+ROSA!BY33+'STA ANA'!BY33+BOA!BY33+'STA MARIA'!BY33+'CB I'!BY33+IG!BY33+PN!BY33+MJ!BY33+'RB I'!BY33+'SF I'!BY33</f>
        <v>0</v>
      </c>
      <c r="BZ33" s="218">
        <f>SLP!BZ33+ROSA!BZ33+'STA ANA'!BZ33+BOA!BZ33+'STA MARIA'!BZ33+'CB I'!BZ33+IG!BZ33+PN!BZ33+MJ!BZ33+'RB I'!BZ33+'SF I'!BZ33</f>
        <v>0</v>
      </c>
      <c r="CA33" s="218">
        <f>SLP!CA33+ROSA!CA33+'STA ANA'!CA33+BOA!CA33+'STA MARIA'!CA33+'CB I'!CA33+IG!CA33+PN!CA33+MJ!CA33+'RB I'!CA33+'SF I'!CA33</f>
        <v>0</v>
      </c>
      <c r="CB33" s="218">
        <f>SLP!CB33+ROSA!CB33+'STA ANA'!CB33+BOA!CB33+'STA MARIA'!CB33+'CB I'!CB33+IG!CB33+PN!CB33+MJ!CB33+'RB I'!CB33+'SF I'!CB33</f>
        <v>0</v>
      </c>
      <c r="CC33" s="221" t="str">
        <f t="shared" si="12"/>
        <v/>
      </c>
      <c r="CD33" s="218">
        <f>SLP!CD33+ROSA!CD33+'STA ANA'!CD33+BOA!CD33+'STA MARIA'!CD33+'CB I'!CD33+IG!CD33+PN!CD33+MJ!CD33+'RB I'!CD33+'SF I'!CD33</f>
        <v>0</v>
      </c>
      <c r="CE33" s="218">
        <f>SLP!CE33+ROSA!CE33+'STA ANA'!CE33+BOA!CE33+'STA MARIA'!CE33+'CB I'!CE33+IG!CE33+PN!CE33+MJ!CE33+'RB I'!CE33+'SF I'!CE33</f>
        <v>0</v>
      </c>
      <c r="CF33" s="218">
        <f>SLP!CF33+ROSA!CF33+'STA ANA'!CF33+BOA!CF33+'STA MARIA'!CF33+'CB I'!CF33+IG!CF33+PN!CF33+MJ!CF33+'RB I'!CF33+'SF I'!CF33</f>
        <v>0</v>
      </c>
      <c r="CG33" s="218">
        <f>SLP!CG33+ROSA!CG33+'STA ANA'!CG33+BOA!CG33+'STA MARIA'!CG33+'CB I'!CG33+IG!CG33+PN!CG33+MJ!CG33+'RB I'!CG33+'SF I'!CG33</f>
        <v>0</v>
      </c>
      <c r="CH33" s="218">
        <f>SLP!CH33+ROSA!CH33+'STA ANA'!CH33+BOA!CH33+'STA MARIA'!CH33+'CB I'!CH33+IG!CH33+PN!CH33+MJ!CH33+'RB I'!CH33+'SF I'!CH33</f>
        <v>0</v>
      </c>
      <c r="CI33" s="218">
        <f>SLP!CI33+ROSA!CI33+'STA ANA'!CI33+BOA!CI33+'STA MARIA'!CI33+'CB I'!CI33+IG!CI33+PN!CI33+MJ!CI33+'RB I'!CI33+'SF I'!CI33</f>
        <v>0</v>
      </c>
      <c r="CJ33" s="221" t="str">
        <f t="shared" si="13"/>
        <v/>
      </c>
      <c r="CK33" s="218">
        <f>SLP!CK33+ROSA!CK33+'STA ANA'!CK33+BOA!CK33+'STA MARIA'!CK33+'CB I'!CK33+IG!CK33+PN!CK33+MJ!CK33+'RB I'!CK33+'SF I'!CK33</f>
        <v>0</v>
      </c>
      <c r="CL33" s="218">
        <f>SLP!CL33+ROSA!CL33+'STA ANA'!CL33+BOA!CL33+'STA MARIA'!CL33+'CB I'!CL33+IG!CL33+PN!CL33+MJ!CL33+'RB I'!CL33+'SF I'!CL33</f>
        <v>0</v>
      </c>
      <c r="CM33" s="218">
        <f>SLP!CM33+ROSA!CM33+'STA ANA'!CM33+BOA!CM33+'STA MARIA'!CM33+'CB I'!CM33+IG!CM33+PN!CM33+MJ!CM33+'RB I'!CM33+'SF I'!CM33</f>
        <v>0</v>
      </c>
      <c r="CN33" s="218">
        <f>SLP!CN33+ROSA!CN33+'STA ANA'!CN33+BOA!CN33+'STA MARIA'!CN33+'CB I'!CN33+IG!CN33+PN!CN33+MJ!CN33+'RB I'!CN33+'SF I'!CN33</f>
        <v>0</v>
      </c>
      <c r="CO33" s="218">
        <f>SLP!CO33+ROSA!CO33+'STA ANA'!CO33+BOA!CO33+'STA MARIA'!CO33+'CB I'!CO33+IG!CO33+PN!CO33+MJ!CO33+'RB I'!CO33+'SF I'!CO33</f>
        <v>0</v>
      </c>
      <c r="CP33" s="218">
        <f>SLP!CP33+ROSA!CP33+'STA ANA'!CP33+BOA!CP33+'STA MARIA'!CP33+'CB I'!CP33+IG!CP33+PN!CP33+MJ!CP33+'RB I'!CP33+'SF I'!CP33</f>
        <v>0</v>
      </c>
      <c r="CQ33" s="221" t="str">
        <f t="shared" si="14"/>
        <v/>
      </c>
      <c r="CR33" s="154"/>
      <c r="CS33" s="222" t="e">
        <f t="shared" si="15"/>
        <v>#VALUE!</v>
      </c>
    </row>
    <row r="34" spans="1:97" ht="16" customHeight="1" thickBot="1" x14ac:dyDescent="0.25">
      <c r="A34" s="220" t="s">
        <v>208</v>
      </c>
      <c r="B34" s="30">
        <f t="shared" si="0"/>
        <v>1803759.21</v>
      </c>
      <c r="C34" s="31">
        <f t="shared" si="0"/>
        <v>1494852.3451200002</v>
      </c>
      <c r="D34" s="32">
        <f t="shared" si="0"/>
        <v>308906.86488000007</v>
      </c>
      <c r="E34" s="30">
        <f t="shared" si="16"/>
        <v>1653759.21</v>
      </c>
      <c r="F34" s="33">
        <f t="shared" si="16"/>
        <v>1370187.3451200002</v>
      </c>
      <c r="G34" s="34">
        <f t="shared" si="16"/>
        <v>283571.86488000007</v>
      </c>
      <c r="H34" s="31">
        <f t="shared" si="1"/>
        <v>1081352.4141260001</v>
      </c>
      <c r="I34" s="33">
        <f t="shared" si="1"/>
        <v>271452.21587399999</v>
      </c>
      <c r="J34" s="33">
        <f t="shared" si="1"/>
        <v>1352804.63</v>
      </c>
      <c r="K34" s="221">
        <f t="shared" si="2"/>
        <v>-0.18198210367034029</v>
      </c>
      <c r="L34" s="218">
        <f>SLP!L34+ROSA!L34+'STA ANA'!L34+BOA!L34+'STA MARIA'!L34+'CB I'!L34+IG!L34+PN!L34+MJ!L34+'RB I'!L34+'SF I'!L34</f>
        <v>947351.25</v>
      </c>
      <c r="M34" s="218">
        <f>SLP!M34+ROSA!M34+'STA ANA'!M34+BOA!M34+'STA MARIA'!M34+'CB I'!M34+IG!M34+PN!M34+MJ!M34+'RB I'!M34+'SF I'!M34</f>
        <v>785433.74802000006</v>
      </c>
      <c r="N34" s="218">
        <f>SLP!N34+ROSA!N34+'STA ANA'!N34+BOA!N34+'STA MARIA'!N34+'CB I'!N34+IG!N34+PN!N34+MJ!N34+'RB I'!N34+'SF I'!N34</f>
        <v>161917.50198000003</v>
      </c>
      <c r="O34" s="218">
        <f>SLP!O34+ROSA!O34+'STA ANA'!O34+BOA!O34+'STA MARIA'!O34+'CB I'!O34+IG!O34+PN!O34+MJ!O34+'RB I'!O34+'SF I'!O34</f>
        <v>977572.62265600008</v>
      </c>
      <c r="P34" s="218">
        <f>SLP!P34+ROSA!P34+'STA ANA'!P34+BOA!P34+'STA MARIA'!P34+'CB I'!P34+IG!P34+PN!P34+MJ!P34+'RB I'!P34+'SF I'!P34</f>
        <v>254877.06734400001</v>
      </c>
      <c r="Q34" s="218">
        <f>SLP!Q34+ROSA!Q34+'STA ANA'!Q34+BOA!Q34+'STA MARIA'!Q34+'CB I'!Q34+IG!Q34+PN!Q34+MJ!Q34+'RB I'!Q34+'SF I'!Q34</f>
        <v>1232449.69</v>
      </c>
      <c r="R34" s="221">
        <f t="shared" si="3"/>
        <v>0.30094269680860175</v>
      </c>
      <c r="S34" s="218">
        <f>SLP!S34+ROSA!S34+'STA ANA'!S34+BOA!S34+'STA MARIA'!S34+'CB I'!S34+IG!S34+PN!S34+MJ!S34+'RB I'!S34+'SF I'!S34</f>
        <v>706407.96000000008</v>
      </c>
      <c r="T34" s="218">
        <f>SLP!T34+ROSA!T34+'STA ANA'!T34+BOA!T34+'STA MARIA'!T34+'CB I'!T34+IG!T34+PN!T34+MJ!T34+'RB I'!T34+'SF I'!T34</f>
        <v>584753.59710000001</v>
      </c>
      <c r="U34" s="218">
        <f>SLP!U34+ROSA!U34+'STA ANA'!U34+BOA!U34+'STA MARIA'!U34+'CB I'!U34+IG!U34+PN!U34+MJ!U34+'RB I'!U34+'SF I'!U34</f>
        <v>121654.36290000004</v>
      </c>
      <c r="V34" s="218">
        <f>SLP!V34+ROSA!V34+'STA ANA'!V34+BOA!V34+'STA MARIA'!V34+'CB I'!V34+IG!V34+PN!V34+MJ!V34+'RB I'!V34+'SF I'!V34</f>
        <v>67875.817517999996</v>
      </c>
      <c r="W34" s="218">
        <f>SLP!W34+ROSA!W34+'STA ANA'!W34+BOA!W34+'STA MARIA'!W34+'CB I'!W34+IG!W34+PN!W34+MJ!W34+'RB I'!W34+'SF I'!W34</f>
        <v>14087.362482</v>
      </c>
      <c r="X34" s="218">
        <f>SLP!X34+ROSA!X34+'STA ANA'!X34+BOA!X34+'STA MARIA'!X34+'CB I'!X34+IG!X34+PN!X34+MJ!X34+'RB I'!X34+'SF I'!X34</f>
        <v>81963.179999999993</v>
      </c>
      <c r="Y34" s="221">
        <f t="shared" si="4"/>
        <v>-0.88397189069047299</v>
      </c>
      <c r="Z34" s="218">
        <f>SLP!Z34+ROSA!Z34+'STA ANA'!Z34+BOA!Z34+'STA MARIA'!Z34+'CB I'!Z34+IG!Z34+PN!Z34+MJ!Z34+'RB I'!Z34+'SF I'!Z34</f>
        <v>0</v>
      </c>
      <c r="AA34" s="218">
        <f>SLP!AA34+ROSA!AA34+'STA ANA'!AA34+BOA!AA34+'STA MARIA'!AA34+'CB I'!AA34+IG!AA34+PN!AA34+MJ!AA34+'RB I'!AA34+'SF I'!AA34</f>
        <v>0</v>
      </c>
      <c r="AB34" s="218">
        <f>SLP!AB34+ROSA!AB34+'STA ANA'!AB34+BOA!AB34+'STA MARIA'!AB34+'CB I'!AB34+IG!AB34+PN!AB34+MJ!AB34+'RB I'!AB34+'SF I'!AB34</f>
        <v>0</v>
      </c>
      <c r="AC34" s="218">
        <f>SLP!AC34+ROSA!AC34+'STA ANA'!AC34+BOA!AC34+'STA MARIA'!AC34+'CB I'!AC34+IG!AC34+PN!AC34+MJ!AC34+'RB I'!AC34+'SF I'!AC34</f>
        <v>35903.973952</v>
      </c>
      <c r="AD34" s="218">
        <f>SLP!AD34+ROSA!AD34+'STA ANA'!AD34+BOA!AD34+'STA MARIA'!AD34+'CB I'!AD34+IG!AD34+PN!AD34+MJ!AD34+'RB I'!AD34+'SF I'!AD34</f>
        <v>2487.7860480000004</v>
      </c>
      <c r="AE34" s="218">
        <f>SLP!AE34+ROSA!AE34+'STA ANA'!AE34+BOA!AE34+'STA MARIA'!AE34+'CB I'!AE34+IG!AE34+PN!AE34+MJ!AE34+'RB I'!AE34+'SF I'!AE34</f>
        <v>38391.760000000002</v>
      </c>
      <c r="AF34" s="221" t="str">
        <f t="shared" si="5"/>
        <v/>
      </c>
      <c r="AG34" s="218">
        <f>SLP!AG34+ROSA!AG34+'STA ANA'!AG34+BOA!AG34+'STA MARIA'!AG34+'CB I'!AG34+IG!AG34+PN!AG34+MJ!AG34+'RB I'!AG34+'SF I'!AG34</f>
        <v>0</v>
      </c>
      <c r="AH34" s="218">
        <f>SLP!AH34+ROSA!AH34+'STA ANA'!AH34+BOA!AH34+'STA MARIA'!AH34+'CB I'!AH34+IG!AH34+PN!AH34+MJ!AH34+'RB I'!AH34+'SF I'!AH34</f>
        <v>0</v>
      </c>
      <c r="AI34" s="218">
        <f>SLP!AI34+ROSA!AI34+'STA ANA'!AI34+BOA!AI34+'STA MARIA'!AI34+'CB I'!AI34+IG!AI34+PN!AI34+MJ!AI34+'RB I'!AI34+'SF I'!AI34</f>
        <v>0</v>
      </c>
      <c r="AJ34" s="218">
        <f>SLP!AJ34+ROSA!AJ34+'STA ANA'!AJ34+BOA!AJ34+'STA MARIA'!AJ34+'CB I'!AJ34+IG!AJ34+PN!AJ34+MJ!AJ34+'RB I'!AJ34+'SF I'!AJ34</f>
        <v>0</v>
      </c>
      <c r="AK34" s="218">
        <f>SLP!AK34+ROSA!AK34+'STA ANA'!AK34+BOA!AK34+'STA MARIA'!AK34+'CB I'!AK34+IG!AK34+PN!AK34+MJ!AK34+'RB I'!AK34+'SF I'!AK34</f>
        <v>0</v>
      </c>
      <c r="AL34" s="218">
        <f>SLP!AL34+ROSA!AL34+'STA ANA'!AL34+BOA!AL34+'STA MARIA'!AL34+'CB I'!AL34+IG!AL34+PN!AL34+MJ!AL34+'RB I'!AL34+'SF I'!AL34</f>
        <v>0</v>
      </c>
      <c r="AM34" s="221" t="str">
        <f t="shared" si="6"/>
        <v/>
      </c>
      <c r="AN34" s="218">
        <f>SLP!AN34+ROSA!AN34+'STA ANA'!AN34+BOA!AN34+'STA MARIA'!AN34+'CB I'!AN34+IG!AN34+PN!AN34+MJ!AN34+'RB I'!AN34+'SF I'!AN34</f>
        <v>0</v>
      </c>
      <c r="AO34" s="218">
        <f>SLP!AO34+ROSA!AO34+'STA ANA'!AO34+BOA!AO34+'STA MARIA'!AO34+'CB I'!AO34+IG!AO34+PN!AO34+MJ!AO34+'RB I'!AO34+'SF I'!AO34</f>
        <v>0</v>
      </c>
      <c r="AP34" s="218">
        <f>SLP!AP34+ROSA!AP34+'STA ANA'!AP34+BOA!AP34+'STA MARIA'!AP34+'CB I'!AP34+IG!AP34+PN!AP34+MJ!AP34+'RB I'!AP34+'SF I'!AP34</f>
        <v>0</v>
      </c>
      <c r="AQ34" s="218">
        <f>SLP!AQ34+ROSA!AQ34+'STA ANA'!AQ34+BOA!AQ34+'STA MARIA'!AQ34+'CB I'!AQ34+IG!AQ34+PN!AQ34+MJ!AQ34+'RB I'!AQ34+'SF I'!AQ34</f>
        <v>0</v>
      </c>
      <c r="AR34" s="218">
        <f>SLP!AR34+ROSA!AR34+'STA ANA'!AR34+BOA!AR34+'STA MARIA'!AR34+'CB I'!AR34+IG!AR34+PN!AR34+MJ!AR34+'RB I'!AR34+'SF I'!AR34</f>
        <v>0</v>
      </c>
      <c r="AS34" s="218">
        <f>SLP!AS34+ROSA!AS34+'STA ANA'!AS34+BOA!AS34+'STA MARIA'!AS34+'CB I'!AS34+IG!AS34+PN!AS34+MJ!AS34+'RB I'!AS34+'SF I'!AS34</f>
        <v>0</v>
      </c>
      <c r="AT34" s="221" t="str">
        <f t="shared" si="7"/>
        <v/>
      </c>
      <c r="AU34" s="218">
        <f>SLP!AU34+ROSA!AU34+'STA ANA'!AU34+BOA!AU34+'STA MARIA'!AU34+'CB I'!AU34+IG!AU34+PN!AU34+MJ!AU34+'RB I'!AU34+'SF I'!AU34</f>
        <v>0</v>
      </c>
      <c r="AV34" s="218">
        <f>SLP!AV34+ROSA!AV34+'STA ANA'!AV34+BOA!AV34+'STA MARIA'!AV34+'CB I'!AV34+IG!AV34+PN!AV34+MJ!AV34+'RB I'!AV34+'SF I'!AV34</f>
        <v>0</v>
      </c>
      <c r="AW34" s="218">
        <f>SLP!AW34+ROSA!AW34+'STA ANA'!AW34+BOA!AW34+'STA MARIA'!AW34+'CB I'!AW34+IG!AW34+PN!AW34+MJ!AW34+'RB I'!AW34+'SF I'!AW34</f>
        <v>0</v>
      </c>
      <c r="AX34" s="218">
        <f>SLP!AX34+ROSA!AX34+'STA ANA'!AX34+BOA!AX34+'STA MARIA'!AX34+'CB I'!AX34+IG!AX34+PN!AX34+MJ!AX34+'RB I'!AX34+'SF I'!AX34</f>
        <v>0</v>
      </c>
      <c r="AY34" s="218">
        <f>SLP!AY34+ROSA!AY34+'STA ANA'!AY34+BOA!AY34+'STA MARIA'!AY34+'CB I'!AY34+IG!AY34+PN!AY34+MJ!AY34+'RB I'!AY34+'SF I'!AY34</f>
        <v>0</v>
      </c>
      <c r="AZ34" s="218">
        <f>SLP!AZ34+ROSA!AZ34+'STA ANA'!AZ34+BOA!AZ34+'STA MARIA'!AZ34+'CB I'!AZ34+IG!AZ34+PN!AZ34+MJ!AZ34+'RB I'!AZ34+'SF I'!AZ34</f>
        <v>0</v>
      </c>
      <c r="BA34" s="221" t="str">
        <f t="shared" si="8"/>
        <v/>
      </c>
      <c r="BB34" s="218">
        <f>SLP!BB34+ROSA!BB34+'STA ANA'!BB34+BOA!BB34+'STA MARIA'!BB34+'CB I'!BB34+IG!BB34+PN!BB34+MJ!BB34+'RB I'!BB34+'SF I'!BB34</f>
        <v>55000</v>
      </c>
      <c r="BC34" s="218">
        <f>SLP!BC34+ROSA!BC34+'STA ANA'!BC34+BOA!BC34+'STA MARIA'!BC34+'CB I'!BC34+IG!BC34+PN!BC34+MJ!BC34+'RB I'!BC34+'SF I'!BC34</f>
        <v>46231</v>
      </c>
      <c r="BD34" s="218">
        <f>SLP!BD34+ROSA!BD34+'STA ANA'!BD34+BOA!BD34+'STA MARIA'!BD34+'CB I'!BD34+IG!BD34+PN!BD34+MJ!BD34+'RB I'!BD34+'SF I'!BD34</f>
        <v>8769.0000000000018</v>
      </c>
      <c r="BE34" s="218">
        <f>SLP!BE34+ROSA!BE34+'STA ANA'!BE34+BOA!BE34+'STA MARIA'!BE34+'CB I'!BE34+IG!BE34+PN!BE34+MJ!BE34+'RB I'!BE34+'SF I'!BE34</f>
        <v>0</v>
      </c>
      <c r="BF34" s="218">
        <f>SLP!BF34+ROSA!BF34+'STA ANA'!BF34+BOA!BF34+'STA MARIA'!BF34+'CB I'!BF34+IG!BF34+PN!BF34+MJ!BF34+'RB I'!BF34+'SF I'!BF34</f>
        <v>0</v>
      </c>
      <c r="BG34" s="218">
        <f>SLP!BG34+ROSA!BG34+'STA ANA'!BG34+BOA!BG34+'STA MARIA'!BG34+'CB I'!BG34+IG!BG34+PN!BG34+MJ!BG34+'RB I'!BG34+'SF I'!BG34</f>
        <v>0</v>
      </c>
      <c r="BH34" s="221">
        <f t="shared" si="9"/>
        <v>-1</v>
      </c>
      <c r="BI34" s="218">
        <f>SLP!BI34+ROSA!BI34+'STA ANA'!BI34+BOA!BI34+'STA MARIA'!BI34+'CB I'!BI34+IG!BI34+PN!BI34+MJ!BI34+'RB I'!BI34+'SF I'!BI34</f>
        <v>95000</v>
      </c>
      <c r="BJ34" s="218">
        <f>SLP!BJ34+ROSA!BJ34+'STA ANA'!BJ34+BOA!BJ34+'STA MARIA'!BJ34+'CB I'!BJ34+IG!BJ34+PN!BJ34+MJ!BJ34+'RB I'!BJ34+'SF I'!BJ34</f>
        <v>78434</v>
      </c>
      <c r="BK34" s="218">
        <f>SLP!BK34+ROSA!BK34+'STA ANA'!BK34+BOA!BK34+'STA MARIA'!BK34+'CB I'!BK34+IG!BK34+PN!BK34+MJ!BK34+'RB I'!BK34+'SF I'!BK34</f>
        <v>16566.000000000004</v>
      </c>
      <c r="BL34" s="218">
        <f>SLP!BL34+ROSA!BL34+'STA ANA'!BL34+BOA!BL34+'STA MARIA'!BL34+'CB I'!BL34+IG!BL34+PN!BL34+MJ!BL34+'RB I'!BL34+'SF I'!BL34</f>
        <v>0</v>
      </c>
      <c r="BM34" s="218">
        <f>SLP!BM34+ROSA!BM34+'STA ANA'!BM34+BOA!BM34+'STA MARIA'!BM34+'CB I'!BM34+IG!BM34+PN!BM34+MJ!BM34+'RB I'!BM34+'SF I'!BM34</f>
        <v>0</v>
      </c>
      <c r="BN34" s="218">
        <f>SLP!BN34+ROSA!BN34+'STA ANA'!BN34+BOA!BN34+'STA MARIA'!BN34+'CB I'!BN34+IG!BN34+PN!BN34+MJ!BN34+'RB I'!BN34+'SF I'!BN34</f>
        <v>0</v>
      </c>
      <c r="BO34" s="221">
        <f t="shared" si="10"/>
        <v>-1</v>
      </c>
      <c r="BP34" s="218">
        <f>SLP!BP34+ROSA!BP34+'STA ANA'!BP34+BOA!BP34+'STA MARIA'!BP34+'CB I'!BP34+IG!BP34+PN!BP34+MJ!BP34+'RB I'!BP34+'SF I'!BP34</f>
        <v>0</v>
      </c>
      <c r="BQ34" s="218">
        <f>SLP!BQ34+ROSA!BQ34+'STA ANA'!BQ34+BOA!BQ34+'STA MARIA'!BQ34+'CB I'!BQ34+IG!BQ34+PN!BQ34+MJ!BQ34+'RB I'!BQ34+'SF I'!BQ34</f>
        <v>0</v>
      </c>
      <c r="BR34" s="218">
        <f>SLP!BR34+ROSA!BR34+'STA ANA'!BR34+BOA!BR34+'STA MARIA'!BR34+'CB I'!BR34+IG!BR34+PN!BR34+MJ!BR34+'RB I'!BR34+'SF I'!BR34</f>
        <v>0</v>
      </c>
      <c r="BS34" s="218">
        <f>SLP!BS34+ROSA!BS34+'STA ANA'!BS34+BOA!BS34+'STA MARIA'!BS34+'CB I'!BS34+IG!BS34+PN!BS34+MJ!BS34+'RB I'!BS34+'SF I'!BS34</f>
        <v>0</v>
      </c>
      <c r="BT34" s="218">
        <f>SLP!BT34+ROSA!BT34+'STA ANA'!BT34+BOA!BT34+'STA MARIA'!BT34+'CB I'!BT34+IG!BT34+PN!BT34+MJ!BT34+'RB I'!BT34+'SF I'!BT34</f>
        <v>0</v>
      </c>
      <c r="BU34" s="218">
        <f>SLP!BU34+ROSA!BU34+'STA ANA'!BU34+BOA!BU34+'STA MARIA'!BU34+'CB I'!BU34+IG!BU34+PN!BU34+MJ!BU34+'RB I'!BU34+'SF I'!BU34</f>
        <v>0</v>
      </c>
      <c r="BV34" s="221" t="str">
        <f t="shared" si="11"/>
        <v/>
      </c>
      <c r="BW34" s="218">
        <f>SLP!BW34+ROSA!BW34+'STA ANA'!BW34+BOA!BW34+'STA MARIA'!BW34+'CB I'!BW34+IG!BW34+PN!BW34+MJ!BW34+'RB I'!BW34+'SF I'!BW34</f>
        <v>0</v>
      </c>
      <c r="BX34" s="218">
        <f>SLP!BX34+ROSA!BX34+'STA ANA'!BX34+BOA!BX34+'STA MARIA'!BX34+'CB I'!BX34+IG!BX34+PN!BX34+MJ!BX34+'RB I'!BX34+'SF I'!BX34</f>
        <v>0</v>
      </c>
      <c r="BY34" s="218">
        <f>SLP!BY34+ROSA!BY34+'STA ANA'!BY34+BOA!BY34+'STA MARIA'!BY34+'CB I'!BY34+IG!BY34+PN!BY34+MJ!BY34+'RB I'!BY34+'SF I'!BY34</f>
        <v>0</v>
      </c>
      <c r="BZ34" s="218">
        <f>SLP!BZ34+ROSA!BZ34+'STA ANA'!BZ34+BOA!BZ34+'STA MARIA'!BZ34+'CB I'!BZ34+IG!BZ34+PN!BZ34+MJ!BZ34+'RB I'!BZ34+'SF I'!BZ34</f>
        <v>0</v>
      </c>
      <c r="CA34" s="218">
        <f>SLP!CA34+ROSA!CA34+'STA ANA'!CA34+BOA!CA34+'STA MARIA'!CA34+'CB I'!CA34+IG!CA34+PN!CA34+MJ!CA34+'RB I'!CA34+'SF I'!CA34</f>
        <v>0</v>
      </c>
      <c r="CB34" s="218">
        <f>SLP!CB34+ROSA!CB34+'STA ANA'!CB34+BOA!CB34+'STA MARIA'!CB34+'CB I'!CB34+IG!CB34+PN!CB34+MJ!CB34+'RB I'!CB34+'SF I'!CB34</f>
        <v>0</v>
      </c>
      <c r="CC34" s="221" t="str">
        <f t="shared" si="12"/>
        <v/>
      </c>
      <c r="CD34" s="218">
        <f>SLP!CD34+ROSA!CD34+'STA ANA'!CD34+BOA!CD34+'STA MARIA'!CD34+'CB I'!CD34+IG!CD34+PN!CD34+MJ!CD34+'RB I'!CD34+'SF I'!CD34</f>
        <v>0</v>
      </c>
      <c r="CE34" s="218">
        <f>SLP!CE34+ROSA!CE34+'STA ANA'!CE34+BOA!CE34+'STA MARIA'!CE34+'CB I'!CE34+IG!CE34+PN!CE34+MJ!CE34+'RB I'!CE34+'SF I'!CE34</f>
        <v>0</v>
      </c>
      <c r="CF34" s="218">
        <f>SLP!CF34+ROSA!CF34+'STA ANA'!CF34+BOA!CF34+'STA MARIA'!CF34+'CB I'!CF34+IG!CF34+PN!CF34+MJ!CF34+'RB I'!CF34+'SF I'!CF34</f>
        <v>0</v>
      </c>
      <c r="CG34" s="218">
        <f>SLP!CG34+ROSA!CG34+'STA ANA'!CG34+BOA!CG34+'STA MARIA'!CG34+'CB I'!CG34+IG!CG34+PN!CG34+MJ!CG34+'RB I'!CG34+'SF I'!CG34</f>
        <v>0</v>
      </c>
      <c r="CH34" s="218">
        <f>SLP!CH34+ROSA!CH34+'STA ANA'!CH34+BOA!CH34+'STA MARIA'!CH34+'CB I'!CH34+IG!CH34+PN!CH34+MJ!CH34+'RB I'!CH34+'SF I'!CH34</f>
        <v>0</v>
      </c>
      <c r="CI34" s="218">
        <f>SLP!CI34+ROSA!CI34+'STA ANA'!CI34+BOA!CI34+'STA MARIA'!CI34+'CB I'!CI34+IG!CI34+PN!CI34+MJ!CI34+'RB I'!CI34+'SF I'!CI34</f>
        <v>0</v>
      </c>
      <c r="CJ34" s="221" t="str">
        <f t="shared" si="13"/>
        <v/>
      </c>
      <c r="CK34" s="218">
        <f>SLP!CK34+ROSA!CK34+'STA ANA'!CK34+BOA!CK34+'STA MARIA'!CK34+'CB I'!CK34+IG!CK34+PN!CK34+MJ!CK34+'RB I'!CK34+'SF I'!CK34</f>
        <v>0</v>
      </c>
      <c r="CL34" s="218">
        <f>SLP!CL34+ROSA!CL34+'STA ANA'!CL34+BOA!CL34+'STA MARIA'!CL34+'CB I'!CL34+IG!CL34+PN!CL34+MJ!CL34+'RB I'!CL34+'SF I'!CL34</f>
        <v>0</v>
      </c>
      <c r="CM34" s="218">
        <f>SLP!CM34+ROSA!CM34+'STA ANA'!CM34+BOA!CM34+'STA MARIA'!CM34+'CB I'!CM34+IG!CM34+PN!CM34+MJ!CM34+'RB I'!CM34+'SF I'!CM34</f>
        <v>0</v>
      </c>
      <c r="CN34" s="218">
        <f>SLP!CN34+ROSA!CN34+'STA ANA'!CN34+BOA!CN34+'STA MARIA'!CN34+'CB I'!CN34+IG!CN34+PN!CN34+MJ!CN34+'RB I'!CN34+'SF I'!CN34</f>
        <v>0</v>
      </c>
      <c r="CO34" s="218">
        <f>SLP!CO34+ROSA!CO34+'STA ANA'!CO34+BOA!CO34+'STA MARIA'!CO34+'CB I'!CO34+IG!CO34+PN!CO34+MJ!CO34+'RB I'!CO34+'SF I'!CO34</f>
        <v>0</v>
      </c>
      <c r="CP34" s="218">
        <f>SLP!CP34+ROSA!CP34+'STA ANA'!CP34+BOA!CP34+'STA MARIA'!CP34+'CB I'!CP34+IG!CP34+PN!CP34+MJ!CP34+'RB I'!CP34+'SF I'!CP34</f>
        <v>0</v>
      </c>
      <c r="CQ34" s="221" t="str">
        <f t="shared" si="14"/>
        <v/>
      </c>
      <c r="CR34" s="154"/>
      <c r="CS34" s="222" t="e">
        <f t="shared" si="15"/>
        <v>#VALUE!</v>
      </c>
    </row>
    <row r="35" spans="1:97" ht="16" customHeight="1" thickBot="1" x14ac:dyDescent="0.25">
      <c r="A35" s="220" t="s">
        <v>59</v>
      </c>
      <c r="B35" s="30">
        <f t="shared" si="0"/>
        <v>600000</v>
      </c>
      <c r="C35" s="31">
        <f t="shared" si="0"/>
        <v>494835.91836734698</v>
      </c>
      <c r="D35" s="32">
        <f t="shared" si="0"/>
        <v>105164.08163265308</v>
      </c>
      <c r="E35" s="30">
        <f t="shared" si="16"/>
        <v>600000</v>
      </c>
      <c r="F35" s="33">
        <f t="shared" si="16"/>
        <v>494835.91836734698</v>
      </c>
      <c r="G35" s="34">
        <f t="shared" si="16"/>
        <v>105164.08163265308</v>
      </c>
      <c r="H35" s="31">
        <f t="shared" si="1"/>
        <v>279854.78232599999</v>
      </c>
      <c r="I35" s="33">
        <f t="shared" si="1"/>
        <v>73308.187674000015</v>
      </c>
      <c r="J35" s="33">
        <f t="shared" si="1"/>
        <v>353162.97</v>
      </c>
      <c r="K35" s="221">
        <f t="shared" si="2"/>
        <v>-0.4113950500000001</v>
      </c>
      <c r="L35" s="218">
        <f>SLP!L35+ROSA!L35+'STA ANA'!L35+BOA!L35+'STA MARIA'!L35+'CB I'!L35+IG!L35+PN!L35+MJ!L35+'RB I'!L35+'SF I'!L35</f>
        <v>352653.06122448982</v>
      </c>
      <c r="M35" s="218">
        <f>SLP!M35+ROSA!M35+'STA ANA'!M35+BOA!M35+'STA MARIA'!M35+'CB I'!M35+IG!M35+PN!M35+MJ!M35+'RB I'!M35+'SF I'!M35</f>
        <v>291560.32653061225</v>
      </c>
      <c r="N35" s="218">
        <f>SLP!N35+ROSA!N35+'STA ANA'!N35+BOA!N35+'STA MARIA'!N35+'CB I'!N35+IG!N35+PN!N35+MJ!N35+'RB I'!N35+'SF I'!N35</f>
        <v>61092.734693877559</v>
      </c>
      <c r="O35" s="218">
        <f>SLP!O35+ROSA!O35+'STA ANA'!O35+BOA!O35+'STA MARIA'!O35+'CB I'!O35+IG!O35+PN!O35+MJ!O35+'RB I'!O35+'SF I'!O35</f>
        <v>251583.65119599999</v>
      </c>
      <c r="P35" s="218">
        <f>SLP!P35+ROSA!P35+'STA ANA'!P35+BOA!P35+'STA MARIA'!P35+'CB I'!P35+IG!P35+PN!P35+MJ!P35+'RB I'!P35+'SF I'!P35</f>
        <v>69755.208804000009</v>
      </c>
      <c r="Q35" s="218">
        <f>SLP!Q35+ROSA!Q35+'STA ANA'!Q35+BOA!Q35+'STA MARIA'!Q35+'CB I'!Q35+IG!Q35+PN!Q35+MJ!Q35+'RB I'!Q35+'SF I'!Q35</f>
        <v>321338.86</v>
      </c>
      <c r="R35" s="221">
        <f t="shared" si="3"/>
        <v>-8.879605671296309E-2</v>
      </c>
      <c r="S35" s="218">
        <f>SLP!S35+ROSA!S35+'STA ANA'!S35+BOA!S35+'STA MARIA'!S35+'CB I'!S35+IG!S35+PN!S35+MJ!S35+'RB I'!S35+'SF I'!S35</f>
        <v>247346.93877551024</v>
      </c>
      <c r="T35" s="218">
        <f>SLP!T35+ROSA!T35+'STA ANA'!T35+BOA!T35+'STA MARIA'!T35+'CB I'!T35+IG!T35+PN!T35+MJ!T35+'RB I'!T35+'SF I'!T35</f>
        <v>203275.5918367347</v>
      </c>
      <c r="U35" s="218">
        <f>SLP!U35+ROSA!U35+'STA ANA'!U35+BOA!U35+'STA MARIA'!U35+'CB I'!U35+IG!U35+PN!U35+MJ!U35+'RB I'!U35+'SF I'!U35</f>
        <v>44071.34693877551</v>
      </c>
      <c r="V35" s="218">
        <f>SLP!V35+ROSA!V35+'STA ANA'!V35+BOA!V35+'STA MARIA'!V35+'CB I'!V35+IG!V35+PN!V35+MJ!V35+'RB I'!V35+'SF I'!V35</f>
        <v>28271.131129999998</v>
      </c>
      <c r="W35" s="218">
        <f>SLP!W35+ROSA!W35+'STA ANA'!W35+BOA!W35+'STA MARIA'!W35+'CB I'!W35+IG!W35+PN!W35+MJ!W35+'RB I'!W35+'SF I'!W35</f>
        <v>3552.9788700000008</v>
      </c>
      <c r="X35" s="218">
        <f>SLP!X35+ROSA!X35+'STA ANA'!X35+BOA!X35+'STA MARIA'!X35+'CB I'!X35+IG!X35+PN!X35+MJ!X35+'RB I'!X35+'SF I'!X35</f>
        <v>31824.11</v>
      </c>
      <c r="Y35" s="221">
        <f t="shared" si="4"/>
        <v>-0.8713381691419142</v>
      </c>
      <c r="Z35" s="218">
        <f>SLP!Z35+ROSA!Z35+'STA ANA'!Z35+BOA!Z35+'STA MARIA'!Z35+'CB I'!Z35+IG!Z35+PN!Z35+MJ!Z35+'RB I'!Z35+'SF I'!Z35</f>
        <v>0</v>
      </c>
      <c r="AA35" s="218">
        <f>SLP!AA35+ROSA!AA35+'STA ANA'!AA35+BOA!AA35+'STA MARIA'!AA35+'CB I'!AA35+IG!AA35+PN!AA35+MJ!AA35+'RB I'!AA35+'SF I'!AA35</f>
        <v>0</v>
      </c>
      <c r="AB35" s="218">
        <f>SLP!AB35+ROSA!AB35+'STA ANA'!AB35+BOA!AB35+'STA MARIA'!AB35+'CB I'!AB35+IG!AB35+PN!AB35+MJ!AB35+'RB I'!AB35+'SF I'!AB35</f>
        <v>0</v>
      </c>
      <c r="AC35" s="218">
        <f>SLP!AC35+ROSA!AC35+'STA ANA'!AC35+BOA!AC35+'STA MARIA'!AC35+'CB I'!AC35+IG!AC35+PN!AC35+MJ!AC35+'RB I'!AC35+'SF I'!AC35</f>
        <v>0</v>
      </c>
      <c r="AD35" s="218">
        <f>SLP!AD35+ROSA!AD35+'STA ANA'!AD35+BOA!AD35+'STA MARIA'!AD35+'CB I'!AD35+IG!AD35+PN!AD35+MJ!AD35+'RB I'!AD35+'SF I'!AD35</f>
        <v>0</v>
      </c>
      <c r="AE35" s="218">
        <f>SLP!AE35+ROSA!AE35+'STA ANA'!AE35+BOA!AE35+'STA MARIA'!AE35+'CB I'!AE35+IG!AE35+PN!AE35+MJ!AE35+'RB I'!AE35+'SF I'!AE35</f>
        <v>0</v>
      </c>
      <c r="AF35" s="221" t="str">
        <f t="shared" si="5"/>
        <v/>
      </c>
      <c r="AG35" s="218">
        <f>SLP!AG35+ROSA!AG35+'STA ANA'!AG35+BOA!AG35+'STA MARIA'!AG35+'CB I'!AG35+IG!AG35+PN!AG35+MJ!AG35+'RB I'!AG35+'SF I'!AG35</f>
        <v>0</v>
      </c>
      <c r="AH35" s="218">
        <f>SLP!AH35+ROSA!AH35+'STA ANA'!AH35+BOA!AH35+'STA MARIA'!AH35+'CB I'!AH35+IG!AH35+PN!AH35+MJ!AH35+'RB I'!AH35+'SF I'!AH35</f>
        <v>0</v>
      </c>
      <c r="AI35" s="218">
        <f>SLP!AI35+ROSA!AI35+'STA ANA'!AI35+BOA!AI35+'STA MARIA'!AI35+'CB I'!AI35+IG!AI35+PN!AI35+MJ!AI35+'RB I'!AI35+'SF I'!AI35</f>
        <v>0</v>
      </c>
      <c r="AJ35" s="218">
        <f>SLP!AJ35+ROSA!AJ35+'STA ANA'!AJ35+BOA!AJ35+'STA MARIA'!AJ35+'CB I'!AJ35+IG!AJ35+PN!AJ35+MJ!AJ35+'RB I'!AJ35+'SF I'!AJ35</f>
        <v>0</v>
      </c>
      <c r="AK35" s="218">
        <f>SLP!AK35+ROSA!AK35+'STA ANA'!AK35+BOA!AK35+'STA MARIA'!AK35+'CB I'!AK35+IG!AK35+PN!AK35+MJ!AK35+'RB I'!AK35+'SF I'!AK35</f>
        <v>0</v>
      </c>
      <c r="AL35" s="218">
        <f>SLP!AL35+ROSA!AL35+'STA ANA'!AL35+BOA!AL35+'STA MARIA'!AL35+'CB I'!AL35+IG!AL35+PN!AL35+MJ!AL35+'RB I'!AL35+'SF I'!AL35</f>
        <v>0</v>
      </c>
      <c r="AM35" s="221" t="str">
        <f t="shared" si="6"/>
        <v/>
      </c>
      <c r="AN35" s="218">
        <f>SLP!AN35+ROSA!AN35+'STA ANA'!AN35+BOA!AN35+'STA MARIA'!AN35+'CB I'!AN35+IG!AN35+PN!AN35+MJ!AN35+'RB I'!AN35+'SF I'!AN35</f>
        <v>0</v>
      </c>
      <c r="AO35" s="218">
        <f>SLP!AO35+ROSA!AO35+'STA ANA'!AO35+BOA!AO35+'STA MARIA'!AO35+'CB I'!AO35+IG!AO35+PN!AO35+MJ!AO35+'RB I'!AO35+'SF I'!AO35</f>
        <v>0</v>
      </c>
      <c r="AP35" s="218">
        <f>SLP!AP35+ROSA!AP35+'STA ANA'!AP35+BOA!AP35+'STA MARIA'!AP35+'CB I'!AP35+IG!AP35+PN!AP35+MJ!AP35+'RB I'!AP35+'SF I'!AP35</f>
        <v>0</v>
      </c>
      <c r="AQ35" s="218">
        <f>SLP!AQ35+ROSA!AQ35+'STA ANA'!AQ35+BOA!AQ35+'STA MARIA'!AQ35+'CB I'!AQ35+IG!AQ35+PN!AQ35+MJ!AQ35+'RB I'!AQ35+'SF I'!AQ35</f>
        <v>0</v>
      </c>
      <c r="AR35" s="218">
        <f>SLP!AR35+ROSA!AR35+'STA ANA'!AR35+BOA!AR35+'STA MARIA'!AR35+'CB I'!AR35+IG!AR35+PN!AR35+MJ!AR35+'RB I'!AR35+'SF I'!AR35</f>
        <v>0</v>
      </c>
      <c r="AS35" s="218">
        <f>SLP!AS35+ROSA!AS35+'STA ANA'!AS35+BOA!AS35+'STA MARIA'!AS35+'CB I'!AS35+IG!AS35+PN!AS35+MJ!AS35+'RB I'!AS35+'SF I'!AS35</f>
        <v>0</v>
      </c>
      <c r="AT35" s="221" t="str">
        <f t="shared" si="7"/>
        <v/>
      </c>
      <c r="AU35" s="218">
        <f>SLP!AU35+ROSA!AU35+'STA ANA'!AU35+BOA!AU35+'STA MARIA'!AU35+'CB I'!AU35+IG!AU35+PN!AU35+MJ!AU35+'RB I'!AU35+'SF I'!AU35</f>
        <v>0</v>
      </c>
      <c r="AV35" s="218">
        <f>SLP!AV35+ROSA!AV35+'STA ANA'!AV35+BOA!AV35+'STA MARIA'!AV35+'CB I'!AV35+IG!AV35+PN!AV35+MJ!AV35+'RB I'!AV35+'SF I'!AV35</f>
        <v>0</v>
      </c>
      <c r="AW35" s="218">
        <f>SLP!AW35+ROSA!AW35+'STA ANA'!AW35+BOA!AW35+'STA MARIA'!AW35+'CB I'!AW35+IG!AW35+PN!AW35+MJ!AW35+'RB I'!AW35+'SF I'!AW35</f>
        <v>0</v>
      </c>
      <c r="AX35" s="218">
        <f>SLP!AX35+ROSA!AX35+'STA ANA'!AX35+BOA!AX35+'STA MARIA'!AX35+'CB I'!AX35+IG!AX35+PN!AX35+MJ!AX35+'RB I'!AX35+'SF I'!AX35</f>
        <v>0</v>
      </c>
      <c r="AY35" s="218">
        <f>SLP!AY35+ROSA!AY35+'STA ANA'!AY35+BOA!AY35+'STA MARIA'!AY35+'CB I'!AY35+IG!AY35+PN!AY35+MJ!AY35+'RB I'!AY35+'SF I'!AY35</f>
        <v>0</v>
      </c>
      <c r="AZ35" s="218">
        <f>SLP!AZ35+ROSA!AZ35+'STA ANA'!AZ35+BOA!AZ35+'STA MARIA'!AZ35+'CB I'!AZ35+IG!AZ35+PN!AZ35+MJ!AZ35+'RB I'!AZ35+'SF I'!AZ35</f>
        <v>0</v>
      </c>
      <c r="BA35" s="221" t="str">
        <f t="shared" si="8"/>
        <v/>
      </c>
      <c r="BB35" s="218">
        <f>SLP!BB35+ROSA!BB35+'STA ANA'!BB35+BOA!BB35+'STA MARIA'!BB35+'CB I'!BB35+IG!BB35+PN!BB35+MJ!BB35+'RB I'!BB35+'SF I'!BB35</f>
        <v>0</v>
      </c>
      <c r="BC35" s="218">
        <f>SLP!BC35+ROSA!BC35+'STA ANA'!BC35+BOA!BC35+'STA MARIA'!BC35+'CB I'!BC35+IG!BC35+PN!BC35+MJ!BC35+'RB I'!BC35+'SF I'!BC35</f>
        <v>0</v>
      </c>
      <c r="BD35" s="218">
        <f>SLP!BD35+ROSA!BD35+'STA ANA'!BD35+BOA!BD35+'STA MARIA'!BD35+'CB I'!BD35+IG!BD35+PN!BD35+MJ!BD35+'RB I'!BD35+'SF I'!BD35</f>
        <v>0</v>
      </c>
      <c r="BE35" s="218">
        <f>SLP!BE35+ROSA!BE35+'STA ANA'!BE35+BOA!BE35+'STA MARIA'!BE35+'CB I'!BE35+IG!BE35+PN!BE35+MJ!BE35+'RB I'!BE35+'SF I'!BE35</f>
        <v>0</v>
      </c>
      <c r="BF35" s="218">
        <f>SLP!BF35+ROSA!BF35+'STA ANA'!BF35+BOA!BF35+'STA MARIA'!BF35+'CB I'!BF35+IG!BF35+PN!BF35+MJ!BF35+'RB I'!BF35+'SF I'!BF35</f>
        <v>0</v>
      </c>
      <c r="BG35" s="218">
        <f>SLP!BG35+ROSA!BG35+'STA ANA'!BG35+BOA!BG35+'STA MARIA'!BG35+'CB I'!BG35+IG!BG35+PN!BG35+MJ!BG35+'RB I'!BG35+'SF I'!BG35</f>
        <v>0</v>
      </c>
      <c r="BH35" s="221" t="str">
        <f t="shared" si="9"/>
        <v/>
      </c>
      <c r="BI35" s="218">
        <f>SLP!BI35+ROSA!BI35+'STA ANA'!BI35+BOA!BI35+'STA MARIA'!BI35+'CB I'!BI35+IG!BI35+PN!BI35+MJ!BI35+'RB I'!BI35+'SF I'!BI35</f>
        <v>0</v>
      </c>
      <c r="BJ35" s="218">
        <f>SLP!BJ35+ROSA!BJ35+'STA ANA'!BJ35+BOA!BJ35+'STA MARIA'!BJ35+'CB I'!BJ35+IG!BJ35+PN!BJ35+MJ!BJ35+'RB I'!BJ35+'SF I'!BJ35</f>
        <v>0</v>
      </c>
      <c r="BK35" s="218">
        <f>SLP!BK35+ROSA!BK35+'STA ANA'!BK35+BOA!BK35+'STA MARIA'!BK35+'CB I'!BK35+IG!BK35+PN!BK35+MJ!BK35+'RB I'!BK35+'SF I'!BK35</f>
        <v>0</v>
      </c>
      <c r="BL35" s="218">
        <f>SLP!BL35+ROSA!BL35+'STA ANA'!BL35+BOA!BL35+'STA MARIA'!BL35+'CB I'!BL35+IG!BL35+PN!BL35+MJ!BL35+'RB I'!BL35+'SF I'!BL35</f>
        <v>0</v>
      </c>
      <c r="BM35" s="218">
        <f>SLP!BM35+ROSA!BM35+'STA ANA'!BM35+BOA!BM35+'STA MARIA'!BM35+'CB I'!BM35+IG!BM35+PN!BM35+MJ!BM35+'RB I'!BM35+'SF I'!BM35</f>
        <v>0</v>
      </c>
      <c r="BN35" s="218">
        <f>SLP!BN35+ROSA!BN35+'STA ANA'!BN35+BOA!BN35+'STA MARIA'!BN35+'CB I'!BN35+IG!BN35+PN!BN35+MJ!BN35+'RB I'!BN35+'SF I'!BN35</f>
        <v>0</v>
      </c>
      <c r="BO35" s="221" t="str">
        <f t="shared" si="10"/>
        <v/>
      </c>
      <c r="BP35" s="218">
        <f>SLP!BP35+ROSA!BP35+'STA ANA'!BP35+BOA!BP35+'STA MARIA'!BP35+'CB I'!BP35+IG!BP35+PN!BP35+MJ!BP35+'RB I'!BP35+'SF I'!BP35</f>
        <v>0</v>
      </c>
      <c r="BQ35" s="218">
        <f>SLP!BQ35+ROSA!BQ35+'STA ANA'!BQ35+BOA!BQ35+'STA MARIA'!BQ35+'CB I'!BQ35+IG!BQ35+PN!BQ35+MJ!BQ35+'RB I'!BQ35+'SF I'!BQ35</f>
        <v>0</v>
      </c>
      <c r="BR35" s="218">
        <f>SLP!BR35+ROSA!BR35+'STA ANA'!BR35+BOA!BR35+'STA MARIA'!BR35+'CB I'!BR35+IG!BR35+PN!BR35+MJ!BR35+'RB I'!BR35+'SF I'!BR35</f>
        <v>0</v>
      </c>
      <c r="BS35" s="218">
        <f>SLP!BS35+ROSA!BS35+'STA ANA'!BS35+BOA!BS35+'STA MARIA'!BS35+'CB I'!BS35+IG!BS35+PN!BS35+MJ!BS35+'RB I'!BS35+'SF I'!BS35</f>
        <v>0</v>
      </c>
      <c r="BT35" s="218">
        <f>SLP!BT35+ROSA!BT35+'STA ANA'!BT35+BOA!BT35+'STA MARIA'!BT35+'CB I'!BT35+IG!BT35+PN!BT35+MJ!BT35+'RB I'!BT35+'SF I'!BT35</f>
        <v>0</v>
      </c>
      <c r="BU35" s="218">
        <f>SLP!BU35+ROSA!BU35+'STA ANA'!BU35+BOA!BU35+'STA MARIA'!BU35+'CB I'!BU35+IG!BU35+PN!BU35+MJ!BU35+'RB I'!BU35+'SF I'!BU35</f>
        <v>0</v>
      </c>
      <c r="BV35" s="221" t="str">
        <f t="shared" si="11"/>
        <v/>
      </c>
      <c r="BW35" s="218">
        <f>SLP!BW35+ROSA!BW35+'STA ANA'!BW35+BOA!BW35+'STA MARIA'!BW35+'CB I'!BW35+IG!BW35+PN!BW35+MJ!BW35+'RB I'!BW35+'SF I'!BW35</f>
        <v>0</v>
      </c>
      <c r="BX35" s="218">
        <f>SLP!BX35+ROSA!BX35+'STA ANA'!BX35+BOA!BX35+'STA MARIA'!BX35+'CB I'!BX35+IG!BX35+PN!BX35+MJ!BX35+'RB I'!BX35+'SF I'!BX35</f>
        <v>0</v>
      </c>
      <c r="BY35" s="218">
        <f>SLP!BY35+ROSA!BY35+'STA ANA'!BY35+BOA!BY35+'STA MARIA'!BY35+'CB I'!BY35+IG!BY35+PN!BY35+MJ!BY35+'RB I'!BY35+'SF I'!BY35</f>
        <v>0</v>
      </c>
      <c r="BZ35" s="218">
        <f>SLP!BZ35+ROSA!BZ35+'STA ANA'!BZ35+BOA!BZ35+'STA MARIA'!BZ35+'CB I'!BZ35+IG!BZ35+PN!BZ35+MJ!BZ35+'RB I'!BZ35+'SF I'!BZ35</f>
        <v>0</v>
      </c>
      <c r="CA35" s="218">
        <f>SLP!CA35+ROSA!CA35+'STA ANA'!CA35+BOA!CA35+'STA MARIA'!CA35+'CB I'!CA35+IG!CA35+PN!CA35+MJ!CA35+'RB I'!CA35+'SF I'!CA35</f>
        <v>0</v>
      </c>
      <c r="CB35" s="218">
        <f>SLP!CB35+ROSA!CB35+'STA ANA'!CB35+BOA!CB35+'STA MARIA'!CB35+'CB I'!CB35+IG!CB35+PN!CB35+MJ!CB35+'RB I'!CB35+'SF I'!CB35</f>
        <v>0</v>
      </c>
      <c r="CC35" s="221" t="str">
        <f t="shared" si="12"/>
        <v/>
      </c>
      <c r="CD35" s="218">
        <f>SLP!CD35+ROSA!CD35+'STA ANA'!CD35+BOA!CD35+'STA MARIA'!CD35+'CB I'!CD35+IG!CD35+PN!CD35+MJ!CD35+'RB I'!CD35+'SF I'!CD35</f>
        <v>0</v>
      </c>
      <c r="CE35" s="218">
        <f>SLP!CE35+ROSA!CE35+'STA ANA'!CE35+BOA!CE35+'STA MARIA'!CE35+'CB I'!CE35+IG!CE35+PN!CE35+MJ!CE35+'RB I'!CE35+'SF I'!CE35</f>
        <v>0</v>
      </c>
      <c r="CF35" s="218">
        <f>SLP!CF35+ROSA!CF35+'STA ANA'!CF35+BOA!CF35+'STA MARIA'!CF35+'CB I'!CF35+IG!CF35+PN!CF35+MJ!CF35+'RB I'!CF35+'SF I'!CF35</f>
        <v>0</v>
      </c>
      <c r="CG35" s="218">
        <f>SLP!CG35+ROSA!CG35+'STA ANA'!CG35+BOA!CG35+'STA MARIA'!CG35+'CB I'!CG35+IG!CG35+PN!CG35+MJ!CG35+'RB I'!CG35+'SF I'!CG35</f>
        <v>0</v>
      </c>
      <c r="CH35" s="218">
        <f>SLP!CH35+ROSA!CH35+'STA ANA'!CH35+BOA!CH35+'STA MARIA'!CH35+'CB I'!CH35+IG!CH35+PN!CH35+MJ!CH35+'RB I'!CH35+'SF I'!CH35</f>
        <v>0</v>
      </c>
      <c r="CI35" s="218">
        <f>SLP!CI35+ROSA!CI35+'STA ANA'!CI35+BOA!CI35+'STA MARIA'!CI35+'CB I'!CI35+IG!CI35+PN!CI35+MJ!CI35+'RB I'!CI35+'SF I'!CI35</f>
        <v>0</v>
      </c>
      <c r="CJ35" s="221" t="str">
        <f t="shared" si="13"/>
        <v/>
      </c>
      <c r="CK35" s="218">
        <f>SLP!CK35+ROSA!CK35+'STA ANA'!CK35+BOA!CK35+'STA MARIA'!CK35+'CB I'!CK35+IG!CK35+PN!CK35+MJ!CK35+'RB I'!CK35+'SF I'!CK35</f>
        <v>0</v>
      </c>
      <c r="CL35" s="218">
        <f>SLP!CL35+ROSA!CL35+'STA ANA'!CL35+BOA!CL35+'STA MARIA'!CL35+'CB I'!CL35+IG!CL35+PN!CL35+MJ!CL35+'RB I'!CL35+'SF I'!CL35</f>
        <v>0</v>
      </c>
      <c r="CM35" s="218">
        <f>SLP!CM35+ROSA!CM35+'STA ANA'!CM35+BOA!CM35+'STA MARIA'!CM35+'CB I'!CM35+IG!CM35+PN!CM35+MJ!CM35+'RB I'!CM35+'SF I'!CM35</f>
        <v>0</v>
      </c>
      <c r="CN35" s="218">
        <f>SLP!CN35+ROSA!CN35+'STA ANA'!CN35+BOA!CN35+'STA MARIA'!CN35+'CB I'!CN35+IG!CN35+PN!CN35+MJ!CN35+'RB I'!CN35+'SF I'!CN35</f>
        <v>0</v>
      </c>
      <c r="CO35" s="218">
        <f>SLP!CO35+ROSA!CO35+'STA ANA'!CO35+BOA!CO35+'STA MARIA'!CO35+'CB I'!CO35+IG!CO35+PN!CO35+MJ!CO35+'RB I'!CO35+'SF I'!CO35</f>
        <v>0</v>
      </c>
      <c r="CP35" s="218">
        <f>SLP!CP35+ROSA!CP35+'STA ANA'!CP35+BOA!CP35+'STA MARIA'!CP35+'CB I'!CP35+IG!CP35+PN!CP35+MJ!CP35+'RB I'!CP35+'SF I'!CP35</f>
        <v>0</v>
      </c>
      <c r="CQ35" s="221" t="str">
        <f t="shared" si="14"/>
        <v/>
      </c>
      <c r="CR35" s="154"/>
      <c r="CS35" s="222" t="e">
        <f t="shared" si="15"/>
        <v>#VALUE!</v>
      </c>
    </row>
    <row r="36" spans="1:97" ht="16" customHeight="1" thickBot="1" x14ac:dyDescent="0.25">
      <c r="A36" s="223" t="s">
        <v>60</v>
      </c>
      <c r="B36" s="30">
        <f t="shared" ref="B36:D54" si="17">+L36+S36+Z36+AG36+AN36+AU36+BB36+BI36+BP36+BW36+CD36+CK36</f>
        <v>2068466.1236883572</v>
      </c>
      <c r="C36" s="31">
        <f t="shared" si="17"/>
        <v>1869393.9596883582</v>
      </c>
      <c r="D36" s="32">
        <f t="shared" si="17"/>
        <v>199072.16400000002</v>
      </c>
      <c r="E36" s="30">
        <f t="shared" si="16"/>
        <v>689488.70789611922</v>
      </c>
      <c r="F36" s="33">
        <f t="shared" si="16"/>
        <v>623131.3198961193</v>
      </c>
      <c r="G36" s="34">
        <f t="shared" si="16"/>
        <v>66357.387999999992</v>
      </c>
      <c r="H36" s="31">
        <f t="shared" ref="H36:J54" si="18">+O36+V36+AC36+AJ36+AQ36+AX36+BE36+BL36+BS36+BZ36+CG36+CN36</f>
        <v>1372086.0232745269</v>
      </c>
      <c r="I36" s="33">
        <f t="shared" si="18"/>
        <v>144812.48653582664</v>
      </c>
      <c r="J36" s="33">
        <f t="shared" si="18"/>
        <v>1516898.5098103536</v>
      </c>
      <c r="K36" s="221">
        <f t="shared" si="2"/>
        <v>1.2000338692115244</v>
      </c>
      <c r="L36" s="218">
        <f>SLP!L36+ROSA!L36+'STA ANA'!L36+BOA!L36+'STA MARIA'!L36+'CB I'!L36+IG!L36+PN!L36+MJ!L36+'RB I'!L36+'SF I'!L36</f>
        <v>172372.1769740298</v>
      </c>
      <c r="M36" s="218">
        <f>SLP!M36+ROSA!M36+'STA ANA'!M36+BOA!M36+'STA MARIA'!M36+'CB I'!M36+IG!M36+PN!M36+MJ!M36+'RB I'!M36+'SF I'!M36</f>
        <v>155782.82997402982</v>
      </c>
      <c r="N36" s="218">
        <f>SLP!N36+ROSA!N36+'STA ANA'!N36+BOA!N36+'STA MARIA'!N36+'CB I'!N36+IG!N36+PN!N36+MJ!N36+'RB I'!N36+'SF I'!N36</f>
        <v>16589.346999999998</v>
      </c>
      <c r="O36" s="218">
        <f>SLP!O36+ROSA!O36+'STA ANA'!O36+BOA!O36+'STA MARIA'!O36+'CB I'!O36+IG!O36+PN!O36+MJ!O36+'RB I'!O36+'SF I'!O36</f>
        <v>277411.32517047366</v>
      </c>
      <c r="P36" s="218">
        <f>SLP!P36+ROSA!P36+'STA ANA'!P36+BOA!P36+'STA MARIA'!P36+'CB I'!P36+IG!P36+PN!P36+MJ!P36+'RB I'!P36+'SF I'!P36</f>
        <v>29780.994839413492</v>
      </c>
      <c r="Q36" s="218">
        <f>SLP!Q36+ROSA!Q36+'STA ANA'!Q36+BOA!Q36+'STA MARIA'!Q36+'CB I'!Q36+IG!Q36+PN!Q36+MJ!Q36+'RB I'!Q36+'SF I'!Q36</f>
        <v>307192.32000988716</v>
      </c>
      <c r="R36" s="221">
        <f t="shared" si="3"/>
        <v>0.78214561887310752</v>
      </c>
      <c r="S36" s="218">
        <f>SLP!S36+ROSA!S36+'STA ANA'!S36+BOA!S36+'STA MARIA'!S36+'CB I'!S36+IG!S36+PN!S36+MJ!S36+'RB I'!S36+'SF I'!S36</f>
        <v>172372.1769740298</v>
      </c>
      <c r="T36" s="218">
        <f>SLP!T36+ROSA!T36+'STA ANA'!T36+BOA!T36+'STA MARIA'!T36+'CB I'!T36+IG!T36+PN!T36+MJ!T36+'RB I'!T36+'SF I'!T36</f>
        <v>155782.82997402982</v>
      </c>
      <c r="U36" s="218">
        <f>SLP!U36+ROSA!U36+'STA ANA'!U36+BOA!U36+'STA MARIA'!U36+'CB I'!U36+IG!U36+PN!U36+MJ!U36+'RB I'!U36+'SF I'!U36</f>
        <v>16589.346999999998</v>
      </c>
      <c r="V36" s="218">
        <f>SLP!V36+ROSA!V36+'STA ANA'!V36+BOA!V36+'STA MARIA'!V36+'CB I'!V36+IG!V36+PN!V36+MJ!V36+'RB I'!V36+'SF I'!V36</f>
        <v>218727.7410631837</v>
      </c>
      <c r="W36" s="218">
        <f>SLP!W36+ROSA!W36+'STA ANA'!W36+BOA!W36+'STA MARIA'!W36+'CB I'!W36+IG!W36+PN!W36+MJ!W36+'RB I'!W36+'SF I'!W36</f>
        <v>21898.775142993891</v>
      </c>
      <c r="X36" s="218">
        <f>SLP!X36+ROSA!X36+'STA ANA'!X36+BOA!X36+'STA MARIA'!X36+'CB I'!X36+IG!X36+PN!X36+MJ!X36+'RB I'!X36+'SF I'!X36</f>
        <v>240626.51620617762</v>
      </c>
      <c r="Y36" s="221">
        <f t="shared" si="4"/>
        <v>0.39597074441098035</v>
      </c>
      <c r="Z36" s="218">
        <f>SLP!Z36+ROSA!Z36+'STA ANA'!Z36+BOA!Z36+'STA MARIA'!Z36+'CB I'!Z36+IG!Z36+PN!Z36+MJ!Z36+'RB I'!Z36+'SF I'!Z36</f>
        <v>172372.1769740298</v>
      </c>
      <c r="AA36" s="218">
        <f>SLP!AA36+ROSA!AA36+'STA ANA'!AA36+BOA!AA36+'STA MARIA'!AA36+'CB I'!AA36+IG!AA36+PN!AA36+MJ!AA36+'RB I'!AA36+'SF I'!AA36</f>
        <v>155782.82997402982</v>
      </c>
      <c r="AB36" s="218">
        <f>SLP!AB36+ROSA!AB36+'STA ANA'!AB36+BOA!AB36+'STA MARIA'!AB36+'CB I'!AB36+IG!AB36+PN!AB36+MJ!AB36+'RB I'!AB36+'SF I'!AB36</f>
        <v>16589.346999999998</v>
      </c>
      <c r="AC36" s="218">
        <f>SLP!AC36+ROSA!AC36+'STA ANA'!AC36+BOA!AC36+'STA MARIA'!AC36+'CB I'!AC36+IG!AC36+PN!AC36+MJ!AC36+'RB I'!AC36+'SF I'!AC36</f>
        <v>216193.97575670778</v>
      </c>
      <c r="AD36" s="218">
        <f>SLP!AD36+ROSA!AD36+'STA ANA'!AD36+BOA!AD36+'STA MARIA'!AD36+'CB I'!AD36+IG!AD36+PN!AD36+MJ!AD36+'RB I'!AD36+'SF I'!AD36</f>
        <v>21221.354863060515</v>
      </c>
      <c r="AE36" s="218">
        <f>SLP!AE36+ROSA!AE36+'STA ANA'!AE36+BOA!AE36+'STA MARIA'!AE36+'CB I'!AE36+IG!AE36+PN!AE36+MJ!AE36+'RB I'!AE36+'SF I'!AE36</f>
        <v>237415.3306197683</v>
      </c>
      <c r="AF36" s="221">
        <f t="shared" si="5"/>
        <v>0.37734137137188983</v>
      </c>
      <c r="AG36" s="218">
        <f>SLP!AG36+ROSA!AG36+'STA ANA'!AG36+BOA!AG36+'STA MARIA'!AG36+'CB I'!AG36+IG!AG36+PN!AG36+MJ!AG36+'RB I'!AG36+'SF I'!AG36</f>
        <v>172372.1769740298</v>
      </c>
      <c r="AH36" s="218">
        <f>SLP!AH36+ROSA!AH36+'STA ANA'!AH36+BOA!AH36+'STA MARIA'!AH36+'CB I'!AH36+IG!AH36+PN!AH36+MJ!AH36+'RB I'!AH36+'SF I'!AH36</f>
        <v>155782.82997402982</v>
      </c>
      <c r="AI36" s="218">
        <f>SLP!AI36+ROSA!AI36+'STA ANA'!AI36+BOA!AI36+'STA MARIA'!AI36+'CB I'!AI36+IG!AI36+PN!AI36+MJ!AI36+'RB I'!AI36+'SF I'!AI36</f>
        <v>16589.346999999998</v>
      </c>
      <c r="AJ36" s="218">
        <f>SLP!AJ36+ROSA!AJ36+'STA ANA'!AJ36+BOA!AJ36+'STA MARIA'!AJ36+'CB I'!AJ36+IG!AJ36+PN!AJ36+MJ!AJ36+'RB I'!AJ36+'SF I'!AJ36</f>
        <v>245942.48753330321</v>
      </c>
      <c r="AK36" s="218">
        <f>SLP!AK36+ROSA!AK36+'STA ANA'!AK36+BOA!AK36+'STA MARIA'!AK36+'CB I'!AK36+IG!AK36+PN!AK36+MJ!AK36+'RB I'!AK36+'SF I'!AK36</f>
        <v>28825.633386974478</v>
      </c>
      <c r="AL36" s="218">
        <f>SLP!AL36+ROSA!AL36+'STA ANA'!AL36+BOA!AL36+'STA MARIA'!AL36+'CB I'!AL36+IG!AL36+PN!AL36+MJ!AL36+'RB I'!AL36+'SF I'!AL36</f>
        <v>274768.12092027772</v>
      </c>
      <c r="AM36" s="221">
        <f t="shared" si="6"/>
        <v>0.59403986039855639</v>
      </c>
      <c r="AN36" s="218">
        <f>SLP!AN36+ROSA!AN36+'STA ANA'!AN36+BOA!AN36+'STA MARIA'!AN36+'CB I'!AN36+IG!AN36+PN!AN36+MJ!AN36+'RB I'!AN36+'SF I'!AN36</f>
        <v>172372.1769740298</v>
      </c>
      <c r="AO36" s="218">
        <f>SLP!AO36+ROSA!AO36+'STA ANA'!AO36+BOA!AO36+'STA MARIA'!AO36+'CB I'!AO36+IG!AO36+PN!AO36+MJ!AO36+'RB I'!AO36+'SF I'!AO36</f>
        <v>155782.82997402982</v>
      </c>
      <c r="AP36" s="218">
        <f>SLP!AP36+ROSA!AP36+'STA ANA'!AP36+BOA!AP36+'STA MARIA'!AP36+'CB I'!AP36+IG!AP36+PN!AP36+MJ!AP36+'RB I'!AP36+'SF I'!AP36</f>
        <v>16589.346999999998</v>
      </c>
      <c r="AQ36" s="218">
        <f>SLP!AQ36+ROSA!AQ36+'STA ANA'!AQ36+BOA!AQ36+'STA MARIA'!AQ36+'CB I'!AQ36+IG!AQ36+PN!AQ36+MJ!AQ36+'RB I'!AQ36+'SF I'!AQ36</f>
        <v>211662.76210662391</v>
      </c>
      <c r="AR36" s="218">
        <f>SLP!AR36+ROSA!AR36+'STA ANA'!AR36+BOA!AR36+'STA MARIA'!AR36+'CB I'!AR36+IG!AR36+PN!AR36+MJ!AR36+'RB I'!AR36+'SF I'!AR36</f>
        <v>22209.873741998992</v>
      </c>
      <c r="AS36" s="218">
        <f>SLP!AS36+ROSA!AS36+'STA ANA'!AS36+BOA!AS36+'STA MARIA'!AS36+'CB I'!AS36+IG!AS36+PN!AS36+MJ!AS36+'RB I'!AS36+'SF I'!AS36</f>
        <v>233872.63584862283</v>
      </c>
      <c r="AT36" s="221">
        <f t="shared" si="7"/>
        <v>0.35678878084749654</v>
      </c>
      <c r="AU36" s="218">
        <f>SLP!AU36+ROSA!AU36+'STA ANA'!AU36+BOA!AU36+'STA MARIA'!AU36+'CB I'!AU36+IG!AU36+PN!AU36+MJ!AU36+'RB I'!AU36+'SF I'!AU36</f>
        <v>172372.1769740298</v>
      </c>
      <c r="AV36" s="218">
        <f>SLP!AV36+ROSA!AV36+'STA ANA'!AV36+BOA!AV36+'STA MARIA'!AV36+'CB I'!AV36+IG!AV36+PN!AV36+MJ!AV36+'RB I'!AV36+'SF I'!AV36</f>
        <v>155782.82997402982</v>
      </c>
      <c r="AW36" s="218">
        <f>SLP!AW36+ROSA!AW36+'STA ANA'!AW36+BOA!AW36+'STA MARIA'!AW36+'CB I'!AW36+IG!AW36+PN!AW36+MJ!AW36+'RB I'!AW36+'SF I'!AW36</f>
        <v>16589.346999999998</v>
      </c>
      <c r="AX36" s="218">
        <f>SLP!AX36+ROSA!AX36+'STA ANA'!AX36+BOA!AX36+'STA MARIA'!AX36+'CB I'!AX36+IG!AX36+PN!AX36+MJ!AX36+'RB I'!AX36+'SF I'!AX36</f>
        <v>202147.73164423474</v>
      </c>
      <c r="AY36" s="218">
        <f>SLP!AY36+ROSA!AY36+'STA ANA'!AY36+BOA!AY36+'STA MARIA'!AY36+'CB I'!AY36+IG!AY36+PN!AY36+MJ!AY36+'RB I'!AY36+'SF I'!AY36</f>
        <v>20875.854561385288</v>
      </c>
      <c r="AZ36" s="218">
        <f>SLP!AZ36+ROSA!AZ36+'STA ANA'!AZ36+BOA!AZ36+'STA MARIA'!AZ36+'CB I'!AZ36+IG!AZ36+PN!AZ36+MJ!AZ36+'RB I'!AZ36+'SF I'!AZ36</f>
        <v>223023.58620562003</v>
      </c>
      <c r="BA36" s="221">
        <f t="shared" si="8"/>
        <v>0.29384910094406669</v>
      </c>
      <c r="BB36" s="218">
        <f>SLP!BB36+ROSA!BB36+'STA ANA'!BB36+BOA!BB36+'STA MARIA'!BB36+'CB I'!BB36+IG!BB36+PN!BB36+MJ!BB36+'RB I'!BB36+'SF I'!BB36</f>
        <v>172372.1769740298</v>
      </c>
      <c r="BC36" s="218">
        <f>SLP!BC36+ROSA!BC36+'STA ANA'!BC36+BOA!BC36+'STA MARIA'!BC36+'CB I'!BC36+IG!BC36+PN!BC36+MJ!BC36+'RB I'!BC36+'SF I'!BC36</f>
        <v>155782.82997402982</v>
      </c>
      <c r="BD36" s="218">
        <f>SLP!BD36+ROSA!BD36+'STA ANA'!BD36+BOA!BD36+'STA MARIA'!BD36+'CB I'!BD36+IG!BD36+PN!BD36+MJ!BD36+'RB I'!BD36+'SF I'!BD36</f>
        <v>16589.346999999998</v>
      </c>
      <c r="BE36" s="218">
        <f>SLP!BE36+ROSA!BE36+'STA ANA'!BE36+BOA!BE36+'STA MARIA'!BE36+'CB I'!BE36+IG!BE36+PN!BE36+MJ!BE36+'RB I'!BE36+'SF I'!BE36</f>
        <v>0</v>
      </c>
      <c r="BF36" s="218">
        <f>SLP!BF36+ROSA!BF36+'STA ANA'!BF36+BOA!BF36+'STA MARIA'!BF36+'CB I'!BF36+IG!BF36+PN!BF36+MJ!BF36+'RB I'!BF36+'SF I'!BF36</f>
        <v>0</v>
      </c>
      <c r="BG36" s="218">
        <f>SLP!BG36+ROSA!BG36+'STA ANA'!BG36+BOA!BG36+'STA MARIA'!BG36+'CB I'!BG36+IG!BG36+PN!BG36+MJ!BG36+'RB I'!BG36+'SF I'!BG36</f>
        <v>0</v>
      </c>
      <c r="BH36" s="221">
        <f t="shared" si="9"/>
        <v>-1</v>
      </c>
      <c r="BI36" s="218">
        <f>SLP!BI36+ROSA!BI36+'STA ANA'!BI36+BOA!BI36+'STA MARIA'!BI36+'CB I'!BI36+IG!BI36+PN!BI36+MJ!BI36+'RB I'!BI36+'SF I'!BI36</f>
        <v>172372.1769740298</v>
      </c>
      <c r="BJ36" s="218">
        <f>SLP!BJ36+ROSA!BJ36+'STA ANA'!BJ36+BOA!BJ36+'STA MARIA'!BJ36+'CB I'!BJ36+IG!BJ36+PN!BJ36+MJ!BJ36+'RB I'!BJ36+'SF I'!BJ36</f>
        <v>155782.82997402982</v>
      </c>
      <c r="BK36" s="218">
        <f>SLP!BK36+ROSA!BK36+'STA ANA'!BK36+BOA!BK36+'STA MARIA'!BK36+'CB I'!BK36+IG!BK36+PN!BK36+MJ!BK36+'RB I'!BK36+'SF I'!BK36</f>
        <v>16589.346999999998</v>
      </c>
      <c r="BL36" s="218">
        <f>SLP!BL36+ROSA!BL36+'STA ANA'!BL36+BOA!BL36+'STA MARIA'!BL36+'CB I'!BL36+IG!BL36+PN!BL36+MJ!BL36+'RB I'!BL36+'SF I'!BL36</f>
        <v>0</v>
      </c>
      <c r="BM36" s="218">
        <f>SLP!BM36+ROSA!BM36+'STA ANA'!BM36+BOA!BM36+'STA MARIA'!BM36+'CB I'!BM36+IG!BM36+PN!BM36+MJ!BM36+'RB I'!BM36+'SF I'!BM36</f>
        <v>0</v>
      </c>
      <c r="BN36" s="218">
        <f>SLP!BN36+ROSA!BN36+'STA ANA'!BN36+BOA!BN36+'STA MARIA'!BN36+'CB I'!BN36+IG!BN36+PN!BN36+MJ!BN36+'RB I'!BN36+'SF I'!BN36</f>
        <v>0</v>
      </c>
      <c r="BO36" s="221">
        <f t="shared" si="10"/>
        <v>-1</v>
      </c>
      <c r="BP36" s="218">
        <f>SLP!BP36+ROSA!BP36+'STA ANA'!BP36+BOA!BP36+'STA MARIA'!BP36+'CB I'!BP36+IG!BP36+PN!BP36+MJ!BP36+'RB I'!BP36+'SF I'!BP36</f>
        <v>172372.1769740298</v>
      </c>
      <c r="BQ36" s="218">
        <f>SLP!BQ36+ROSA!BQ36+'STA ANA'!BQ36+BOA!BQ36+'STA MARIA'!BQ36+'CB I'!BQ36+IG!BQ36+PN!BQ36+MJ!BQ36+'RB I'!BQ36+'SF I'!BQ36</f>
        <v>155782.82997402982</v>
      </c>
      <c r="BR36" s="218">
        <f>SLP!BR36+ROSA!BR36+'STA ANA'!BR36+BOA!BR36+'STA MARIA'!BR36+'CB I'!BR36+IG!BR36+PN!BR36+MJ!BR36+'RB I'!BR36+'SF I'!BR36</f>
        <v>16589.346999999998</v>
      </c>
      <c r="BS36" s="218">
        <f>SLP!BS36+ROSA!BS36+'STA ANA'!BS36+BOA!BS36+'STA MARIA'!BS36+'CB I'!BS36+IG!BS36+PN!BS36+MJ!BS36+'RB I'!BS36+'SF I'!BS36</f>
        <v>0</v>
      </c>
      <c r="BT36" s="218">
        <f>SLP!BT36+ROSA!BT36+'STA ANA'!BT36+BOA!BT36+'STA MARIA'!BT36+'CB I'!BT36+IG!BT36+PN!BT36+MJ!BT36+'RB I'!BT36+'SF I'!BT36</f>
        <v>0</v>
      </c>
      <c r="BU36" s="218">
        <f>SLP!BU36+ROSA!BU36+'STA ANA'!BU36+BOA!BU36+'STA MARIA'!BU36+'CB I'!BU36+IG!BU36+PN!BU36+MJ!BU36+'RB I'!BU36+'SF I'!BU36</f>
        <v>0</v>
      </c>
      <c r="BV36" s="221">
        <f t="shared" si="11"/>
        <v>-1</v>
      </c>
      <c r="BW36" s="218">
        <f>SLP!BW36+ROSA!BW36+'STA ANA'!BW36+BOA!BW36+'STA MARIA'!BW36+'CB I'!BW36+IG!BW36+PN!BW36+MJ!BW36+'RB I'!BW36+'SF I'!BW36</f>
        <v>172372.1769740298</v>
      </c>
      <c r="BX36" s="218">
        <f>SLP!BX36+ROSA!BX36+'STA ANA'!BX36+BOA!BX36+'STA MARIA'!BX36+'CB I'!BX36+IG!BX36+PN!BX36+MJ!BX36+'RB I'!BX36+'SF I'!BX36</f>
        <v>155782.82997402982</v>
      </c>
      <c r="BY36" s="218">
        <f>SLP!BY36+ROSA!BY36+'STA ANA'!BY36+BOA!BY36+'STA MARIA'!BY36+'CB I'!BY36+IG!BY36+PN!BY36+MJ!BY36+'RB I'!BY36+'SF I'!BY36</f>
        <v>16589.346999999998</v>
      </c>
      <c r="BZ36" s="218">
        <f>SLP!BZ36+ROSA!BZ36+'STA ANA'!BZ36+BOA!BZ36+'STA MARIA'!BZ36+'CB I'!BZ36+IG!BZ36+PN!BZ36+MJ!BZ36+'RB I'!BZ36+'SF I'!BZ36</f>
        <v>0</v>
      </c>
      <c r="CA36" s="218">
        <f>SLP!CA36+ROSA!CA36+'STA ANA'!CA36+BOA!CA36+'STA MARIA'!CA36+'CB I'!CA36+IG!CA36+PN!CA36+MJ!CA36+'RB I'!CA36+'SF I'!CA36</f>
        <v>0</v>
      </c>
      <c r="CB36" s="218">
        <f>SLP!CB36+ROSA!CB36+'STA ANA'!CB36+BOA!CB36+'STA MARIA'!CB36+'CB I'!CB36+IG!CB36+PN!CB36+MJ!CB36+'RB I'!CB36+'SF I'!CB36</f>
        <v>0</v>
      </c>
      <c r="CC36" s="221">
        <f t="shared" si="12"/>
        <v>-1</v>
      </c>
      <c r="CD36" s="218">
        <f>SLP!CD36+ROSA!CD36+'STA ANA'!CD36+BOA!CD36+'STA MARIA'!CD36+'CB I'!CD36+IG!CD36+PN!CD36+MJ!CD36+'RB I'!CD36+'SF I'!CD36</f>
        <v>172372.1769740298</v>
      </c>
      <c r="CE36" s="218">
        <f>SLP!CE36+ROSA!CE36+'STA ANA'!CE36+BOA!CE36+'STA MARIA'!CE36+'CB I'!CE36+IG!CE36+PN!CE36+MJ!CE36+'RB I'!CE36+'SF I'!CE36</f>
        <v>155782.82997402982</v>
      </c>
      <c r="CF36" s="218">
        <f>SLP!CF36+ROSA!CF36+'STA ANA'!CF36+BOA!CF36+'STA MARIA'!CF36+'CB I'!CF36+IG!CF36+PN!CF36+MJ!CF36+'RB I'!CF36+'SF I'!CF36</f>
        <v>16589.346999999998</v>
      </c>
      <c r="CG36" s="218">
        <f>SLP!CG36+ROSA!CG36+'STA ANA'!CG36+BOA!CG36+'STA MARIA'!CG36+'CB I'!CG36+IG!CG36+PN!CG36+MJ!CG36+'RB I'!CG36+'SF I'!CG36</f>
        <v>0</v>
      </c>
      <c r="CH36" s="218">
        <f>SLP!CH36+ROSA!CH36+'STA ANA'!CH36+BOA!CH36+'STA MARIA'!CH36+'CB I'!CH36+IG!CH36+PN!CH36+MJ!CH36+'RB I'!CH36+'SF I'!CH36</f>
        <v>0</v>
      </c>
      <c r="CI36" s="218">
        <f>SLP!CI36+ROSA!CI36+'STA ANA'!CI36+BOA!CI36+'STA MARIA'!CI36+'CB I'!CI36+IG!CI36+PN!CI36+MJ!CI36+'RB I'!CI36+'SF I'!CI36</f>
        <v>0</v>
      </c>
      <c r="CJ36" s="221">
        <f t="shared" si="13"/>
        <v>-1</v>
      </c>
      <c r="CK36" s="218">
        <f>SLP!CK36+ROSA!CK36+'STA ANA'!CK36+BOA!CK36+'STA MARIA'!CK36+'CB I'!CK36+IG!CK36+PN!CK36+MJ!CK36+'RB I'!CK36+'SF I'!CK36</f>
        <v>172372.1769740298</v>
      </c>
      <c r="CL36" s="218">
        <f>SLP!CL36+ROSA!CL36+'STA ANA'!CL36+BOA!CL36+'STA MARIA'!CL36+'CB I'!CL36+IG!CL36+PN!CL36+MJ!CL36+'RB I'!CL36+'SF I'!CL36</f>
        <v>155782.82997402982</v>
      </c>
      <c r="CM36" s="218">
        <f>SLP!CM36+ROSA!CM36+'STA ANA'!CM36+BOA!CM36+'STA MARIA'!CM36+'CB I'!CM36+IG!CM36+PN!CM36+MJ!CM36+'RB I'!CM36+'SF I'!CM36</f>
        <v>16589.346999999998</v>
      </c>
      <c r="CN36" s="218">
        <f>SLP!CN36+ROSA!CN36+'STA ANA'!CN36+BOA!CN36+'STA MARIA'!CN36+'CB I'!CN36+IG!CN36+PN!CN36+MJ!CN36+'RB I'!CN36+'SF I'!CN36</f>
        <v>0</v>
      </c>
      <c r="CO36" s="218">
        <f>SLP!CO36+ROSA!CO36+'STA ANA'!CO36+BOA!CO36+'STA MARIA'!CO36+'CB I'!CO36+IG!CO36+PN!CO36+MJ!CO36+'RB I'!CO36+'SF I'!CO36</f>
        <v>0</v>
      </c>
      <c r="CP36" s="218">
        <f>SLP!CP36+ROSA!CP36+'STA ANA'!CP36+BOA!CP36+'STA MARIA'!CP36+'CB I'!CP36+IG!CP36+PN!CP36+MJ!CP36+'RB I'!CP36+'SF I'!CP36</f>
        <v>0</v>
      </c>
      <c r="CQ36" s="221">
        <f t="shared" si="14"/>
        <v>-1</v>
      </c>
      <c r="CR36" s="154"/>
      <c r="CS36" s="222" t="e">
        <f t="shared" si="15"/>
        <v>#VALUE!</v>
      </c>
    </row>
    <row r="37" spans="1:97" ht="16" customHeight="1" thickBot="1" x14ac:dyDescent="0.25">
      <c r="A37" s="223" t="s">
        <v>61</v>
      </c>
      <c r="B37" s="30">
        <f t="shared" si="17"/>
        <v>2094874.1236883576</v>
      </c>
      <c r="C37" s="31">
        <f t="shared" si="17"/>
        <v>1915532.1978883583</v>
      </c>
      <c r="D37" s="32">
        <f t="shared" si="17"/>
        <v>179341.92580000006</v>
      </c>
      <c r="E37" s="30">
        <f t="shared" ref="E37:G54" si="19">+L37+S37+Z37+AG37</f>
        <v>698291.37456278584</v>
      </c>
      <c r="F37" s="33">
        <f t="shared" si="19"/>
        <v>638510.7326294526</v>
      </c>
      <c r="G37" s="34">
        <f t="shared" si="19"/>
        <v>59780.641933333332</v>
      </c>
      <c r="H37" s="31">
        <f t="shared" si="18"/>
        <v>1315928.5126691719</v>
      </c>
      <c r="I37" s="33">
        <f t="shared" si="18"/>
        <v>150792.5370559562</v>
      </c>
      <c r="J37" s="33">
        <f t="shared" si="18"/>
        <v>1466721.0497251279</v>
      </c>
      <c r="K37" s="221">
        <f t="shared" si="2"/>
        <v>1.1004427423200971</v>
      </c>
      <c r="L37" s="218">
        <f>SLP!L37+ROSA!L37+'STA ANA'!L37+BOA!L37+'STA MARIA'!L37+'CB I'!L37+IG!L37+PN!L37+MJ!L37+'RB I'!L37+'SF I'!L37</f>
        <v>174572.84364069646</v>
      </c>
      <c r="M37" s="218">
        <f>SLP!M37+ROSA!M37+'STA ANA'!M37+BOA!M37+'STA MARIA'!M37+'CB I'!M37+IG!M37+PN!M37+MJ!M37+'RB I'!M37+'SF I'!M37</f>
        <v>159627.68315736315</v>
      </c>
      <c r="N37" s="218">
        <f>SLP!N37+ROSA!N37+'STA ANA'!N37+BOA!N37+'STA MARIA'!N37+'CB I'!N37+IG!N37+PN!N37+MJ!N37+'RB I'!N37+'SF I'!N37</f>
        <v>14945.160483333333</v>
      </c>
      <c r="O37" s="218">
        <f>SLP!O37+ROSA!O37+'STA ANA'!O37+BOA!O37+'STA MARIA'!O37+'CB I'!O37+IG!O37+PN!O37+MJ!O37+'RB I'!O37+'SF I'!O37</f>
        <v>212069.95443627989</v>
      </c>
      <c r="P37" s="218">
        <f>SLP!P37+ROSA!P37+'STA ANA'!P37+BOA!P37+'STA MARIA'!P37+'CB I'!P37+IG!P37+PN!P37+MJ!P37+'RB I'!P37+'SF I'!P37</f>
        <v>23593.039266818963</v>
      </c>
      <c r="Q37" s="218">
        <f>SLP!Q37+ROSA!Q37+'STA ANA'!Q37+BOA!Q37+'STA MARIA'!Q37+'CB I'!Q37+IG!Q37+PN!Q37+MJ!Q37+'RB I'!Q37+'SF I'!Q37</f>
        <v>235662.99370309888</v>
      </c>
      <c r="R37" s="221">
        <f t="shared" si="3"/>
        <v>0.34994073985606478</v>
      </c>
      <c r="S37" s="218">
        <f>SLP!S37+ROSA!S37+'STA ANA'!S37+BOA!S37+'STA MARIA'!S37+'CB I'!S37+IG!S37+PN!S37+MJ!S37+'RB I'!S37+'SF I'!S37</f>
        <v>174572.84364069646</v>
      </c>
      <c r="T37" s="218">
        <f>SLP!T37+ROSA!T37+'STA ANA'!T37+BOA!T37+'STA MARIA'!T37+'CB I'!T37+IG!T37+PN!T37+MJ!T37+'RB I'!T37+'SF I'!T37</f>
        <v>159627.68315736315</v>
      </c>
      <c r="U37" s="218">
        <f>SLP!U37+ROSA!U37+'STA ANA'!U37+BOA!U37+'STA MARIA'!U37+'CB I'!U37+IG!U37+PN!U37+MJ!U37+'RB I'!U37+'SF I'!U37</f>
        <v>14945.160483333333</v>
      </c>
      <c r="V37" s="218">
        <f>SLP!V37+ROSA!V37+'STA ANA'!V37+BOA!V37+'STA MARIA'!V37+'CB I'!V37+IG!V37+PN!V37+MJ!V37+'RB I'!V37+'SF I'!V37</f>
        <v>166570.10761489323</v>
      </c>
      <c r="W37" s="218">
        <f>SLP!W37+ROSA!W37+'STA ANA'!W37+BOA!W37+'STA MARIA'!W37+'CB I'!W37+IG!W37+PN!W37+MJ!W37+'RB I'!W37+'SF I'!W37</f>
        <v>19323.410126378043</v>
      </c>
      <c r="X37" s="218">
        <f>SLP!X37+ROSA!X37+'STA ANA'!X37+BOA!X37+'STA MARIA'!X37+'CB I'!X37+IG!X37+PN!X37+MJ!X37+'RB I'!X37+'SF I'!X37</f>
        <v>185893.51774127124</v>
      </c>
      <c r="Y37" s="221">
        <f t="shared" si="4"/>
        <v>6.4847852990668198E-2</v>
      </c>
      <c r="Z37" s="218">
        <f>SLP!Z37+ROSA!Z37+'STA ANA'!Z37+BOA!Z37+'STA MARIA'!Z37+'CB I'!Z37+IG!Z37+PN!Z37+MJ!Z37+'RB I'!Z37+'SF I'!Z37</f>
        <v>174572.84364069646</v>
      </c>
      <c r="AA37" s="218">
        <f>SLP!AA37+ROSA!AA37+'STA ANA'!AA37+BOA!AA37+'STA MARIA'!AA37+'CB I'!AA37+IG!AA37+PN!AA37+MJ!AA37+'RB I'!AA37+'SF I'!AA37</f>
        <v>159627.68315736315</v>
      </c>
      <c r="AB37" s="218">
        <f>SLP!AB37+ROSA!AB37+'STA ANA'!AB37+BOA!AB37+'STA MARIA'!AB37+'CB I'!AB37+IG!AB37+PN!AB37+MJ!AB37+'RB I'!AB37+'SF I'!AB37</f>
        <v>14945.160483333333</v>
      </c>
      <c r="AC37" s="218">
        <f>SLP!AC37+ROSA!AC37+'STA ANA'!AC37+BOA!AC37+'STA MARIA'!AC37+'CB I'!AC37+IG!AC37+PN!AC37+MJ!AC37+'RB I'!AC37+'SF I'!AC37</f>
        <v>212835.78508344444</v>
      </c>
      <c r="AD37" s="218">
        <f>SLP!AD37+ROSA!AD37+'STA ANA'!AD37+BOA!AD37+'STA MARIA'!AD37+'CB I'!AD37+IG!AD37+PN!AD37+MJ!AD37+'RB I'!AD37+'SF I'!AD37</f>
        <v>24759.982854001933</v>
      </c>
      <c r="AE37" s="218">
        <f>SLP!AE37+ROSA!AE37+'STA ANA'!AE37+BOA!AE37+'STA MARIA'!AE37+'CB I'!AE37+IG!AE37+PN!AE37+MJ!AE37+'RB I'!AE37+'SF I'!AE37</f>
        <v>237595.76793744636</v>
      </c>
      <c r="AF37" s="221">
        <f t="shared" si="5"/>
        <v>0.36101218827862391</v>
      </c>
      <c r="AG37" s="218">
        <f>SLP!AG37+ROSA!AG37+'STA ANA'!AG37+BOA!AG37+'STA MARIA'!AG37+'CB I'!AG37+IG!AG37+PN!AG37+MJ!AG37+'RB I'!AG37+'SF I'!AG37</f>
        <v>174572.84364069646</v>
      </c>
      <c r="AH37" s="218">
        <f>SLP!AH37+ROSA!AH37+'STA ANA'!AH37+BOA!AH37+'STA MARIA'!AH37+'CB I'!AH37+IG!AH37+PN!AH37+MJ!AH37+'RB I'!AH37+'SF I'!AH37</f>
        <v>159627.68315736315</v>
      </c>
      <c r="AI37" s="218">
        <f>SLP!AI37+ROSA!AI37+'STA ANA'!AI37+BOA!AI37+'STA MARIA'!AI37+'CB I'!AI37+IG!AI37+PN!AI37+MJ!AI37+'RB I'!AI37+'SF I'!AI37</f>
        <v>14945.160483333333</v>
      </c>
      <c r="AJ37" s="218">
        <f>SLP!AJ37+ROSA!AJ37+'STA ANA'!AJ37+BOA!AJ37+'STA MARIA'!AJ37+'CB I'!AJ37+IG!AJ37+PN!AJ37+MJ!AJ37+'RB I'!AJ37+'SF I'!AJ37</f>
        <v>287582.74126488366</v>
      </c>
      <c r="AK37" s="218">
        <f>SLP!AK37+ROSA!AK37+'STA ANA'!AK37+BOA!AK37+'STA MARIA'!AK37+'CB I'!AK37+IG!AK37+PN!AK37+MJ!AK37+'RB I'!AK37+'SF I'!AK37</f>
        <v>30170.041558216559</v>
      </c>
      <c r="AL37" s="218">
        <f>SLP!AL37+ROSA!AL37+'STA ANA'!AL37+BOA!AL37+'STA MARIA'!AL37+'CB I'!AL37+IG!AL37+PN!AL37+MJ!AL37+'RB I'!AL37+'SF I'!AL37</f>
        <v>317752.78282310022</v>
      </c>
      <c r="AM37" s="221">
        <f t="shared" si="6"/>
        <v>0.8201730360599202</v>
      </c>
      <c r="AN37" s="218">
        <f>SLP!AN37+ROSA!AN37+'STA ANA'!AN37+BOA!AN37+'STA MARIA'!AN37+'CB I'!AN37+IG!AN37+PN!AN37+MJ!AN37+'RB I'!AN37+'SF I'!AN37</f>
        <v>174572.84364069646</v>
      </c>
      <c r="AO37" s="218">
        <f>SLP!AO37+ROSA!AO37+'STA ANA'!AO37+BOA!AO37+'STA MARIA'!AO37+'CB I'!AO37+IG!AO37+PN!AO37+MJ!AO37+'RB I'!AO37+'SF I'!AO37</f>
        <v>159627.68315736315</v>
      </c>
      <c r="AP37" s="218">
        <f>SLP!AP37+ROSA!AP37+'STA ANA'!AP37+BOA!AP37+'STA MARIA'!AP37+'CB I'!AP37+IG!AP37+PN!AP37+MJ!AP37+'RB I'!AP37+'SF I'!AP37</f>
        <v>14945.160483333333</v>
      </c>
      <c r="AQ37" s="218">
        <f>SLP!AQ37+ROSA!AQ37+'STA ANA'!AQ37+BOA!AQ37+'STA MARIA'!AQ37+'CB I'!AQ37+IG!AQ37+PN!AQ37+MJ!AQ37+'RB I'!AQ37+'SF I'!AQ37</f>
        <v>245049.84047881645</v>
      </c>
      <c r="AR37" s="218">
        <f>SLP!AR37+ROSA!AR37+'STA ANA'!AR37+BOA!AR37+'STA MARIA'!AR37+'CB I'!AR37+IG!AR37+PN!AR37+MJ!AR37+'RB I'!AR37+'SF I'!AR37</f>
        <v>28228.176354430754</v>
      </c>
      <c r="AS37" s="218">
        <f>SLP!AS37+ROSA!AS37+'STA ANA'!AS37+BOA!AS37+'STA MARIA'!AS37+'CB I'!AS37+IG!AS37+PN!AS37+MJ!AS37+'RB I'!AS37+'SF I'!AS37</f>
        <v>273278.01683324715</v>
      </c>
      <c r="AT37" s="221">
        <f t="shared" si="7"/>
        <v>0.56540966586821706</v>
      </c>
      <c r="AU37" s="218">
        <f>SLP!AU37+ROSA!AU37+'STA ANA'!AU37+BOA!AU37+'STA MARIA'!AU37+'CB I'!AU37+IG!AU37+PN!AU37+MJ!AU37+'RB I'!AU37+'SF I'!AU37</f>
        <v>174572.84364069646</v>
      </c>
      <c r="AV37" s="218">
        <f>SLP!AV37+ROSA!AV37+'STA ANA'!AV37+BOA!AV37+'STA MARIA'!AV37+'CB I'!AV37+IG!AV37+PN!AV37+MJ!AV37+'RB I'!AV37+'SF I'!AV37</f>
        <v>159627.68315736315</v>
      </c>
      <c r="AW37" s="218">
        <f>SLP!AW37+ROSA!AW37+'STA ANA'!AW37+BOA!AW37+'STA MARIA'!AW37+'CB I'!AW37+IG!AW37+PN!AW37+MJ!AW37+'RB I'!AW37+'SF I'!AW37</f>
        <v>14945.160483333333</v>
      </c>
      <c r="AX37" s="218">
        <f>SLP!AX37+ROSA!AX37+'STA ANA'!AX37+BOA!AX37+'STA MARIA'!AX37+'CB I'!AX37+IG!AX37+PN!AX37+MJ!AX37+'RB I'!AX37+'SF I'!AX37</f>
        <v>191820.08379085414</v>
      </c>
      <c r="AY37" s="218">
        <f>SLP!AY37+ROSA!AY37+'STA ANA'!AY37+BOA!AY37+'STA MARIA'!AY37+'CB I'!AY37+IG!AY37+PN!AY37+MJ!AY37+'RB I'!AY37+'SF I'!AY37</f>
        <v>24717.886896109925</v>
      </c>
      <c r="AZ37" s="218">
        <f>SLP!AZ37+ROSA!AZ37+'STA ANA'!AZ37+BOA!AZ37+'STA MARIA'!AZ37+'CB I'!AZ37+IG!AZ37+PN!AZ37+MJ!AZ37+'RB I'!AZ37+'SF I'!AZ37</f>
        <v>216537.97068696402</v>
      </c>
      <c r="BA37" s="221">
        <f t="shared" si="8"/>
        <v>0.24038748622689354</v>
      </c>
      <c r="BB37" s="218">
        <f>SLP!BB37+ROSA!BB37+'STA ANA'!BB37+BOA!BB37+'STA MARIA'!BB37+'CB I'!BB37+IG!BB37+PN!BB37+MJ!BB37+'RB I'!BB37+'SF I'!BB37</f>
        <v>174572.84364069646</v>
      </c>
      <c r="BC37" s="218">
        <f>SLP!BC37+ROSA!BC37+'STA ANA'!BC37+BOA!BC37+'STA MARIA'!BC37+'CB I'!BC37+IG!BC37+PN!BC37+MJ!BC37+'RB I'!BC37+'SF I'!BC37</f>
        <v>159627.68315736315</v>
      </c>
      <c r="BD37" s="218">
        <f>SLP!BD37+ROSA!BD37+'STA ANA'!BD37+BOA!BD37+'STA MARIA'!BD37+'CB I'!BD37+IG!BD37+PN!BD37+MJ!BD37+'RB I'!BD37+'SF I'!BD37</f>
        <v>14945.160483333333</v>
      </c>
      <c r="BE37" s="218">
        <f>SLP!BE37+ROSA!BE37+'STA ANA'!BE37+BOA!BE37+'STA MARIA'!BE37+'CB I'!BE37+IG!BE37+PN!BE37+MJ!BE37+'RB I'!BE37+'SF I'!BE37</f>
        <v>0</v>
      </c>
      <c r="BF37" s="218">
        <f>SLP!BF37+ROSA!BF37+'STA ANA'!BF37+BOA!BF37+'STA MARIA'!BF37+'CB I'!BF37+IG!BF37+PN!BF37+MJ!BF37+'RB I'!BF37+'SF I'!BF37</f>
        <v>0</v>
      </c>
      <c r="BG37" s="218">
        <f>SLP!BG37+ROSA!BG37+'STA ANA'!BG37+BOA!BG37+'STA MARIA'!BG37+'CB I'!BG37+IG!BG37+PN!BG37+MJ!BG37+'RB I'!BG37+'SF I'!BG37</f>
        <v>0</v>
      </c>
      <c r="BH37" s="221">
        <f t="shared" si="9"/>
        <v>-1</v>
      </c>
      <c r="BI37" s="218">
        <f>SLP!BI37+ROSA!BI37+'STA ANA'!BI37+BOA!BI37+'STA MARIA'!BI37+'CB I'!BI37+IG!BI37+PN!BI37+MJ!BI37+'RB I'!BI37+'SF I'!BI37</f>
        <v>174572.84364069646</v>
      </c>
      <c r="BJ37" s="218">
        <f>SLP!BJ37+ROSA!BJ37+'STA ANA'!BJ37+BOA!BJ37+'STA MARIA'!BJ37+'CB I'!BJ37+IG!BJ37+PN!BJ37+MJ!BJ37+'RB I'!BJ37+'SF I'!BJ37</f>
        <v>159627.68315736315</v>
      </c>
      <c r="BK37" s="218">
        <f>SLP!BK37+ROSA!BK37+'STA ANA'!BK37+BOA!BK37+'STA MARIA'!BK37+'CB I'!BK37+IG!BK37+PN!BK37+MJ!BK37+'RB I'!BK37+'SF I'!BK37</f>
        <v>14945.160483333333</v>
      </c>
      <c r="BL37" s="218">
        <f>SLP!BL37+ROSA!BL37+'STA ANA'!BL37+BOA!BL37+'STA MARIA'!BL37+'CB I'!BL37+IG!BL37+PN!BL37+MJ!BL37+'RB I'!BL37+'SF I'!BL37</f>
        <v>0</v>
      </c>
      <c r="BM37" s="218">
        <f>SLP!BM37+ROSA!BM37+'STA ANA'!BM37+BOA!BM37+'STA MARIA'!BM37+'CB I'!BM37+IG!BM37+PN!BM37+MJ!BM37+'RB I'!BM37+'SF I'!BM37</f>
        <v>0</v>
      </c>
      <c r="BN37" s="218">
        <f>SLP!BN37+ROSA!BN37+'STA ANA'!BN37+BOA!BN37+'STA MARIA'!BN37+'CB I'!BN37+IG!BN37+PN!BN37+MJ!BN37+'RB I'!BN37+'SF I'!BN37</f>
        <v>0</v>
      </c>
      <c r="BO37" s="221">
        <f t="shared" si="10"/>
        <v>-1</v>
      </c>
      <c r="BP37" s="218">
        <f>SLP!BP37+ROSA!BP37+'STA ANA'!BP37+BOA!BP37+'STA MARIA'!BP37+'CB I'!BP37+IG!BP37+PN!BP37+MJ!BP37+'RB I'!BP37+'SF I'!BP37</f>
        <v>174572.84364069646</v>
      </c>
      <c r="BQ37" s="218">
        <f>SLP!BQ37+ROSA!BQ37+'STA ANA'!BQ37+BOA!BQ37+'STA MARIA'!BQ37+'CB I'!BQ37+IG!BQ37+PN!BQ37+MJ!BQ37+'RB I'!BQ37+'SF I'!BQ37</f>
        <v>159627.68315736315</v>
      </c>
      <c r="BR37" s="218">
        <f>SLP!BR37+ROSA!BR37+'STA ANA'!BR37+BOA!BR37+'STA MARIA'!BR37+'CB I'!BR37+IG!BR37+PN!BR37+MJ!BR37+'RB I'!BR37+'SF I'!BR37</f>
        <v>14945.160483333333</v>
      </c>
      <c r="BS37" s="218">
        <f>SLP!BS37+ROSA!BS37+'STA ANA'!BS37+BOA!BS37+'STA MARIA'!BS37+'CB I'!BS37+IG!BS37+PN!BS37+MJ!BS37+'RB I'!BS37+'SF I'!BS37</f>
        <v>0</v>
      </c>
      <c r="BT37" s="218">
        <f>SLP!BT37+ROSA!BT37+'STA ANA'!BT37+BOA!BT37+'STA MARIA'!BT37+'CB I'!BT37+IG!BT37+PN!BT37+MJ!BT37+'RB I'!BT37+'SF I'!BT37</f>
        <v>0</v>
      </c>
      <c r="BU37" s="218">
        <f>SLP!BU37+ROSA!BU37+'STA ANA'!BU37+BOA!BU37+'STA MARIA'!BU37+'CB I'!BU37+IG!BU37+PN!BU37+MJ!BU37+'RB I'!BU37+'SF I'!BU37</f>
        <v>0</v>
      </c>
      <c r="BV37" s="221">
        <f t="shared" si="11"/>
        <v>-1</v>
      </c>
      <c r="BW37" s="218">
        <f>SLP!BW37+ROSA!BW37+'STA ANA'!BW37+BOA!BW37+'STA MARIA'!BW37+'CB I'!BW37+IG!BW37+PN!BW37+MJ!BW37+'RB I'!BW37+'SF I'!BW37</f>
        <v>174572.84364069646</v>
      </c>
      <c r="BX37" s="218">
        <f>SLP!BX37+ROSA!BX37+'STA ANA'!BX37+BOA!BX37+'STA MARIA'!BX37+'CB I'!BX37+IG!BX37+PN!BX37+MJ!BX37+'RB I'!BX37+'SF I'!BX37</f>
        <v>159627.68315736315</v>
      </c>
      <c r="BY37" s="218">
        <f>SLP!BY37+ROSA!BY37+'STA ANA'!BY37+BOA!BY37+'STA MARIA'!BY37+'CB I'!BY37+IG!BY37+PN!BY37+MJ!BY37+'RB I'!BY37+'SF I'!BY37</f>
        <v>14945.160483333333</v>
      </c>
      <c r="BZ37" s="218">
        <f>SLP!BZ37+ROSA!BZ37+'STA ANA'!BZ37+BOA!BZ37+'STA MARIA'!BZ37+'CB I'!BZ37+IG!BZ37+PN!BZ37+MJ!BZ37+'RB I'!BZ37+'SF I'!BZ37</f>
        <v>0</v>
      </c>
      <c r="CA37" s="218">
        <f>SLP!CA37+ROSA!CA37+'STA ANA'!CA37+BOA!CA37+'STA MARIA'!CA37+'CB I'!CA37+IG!CA37+PN!CA37+MJ!CA37+'RB I'!CA37+'SF I'!CA37</f>
        <v>0</v>
      </c>
      <c r="CB37" s="218">
        <f>SLP!CB37+ROSA!CB37+'STA ANA'!CB37+BOA!CB37+'STA MARIA'!CB37+'CB I'!CB37+IG!CB37+PN!CB37+MJ!CB37+'RB I'!CB37+'SF I'!CB37</f>
        <v>0</v>
      </c>
      <c r="CC37" s="221">
        <f t="shared" si="12"/>
        <v>-1</v>
      </c>
      <c r="CD37" s="218">
        <f>SLP!CD37+ROSA!CD37+'STA ANA'!CD37+BOA!CD37+'STA MARIA'!CD37+'CB I'!CD37+IG!CD37+PN!CD37+MJ!CD37+'RB I'!CD37+'SF I'!CD37</f>
        <v>174572.84364069646</v>
      </c>
      <c r="CE37" s="218">
        <f>SLP!CE37+ROSA!CE37+'STA ANA'!CE37+BOA!CE37+'STA MARIA'!CE37+'CB I'!CE37+IG!CE37+PN!CE37+MJ!CE37+'RB I'!CE37+'SF I'!CE37</f>
        <v>159627.68315736315</v>
      </c>
      <c r="CF37" s="218">
        <f>SLP!CF37+ROSA!CF37+'STA ANA'!CF37+BOA!CF37+'STA MARIA'!CF37+'CB I'!CF37+IG!CF37+PN!CF37+MJ!CF37+'RB I'!CF37+'SF I'!CF37</f>
        <v>14945.160483333333</v>
      </c>
      <c r="CG37" s="218">
        <f>SLP!CG37+ROSA!CG37+'STA ANA'!CG37+BOA!CG37+'STA MARIA'!CG37+'CB I'!CG37+IG!CG37+PN!CG37+MJ!CG37+'RB I'!CG37+'SF I'!CG37</f>
        <v>0</v>
      </c>
      <c r="CH37" s="218">
        <f>SLP!CH37+ROSA!CH37+'STA ANA'!CH37+BOA!CH37+'STA MARIA'!CH37+'CB I'!CH37+IG!CH37+PN!CH37+MJ!CH37+'RB I'!CH37+'SF I'!CH37</f>
        <v>0</v>
      </c>
      <c r="CI37" s="218">
        <f>SLP!CI37+ROSA!CI37+'STA ANA'!CI37+BOA!CI37+'STA MARIA'!CI37+'CB I'!CI37+IG!CI37+PN!CI37+MJ!CI37+'RB I'!CI37+'SF I'!CI37</f>
        <v>0</v>
      </c>
      <c r="CJ37" s="221">
        <f t="shared" si="13"/>
        <v>-1</v>
      </c>
      <c r="CK37" s="218">
        <f>SLP!CK37+ROSA!CK37+'STA ANA'!CK37+BOA!CK37+'STA MARIA'!CK37+'CB I'!CK37+IG!CK37+PN!CK37+MJ!CK37+'RB I'!CK37+'SF I'!CK37</f>
        <v>174572.84364069646</v>
      </c>
      <c r="CL37" s="218">
        <f>SLP!CL37+ROSA!CL37+'STA ANA'!CL37+BOA!CL37+'STA MARIA'!CL37+'CB I'!CL37+IG!CL37+PN!CL37+MJ!CL37+'RB I'!CL37+'SF I'!CL37</f>
        <v>159627.68315736315</v>
      </c>
      <c r="CM37" s="218">
        <f>SLP!CM37+ROSA!CM37+'STA ANA'!CM37+BOA!CM37+'STA MARIA'!CM37+'CB I'!CM37+IG!CM37+PN!CM37+MJ!CM37+'RB I'!CM37+'SF I'!CM37</f>
        <v>14945.160483333333</v>
      </c>
      <c r="CN37" s="218">
        <f>SLP!CN37+ROSA!CN37+'STA ANA'!CN37+BOA!CN37+'STA MARIA'!CN37+'CB I'!CN37+IG!CN37+PN!CN37+MJ!CN37+'RB I'!CN37+'SF I'!CN37</f>
        <v>0</v>
      </c>
      <c r="CO37" s="218">
        <f>SLP!CO37+ROSA!CO37+'STA ANA'!CO37+BOA!CO37+'STA MARIA'!CO37+'CB I'!CO37+IG!CO37+PN!CO37+MJ!CO37+'RB I'!CO37+'SF I'!CO37</f>
        <v>0</v>
      </c>
      <c r="CP37" s="218">
        <f>SLP!CP37+ROSA!CP37+'STA ANA'!CP37+BOA!CP37+'STA MARIA'!CP37+'CB I'!CP37+IG!CP37+PN!CP37+MJ!CP37+'RB I'!CP37+'SF I'!CP37</f>
        <v>0</v>
      </c>
      <c r="CQ37" s="221">
        <f t="shared" si="14"/>
        <v>-1</v>
      </c>
      <c r="CR37" s="154"/>
      <c r="CS37" s="222" t="e">
        <f t="shared" si="15"/>
        <v>#VALUE!</v>
      </c>
    </row>
    <row r="38" spans="1:97" ht="16" customHeight="1" thickBot="1" x14ac:dyDescent="0.25">
      <c r="A38" s="223" t="s">
        <v>62</v>
      </c>
      <c r="B38" s="30">
        <f t="shared" si="17"/>
        <v>332305.62473767158</v>
      </c>
      <c r="C38" s="31">
        <f t="shared" si="17"/>
        <v>307547.17489767156</v>
      </c>
      <c r="D38" s="32">
        <f t="shared" si="17"/>
        <v>24758.44983999999</v>
      </c>
      <c r="E38" s="30">
        <f t="shared" si="19"/>
        <v>110768.54157922385</v>
      </c>
      <c r="F38" s="33">
        <f t="shared" si="19"/>
        <v>102515.72496589052</v>
      </c>
      <c r="G38" s="34">
        <f t="shared" si="19"/>
        <v>8252.8166133333325</v>
      </c>
      <c r="H38" s="31">
        <f t="shared" si="18"/>
        <v>379219.88519499323</v>
      </c>
      <c r="I38" s="33">
        <f t="shared" si="18"/>
        <v>48808.605265588194</v>
      </c>
      <c r="J38" s="33">
        <f t="shared" si="18"/>
        <v>428028.4904605815</v>
      </c>
      <c r="K38" s="221">
        <f t="shared" si="2"/>
        <v>2.8641701367391126</v>
      </c>
      <c r="L38" s="218">
        <f>SLP!L38+ROSA!L38+'STA ANA'!L38+BOA!L38+'STA MARIA'!L38+'CB I'!L38+IG!L38+PN!L38+MJ!L38+'RB I'!L38+'SF I'!L38</f>
        <v>27692.135394805962</v>
      </c>
      <c r="M38" s="218">
        <f>SLP!M38+ROSA!M38+'STA ANA'!M38+BOA!M38+'STA MARIA'!M38+'CB I'!M38+IG!M38+PN!M38+MJ!M38+'RB I'!M38+'SF I'!M38</f>
        <v>25628.93124147263</v>
      </c>
      <c r="N38" s="218">
        <f>SLP!N38+ROSA!N38+'STA ANA'!N38+BOA!N38+'STA MARIA'!N38+'CB I'!N38+IG!N38+PN!N38+MJ!N38+'RB I'!N38+'SF I'!N38</f>
        <v>2063.2041533333331</v>
      </c>
      <c r="O38" s="218">
        <f>SLP!O38+ROSA!O38+'STA ANA'!O38+BOA!O38+'STA MARIA'!O38+'CB I'!O38+IG!O38+PN!O38+MJ!O38+'RB I'!O38+'SF I'!O38</f>
        <v>42836.930083847263</v>
      </c>
      <c r="P38" s="218">
        <f>SLP!P38+ROSA!P38+'STA ANA'!P38+BOA!P38+'STA MARIA'!P38+'CB I'!P38+IG!P38+PN!P38+MJ!P38+'RB I'!P38+'SF I'!P38</f>
        <v>9423.5022055703976</v>
      </c>
      <c r="Q38" s="218">
        <f>SLP!Q38+ROSA!Q38+'STA ANA'!Q38+BOA!Q38+'STA MARIA'!Q38+'CB I'!Q38+IG!Q38+PN!Q38+MJ!Q38+'RB I'!Q38+'SF I'!Q38</f>
        <v>52260.432289417658</v>
      </c>
      <c r="R38" s="221">
        <f t="shared" si="3"/>
        <v>0.88719401896394801</v>
      </c>
      <c r="S38" s="218">
        <f>SLP!S38+ROSA!S38+'STA ANA'!S38+BOA!S38+'STA MARIA'!S38+'CB I'!S38+IG!S38+PN!S38+MJ!S38+'RB I'!S38+'SF I'!S38</f>
        <v>27692.135394805962</v>
      </c>
      <c r="T38" s="218">
        <f>SLP!T38+ROSA!T38+'STA ANA'!T38+BOA!T38+'STA MARIA'!T38+'CB I'!T38+IG!T38+PN!T38+MJ!T38+'RB I'!T38+'SF I'!T38</f>
        <v>25628.93124147263</v>
      </c>
      <c r="U38" s="218">
        <f>SLP!U38+ROSA!U38+'STA ANA'!U38+BOA!U38+'STA MARIA'!U38+'CB I'!U38+IG!U38+PN!U38+MJ!U38+'RB I'!U38+'SF I'!U38</f>
        <v>2063.2041533333331</v>
      </c>
      <c r="V38" s="218">
        <f>SLP!V38+ROSA!V38+'STA ANA'!V38+BOA!V38+'STA MARIA'!V38+'CB I'!V38+IG!V38+PN!V38+MJ!V38+'RB I'!V38+'SF I'!V38</f>
        <v>44608.847623242043</v>
      </c>
      <c r="W38" s="218">
        <f>SLP!W38+ROSA!W38+'STA ANA'!W38+BOA!W38+'STA MARIA'!W38+'CB I'!W38+IG!W38+PN!W38+MJ!W38+'RB I'!W38+'SF I'!W38</f>
        <v>7048.3226278726434</v>
      </c>
      <c r="X38" s="218">
        <f>SLP!X38+ROSA!X38+'STA ANA'!X38+BOA!X38+'STA MARIA'!X38+'CB I'!X38+IG!X38+PN!X38+MJ!X38+'RB I'!X38+'SF I'!X38</f>
        <v>51657.170251114672</v>
      </c>
      <c r="Y38" s="221">
        <f t="shared" si="4"/>
        <v>0.86540942092908013</v>
      </c>
      <c r="Z38" s="218">
        <f>SLP!Z38+ROSA!Z38+'STA ANA'!Z38+BOA!Z38+'STA MARIA'!Z38+'CB I'!Z38+IG!Z38+PN!Z38+MJ!Z38+'RB I'!Z38+'SF I'!Z38</f>
        <v>27692.135394805962</v>
      </c>
      <c r="AA38" s="218">
        <f>SLP!AA38+ROSA!AA38+'STA ANA'!AA38+BOA!AA38+'STA MARIA'!AA38+'CB I'!AA38+IG!AA38+PN!AA38+MJ!AA38+'RB I'!AA38+'SF I'!AA38</f>
        <v>25628.93124147263</v>
      </c>
      <c r="AB38" s="218">
        <f>SLP!AB38+ROSA!AB38+'STA ANA'!AB38+BOA!AB38+'STA MARIA'!AB38+'CB I'!AB38+IG!AB38+PN!AB38+MJ!AB38+'RB I'!AB38+'SF I'!AB38</f>
        <v>2063.2041533333331</v>
      </c>
      <c r="AC38" s="218">
        <f>SLP!AC38+ROSA!AC38+'STA ANA'!AC38+BOA!AC38+'STA MARIA'!AC38+'CB I'!AC38+IG!AC38+PN!AC38+MJ!AC38+'RB I'!AC38+'SF I'!AC38</f>
        <v>85239.036316711834</v>
      </c>
      <c r="AD38" s="218">
        <f>SLP!AD38+ROSA!AD38+'STA ANA'!AD38+BOA!AD38+'STA MARIA'!AD38+'CB I'!AD38+IG!AD38+PN!AD38+MJ!AD38+'RB I'!AD38+'SF I'!AD38</f>
        <v>11034.60545019183</v>
      </c>
      <c r="AE38" s="218">
        <f>SLP!AE38+ROSA!AE38+'STA ANA'!AE38+BOA!AE38+'STA MARIA'!AE38+'CB I'!AE38+IG!AE38+PN!AE38+MJ!AE38+'RB I'!AE38+'SF I'!AE38</f>
        <v>96273.641766903689</v>
      </c>
      <c r="AF38" s="221">
        <f t="shared" si="5"/>
        <v>2.4765698056265144</v>
      </c>
      <c r="AG38" s="218">
        <f>SLP!AG38+ROSA!AG38+'STA ANA'!AG38+BOA!AG38+'STA MARIA'!AG38+'CB I'!AG38+IG!AG38+PN!AG38+MJ!AG38+'RB I'!AG38+'SF I'!AG38</f>
        <v>27692.135394805962</v>
      </c>
      <c r="AH38" s="218">
        <f>SLP!AH38+ROSA!AH38+'STA ANA'!AH38+BOA!AH38+'STA MARIA'!AH38+'CB I'!AH38+IG!AH38+PN!AH38+MJ!AH38+'RB I'!AH38+'SF I'!AH38</f>
        <v>25628.93124147263</v>
      </c>
      <c r="AI38" s="218">
        <f>SLP!AI38+ROSA!AI38+'STA ANA'!AI38+BOA!AI38+'STA MARIA'!AI38+'CB I'!AI38+IG!AI38+PN!AI38+MJ!AI38+'RB I'!AI38+'SF I'!AI38</f>
        <v>2063.2041533333331</v>
      </c>
      <c r="AJ38" s="218">
        <f>SLP!AJ38+ROSA!AJ38+'STA ANA'!AJ38+BOA!AJ38+'STA MARIA'!AJ38+'CB I'!AJ38+IG!AJ38+PN!AJ38+MJ!AJ38+'RB I'!AJ38+'SF I'!AJ38</f>
        <v>73573.305352276846</v>
      </c>
      <c r="AK38" s="218">
        <f>SLP!AK38+ROSA!AK38+'STA ANA'!AK38+BOA!AK38+'STA MARIA'!AK38+'CB I'!AK38+IG!AK38+PN!AK38+MJ!AK38+'RB I'!AK38+'SF I'!AK38</f>
        <v>6896.313067848163</v>
      </c>
      <c r="AL38" s="218">
        <f>SLP!AL38+ROSA!AL38+'STA ANA'!AL38+BOA!AL38+'STA MARIA'!AL38+'CB I'!AL38+IG!AL38+PN!AL38+MJ!AL38+'RB I'!AL38+'SF I'!AL38</f>
        <v>80469.618420125029</v>
      </c>
      <c r="AM38" s="221">
        <f t="shared" si="6"/>
        <v>1.9058654117088496</v>
      </c>
      <c r="AN38" s="218">
        <f>SLP!AN38+ROSA!AN38+'STA ANA'!AN38+BOA!AN38+'STA MARIA'!AN38+'CB I'!AN38+IG!AN38+PN!AN38+MJ!AN38+'RB I'!AN38+'SF I'!AN38</f>
        <v>27692.135394805962</v>
      </c>
      <c r="AO38" s="218">
        <f>SLP!AO38+ROSA!AO38+'STA ANA'!AO38+BOA!AO38+'STA MARIA'!AO38+'CB I'!AO38+IG!AO38+PN!AO38+MJ!AO38+'RB I'!AO38+'SF I'!AO38</f>
        <v>25628.93124147263</v>
      </c>
      <c r="AP38" s="218">
        <f>SLP!AP38+ROSA!AP38+'STA ANA'!AP38+BOA!AP38+'STA MARIA'!AP38+'CB I'!AP38+IG!AP38+PN!AP38+MJ!AP38+'RB I'!AP38+'SF I'!AP38</f>
        <v>2063.2041533333331</v>
      </c>
      <c r="AQ38" s="218">
        <f>SLP!AQ38+ROSA!AQ38+'STA ANA'!AQ38+BOA!AQ38+'STA MARIA'!AQ38+'CB I'!AQ38+IG!AQ38+PN!AQ38+MJ!AQ38+'RB I'!AQ38+'SF I'!AQ38</f>
        <v>50718.888349876426</v>
      </c>
      <c r="AR38" s="218">
        <f>SLP!AR38+ROSA!AR38+'STA ANA'!AR38+BOA!AR38+'STA MARIA'!AR38+'CB I'!AR38+IG!AR38+PN!AR38+MJ!AR38+'RB I'!AR38+'SF I'!AR38</f>
        <v>7234.8382674371896</v>
      </c>
      <c r="AS38" s="218">
        <f>SLP!AS38+ROSA!AS38+'STA ANA'!AS38+BOA!AS38+'STA MARIA'!AS38+'CB I'!AS38+IG!AS38+PN!AS38+MJ!AS38+'RB I'!AS38+'SF I'!AS38</f>
        <v>57953.726617313623</v>
      </c>
      <c r="AT38" s="221">
        <f t="shared" si="7"/>
        <v>1.0927864821931945</v>
      </c>
      <c r="AU38" s="218">
        <f>SLP!AU38+ROSA!AU38+'STA ANA'!AU38+BOA!AU38+'STA MARIA'!AU38+'CB I'!AU38+IG!AU38+PN!AU38+MJ!AU38+'RB I'!AU38+'SF I'!AU38</f>
        <v>27692.135394805962</v>
      </c>
      <c r="AV38" s="218">
        <f>SLP!AV38+ROSA!AV38+'STA ANA'!AV38+BOA!AV38+'STA MARIA'!AV38+'CB I'!AV38+IG!AV38+PN!AV38+MJ!AV38+'RB I'!AV38+'SF I'!AV38</f>
        <v>25628.93124147263</v>
      </c>
      <c r="AW38" s="218">
        <f>SLP!AW38+ROSA!AW38+'STA ANA'!AW38+BOA!AW38+'STA MARIA'!AW38+'CB I'!AW38+IG!AW38+PN!AW38+MJ!AW38+'RB I'!AW38+'SF I'!AW38</f>
        <v>2063.2041533333331</v>
      </c>
      <c r="AX38" s="218">
        <f>SLP!AX38+ROSA!AX38+'STA ANA'!AX38+BOA!AX38+'STA MARIA'!AX38+'CB I'!AX38+IG!AX38+PN!AX38+MJ!AX38+'RB I'!AX38+'SF I'!AX38</f>
        <v>82242.877469038824</v>
      </c>
      <c r="AY38" s="218">
        <f>SLP!AY38+ROSA!AY38+'STA ANA'!AY38+BOA!AY38+'STA MARIA'!AY38+'CB I'!AY38+IG!AY38+PN!AY38+MJ!AY38+'RB I'!AY38+'SF I'!AY38</f>
        <v>7171.0236466679735</v>
      </c>
      <c r="AZ38" s="218">
        <f>SLP!AZ38+ROSA!AZ38+'STA ANA'!AZ38+BOA!AZ38+'STA MARIA'!AZ38+'CB I'!AZ38+IG!AZ38+PN!AZ38+MJ!AZ38+'RB I'!AZ38+'SF I'!AZ38</f>
        <v>89413.901115706802</v>
      </c>
      <c r="BA38" s="221">
        <f t="shared" si="8"/>
        <v>2.2288554075348626</v>
      </c>
      <c r="BB38" s="218">
        <f>SLP!BB38+ROSA!BB38+'STA ANA'!BB38+BOA!BB38+'STA MARIA'!BB38+'CB I'!BB38+IG!BB38+PN!BB38+MJ!BB38+'RB I'!BB38+'SF I'!BB38</f>
        <v>27692.135394805962</v>
      </c>
      <c r="BC38" s="218">
        <f>SLP!BC38+ROSA!BC38+'STA ANA'!BC38+BOA!BC38+'STA MARIA'!BC38+'CB I'!BC38+IG!BC38+PN!BC38+MJ!BC38+'RB I'!BC38+'SF I'!BC38</f>
        <v>25628.93124147263</v>
      </c>
      <c r="BD38" s="218">
        <f>SLP!BD38+ROSA!BD38+'STA ANA'!BD38+BOA!BD38+'STA MARIA'!BD38+'CB I'!BD38+IG!BD38+PN!BD38+MJ!BD38+'RB I'!BD38+'SF I'!BD38</f>
        <v>2063.2041533333331</v>
      </c>
      <c r="BE38" s="218">
        <f>SLP!BE38+ROSA!BE38+'STA ANA'!BE38+BOA!BE38+'STA MARIA'!BE38+'CB I'!BE38+IG!BE38+PN!BE38+MJ!BE38+'RB I'!BE38+'SF I'!BE38</f>
        <v>0</v>
      </c>
      <c r="BF38" s="218">
        <f>SLP!BF38+ROSA!BF38+'STA ANA'!BF38+BOA!BF38+'STA MARIA'!BF38+'CB I'!BF38+IG!BF38+PN!BF38+MJ!BF38+'RB I'!BF38+'SF I'!BF38</f>
        <v>0</v>
      </c>
      <c r="BG38" s="218">
        <f>SLP!BG38+ROSA!BG38+'STA ANA'!BG38+BOA!BG38+'STA MARIA'!BG38+'CB I'!BG38+IG!BG38+PN!BG38+MJ!BG38+'RB I'!BG38+'SF I'!BG38</f>
        <v>0</v>
      </c>
      <c r="BH38" s="221">
        <f t="shared" si="9"/>
        <v>-1</v>
      </c>
      <c r="BI38" s="218">
        <f>SLP!BI38+ROSA!BI38+'STA ANA'!BI38+BOA!BI38+'STA MARIA'!BI38+'CB I'!BI38+IG!BI38+PN!BI38+MJ!BI38+'RB I'!BI38+'SF I'!BI38</f>
        <v>27692.135394805962</v>
      </c>
      <c r="BJ38" s="218">
        <f>SLP!BJ38+ROSA!BJ38+'STA ANA'!BJ38+BOA!BJ38+'STA MARIA'!BJ38+'CB I'!BJ38+IG!BJ38+PN!BJ38+MJ!BJ38+'RB I'!BJ38+'SF I'!BJ38</f>
        <v>25628.93124147263</v>
      </c>
      <c r="BK38" s="218">
        <f>SLP!BK38+ROSA!BK38+'STA ANA'!BK38+BOA!BK38+'STA MARIA'!BK38+'CB I'!BK38+IG!BK38+PN!BK38+MJ!BK38+'RB I'!BK38+'SF I'!BK38</f>
        <v>2063.2041533333331</v>
      </c>
      <c r="BL38" s="218">
        <f>SLP!BL38+ROSA!BL38+'STA ANA'!BL38+BOA!BL38+'STA MARIA'!BL38+'CB I'!BL38+IG!BL38+PN!BL38+MJ!BL38+'RB I'!BL38+'SF I'!BL38</f>
        <v>0</v>
      </c>
      <c r="BM38" s="218">
        <f>SLP!BM38+ROSA!BM38+'STA ANA'!BM38+BOA!BM38+'STA MARIA'!BM38+'CB I'!BM38+IG!BM38+PN!BM38+MJ!BM38+'RB I'!BM38+'SF I'!BM38</f>
        <v>0</v>
      </c>
      <c r="BN38" s="218">
        <f>SLP!BN38+ROSA!BN38+'STA ANA'!BN38+BOA!BN38+'STA MARIA'!BN38+'CB I'!BN38+IG!BN38+PN!BN38+MJ!BN38+'RB I'!BN38+'SF I'!BN38</f>
        <v>0</v>
      </c>
      <c r="BO38" s="221">
        <f t="shared" si="10"/>
        <v>-1</v>
      </c>
      <c r="BP38" s="218">
        <f>SLP!BP38+ROSA!BP38+'STA ANA'!BP38+BOA!BP38+'STA MARIA'!BP38+'CB I'!BP38+IG!BP38+PN!BP38+MJ!BP38+'RB I'!BP38+'SF I'!BP38</f>
        <v>27692.135394805962</v>
      </c>
      <c r="BQ38" s="218">
        <f>SLP!BQ38+ROSA!BQ38+'STA ANA'!BQ38+BOA!BQ38+'STA MARIA'!BQ38+'CB I'!BQ38+IG!BQ38+PN!BQ38+MJ!BQ38+'RB I'!BQ38+'SF I'!BQ38</f>
        <v>25628.93124147263</v>
      </c>
      <c r="BR38" s="218">
        <f>SLP!BR38+ROSA!BR38+'STA ANA'!BR38+BOA!BR38+'STA MARIA'!BR38+'CB I'!BR38+IG!BR38+PN!BR38+MJ!BR38+'RB I'!BR38+'SF I'!BR38</f>
        <v>2063.2041533333331</v>
      </c>
      <c r="BS38" s="218">
        <f>SLP!BS38+ROSA!BS38+'STA ANA'!BS38+BOA!BS38+'STA MARIA'!BS38+'CB I'!BS38+IG!BS38+PN!BS38+MJ!BS38+'RB I'!BS38+'SF I'!BS38</f>
        <v>0</v>
      </c>
      <c r="BT38" s="218">
        <f>SLP!BT38+ROSA!BT38+'STA ANA'!BT38+BOA!BT38+'STA MARIA'!BT38+'CB I'!BT38+IG!BT38+PN!BT38+MJ!BT38+'RB I'!BT38+'SF I'!BT38</f>
        <v>0</v>
      </c>
      <c r="BU38" s="218">
        <f>SLP!BU38+ROSA!BU38+'STA ANA'!BU38+BOA!BU38+'STA MARIA'!BU38+'CB I'!BU38+IG!BU38+PN!BU38+MJ!BU38+'RB I'!BU38+'SF I'!BU38</f>
        <v>0</v>
      </c>
      <c r="BV38" s="221">
        <f t="shared" si="11"/>
        <v>-1</v>
      </c>
      <c r="BW38" s="218">
        <f>SLP!BW38+ROSA!BW38+'STA ANA'!BW38+BOA!BW38+'STA MARIA'!BW38+'CB I'!BW38+IG!BW38+PN!BW38+MJ!BW38+'RB I'!BW38+'SF I'!BW38</f>
        <v>27692.135394805962</v>
      </c>
      <c r="BX38" s="218">
        <f>SLP!BX38+ROSA!BX38+'STA ANA'!BX38+BOA!BX38+'STA MARIA'!BX38+'CB I'!BX38+IG!BX38+PN!BX38+MJ!BX38+'RB I'!BX38+'SF I'!BX38</f>
        <v>25628.93124147263</v>
      </c>
      <c r="BY38" s="218">
        <f>SLP!BY38+ROSA!BY38+'STA ANA'!BY38+BOA!BY38+'STA MARIA'!BY38+'CB I'!BY38+IG!BY38+PN!BY38+MJ!BY38+'RB I'!BY38+'SF I'!BY38</f>
        <v>2063.2041533333331</v>
      </c>
      <c r="BZ38" s="218">
        <f>SLP!BZ38+ROSA!BZ38+'STA ANA'!BZ38+BOA!BZ38+'STA MARIA'!BZ38+'CB I'!BZ38+IG!BZ38+PN!BZ38+MJ!BZ38+'RB I'!BZ38+'SF I'!BZ38</f>
        <v>0</v>
      </c>
      <c r="CA38" s="218">
        <f>SLP!CA38+ROSA!CA38+'STA ANA'!CA38+BOA!CA38+'STA MARIA'!CA38+'CB I'!CA38+IG!CA38+PN!CA38+MJ!CA38+'RB I'!CA38+'SF I'!CA38</f>
        <v>0</v>
      </c>
      <c r="CB38" s="218">
        <f>SLP!CB38+ROSA!CB38+'STA ANA'!CB38+BOA!CB38+'STA MARIA'!CB38+'CB I'!CB38+IG!CB38+PN!CB38+MJ!CB38+'RB I'!CB38+'SF I'!CB38</f>
        <v>0</v>
      </c>
      <c r="CC38" s="221">
        <f t="shared" si="12"/>
        <v>-1</v>
      </c>
      <c r="CD38" s="218">
        <f>SLP!CD38+ROSA!CD38+'STA ANA'!CD38+BOA!CD38+'STA MARIA'!CD38+'CB I'!CD38+IG!CD38+PN!CD38+MJ!CD38+'RB I'!CD38+'SF I'!CD38</f>
        <v>27692.135394805962</v>
      </c>
      <c r="CE38" s="218">
        <f>SLP!CE38+ROSA!CE38+'STA ANA'!CE38+BOA!CE38+'STA MARIA'!CE38+'CB I'!CE38+IG!CE38+PN!CE38+MJ!CE38+'RB I'!CE38+'SF I'!CE38</f>
        <v>25628.93124147263</v>
      </c>
      <c r="CF38" s="218">
        <f>SLP!CF38+ROSA!CF38+'STA ANA'!CF38+BOA!CF38+'STA MARIA'!CF38+'CB I'!CF38+IG!CF38+PN!CF38+MJ!CF38+'RB I'!CF38+'SF I'!CF38</f>
        <v>2063.2041533333331</v>
      </c>
      <c r="CG38" s="218">
        <f>SLP!CG38+ROSA!CG38+'STA ANA'!CG38+BOA!CG38+'STA MARIA'!CG38+'CB I'!CG38+IG!CG38+PN!CG38+MJ!CG38+'RB I'!CG38+'SF I'!CG38</f>
        <v>0</v>
      </c>
      <c r="CH38" s="218">
        <f>SLP!CH38+ROSA!CH38+'STA ANA'!CH38+BOA!CH38+'STA MARIA'!CH38+'CB I'!CH38+IG!CH38+PN!CH38+MJ!CH38+'RB I'!CH38+'SF I'!CH38</f>
        <v>0</v>
      </c>
      <c r="CI38" s="218">
        <f>SLP!CI38+ROSA!CI38+'STA ANA'!CI38+BOA!CI38+'STA MARIA'!CI38+'CB I'!CI38+IG!CI38+PN!CI38+MJ!CI38+'RB I'!CI38+'SF I'!CI38</f>
        <v>0</v>
      </c>
      <c r="CJ38" s="221">
        <f t="shared" si="13"/>
        <v>-1</v>
      </c>
      <c r="CK38" s="218">
        <f>SLP!CK38+ROSA!CK38+'STA ANA'!CK38+BOA!CK38+'STA MARIA'!CK38+'CB I'!CK38+IG!CK38+PN!CK38+MJ!CK38+'RB I'!CK38+'SF I'!CK38</f>
        <v>27692.135394805962</v>
      </c>
      <c r="CL38" s="218">
        <f>SLP!CL38+ROSA!CL38+'STA ANA'!CL38+BOA!CL38+'STA MARIA'!CL38+'CB I'!CL38+IG!CL38+PN!CL38+MJ!CL38+'RB I'!CL38+'SF I'!CL38</f>
        <v>25628.93124147263</v>
      </c>
      <c r="CM38" s="218">
        <f>SLP!CM38+ROSA!CM38+'STA ANA'!CM38+BOA!CM38+'STA MARIA'!CM38+'CB I'!CM38+IG!CM38+PN!CM38+MJ!CM38+'RB I'!CM38+'SF I'!CM38</f>
        <v>2063.2041533333331</v>
      </c>
      <c r="CN38" s="218">
        <f>SLP!CN38+ROSA!CN38+'STA ANA'!CN38+BOA!CN38+'STA MARIA'!CN38+'CB I'!CN38+IG!CN38+PN!CN38+MJ!CN38+'RB I'!CN38+'SF I'!CN38</f>
        <v>0</v>
      </c>
      <c r="CO38" s="218">
        <f>SLP!CO38+ROSA!CO38+'STA ANA'!CO38+BOA!CO38+'STA MARIA'!CO38+'CB I'!CO38+IG!CO38+PN!CO38+MJ!CO38+'RB I'!CO38+'SF I'!CO38</f>
        <v>0</v>
      </c>
      <c r="CP38" s="218">
        <f>SLP!CP38+ROSA!CP38+'STA ANA'!CP38+BOA!CP38+'STA MARIA'!CP38+'CB I'!CP38+IG!CP38+PN!CP38+MJ!CP38+'RB I'!CP38+'SF I'!CP38</f>
        <v>0</v>
      </c>
      <c r="CQ38" s="221">
        <f t="shared" si="14"/>
        <v>-1</v>
      </c>
      <c r="CR38" s="154"/>
      <c r="CS38" s="222" t="e">
        <f t="shared" si="15"/>
        <v>#VALUE!</v>
      </c>
    </row>
    <row r="39" spans="1:97" ht="16" customHeight="1" thickBot="1" x14ac:dyDescent="0.25">
      <c r="A39" s="223" t="s">
        <v>63</v>
      </c>
      <c r="B39" s="30">
        <f t="shared" si="17"/>
        <v>226285.15309220899</v>
      </c>
      <c r="C39" s="31">
        <f t="shared" si="17"/>
        <v>211955.11809220896</v>
      </c>
      <c r="D39" s="32">
        <f t="shared" si="17"/>
        <v>14330.034999999996</v>
      </c>
      <c r="E39" s="30">
        <f t="shared" si="19"/>
        <v>75428.384364069643</v>
      </c>
      <c r="F39" s="33">
        <f t="shared" si="19"/>
        <v>70651.706030736314</v>
      </c>
      <c r="G39" s="34">
        <f t="shared" si="19"/>
        <v>4776.6783333333333</v>
      </c>
      <c r="H39" s="31">
        <f t="shared" si="18"/>
        <v>200862.60398879807</v>
      </c>
      <c r="I39" s="33">
        <f t="shared" si="18"/>
        <v>22074.946821128673</v>
      </c>
      <c r="J39" s="33">
        <f t="shared" si="18"/>
        <v>222937.55080992676</v>
      </c>
      <c r="K39" s="221">
        <f t="shared" si="2"/>
        <v>1.9556187990700646</v>
      </c>
      <c r="L39" s="218">
        <f>SLP!L39+ROSA!L39+'STA ANA'!L39+BOA!L39+'STA MARIA'!L39+'CB I'!L39+IG!L39+PN!L39+MJ!L39+'RB I'!L39+'SF I'!L39</f>
        <v>18857.096091017411</v>
      </c>
      <c r="M39" s="218">
        <f>SLP!M39+ROSA!M39+'STA ANA'!M39+BOA!M39+'STA MARIA'!M39+'CB I'!M39+IG!M39+PN!M39+MJ!M39+'RB I'!M39+'SF I'!M39</f>
        <v>17662.926507684078</v>
      </c>
      <c r="N39" s="218">
        <f>SLP!N39+ROSA!N39+'STA ANA'!N39+BOA!N39+'STA MARIA'!N39+'CB I'!N39+IG!N39+PN!N39+MJ!N39+'RB I'!N39+'SF I'!N39</f>
        <v>1194.1695833333333</v>
      </c>
      <c r="O39" s="218">
        <f>SLP!O39+ROSA!O39+'STA ANA'!O39+BOA!O39+'STA MARIA'!O39+'CB I'!O39+IG!O39+PN!O39+MJ!O39+'RB I'!O39+'SF I'!O39</f>
        <v>29288.502335740181</v>
      </c>
      <c r="P39" s="218">
        <f>SLP!P39+ROSA!P39+'STA ANA'!P39+BOA!P39+'STA MARIA'!P39+'CB I'!P39+IG!P39+PN!P39+MJ!P39+'RB I'!P39+'SF I'!P39</f>
        <v>2349.9565394830065</v>
      </c>
      <c r="Q39" s="218">
        <f>SLP!Q39+ROSA!Q39+'STA ANA'!Q39+BOA!Q39+'STA MARIA'!Q39+'CB I'!Q39+IG!Q39+PN!Q39+MJ!Q39+'RB I'!Q39+'SF I'!Q39</f>
        <v>31638.458875223179</v>
      </c>
      <c r="R39" s="221">
        <f t="shared" si="3"/>
        <v>0.67780122254848019</v>
      </c>
      <c r="S39" s="218">
        <f>SLP!S39+ROSA!S39+'STA ANA'!S39+BOA!S39+'STA MARIA'!S39+'CB I'!S39+IG!S39+PN!S39+MJ!S39+'RB I'!S39+'SF I'!S39</f>
        <v>18857.096091017411</v>
      </c>
      <c r="T39" s="218">
        <f>SLP!T39+ROSA!T39+'STA ANA'!T39+BOA!T39+'STA MARIA'!T39+'CB I'!T39+IG!T39+PN!T39+MJ!T39+'RB I'!T39+'SF I'!T39</f>
        <v>17662.926507684078</v>
      </c>
      <c r="U39" s="218">
        <f>SLP!U39+ROSA!U39+'STA ANA'!U39+BOA!U39+'STA MARIA'!U39+'CB I'!U39+IG!U39+PN!U39+MJ!U39+'RB I'!U39+'SF I'!U39</f>
        <v>1194.1695833333333</v>
      </c>
      <c r="V39" s="218">
        <f>SLP!V39+ROSA!V39+'STA ANA'!V39+BOA!V39+'STA MARIA'!V39+'CB I'!V39+IG!V39+PN!V39+MJ!V39+'RB I'!V39+'SF I'!V39</f>
        <v>8694.1352251366297</v>
      </c>
      <c r="W39" s="218">
        <f>SLP!W39+ROSA!W39+'STA ANA'!W39+BOA!W39+'STA MARIA'!W39+'CB I'!W39+IG!W39+PN!W39+MJ!W39+'RB I'!W39+'SF I'!W39</f>
        <v>1114.9701134051636</v>
      </c>
      <c r="X39" s="218">
        <f>SLP!X39+ROSA!X39+'STA ANA'!X39+BOA!X39+'STA MARIA'!X39+'CB I'!X39+IG!X39+PN!X39+MJ!X39+'RB I'!X39+'SF I'!X39</f>
        <v>9809.1053385417927</v>
      </c>
      <c r="Y39" s="221">
        <f t="shared" si="4"/>
        <v>-0.47981888138044937</v>
      </c>
      <c r="Z39" s="218">
        <f>SLP!Z39+ROSA!Z39+'STA ANA'!Z39+BOA!Z39+'STA MARIA'!Z39+'CB I'!Z39+IG!Z39+PN!Z39+MJ!Z39+'RB I'!Z39+'SF I'!Z39</f>
        <v>18857.096091017411</v>
      </c>
      <c r="AA39" s="218">
        <f>SLP!AA39+ROSA!AA39+'STA ANA'!AA39+BOA!AA39+'STA MARIA'!AA39+'CB I'!AA39+IG!AA39+PN!AA39+MJ!AA39+'RB I'!AA39+'SF I'!AA39</f>
        <v>17662.926507684078</v>
      </c>
      <c r="AB39" s="218">
        <f>SLP!AB39+ROSA!AB39+'STA ANA'!AB39+BOA!AB39+'STA MARIA'!AB39+'CB I'!AB39+IG!AB39+PN!AB39+MJ!AB39+'RB I'!AB39+'SF I'!AB39</f>
        <v>1194.1695833333333</v>
      </c>
      <c r="AC39" s="218">
        <f>SLP!AC39+ROSA!AC39+'STA ANA'!AC39+BOA!AC39+'STA MARIA'!AC39+'CB I'!AC39+IG!AC39+PN!AC39+MJ!AC39+'RB I'!AC39+'SF I'!AC39</f>
        <v>64835.278116741407</v>
      </c>
      <c r="AD39" s="218">
        <f>SLP!AD39+ROSA!AD39+'STA ANA'!AD39+BOA!AD39+'STA MARIA'!AD39+'CB I'!AD39+IG!AD39+PN!AD39+MJ!AD39+'RB I'!AD39+'SF I'!AD39</f>
        <v>8643.1376419531698</v>
      </c>
      <c r="AE39" s="218">
        <f>SLP!AE39+ROSA!AE39+'STA ANA'!AE39+BOA!AE39+'STA MARIA'!AE39+'CB I'!AE39+IG!AE39+PN!AE39+MJ!AE39+'RB I'!AE39+'SF I'!AE39</f>
        <v>73478.41575869458</v>
      </c>
      <c r="AF39" s="221">
        <f t="shared" si="5"/>
        <v>2.8965923175040755</v>
      </c>
      <c r="AG39" s="218">
        <f>SLP!AG39+ROSA!AG39+'STA ANA'!AG39+BOA!AG39+'STA MARIA'!AG39+'CB I'!AG39+IG!AG39+PN!AG39+MJ!AG39+'RB I'!AG39+'SF I'!AG39</f>
        <v>18857.096091017411</v>
      </c>
      <c r="AH39" s="218">
        <f>SLP!AH39+ROSA!AH39+'STA ANA'!AH39+BOA!AH39+'STA MARIA'!AH39+'CB I'!AH39+IG!AH39+PN!AH39+MJ!AH39+'RB I'!AH39+'SF I'!AH39</f>
        <v>17662.926507684078</v>
      </c>
      <c r="AI39" s="218">
        <f>SLP!AI39+ROSA!AI39+'STA ANA'!AI39+BOA!AI39+'STA MARIA'!AI39+'CB I'!AI39+IG!AI39+PN!AI39+MJ!AI39+'RB I'!AI39+'SF I'!AI39</f>
        <v>1194.1695833333333</v>
      </c>
      <c r="AJ39" s="218">
        <f>SLP!AJ39+ROSA!AJ39+'STA ANA'!AJ39+BOA!AJ39+'STA MARIA'!AJ39+'CB I'!AJ39+IG!AJ39+PN!AJ39+MJ!AJ39+'RB I'!AJ39+'SF I'!AJ39</f>
        <v>38730.924183341383</v>
      </c>
      <c r="AK39" s="218">
        <f>SLP!AK39+ROSA!AK39+'STA ANA'!AK39+BOA!AK39+'STA MARIA'!AK39+'CB I'!AK39+IG!AK39+PN!AK39+MJ!AK39+'RB I'!AK39+'SF I'!AK39</f>
        <v>5093.0460895501055</v>
      </c>
      <c r="AL39" s="218">
        <f>SLP!AL39+ROSA!AL39+'STA ANA'!AL39+BOA!AL39+'STA MARIA'!AL39+'CB I'!AL39+IG!AL39+PN!AL39+MJ!AL39+'RB I'!AL39+'SF I'!AL39</f>
        <v>43823.9702728915</v>
      </c>
      <c r="AM39" s="221">
        <f t="shared" si="6"/>
        <v>1.3240041871434847</v>
      </c>
      <c r="AN39" s="218">
        <f>SLP!AN39+ROSA!AN39+'STA ANA'!AN39+BOA!AN39+'STA MARIA'!AN39+'CB I'!AN39+IG!AN39+PN!AN39+MJ!AN39+'RB I'!AN39+'SF I'!AN39</f>
        <v>18857.096091017411</v>
      </c>
      <c r="AO39" s="218">
        <f>SLP!AO39+ROSA!AO39+'STA ANA'!AO39+BOA!AO39+'STA MARIA'!AO39+'CB I'!AO39+IG!AO39+PN!AO39+MJ!AO39+'RB I'!AO39+'SF I'!AO39</f>
        <v>17662.926507684078</v>
      </c>
      <c r="AP39" s="218">
        <f>SLP!AP39+ROSA!AP39+'STA ANA'!AP39+BOA!AP39+'STA MARIA'!AP39+'CB I'!AP39+IG!AP39+PN!AP39+MJ!AP39+'RB I'!AP39+'SF I'!AP39</f>
        <v>1194.1695833333333</v>
      </c>
      <c r="AQ39" s="218">
        <f>SLP!AQ39+ROSA!AQ39+'STA ANA'!AQ39+BOA!AQ39+'STA MARIA'!AQ39+'CB I'!AQ39+IG!AQ39+PN!AQ39+MJ!AQ39+'RB I'!AQ39+'SF I'!AQ39</f>
        <v>12669.806458077685</v>
      </c>
      <c r="AR39" s="218">
        <f>SLP!AR39+ROSA!AR39+'STA ANA'!AR39+BOA!AR39+'STA MARIA'!AR39+'CB I'!AR39+IG!AR39+PN!AR39+MJ!AR39+'RB I'!AR39+'SF I'!AR39</f>
        <v>688.30639624763842</v>
      </c>
      <c r="AS39" s="218">
        <f>SLP!AS39+ROSA!AS39+'STA ANA'!AS39+BOA!AS39+'STA MARIA'!AS39+'CB I'!AS39+IG!AS39+PN!AS39+MJ!AS39+'RB I'!AS39+'SF I'!AS39</f>
        <v>13358.112854325322</v>
      </c>
      <c r="AT39" s="221">
        <f t="shared" si="7"/>
        <v>-0.2916134706081035</v>
      </c>
      <c r="AU39" s="218">
        <f>SLP!AU39+ROSA!AU39+'STA ANA'!AU39+BOA!AU39+'STA MARIA'!AU39+'CB I'!AU39+IG!AU39+PN!AU39+MJ!AU39+'RB I'!AU39+'SF I'!AU39</f>
        <v>18857.096091017411</v>
      </c>
      <c r="AV39" s="218">
        <f>SLP!AV39+ROSA!AV39+'STA ANA'!AV39+BOA!AV39+'STA MARIA'!AV39+'CB I'!AV39+IG!AV39+PN!AV39+MJ!AV39+'RB I'!AV39+'SF I'!AV39</f>
        <v>17662.926507684078</v>
      </c>
      <c r="AW39" s="218">
        <f>SLP!AW39+ROSA!AW39+'STA ANA'!AW39+BOA!AW39+'STA MARIA'!AW39+'CB I'!AW39+IG!AW39+PN!AW39+MJ!AW39+'RB I'!AW39+'SF I'!AW39</f>
        <v>1194.1695833333333</v>
      </c>
      <c r="AX39" s="218">
        <f>SLP!AX39+ROSA!AX39+'STA ANA'!AX39+BOA!AX39+'STA MARIA'!AX39+'CB I'!AX39+IG!AX39+PN!AX39+MJ!AX39+'RB I'!AX39+'SF I'!AX39</f>
        <v>46643.957669760763</v>
      </c>
      <c r="AY39" s="218">
        <f>SLP!AY39+ROSA!AY39+'STA ANA'!AY39+BOA!AY39+'STA MARIA'!AY39+'CB I'!AY39+IG!AY39+PN!AY39+MJ!AY39+'RB I'!AY39+'SF I'!AY39</f>
        <v>4185.5300404895916</v>
      </c>
      <c r="AZ39" s="218">
        <f>SLP!AZ39+ROSA!AZ39+'STA ANA'!AZ39+BOA!AZ39+'STA MARIA'!AZ39+'CB I'!AZ39+IG!AZ39+PN!AZ39+MJ!AZ39+'RB I'!AZ39+'SF I'!AZ39</f>
        <v>50829.48771025036</v>
      </c>
      <c r="BA39" s="221">
        <f t="shared" si="8"/>
        <v>1.6955098210727693</v>
      </c>
      <c r="BB39" s="218">
        <f>SLP!BB39+ROSA!BB39+'STA ANA'!BB39+BOA!BB39+'STA MARIA'!BB39+'CB I'!BB39+IG!BB39+PN!BB39+MJ!BB39+'RB I'!BB39+'SF I'!BB39</f>
        <v>18857.096091017411</v>
      </c>
      <c r="BC39" s="218">
        <f>SLP!BC39+ROSA!BC39+'STA ANA'!BC39+BOA!BC39+'STA MARIA'!BC39+'CB I'!BC39+IG!BC39+PN!BC39+MJ!BC39+'RB I'!BC39+'SF I'!BC39</f>
        <v>17662.926507684078</v>
      </c>
      <c r="BD39" s="218">
        <f>SLP!BD39+ROSA!BD39+'STA ANA'!BD39+BOA!BD39+'STA MARIA'!BD39+'CB I'!BD39+IG!BD39+PN!BD39+MJ!BD39+'RB I'!BD39+'SF I'!BD39</f>
        <v>1194.1695833333333</v>
      </c>
      <c r="BE39" s="218">
        <f>SLP!BE39+ROSA!BE39+'STA ANA'!BE39+BOA!BE39+'STA MARIA'!BE39+'CB I'!BE39+IG!BE39+PN!BE39+MJ!BE39+'RB I'!BE39+'SF I'!BE39</f>
        <v>0</v>
      </c>
      <c r="BF39" s="218">
        <f>SLP!BF39+ROSA!BF39+'STA ANA'!BF39+BOA!BF39+'STA MARIA'!BF39+'CB I'!BF39+IG!BF39+PN!BF39+MJ!BF39+'RB I'!BF39+'SF I'!BF39</f>
        <v>0</v>
      </c>
      <c r="BG39" s="218">
        <f>SLP!BG39+ROSA!BG39+'STA ANA'!BG39+BOA!BG39+'STA MARIA'!BG39+'CB I'!BG39+IG!BG39+PN!BG39+MJ!BG39+'RB I'!BG39+'SF I'!BG39</f>
        <v>0</v>
      </c>
      <c r="BH39" s="221">
        <f t="shared" si="9"/>
        <v>-1</v>
      </c>
      <c r="BI39" s="218">
        <f>SLP!BI39+ROSA!BI39+'STA ANA'!BI39+BOA!BI39+'STA MARIA'!BI39+'CB I'!BI39+IG!BI39+PN!BI39+MJ!BI39+'RB I'!BI39+'SF I'!BI39</f>
        <v>18857.096091017411</v>
      </c>
      <c r="BJ39" s="218">
        <f>SLP!BJ39+ROSA!BJ39+'STA ANA'!BJ39+BOA!BJ39+'STA MARIA'!BJ39+'CB I'!BJ39+IG!BJ39+PN!BJ39+MJ!BJ39+'RB I'!BJ39+'SF I'!BJ39</f>
        <v>17662.926507684078</v>
      </c>
      <c r="BK39" s="218">
        <f>SLP!BK39+ROSA!BK39+'STA ANA'!BK39+BOA!BK39+'STA MARIA'!BK39+'CB I'!BK39+IG!BK39+PN!BK39+MJ!BK39+'RB I'!BK39+'SF I'!BK39</f>
        <v>1194.1695833333333</v>
      </c>
      <c r="BL39" s="218">
        <f>SLP!BL39+ROSA!BL39+'STA ANA'!BL39+BOA!BL39+'STA MARIA'!BL39+'CB I'!BL39+IG!BL39+PN!BL39+MJ!BL39+'RB I'!BL39+'SF I'!BL39</f>
        <v>0</v>
      </c>
      <c r="BM39" s="218">
        <f>SLP!BM39+ROSA!BM39+'STA ANA'!BM39+BOA!BM39+'STA MARIA'!BM39+'CB I'!BM39+IG!BM39+PN!BM39+MJ!BM39+'RB I'!BM39+'SF I'!BM39</f>
        <v>0</v>
      </c>
      <c r="BN39" s="218">
        <f>SLP!BN39+ROSA!BN39+'STA ANA'!BN39+BOA!BN39+'STA MARIA'!BN39+'CB I'!BN39+IG!BN39+PN!BN39+MJ!BN39+'RB I'!BN39+'SF I'!BN39</f>
        <v>0</v>
      </c>
      <c r="BO39" s="221">
        <f t="shared" si="10"/>
        <v>-1</v>
      </c>
      <c r="BP39" s="218">
        <f>SLP!BP39+ROSA!BP39+'STA ANA'!BP39+BOA!BP39+'STA MARIA'!BP39+'CB I'!BP39+IG!BP39+PN!BP39+MJ!BP39+'RB I'!BP39+'SF I'!BP39</f>
        <v>18857.096091017411</v>
      </c>
      <c r="BQ39" s="218">
        <f>SLP!BQ39+ROSA!BQ39+'STA ANA'!BQ39+BOA!BQ39+'STA MARIA'!BQ39+'CB I'!BQ39+IG!BQ39+PN!BQ39+MJ!BQ39+'RB I'!BQ39+'SF I'!BQ39</f>
        <v>17662.926507684078</v>
      </c>
      <c r="BR39" s="218">
        <f>SLP!BR39+ROSA!BR39+'STA ANA'!BR39+BOA!BR39+'STA MARIA'!BR39+'CB I'!BR39+IG!BR39+PN!BR39+MJ!BR39+'RB I'!BR39+'SF I'!BR39</f>
        <v>1194.1695833333333</v>
      </c>
      <c r="BS39" s="218">
        <f>SLP!BS39+ROSA!BS39+'STA ANA'!BS39+BOA!BS39+'STA MARIA'!BS39+'CB I'!BS39+IG!BS39+PN!BS39+MJ!BS39+'RB I'!BS39+'SF I'!BS39</f>
        <v>0</v>
      </c>
      <c r="BT39" s="218">
        <f>SLP!BT39+ROSA!BT39+'STA ANA'!BT39+BOA!BT39+'STA MARIA'!BT39+'CB I'!BT39+IG!BT39+PN!BT39+MJ!BT39+'RB I'!BT39+'SF I'!BT39</f>
        <v>0</v>
      </c>
      <c r="BU39" s="218">
        <f>SLP!BU39+ROSA!BU39+'STA ANA'!BU39+BOA!BU39+'STA MARIA'!BU39+'CB I'!BU39+IG!BU39+PN!BU39+MJ!BU39+'RB I'!BU39+'SF I'!BU39</f>
        <v>0</v>
      </c>
      <c r="BV39" s="221">
        <f t="shared" si="11"/>
        <v>-1</v>
      </c>
      <c r="BW39" s="218">
        <f>SLP!BW39+ROSA!BW39+'STA ANA'!BW39+BOA!BW39+'STA MARIA'!BW39+'CB I'!BW39+IG!BW39+PN!BW39+MJ!BW39+'RB I'!BW39+'SF I'!BW39</f>
        <v>18857.096091017411</v>
      </c>
      <c r="BX39" s="218">
        <f>SLP!BX39+ROSA!BX39+'STA ANA'!BX39+BOA!BX39+'STA MARIA'!BX39+'CB I'!BX39+IG!BX39+PN!BX39+MJ!BX39+'RB I'!BX39+'SF I'!BX39</f>
        <v>17662.926507684078</v>
      </c>
      <c r="BY39" s="218">
        <f>SLP!BY39+ROSA!BY39+'STA ANA'!BY39+BOA!BY39+'STA MARIA'!BY39+'CB I'!BY39+IG!BY39+PN!BY39+MJ!BY39+'RB I'!BY39+'SF I'!BY39</f>
        <v>1194.1695833333333</v>
      </c>
      <c r="BZ39" s="218">
        <f>SLP!BZ39+ROSA!BZ39+'STA ANA'!BZ39+BOA!BZ39+'STA MARIA'!BZ39+'CB I'!BZ39+IG!BZ39+PN!BZ39+MJ!BZ39+'RB I'!BZ39+'SF I'!BZ39</f>
        <v>0</v>
      </c>
      <c r="CA39" s="218">
        <f>SLP!CA39+ROSA!CA39+'STA ANA'!CA39+BOA!CA39+'STA MARIA'!CA39+'CB I'!CA39+IG!CA39+PN!CA39+MJ!CA39+'RB I'!CA39+'SF I'!CA39</f>
        <v>0</v>
      </c>
      <c r="CB39" s="218">
        <f>SLP!CB39+ROSA!CB39+'STA ANA'!CB39+BOA!CB39+'STA MARIA'!CB39+'CB I'!CB39+IG!CB39+PN!CB39+MJ!CB39+'RB I'!CB39+'SF I'!CB39</f>
        <v>0</v>
      </c>
      <c r="CC39" s="221">
        <f t="shared" si="12"/>
        <v>-1</v>
      </c>
      <c r="CD39" s="218">
        <f>SLP!CD39+ROSA!CD39+'STA ANA'!CD39+BOA!CD39+'STA MARIA'!CD39+'CB I'!CD39+IG!CD39+PN!CD39+MJ!CD39+'RB I'!CD39+'SF I'!CD39</f>
        <v>18857.096091017411</v>
      </c>
      <c r="CE39" s="218">
        <f>SLP!CE39+ROSA!CE39+'STA ANA'!CE39+BOA!CE39+'STA MARIA'!CE39+'CB I'!CE39+IG!CE39+PN!CE39+MJ!CE39+'RB I'!CE39+'SF I'!CE39</f>
        <v>17662.926507684078</v>
      </c>
      <c r="CF39" s="218">
        <f>SLP!CF39+ROSA!CF39+'STA ANA'!CF39+BOA!CF39+'STA MARIA'!CF39+'CB I'!CF39+IG!CF39+PN!CF39+MJ!CF39+'RB I'!CF39+'SF I'!CF39</f>
        <v>1194.1695833333333</v>
      </c>
      <c r="CG39" s="218">
        <f>SLP!CG39+ROSA!CG39+'STA ANA'!CG39+BOA!CG39+'STA MARIA'!CG39+'CB I'!CG39+IG!CG39+PN!CG39+MJ!CG39+'RB I'!CG39+'SF I'!CG39</f>
        <v>0</v>
      </c>
      <c r="CH39" s="218">
        <f>SLP!CH39+ROSA!CH39+'STA ANA'!CH39+BOA!CH39+'STA MARIA'!CH39+'CB I'!CH39+IG!CH39+PN!CH39+MJ!CH39+'RB I'!CH39+'SF I'!CH39</f>
        <v>0</v>
      </c>
      <c r="CI39" s="218">
        <f>SLP!CI39+ROSA!CI39+'STA ANA'!CI39+BOA!CI39+'STA MARIA'!CI39+'CB I'!CI39+IG!CI39+PN!CI39+MJ!CI39+'RB I'!CI39+'SF I'!CI39</f>
        <v>0</v>
      </c>
      <c r="CJ39" s="221">
        <f t="shared" si="13"/>
        <v>-1</v>
      </c>
      <c r="CK39" s="218">
        <f>SLP!CK39+ROSA!CK39+'STA ANA'!CK39+BOA!CK39+'STA MARIA'!CK39+'CB I'!CK39+IG!CK39+PN!CK39+MJ!CK39+'RB I'!CK39+'SF I'!CK39</f>
        <v>18857.096091017411</v>
      </c>
      <c r="CL39" s="218">
        <f>SLP!CL39+ROSA!CL39+'STA ANA'!CL39+BOA!CL39+'STA MARIA'!CL39+'CB I'!CL39+IG!CL39+PN!CL39+MJ!CL39+'RB I'!CL39+'SF I'!CL39</f>
        <v>17662.926507684078</v>
      </c>
      <c r="CM39" s="218">
        <f>SLP!CM39+ROSA!CM39+'STA ANA'!CM39+BOA!CM39+'STA MARIA'!CM39+'CB I'!CM39+IG!CM39+PN!CM39+MJ!CM39+'RB I'!CM39+'SF I'!CM39</f>
        <v>1194.1695833333333</v>
      </c>
      <c r="CN39" s="218">
        <f>SLP!CN39+ROSA!CN39+'STA ANA'!CN39+BOA!CN39+'STA MARIA'!CN39+'CB I'!CN39+IG!CN39+PN!CN39+MJ!CN39+'RB I'!CN39+'SF I'!CN39</f>
        <v>0</v>
      </c>
      <c r="CO39" s="218">
        <f>SLP!CO39+ROSA!CO39+'STA ANA'!CO39+BOA!CO39+'STA MARIA'!CO39+'CB I'!CO39+IG!CO39+PN!CO39+MJ!CO39+'RB I'!CO39+'SF I'!CO39</f>
        <v>0</v>
      </c>
      <c r="CP39" s="218">
        <f>SLP!CP39+ROSA!CP39+'STA ANA'!CP39+BOA!CP39+'STA MARIA'!CP39+'CB I'!CP39+IG!CP39+PN!CP39+MJ!CP39+'RB I'!CP39+'SF I'!CP39</f>
        <v>0</v>
      </c>
      <c r="CQ39" s="221">
        <f t="shared" si="14"/>
        <v>-1</v>
      </c>
      <c r="CR39" s="154"/>
      <c r="CS39" s="222" t="e">
        <f t="shared" si="15"/>
        <v>#VALUE!</v>
      </c>
    </row>
    <row r="40" spans="1:97" ht="16" customHeight="1" thickBot="1" x14ac:dyDescent="0.25">
      <c r="A40" s="223" t="s">
        <v>64</v>
      </c>
      <c r="B40" s="30">
        <f t="shared" si="17"/>
        <v>537046.61236883595</v>
      </c>
      <c r="C40" s="31">
        <f t="shared" si="17"/>
        <v>477744.91886883572</v>
      </c>
      <c r="D40" s="32">
        <f t="shared" si="17"/>
        <v>59301.693500000001</v>
      </c>
      <c r="E40" s="30">
        <f t="shared" si="19"/>
        <v>179015.5374562786</v>
      </c>
      <c r="F40" s="33">
        <f t="shared" si="19"/>
        <v>159248.30628961194</v>
      </c>
      <c r="G40" s="34">
        <f t="shared" si="19"/>
        <v>19767.231166666668</v>
      </c>
      <c r="H40" s="31">
        <f t="shared" si="18"/>
        <v>311624.22256735043</v>
      </c>
      <c r="I40" s="33">
        <f t="shared" si="18"/>
        <v>36026.152725759079</v>
      </c>
      <c r="J40" s="33">
        <f t="shared" si="18"/>
        <v>347650.37529310951</v>
      </c>
      <c r="K40" s="221">
        <f t="shared" si="2"/>
        <v>0.94201229811136922</v>
      </c>
      <c r="L40" s="218">
        <f>SLP!L40+ROSA!L40+'STA ANA'!L40+BOA!L40+'STA MARIA'!L40+'CB I'!L40+IG!L40+PN!L40+MJ!L40+'RB I'!L40+'SF I'!L40</f>
        <v>44753.88436406965</v>
      </c>
      <c r="M40" s="218">
        <f>SLP!M40+ROSA!M40+'STA ANA'!M40+BOA!M40+'STA MARIA'!M40+'CB I'!M40+IG!M40+PN!M40+MJ!M40+'RB I'!M40+'SF I'!M40</f>
        <v>39812.076572402984</v>
      </c>
      <c r="N40" s="218">
        <f>SLP!N40+ROSA!N40+'STA ANA'!N40+BOA!N40+'STA MARIA'!N40+'CB I'!N40+IG!N40+PN!N40+MJ!N40+'RB I'!N40+'SF I'!N40</f>
        <v>4941.8077916666671</v>
      </c>
      <c r="O40" s="218">
        <f>SLP!O40+ROSA!O40+'STA ANA'!O40+BOA!O40+'STA MARIA'!O40+'CB I'!O40+IG!O40+PN!O40+MJ!O40+'RB I'!O40+'SF I'!O40</f>
        <v>39744.798448313937</v>
      </c>
      <c r="P40" s="218">
        <f>SLP!P40+ROSA!P40+'STA ANA'!P40+BOA!P40+'STA MARIA'!P40+'CB I'!P40+IG!P40+PN!P40+MJ!P40+'RB I'!P40+'SF I'!P40</f>
        <v>3786.0905866121257</v>
      </c>
      <c r="Q40" s="218">
        <f>SLP!Q40+ROSA!Q40+'STA ANA'!Q40+BOA!Q40+'STA MARIA'!Q40+'CB I'!Q40+IG!Q40+PN!Q40+MJ!Q40+'RB I'!Q40+'SF I'!Q40</f>
        <v>43530.889034926055</v>
      </c>
      <c r="R40" s="221">
        <f t="shared" si="3"/>
        <v>-2.7327132527639741E-2</v>
      </c>
      <c r="S40" s="218">
        <f>SLP!S40+ROSA!S40+'STA ANA'!S40+BOA!S40+'STA MARIA'!S40+'CB I'!S40+IG!S40+PN!S40+MJ!S40+'RB I'!S40+'SF I'!S40</f>
        <v>44753.88436406965</v>
      </c>
      <c r="T40" s="218">
        <f>SLP!T40+ROSA!T40+'STA ANA'!T40+BOA!T40+'STA MARIA'!T40+'CB I'!T40+IG!T40+PN!T40+MJ!T40+'RB I'!T40+'SF I'!T40</f>
        <v>39812.076572402984</v>
      </c>
      <c r="U40" s="218">
        <f>SLP!U40+ROSA!U40+'STA ANA'!U40+BOA!U40+'STA MARIA'!U40+'CB I'!U40+IG!U40+PN!U40+MJ!U40+'RB I'!U40+'SF I'!U40</f>
        <v>4941.8077916666671</v>
      </c>
      <c r="V40" s="218">
        <f>SLP!V40+ROSA!V40+'STA ANA'!V40+BOA!V40+'STA MARIA'!V40+'CB I'!V40+IG!V40+PN!V40+MJ!V40+'RB I'!V40+'SF I'!V40</f>
        <v>53470.311824445118</v>
      </c>
      <c r="W40" s="218">
        <f>SLP!W40+ROSA!W40+'STA ANA'!W40+BOA!W40+'STA MARIA'!W40+'CB I'!W40+IG!W40+PN!W40+MJ!W40+'RB I'!W40+'SF I'!W40</f>
        <v>6351.2647850576213</v>
      </c>
      <c r="X40" s="218">
        <f>SLP!X40+ROSA!X40+'STA ANA'!X40+BOA!X40+'STA MARIA'!X40+'CB I'!X40+IG!X40+PN!X40+MJ!X40+'RB I'!X40+'SF I'!X40</f>
        <v>59821.57660950275</v>
      </c>
      <c r="Y40" s="221">
        <f t="shared" si="4"/>
        <v>0.33667898238415472</v>
      </c>
      <c r="Z40" s="218">
        <f>SLP!Z40+ROSA!Z40+'STA ANA'!Z40+BOA!Z40+'STA MARIA'!Z40+'CB I'!Z40+IG!Z40+PN!Z40+MJ!Z40+'RB I'!Z40+'SF I'!Z40</f>
        <v>44753.88436406965</v>
      </c>
      <c r="AA40" s="218">
        <f>SLP!AA40+ROSA!AA40+'STA ANA'!AA40+BOA!AA40+'STA MARIA'!AA40+'CB I'!AA40+IG!AA40+PN!AA40+MJ!AA40+'RB I'!AA40+'SF I'!AA40</f>
        <v>39812.076572402984</v>
      </c>
      <c r="AB40" s="218">
        <f>SLP!AB40+ROSA!AB40+'STA ANA'!AB40+BOA!AB40+'STA MARIA'!AB40+'CB I'!AB40+IG!AB40+PN!AB40+MJ!AB40+'RB I'!AB40+'SF I'!AB40</f>
        <v>4941.8077916666671</v>
      </c>
      <c r="AC40" s="218">
        <f>SLP!AC40+ROSA!AC40+'STA ANA'!AC40+BOA!AC40+'STA MARIA'!AC40+'CB I'!AC40+IG!AC40+PN!AC40+MJ!AC40+'RB I'!AC40+'SF I'!AC40</f>
        <v>65930.413252768092</v>
      </c>
      <c r="AD40" s="218">
        <f>SLP!AD40+ROSA!AD40+'STA ANA'!AD40+BOA!AD40+'STA MARIA'!AD40+'CB I'!AD40+IG!AD40+PN!AD40+MJ!AD40+'RB I'!AD40+'SF I'!AD40</f>
        <v>6114.9556181353155</v>
      </c>
      <c r="AE40" s="218">
        <f>SLP!AE40+ROSA!AE40+'STA ANA'!AE40+BOA!AE40+'STA MARIA'!AE40+'CB I'!AE40+IG!AE40+PN!AE40+MJ!AE40+'RB I'!AE40+'SF I'!AE40</f>
        <v>72045.368870903418</v>
      </c>
      <c r="AF40" s="221">
        <f t="shared" si="5"/>
        <v>0.60981264296121185</v>
      </c>
      <c r="AG40" s="218">
        <f>SLP!AG40+ROSA!AG40+'STA ANA'!AG40+BOA!AG40+'STA MARIA'!AG40+'CB I'!AG40+IG!AG40+PN!AG40+MJ!AG40+'RB I'!AG40+'SF I'!AG40</f>
        <v>44753.88436406965</v>
      </c>
      <c r="AH40" s="218">
        <f>SLP!AH40+ROSA!AH40+'STA ANA'!AH40+BOA!AH40+'STA MARIA'!AH40+'CB I'!AH40+IG!AH40+PN!AH40+MJ!AH40+'RB I'!AH40+'SF I'!AH40</f>
        <v>39812.076572402984</v>
      </c>
      <c r="AI40" s="218">
        <f>SLP!AI40+ROSA!AI40+'STA ANA'!AI40+BOA!AI40+'STA MARIA'!AI40+'CB I'!AI40+IG!AI40+PN!AI40+MJ!AI40+'RB I'!AI40+'SF I'!AI40</f>
        <v>4941.8077916666671</v>
      </c>
      <c r="AJ40" s="218">
        <f>SLP!AJ40+ROSA!AJ40+'STA ANA'!AJ40+BOA!AJ40+'STA MARIA'!AJ40+'CB I'!AJ40+IG!AJ40+PN!AJ40+MJ!AJ40+'RB I'!AJ40+'SF I'!AJ40</f>
        <v>61859.617883706691</v>
      </c>
      <c r="AK40" s="218">
        <f>SLP!AK40+ROSA!AK40+'STA ANA'!AK40+BOA!AK40+'STA MARIA'!AK40+'CB I'!AK40+IG!AK40+PN!AK40+MJ!AK40+'RB I'!AK40+'SF I'!AK40</f>
        <v>6193.6926515123359</v>
      </c>
      <c r="AL40" s="218">
        <f>SLP!AL40+ROSA!AL40+'STA ANA'!AL40+BOA!AL40+'STA MARIA'!AL40+'CB I'!AL40+IG!AL40+PN!AL40+MJ!AL40+'RB I'!AL40+'SF I'!AL40</f>
        <v>68053.310535219032</v>
      </c>
      <c r="AM40" s="221">
        <f t="shared" si="6"/>
        <v>0.5206123781705787</v>
      </c>
      <c r="AN40" s="218">
        <f>SLP!AN40+ROSA!AN40+'STA ANA'!AN40+BOA!AN40+'STA MARIA'!AN40+'CB I'!AN40+IG!AN40+PN!AN40+MJ!AN40+'RB I'!AN40+'SF I'!AN40</f>
        <v>44753.88436406965</v>
      </c>
      <c r="AO40" s="218">
        <f>SLP!AO40+ROSA!AO40+'STA ANA'!AO40+BOA!AO40+'STA MARIA'!AO40+'CB I'!AO40+IG!AO40+PN!AO40+MJ!AO40+'RB I'!AO40+'SF I'!AO40</f>
        <v>39812.076572402984</v>
      </c>
      <c r="AP40" s="218">
        <f>SLP!AP40+ROSA!AP40+'STA ANA'!AP40+BOA!AP40+'STA MARIA'!AP40+'CB I'!AP40+IG!AP40+PN!AP40+MJ!AP40+'RB I'!AP40+'SF I'!AP40</f>
        <v>4941.8077916666671</v>
      </c>
      <c r="AQ40" s="218">
        <f>SLP!AQ40+ROSA!AQ40+'STA ANA'!AQ40+BOA!AQ40+'STA MARIA'!AQ40+'CB I'!AQ40+IG!AQ40+PN!AQ40+MJ!AQ40+'RB I'!AQ40+'SF I'!AQ40</f>
        <v>46487.936330026059</v>
      </c>
      <c r="AR40" s="218">
        <f>SLP!AR40+ROSA!AR40+'STA ANA'!AR40+BOA!AR40+'STA MARIA'!AR40+'CB I'!AR40+IG!AR40+PN!AR40+MJ!AR40+'RB I'!AR40+'SF I'!AR40</f>
        <v>5685.2662918028236</v>
      </c>
      <c r="AS40" s="218">
        <f>SLP!AS40+ROSA!AS40+'STA ANA'!AS40+BOA!AS40+'STA MARIA'!AS40+'CB I'!AS40+IG!AS40+PN!AS40+MJ!AS40+'RB I'!AS40+'SF I'!AS40</f>
        <v>52173.202621828874</v>
      </c>
      <c r="AT40" s="221">
        <f t="shared" si="7"/>
        <v>0.16578043142364129</v>
      </c>
      <c r="AU40" s="218">
        <f>SLP!AU40+ROSA!AU40+'STA ANA'!AU40+BOA!AU40+'STA MARIA'!AU40+'CB I'!AU40+IG!AU40+PN!AU40+MJ!AU40+'RB I'!AU40+'SF I'!AU40</f>
        <v>44753.88436406965</v>
      </c>
      <c r="AV40" s="218">
        <f>SLP!AV40+ROSA!AV40+'STA ANA'!AV40+BOA!AV40+'STA MARIA'!AV40+'CB I'!AV40+IG!AV40+PN!AV40+MJ!AV40+'RB I'!AV40+'SF I'!AV40</f>
        <v>39812.076572402984</v>
      </c>
      <c r="AW40" s="218">
        <f>SLP!AW40+ROSA!AW40+'STA ANA'!AW40+BOA!AW40+'STA MARIA'!AW40+'CB I'!AW40+IG!AW40+PN!AW40+MJ!AW40+'RB I'!AW40+'SF I'!AW40</f>
        <v>4941.8077916666671</v>
      </c>
      <c r="AX40" s="218">
        <f>SLP!AX40+ROSA!AX40+'STA ANA'!AX40+BOA!AX40+'STA MARIA'!AX40+'CB I'!AX40+IG!AX40+PN!AX40+MJ!AX40+'RB I'!AX40+'SF I'!AX40</f>
        <v>44131.144828090524</v>
      </c>
      <c r="AY40" s="218">
        <f>SLP!AY40+ROSA!AY40+'STA ANA'!AY40+BOA!AY40+'STA MARIA'!AY40+'CB I'!AY40+IG!AY40+PN!AY40+MJ!AY40+'RB I'!AY40+'SF I'!AY40</f>
        <v>7894.8827926388622</v>
      </c>
      <c r="AZ40" s="218">
        <f>SLP!AZ40+ROSA!AZ40+'STA ANA'!AZ40+BOA!AZ40+'STA MARIA'!AZ40+'CB I'!AZ40+IG!AZ40+PN!AZ40+MJ!AZ40+'RB I'!AZ40+'SF I'!AZ40</f>
        <v>52026.027620729386</v>
      </c>
      <c r="BA40" s="221">
        <f t="shared" si="8"/>
        <v>0.16249189003353037</v>
      </c>
      <c r="BB40" s="218">
        <f>SLP!BB40+ROSA!BB40+'STA ANA'!BB40+BOA!BB40+'STA MARIA'!BB40+'CB I'!BB40+IG!BB40+PN!BB40+MJ!BB40+'RB I'!BB40+'SF I'!BB40</f>
        <v>44753.88436406965</v>
      </c>
      <c r="BC40" s="218">
        <f>SLP!BC40+ROSA!BC40+'STA ANA'!BC40+BOA!BC40+'STA MARIA'!BC40+'CB I'!BC40+IG!BC40+PN!BC40+MJ!BC40+'RB I'!BC40+'SF I'!BC40</f>
        <v>39812.076572402984</v>
      </c>
      <c r="BD40" s="218">
        <f>SLP!BD40+ROSA!BD40+'STA ANA'!BD40+BOA!BD40+'STA MARIA'!BD40+'CB I'!BD40+IG!BD40+PN!BD40+MJ!BD40+'RB I'!BD40+'SF I'!BD40</f>
        <v>4941.8077916666671</v>
      </c>
      <c r="BE40" s="218">
        <f>SLP!BE40+ROSA!BE40+'STA ANA'!BE40+BOA!BE40+'STA MARIA'!BE40+'CB I'!BE40+IG!BE40+PN!BE40+MJ!BE40+'RB I'!BE40+'SF I'!BE40</f>
        <v>0</v>
      </c>
      <c r="BF40" s="218">
        <f>SLP!BF40+ROSA!BF40+'STA ANA'!BF40+BOA!BF40+'STA MARIA'!BF40+'CB I'!BF40+IG!BF40+PN!BF40+MJ!BF40+'RB I'!BF40+'SF I'!BF40</f>
        <v>0</v>
      </c>
      <c r="BG40" s="218">
        <f>SLP!BG40+ROSA!BG40+'STA ANA'!BG40+BOA!BG40+'STA MARIA'!BG40+'CB I'!BG40+IG!BG40+PN!BG40+MJ!BG40+'RB I'!BG40+'SF I'!BG40</f>
        <v>0</v>
      </c>
      <c r="BH40" s="221">
        <f t="shared" si="9"/>
        <v>-1</v>
      </c>
      <c r="BI40" s="218">
        <f>SLP!BI40+ROSA!BI40+'STA ANA'!BI40+BOA!BI40+'STA MARIA'!BI40+'CB I'!BI40+IG!BI40+PN!BI40+MJ!BI40+'RB I'!BI40+'SF I'!BI40</f>
        <v>44753.88436406965</v>
      </c>
      <c r="BJ40" s="218">
        <f>SLP!BJ40+ROSA!BJ40+'STA ANA'!BJ40+BOA!BJ40+'STA MARIA'!BJ40+'CB I'!BJ40+IG!BJ40+PN!BJ40+MJ!BJ40+'RB I'!BJ40+'SF I'!BJ40</f>
        <v>39812.076572402984</v>
      </c>
      <c r="BK40" s="218">
        <f>SLP!BK40+ROSA!BK40+'STA ANA'!BK40+BOA!BK40+'STA MARIA'!BK40+'CB I'!BK40+IG!BK40+PN!BK40+MJ!BK40+'RB I'!BK40+'SF I'!BK40</f>
        <v>4941.8077916666671</v>
      </c>
      <c r="BL40" s="218">
        <f>SLP!BL40+ROSA!BL40+'STA ANA'!BL40+BOA!BL40+'STA MARIA'!BL40+'CB I'!BL40+IG!BL40+PN!BL40+MJ!BL40+'RB I'!BL40+'SF I'!BL40</f>
        <v>0</v>
      </c>
      <c r="BM40" s="218">
        <f>SLP!BM40+ROSA!BM40+'STA ANA'!BM40+BOA!BM40+'STA MARIA'!BM40+'CB I'!BM40+IG!BM40+PN!BM40+MJ!BM40+'RB I'!BM40+'SF I'!BM40</f>
        <v>0</v>
      </c>
      <c r="BN40" s="218">
        <f>SLP!BN40+ROSA!BN40+'STA ANA'!BN40+BOA!BN40+'STA MARIA'!BN40+'CB I'!BN40+IG!BN40+PN!BN40+MJ!BN40+'RB I'!BN40+'SF I'!BN40</f>
        <v>0</v>
      </c>
      <c r="BO40" s="221">
        <f t="shared" si="10"/>
        <v>-1</v>
      </c>
      <c r="BP40" s="218">
        <f>SLP!BP40+ROSA!BP40+'STA ANA'!BP40+BOA!BP40+'STA MARIA'!BP40+'CB I'!BP40+IG!BP40+PN!BP40+MJ!BP40+'RB I'!BP40+'SF I'!BP40</f>
        <v>44753.88436406965</v>
      </c>
      <c r="BQ40" s="218">
        <f>SLP!BQ40+ROSA!BQ40+'STA ANA'!BQ40+BOA!BQ40+'STA MARIA'!BQ40+'CB I'!BQ40+IG!BQ40+PN!BQ40+MJ!BQ40+'RB I'!BQ40+'SF I'!BQ40</f>
        <v>39812.076572402984</v>
      </c>
      <c r="BR40" s="218">
        <f>SLP!BR40+ROSA!BR40+'STA ANA'!BR40+BOA!BR40+'STA MARIA'!BR40+'CB I'!BR40+IG!BR40+PN!BR40+MJ!BR40+'RB I'!BR40+'SF I'!BR40</f>
        <v>4941.8077916666671</v>
      </c>
      <c r="BS40" s="218">
        <f>SLP!BS40+ROSA!BS40+'STA ANA'!BS40+BOA!BS40+'STA MARIA'!BS40+'CB I'!BS40+IG!BS40+PN!BS40+MJ!BS40+'RB I'!BS40+'SF I'!BS40</f>
        <v>0</v>
      </c>
      <c r="BT40" s="218">
        <f>SLP!BT40+ROSA!BT40+'STA ANA'!BT40+BOA!BT40+'STA MARIA'!BT40+'CB I'!BT40+IG!BT40+PN!BT40+MJ!BT40+'RB I'!BT40+'SF I'!BT40</f>
        <v>0</v>
      </c>
      <c r="BU40" s="218">
        <f>SLP!BU40+ROSA!BU40+'STA ANA'!BU40+BOA!BU40+'STA MARIA'!BU40+'CB I'!BU40+IG!BU40+PN!BU40+MJ!BU40+'RB I'!BU40+'SF I'!BU40</f>
        <v>0</v>
      </c>
      <c r="BV40" s="221">
        <f t="shared" si="11"/>
        <v>-1</v>
      </c>
      <c r="BW40" s="218">
        <f>SLP!BW40+ROSA!BW40+'STA ANA'!BW40+BOA!BW40+'STA MARIA'!BW40+'CB I'!BW40+IG!BW40+PN!BW40+MJ!BW40+'RB I'!BW40+'SF I'!BW40</f>
        <v>44753.88436406965</v>
      </c>
      <c r="BX40" s="218">
        <f>SLP!BX40+ROSA!BX40+'STA ANA'!BX40+BOA!BX40+'STA MARIA'!BX40+'CB I'!BX40+IG!BX40+PN!BX40+MJ!BX40+'RB I'!BX40+'SF I'!BX40</f>
        <v>39812.076572402984</v>
      </c>
      <c r="BY40" s="218">
        <f>SLP!BY40+ROSA!BY40+'STA ANA'!BY40+BOA!BY40+'STA MARIA'!BY40+'CB I'!BY40+IG!BY40+PN!BY40+MJ!BY40+'RB I'!BY40+'SF I'!BY40</f>
        <v>4941.8077916666671</v>
      </c>
      <c r="BZ40" s="218">
        <f>SLP!BZ40+ROSA!BZ40+'STA ANA'!BZ40+BOA!BZ40+'STA MARIA'!BZ40+'CB I'!BZ40+IG!BZ40+PN!BZ40+MJ!BZ40+'RB I'!BZ40+'SF I'!BZ40</f>
        <v>0</v>
      </c>
      <c r="CA40" s="218">
        <f>SLP!CA40+ROSA!CA40+'STA ANA'!CA40+BOA!CA40+'STA MARIA'!CA40+'CB I'!CA40+IG!CA40+PN!CA40+MJ!CA40+'RB I'!CA40+'SF I'!CA40</f>
        <v>0</v>
      </c>
      <c r="CB40" s="218">
        <f>SLP!CB40+ROSA!CB40+'STA ANA'!CB40+BOA!CB40+'STA MARIA'!CB40+'CB I'!CB40+IG!CB40+PN!CB40+MJ!CB40+'RB I'!CB40+'SF I'!CB40</f>
        <v>0</v>
      </c>
      <c r="CC40" s="221">
        <f t="shared" si="12"/>
        <v>-1</v>
      </c>
      <c r="CD40" s="218">
        <f>SLP!CD40+ROSA!CD40+'STA ANA'!CD40+BOA!CD40+'STA MARIA'!CD40+'CB I'!CD40+IG!CD40+PN!CD40+MJ!CD40+'RB I'!CD40+'SF I'!CD40</f>
        <v>44753.88436406965</v>
      </c>
      <c r="CE40" s="218">
        <f>SLP!CE40+ROSA!CE40+'STA ANA'!CE40+BOA!CE40+'STA MARIA'!CE40+'CB I'!CE40+IG!CE40+PN!CE40+MJ!CE40+'RB I'!CE40+'SF I'!CE40</f>
        <v>39812.076572402984</v>
      </c>
      <c r="CF40" s="218">
        <f>SLP!CF40+ROSA!CF40+'STA ANA'!CF40+BOA!CF40+'STA MARIA'!CF40+'CB I'!CF40+IG!CF40+PN!CF40+MJ!CF40+'RB I'!CF40+'SF I'!CF40</f>
        <v>4941.8077916666671</v>
      </c>
      <c r="CG40" s="218">
        <f>SLP!CG40+ROSA!CG40+'STA ANA'!CG40+BOA!CG40+'STA MARIA'!CG40+'CB I'!CG40+IG!CG40+PN!CG40+MJ!CG40+'RB I'!CG40+'SF I'!CG40</f>
        <v>0</v>
      </c>
      <c r="CH40" s="218">
        <f>SLP!CH40+ROSA!CH40+'STA ANA'!CH40+BOA!CH40+'STA MARIA'!CH40+'CB I'!CH40+IG!CH40+PN!CH40+MJ!CH40+'RB I'!CH40+'SF I'!CH40</f>
        <v>0</v>
      </c>
      <c r="CI40" s="218">
        <f>SLP!CI40+ROSA!CI40+'STA ANA'!CI40+BOA!CI40+'STA MARIA'!CI40+'CB I'!CI40+IG!CI40+PN!CI40+MJ!CI40+'RB I'!CI40+'SF I'!CI40</f>
        <v>0</v>
      </c>
      <c r="CJ40" s="221">
        <f t="shared" si="13"/>
        <v>-1</v>
      </c>
      <c r="CK40" s="218">
        <f>SLP!CK40+ROSA!CK40+'STA ANA'!CK40+BOA!CK40+'STA MARIA'!CK40+'CB I'!CK40+IG!CK40+PN!CK40+MJ!CK40+'RB I'!CK40+'SF I'!CK40</f>
        <v>44753.88436406965</v>
      </c>
      <c r="CL40" s="218">
        <f>SLP!CL40+ROSA!CL40+'STA ANA'!CL40+BOA!CL40+'STA MARIA'!CL40+'CB I'!CL40+IG!CL40+PN!CL40+MJ!CL40+'RB I'!CL40+'SF I'!CL40</f>
        <v>39812.076572402984</v>
      </c>
      <c r="CM40" s="218">
        <f>SLP!CM40+ROSA!CM40+'STA ANA'!CM40+BOA!CM40+'STA MARIA'!CM40+'CB I'!CM40+IG!CM40+PN!CM40+MJ!CM40+'RB I'!CM40+'SF I'!CM40</f>
        <v>4941.8077916666671</v>
      </c>
      <c r="CN40" s="218">
        <f>SLP!CN40+ROSA!CN40+'STA ANA'!CN40+BOA!CN40+'STA MARIA'!CN40+'CB I'!CN40+IG!CN40+PN!CN40+MJ!CN40+'RB I'!CN40+'SF I'!CN40</f>
        <v>0</v>
      </c>
      <c r="CO40" s="218">
        <f>SLP!CO40+ROSA!CO40+'STA ANA'!CO40+BOA!CO40+'STA MARIA'!CO40+'CB I'!CO40+IG!CO40+PN!CO40+MJ!CO40+'RB I'!CO40+'SF I'!CO40</f>
        <v>0</v>
      </c>
      <c r="CP40" s="218">
        <f>SLP!CP40+ROSA!CP40+'STA ANA'!CP40+BOA!CP40+'STA MARIA'!CP40+'CB I'!CP40+IG!CP40+PN!CP40+MJ!CP40+'RB I'!CP40+'SF I'!CP40</f>
        <v>0</v>
      </c>
      <c r="CQ40" s="221">
        <f t="shared" si="14"/>
        <v>-1</v>
      </c>
      <c r="CR40" s="154"/>
      <c r="CS40" s="222" t="e">
        <f t="shared" si="15"/>
        <v>#VALUE!</v>
      </c>
    </row>
    <row r="41" spans="1:97" ht="16" customHeight="1" thickBot="1" x14ac:dyDescent="0.25">
      <c r="A41" s="220" t="s">
        <v>65</v>
      </c>
      <c r="B41" s="30">
        <f t="shared" si="17"/>
        <v>4708395.5966867814</v>
      </c>
      <c r="C41" s="31">
        <f t="shared" si="17"/>
        <v>4335206.2742167814</v>
      </c>
      <c r="D41" s="32">
        <f t="shared" si="17"/>
        <v>373189.32247000001</v>
      </c>
      <c r="E41" s="30">
        <f t="shared" si="19"/>
        <v>1569465.1988955936</v>
      </c>
      <c r="F41" s="33">
        <f t="shared" si="19"/>
        <v>1445068.7580722603</v>
      </c>
      <c r="G41" s="34">
        <f t="shared" si="19"/>
        <v>124396.44082333334</v>
      </c>
      <c r="H41" s="31">
        <f t="shared" si="18"/>
        <v>2167603.1371083907</v>
      </c>
      <c r="I41" s="33">
        <f t="shared" si="18"/>
        <v>186594.66123500001</v>
      </c>
      <c r="J41" s="33">
        <f t="shared" si="18"/>
        <v>2354197.7983433907</v>
      </c>
      <c r="K41" s="221">
        <f t="shared" si="2"/>
        <v>0.50000000000000022</v>
      </c>
      <c r="L41" s="218">
        <f>SLP!L41+ROSA!L41+'STA ANA'!L41+BOA!L41+'STA MARIA'!L41+'CB I'!L41+IG!L41+PN!L41+MJ!L41+'RB I'!L41+'SF I'!L41</f>
        <v>392366.29972389841</v>
      </c>
      <c r="M41" s="218">
        <f>SLP!M41+ROSA!M41+'STA ANA'!M41+BOA!M41+'STA MARIA'!M41+'CB I'!M41+IG!M41+PN!M41+MJ!M41+'RB I'!M41+'SF I'!M41</f>
        <v>361267.18951806508</v>
      </c>
      <c r="N41" s="218">
        <f>SLP!N41+ROSA!N41+'STA ANA'!N41+BOA!N41+'STA MARIA'!N41+'CB I'!N41+IG!N41+PN!N41+MJ!N41+'RB I'!N41+'SF I'!N41</f>
        <v>31099.110205833334</v>
      </c>
      <c r="O41" s="218">
        <f>SLP!O41+ROSA!O41+'STA ANA'!O41+BOA!O41+'STA MARIA'!O41+'CB I'!O41+IG!O41+PN!O41+MJ!O41+'RB I'!O41+'SF I'!O41</f>
        <v>361267.18951806508</v>
      </c>
      <c r="P41" s="218">
        <f>SLP!P41+ROSA!P41+'STA ANA'!P41+BOA!P41+'STA MARIA'!P41+'CB I'!P41+IG!P41+PN!P41+MJ!P41+'RB I'!P41+'SF I'!P41</f>
        <v>31099.110205833334</v>
      </c>
      <c r="Q41" s="218">
        <f>SLP!Q41+ROSA!Q41+'STA ANA'!Q41+BOA!Q41+'STA MARIA'!Q41+'CB I'!Q41+IG!Q41+PN!Q41+MJ!Q41+'RB I'!Q41+'SF I'!Q41</f>
        <v>392366.29972389841</v>
      </c>
      <c r="R41" s="221">
        <f t="shared" si="3"/>
        <v>0</v>
      </c>
      <c r="S41" s="218">
        <f>SLP!S41+ROSA!S41+'STA ANA'!S41+BOA!S41+'STA MARIA'!S41+'CB I'!S41+IG!S41+PN!S41+MJ!S41+'RB I'!S41+'SF I'!S41</f>
        <v>392366.29972389841</v>
      </c>
      <c r="T41" s="218">
        <f>SLP!T41+ROSA!T41+'STA ANA'!T41+BOA!T41+'STA MARIA'!T41+'CB I'!T41+IG!T41+PN!T41+MJ!T41+'RB I'!T41+'SF I'!T41</f>
        <v>361267.18951806508</v>
      </c>
      <c r="U41" s="218">
        <f>SLP!U41+ROSA!U41+'STA ANA'!U41+BOA!U41+'STA MARIA'!U41+'CB I'!U41+IG!U41+PN!U41+MJ!U41+'RB I'!U41+'SF I'!U41</f>
        <v>31099.110205833334</v>
      </c>
      <c r="V41" s="218">
        <f>SLP!V41+ROSA!V41+'STA ANA'!V41+BOA!V41+'STA MARIA'!V41+'CB I'!V41+IG!V41+PN!V41+MJ!V41+'RB I'!V41+'SF I'!V41</f>
        <v>361267.18951806508</v>
      </c>
      <c r="W41" s="218">
        <f>SLP!W41+ROSA!W41+'STA ANA'!W41+BOA!W41+'STA MARIA'!W41+'CB I'!W41+IG!W41+PN!W41+MJ!W41+'RB I'!W41+'SF I'!W41</f>
        <v>31099.110205833334</v>
      </c>
      <c r="X41" s="218">
        <f>SLP!X41+ROSA!X41+'STA ANA'!X41+BOA!X41+'STA MARIA'!X41+'CB I'!X41+IG!X41+PN!X41+MJ!X41+'RB I'!X41+'SF I'!X41</f>
        <v>392366.29972389841</v>
      </c>
      <c r="Y41" s="221">
        <f t="shared" si="4"/>
        <v>0</v>
      </c>
      <c r="Z41" s="218">
        <f>SLP!Z41+ROSA!Z41+'STA ANA'!Z41+BOA!Z41+'STA MARIA'!Z41+'CB I'!Z41+IG!Z41+PN!Z41+MJ!Z41+'RB I'!Z41+'SF I'!Z41</f>
        <v>392366.29972389841</v>
      </c>
      <c r="AA41" s="218">
        <f>SLP!AA41+ROSA!AA41+'STA ANA'!AA41+BOA!AA41+'STA MARIA'!AA41+'CB I'!AA41+IG!AA41+PN!AA41+MJ!AA41+'RB I'!AA41+'SF I'!AA41</f>
        <v>361267.18951806508</v>
      </c>
      <c r="AB41" s="218">
        <f>SLP!AB41+ROSA!AB41+'STA ANA'!AB41+BOA!AB41+'STA MARIA'!AB41+'CB I'!AB41+IG!AB41+PN!AB41+MJ!AB41+'RB I'!AB41+'SF I'!AB41</f>
        <v>31099.110205833334</v>
      </c>
      <c r="AC41" s="218">
        <f>SLP!AC41+ROSA!AC41+'STA ANA'!AC41+BOA!AC41+'STA MARIA'!AC41+'CB I'!AC41+IG!AC41+PN!AC41+MJ!AC41+'RB I'!AC41+'SF I'!AC41</f>
        <v>361267.18951806508</v>
      </c>
      <c r="AD41" s="218">
        <f>SLP!AD41+ROSA!AD41+'STA ANA'!AD41+BOA!AD41+'STA MARIA'!AD41+'CB I'!AD41+IG!AD41+PN!AD41+MJ!AD41+'RB I'!AD41+'SF I'!AD41</f>
        <v>31099.110205833334</v>
      </c>
      <c r="AE41" s="218">
        <f>SLP!AE41+ROSA!AE41+'STA ANA'!AE41+BOA!AE41+'STA MARIA'!AE41+'CB I'!AE41+IG!AE41+PN!AE41+MJ!AE41+'RB I'!AE41+'SF I'!AE41</f>
        <v>392366.29972389841</v>
      </c>
      <c r="AF41" s="221">
        <f t="shared" si="5"/>
        <v>0</v>
      </c>
      <c r="AG41" s="218">
        <f>SLP!AG41+ROSA!AG41+'STA ANA'!AG41+BOA!AG41+'STA MARIA'!AG41+'CB I'!AG41+IG!AG41+PN!AG41+MJ!AG41+'RB I'!AG41+'SF I'!AG41</f>
        <v>392366.29972389841</v>
      </c>
      <c r="AH41" s="218">
        <f>SLP!AH41+ROSA!AH41+'STA ANA'!AH41+BOA!AH41+'STA MARIA'!AH41+'CB I'!AH41+IG!AH41+PN!AH41+MJ!AH41+'RB I'!AH41+'SF I'!AH41</f>
        <v>361267.18951806508</v>
      </c>
      <c r="AI41" s="218">
        <f>SLP!AI41+ROSA!AI41+'STA ANA'!AI41+BOA!AI41+'STA MARIA'!AI41+'CB I'!AI41+IG!AI41+PN!AI41+MJ!AI41+'RB I'!AI41+'SF I'!AI41</f>
        <v>31099.110205833334</v>
      </c>
      <c r="AJ41" s="218">
        <f>SLP!AJ41+ROSA!AJ41+'STA ANA'!AJ41+BOA!AJ41+'STA MARIA'!AJ41+'CB I'!AJ41+IG!AJ41+PN!AJ41+MJ!AJ41+'RB I'!AJ41+'SF I'!AJ41</f>
        <v>361267.18951806508</v>
      </c>
      <c r="AK41" s="218">
        <f>SLP!AK41+ROSA!AK41+'STA ANA'!AK41+BOA!AK41+'STA MARIA'!AK41+'CB I'!AK41+IG!AK41+PN!AK41+MJ!AK41+'RB I'!AK41+'SF I'!AK41</f>
        <v>31099.110205833334</v>
      </c>
      <c r="AL41" s="218">
        <f>SLP!AL41+ROSA!AL41+'STA ANA'!AL41+BOA!AL41+'STA MARIA'!AL41+'CB I'!AL41+IG!AL41+PN!AL41+MJ!AL41+'RB I'!AL41+'SF I'!AL41</f>
        <v>392366.29972389841</v>
      </c>
      <c r="AM41" s="221">
        <f t="shared" si="6"/>
        <v>0</v>
      </c>
      <c r="AN41" s="218">
        <f>SLP!AN41+ROSA!AN41+'STA ANA'!AN41+BOA!AN41+'STA MARIA'!AN41+'CB I'!AN41+IG!AN41+PN!AN41+MJ!AN41+'RB I'!AN41+'SF I'!AN41</f>
        <v>392366.29972389841</v>
      </c>
      <c r="AO41" s="218">
        <f>SLP!AO41+ROSA!AO41+'STA ANA'!AO41+BOA!AO41+'STA MARIA'!AO41+'CB I'!AO41+IG!AO41+PN!AO41+MJ!AO41+'RB I'!AO41+'SF I'!AO41</f>
        <v>361267.18951806508</v>
      </c>
      <c r="AP41" s="218">
        <f>SLP!AP41+ROSA!AP41+'STA ANA'!AP41+BOA!AP41+'STA MARIA'!AP41+'CB I'!AP41+IG!AP41+PN!AP41+MJ!AP41+'RB I'!AP41+'SF I'!AP41</f>
        <v>31099.110205833334</v>
      </c>
      <c r="AQ41" s="218">
        <f>SLP!AQ41+ROSA!AQ41+'STA ANA'!AQ41+BOA!AQ41+'STA MARIA'!AQ41+'CB I'!AQ41+IG!AQ41+PN!AQ41+MJ!AQ41+'RB I'!AQ41+'SF I'!AQ41</f>
        <v>361267.18951806508</v>
      </c>
      <c r="AR41" s="218">
        <f>SLP!AR41+ROSA!AR41+'STA ANA'!AR41+BOA!AR41+'STA MARIA'!AR41+'CB I'!AR41+IG!AR41+PN!AR41+MJ!AR41+'RB I'!AR41+'SF I'!AR41</f>
        <v>31099.110205833334</v>
      </c>
      <c r="AS41" s="218">
        <f>SLP!AS41+ROSA!AS41+'STA ANA'!AS41+BOA!AS41+'STA MARIA'!AS41+'CB I'!AS41+IG!AS41+PN!AS41+MJ!AS41+'RB I'!AS41+'SF I'!AS41</f>
        <v>392366.29972389841</v>
      </c>
      <c r="AT41" s="221">
        <f t="shared" si="7"/>
        <v>0</v>
      </c>
      <c r="AU41" s="218">
        <f>SLP!AU41+ROSA!AU41+'STA ANA'!AU41+BOA!AU41+'STA MARIA'!AU41+'CB I'!AU41+IG!AU41+PN!AU41+MJ!AU41+'RB I'!AU41+'SF I'!AU41</f>
        <v>392366.29972389841</v>
      </c>
      <c r="AV41" s="218">
        <f>SLP!AV41+ROSA!AV41+'STA ANA'!AV41+BOA!AV41+'STA MARIA'!AV41+'CB I'!AV41+IG!AV41+PN!AV41+MJ!AV41+'RB I'!AV41+'SF I'!AV41</f>
        <v>361267.18951806508</v>
      </c>
      <c r="AW41" s="218">
        <f>SLP!AW41+ROSA!AW41+'STA ANA'!AW41+BOA!AW41+'STA MARIA'!AW41+'CB I'!AW41+IG!AW41+PN!AW41+MJ!AW41+'RB I'!AW41+'SF I'!AW41</f>
        <v>31099.110205833334</v>
      </c>
      <c r="AX41" s="218">
        <f>SLP!AX41+ROSA!AX41+'STA ANA'!AX41+BOA!AX41+'STA MARIA'!AX41+'CB I'!AX41+IG!AX41+PN!AX41+MJ!AX41+'RB I'!AX41+'SF I'!AX41</f>
        <v>361267.18951806508</v>
      </c>
      <c r="AY41" s="218">
        <f>SLP!AY41+ROSA!AY41+'STA ANA'!AY41+BOA!AY41+'STA MARIA'!AY41+'CB I'!AY41+IG!AY41+PN!AY41+MJ!AY41+'RB I'!AY41+'SF I'!AY41</f>
        <v>31099.110205833334</v>
      </c>
      <c r="AZ41" s="218">
        <f>SLP!AZ41+ROSA!AZ41+'STA ANA'!AZ41+BOA!AZ41+'STA MARIA'!AZ41+'CB I'!AZ41+IG!AZ41+PN!AZ41+MJ!AZ41+'RB I'!AZ41+'SF I'!AZ41</f>
        <v>392366.29972389841</v>
      </c>
      <c r="BA41" s="221">
        <f t="shared" si="8"/>
        <v>0</v>
      </c>
      <c r="BB41" s="218">
        <f>SLP!BB41+ROSA!BB41+'STA ANA'!BB41+BOA!BB41+'STA MARIA'!BB41+'CB I'!BB41+IG!BB41+PN!BB41+MJ!BB41+'RB I'!BB41+'SF I'!BB41</f>
        <v>392366.29972389841</v>
      </c>
      <c r="BC41" s="218">
        <f>SLP!BC41+ROSA!BC41+'STA ANA'!BC41+BOA!BC41+'STA MARIA'!BC41+'CB I'!BC41+IG!BC41+PN!BC41+MJ!BC41+'RB I'!BC41+'SF I'!BC41</f>
        <v>361267.18951806508</v>
      </c>
      <c r="BD41" s="218">
        <f>SLP!BD41+ROSA!BD41+'STA ANA'!BD41+BOA!BD41+'STA MARIA'!BD41+'CB I'!BD41+IG!BD41+PN!BD41+MJ!BD41+'RB I'!BD41+'SF I'!BD41</f>
        <v>31099.110205833334</v>
      </c>
      <c r="BE41" s="218">
        <f>SLP!BE41+ROSA!BE41+'STA ANA'!BE41+BOA!BE41+'STA MARIA'!BE41+'CB I'!BE41+IG!BE41+PN!BE41+MJ!BE41+'RB I'!BE41+'SF I'!BE41</f>
        <v>0</v>
      </c>
      <c r="BF41" s="218">
        <f>SLP!BF41+ROSA!BF41+'STA ANA'!BF41+BOA!BF41+'STA MARIA'!BF41+'CB I'!BF41+IG!BF41+PN!BF41+MJ!BF41+'RB I'!BF41+'SF I'!BF41</f>
        <v>0</v>
      </c>
      <c r="BG41" s="218">
        <f>SLP!BG41+ROSA!BG41+'STA ANA'!BG41+BOA!BG41+'STA MARIA'!BG41+'CB I'!BG41+IG!BG41+PN!BG41+MJ!BG41+'RB I'!BG41+'SF I'!BG41</f>
        <v>0</v>
      </c>
      <c r="BH41" s="221">
        <f t="shared" si="9"/>
        <v>-1</v>
      </c>
      <c r="BI41" s="218">
        <f>SLP!BI41+ROSA!BI41+'STA ANA'!BI41+BOA!BI41+'STA MARIA'!BI41+'CB I'!BI41+IG!BI41+PN!BI41+MJ!BI41+'RB I'!BI41+'SF I'!BI41</f>
        <v>392366.29972389841</v>
      </c>
      <c r="BJ41" s="218">
        <f>SLP!BJ41+ROSA!BJ41+'STA ANA'!BJ41+BOA!BJ41+'STA MARIA'!BJ41+'CB I'!BJ41+IG!BJ41+PN!BJ41+MJ!BJ41+'RB I'!BJ41+'SF I'!BJ41</f>
        <v>361267.18951806508</v>
      </c>
      <c r="BK41" s="218">
        <f>SLP!BK41+ROSA!BK41+'STA ANA'!BK41+BOA!BK41+'STA MARIA'!BK41+'CB I'!BK41+IG!BK41+PN!BK41+MJ!BK41+'RB I'!BK41+'SF I'!BK41</f>
        <v>31099.110205833334</v>
      </c>
      <c r="BL41" s="218">
        <f>SLP!BL41+ROSA!BL41+'STA ANA'!BL41+BOA!BL41+'STA MARIA'!BL41+'CB I'!BL41+IG!BL41+PN!BL41+MJ!BL41+'RB I'!BL41+'SF I'!BL41</f>
        <v>0</v>
      </c>
      <c r="BM41" s="218">
        <f>SLP!BM41+ROSA!BM41+'STA ANA'!BM41+BOA!BM41+'STA MARIA'!BM41+'CB I'!BM41+IG!BM41+PN!BM41+MJ!BM41+'RB I'!BM41+'SF I'!BM41</f>
        <v>0</v>
      </c>
      <c r="BN41" s="218">
        <f>SLP!BN41+ROSA!BN41+'STA ANA'!BN41+BOA!BN41+'STA MARIA'!BN41+'CB I'!BN41+IG!BN41+PN!BN41+MJ!BN41+'RB I'!BN41+'SF I'!BN41</f>
        <v>0</v>
      </c>
      <c r="BO41" s="221">
        <f t="shared" si="10"/>
        <v>-1</v>
      </c>
      <c r="BP41" s="218">
        <f>SLP!BP41+ROSA!BP41+'STA ANA'!BP41+BOA!BP41+'STA MARIA'!BP41+'CB I'!BP41+IG!BP41+PN!BP41+MJ!BP41+'RB I'!BP41+'SF I'!BP41</f>
        <v>392366.29972389841</v>
      </c>
      <c r="BQ41" s="218">
        <f>SLP!BQ41+ROSA!BQ41+'STA ANA'!BQ41+BOA!BQ41+'STA MARIA'!BQ41+'CB I'!BQ41+IG!BQ41+PN!BQ41+MJ!BQ41+'RB I'!BQ41+'SF I'!BQ41</f>
        <v>361267.18951806508</v>
      </c>
      <c r="BR41" s="218">
        <f>SLP!BR41+ROSA!BR41+'STA ANA'!BR41+BOA!BR41+'STA MARIA'!BR41+'CB I'!BR41+IG!BR41+PN!BR41+MJ!BR41+'RB I'!BR41+'SF I'!BR41</f>
        <v>31099.110205833334</v>
      </c>
      <c r="BS41" s="218">
        <f>SLP!BS41+ROSA!BS41+'STA ANA'!BS41+BOA!BS41+'STA MARIA'!BS41+'CB I'!BS41+IG!BS41+PN!BS41+MJ!BS41+'RB I'!BS41+'SF I'!BS41</f>
        <v>0</v>
      </c>
      <c r="BT41" s="218">
        <f>SLP!BT41+ROSA!BT41+'STA ANA'!BT41+BOA!BT41+'STA MARIA'!BT41+'CB I'!BT41+IG!BT41+PN!BT41+MJ!BT41+'RB I'!BT41+'SF I'!BT41</f>
        <v>0</v>
      </c>
      <c r="BU41" s="218">
        <f>SLP!BU41+ROSA!BU41+'STA ANA'!BU41+BOA!BU41+'STA MARIA'!BU41+'CB I'!BU41+IG!BU41+PN!BU41+MJ!BU41+'RB I'!BU41+'SF I'!BU41</f>
        <v>0</v>
      </c>
      <c r="BV41" s="221">
        <f t="shared" si="11"/>
        <v>-1</v>
      </c>
      <c r="BW41" s="218">
        <f>SLP!BW41+ROSA!BW41+'STA ANA'!BW41+BOA!BW41+'STA MARIA'!BW41+'CB I'!BW41+IG!BW41+PN!BW41+MJ!BW41+'RB I'!BW41+'SF I'!BW41</f>
        <v>392366.29972389841</v>
      </c>
      <c r="BX41" s="218">
        <f>SLP!BX41+ROSA!BX41+'STA ANA'!BX41+BOA!BX41+'STA MARIA'!BX41+'CB I'!BX41+IG!BX41+PN!BX41+MJ!BX41+'RB I'!BX41+'SF I'!BX41</f>
        <v>361267.18951806508</v>
      </c>
      <c r="BY41" s="218">
        <f>SLP!BY41+ROSA!BY41+'STA ANA'!BY41+BOA!BY41+'STA MARIA'!BY41+'CB I'!BY41+IG!BY41+PN!BY41+MJ!BY41+'RB I'!BY41+'SF I'!BY41</f>
        <v>31099.110205833334</v>
      </c>
      <c r="BZ41" s="218">
        <f>SLP!BZ41+ROSA!BZ41+'STA ANA'!BZ41+BOA!BZ41+'STA MARIA'!BZ41+'CB I'!BZ41+IG!BZ41+PN!BZ41+MJ!BZ41+'RB I'!BZ41+'SF I'!BZ41</f>
        <v>0</v>
      </c>
      <c r="CA41" s="218">
        <f>SLP!CA41+ROSA!CA41+'STA ANA'!CA41+BOA!CA41+'STA MARIA'!CA41+'CB I'!CA41+IG!CA41+PN!CA41+MJ!CA41+'RB I'!CA41+'SF I'!CA41</f>
        <v>0</v>
      </c>
      <c r="CB41" s="218">
        <f>SLP!CB41+ROSA!CB41+'STA ANA'!CB41+BOA!CB41+'STA MARIA'!CB41+'CB I'!CB41+IG!CB41+PN!CB41+MJ!CB41+'RB I'!CB41+'SF I'!CB41</f>
        <v>0</v>
      </c>
      <c r="CC41" s="221">
        <f t="shared" si="12"/>
        <v>-1</v>
      </c>
      <c r="CD41" s="218">
        <f>SLP!CD41+ROSA!CD41+'STA ANA'!CD41+BOA!CD41+'STA MARIA'!CD41+'CB I'!CD41+IG!CD41+PN!CD41+MJ!CD41+'RB I'!CD41+'SF I'!CD41</f>
        <v>392366.29972389841</v>
      </c>
      <c r="CE41" s="218">
        <f>SLP!CE41+ROSA!CE41+'STA ANA'!CE41+BOA!CE41+'STA MARIA'!CE41+'CB I'!CE41+IG!CE41+PN!CE41+MJ!CE41+'RB I'!CE41+'SF I'!CE41</f>
        <v>361267.18951806508</v>
      </c>
      <c r="CF41" s="218">
        <f>SLP!CF41+ROSA!CF41+'STA ANA'!CF41+BOA!CF41+'STA MARIA'!CF41+'CB I'!CF41+IG!CF41+PN!CF41+MJ!CF41+'RB I'!CF41+'SF I'!CF41</f>
        <v>31099.110205833334</v>
      </c>
      <c r="CG41" s="218">
        <f>SLP!CG41+ROSA!CG41+'STA ANA'!CG41+BOA!CG41+'STA MARIA'!CG41+'CB I'!CG41+IG!CG41+PN!CG41+MJ!CG41+'RB I'!CG41+'SF I'!CG41</f>
        <v>0</v>
      </c>
      <c r="CH41" s="218">
        <f>SLP!CH41+ROSA!CH41+'STA ANA'!CH41+BOA!CH41+'STA MARIA'!CH41+'CB I'!CH41+IG!CH41+PN!CH41+MJ!CH41+'RB I'!CH41+'SF I'!CH41</f>
        <v>0</v>
      </c>
      <c r="CI41" s="218">
        <f>SLP!CI41+ROSA!CI41+'STA ANA'!CI41+BOA!CI41+'STA MARIA'!CI41+'CB I'!CI41+IG!CI41+PN!CI41+MJ!CI41+'RB I'!CI41+'SF I'!CI41</f>
        <v>0</v>
      </c>
      <c r="CJ41" s="221">
        <f t="shared" si="13"/>
        <v>-1</v>
      </c>
      <c r="CK41" s="218">
        <f>SLP!CK41+ROSA!CK41+'STA ANA'!CK41+BOA!CK41+'STA MARIA'!CK41+'CB I'!CK41+IG!CK41+PN!CK41+MJ!CK41+'RB I'!CK41+'SF I'!CK41</f>
        <v>392366.29972389841</v>
      </c>
      <c r="CL41" s="218">
        <f>SLP!CL41+ROSA!CL41+'STA ANA'!CL41+BOA!CL41+'STA MARIA'!CL41+'CB I'!CL41+IG!CL41+PN!CL41+MJ!CL41+'RB I'!CL41+'SF I'!CL41</f>
        <v>361267.18951806508</v>
      </c>
      <c r="CM41" s="218">
        <f>SLP!CM41+ROSA!CM41+'STA ANA'!CM41+BOA!CM41+'STA MARIA'!CM41+'CB I'!CM41+IG!CM41+PN!CM41+MJ!CM41+'RB I'!CM41+'SF I'!CM41</f>
        <v>31099.110205833334</v>
      </c>
      <c r="CN41" s="218">
        <f>SLP!CN41+ROSA!CN41+'STA ANA'!CN41+BOA!CN41+'STA MARIA'!CN41+'CB I'!CN41+IG!CN41+PN!CN41+MJ!CN41+'RB I'!CN41+'SF I'!CN41</f>
        <v>0</v>
      </c>
      <c r="CO41" s="218">
        <f>SLP!CO41+ROSA!CO41+'STA ANA'!CO41+BOA!CO41+'STA MARIA'!CO41+'CB I'!CO41+IG!CO41+PN!CO41+MJ!CO41+'RB I'!CO41+'SF I'!CO41</f>
        <v>0</v>
      </c>
      <c r="CP41" s="218">
        <f>SLP!CP41+ROSA!CP41+'STA ANA'!CP41+BOA!CP41+'STA MARIA'!CP41+'CB I'!CP41+IG!CP41+PN!CP41+MJ!CP41+'RB I'!CP41+'SF I'!CP41</f>
        <v>0</v>
      </c>
      <c r="CQ41" s="221">
        <f t="shared" si="14"/>
        <v>-1</v>
      </c>
      <c r="CR41" s="154"/>
      <c r="CS41" s="222" t="e">
        <f t="shared" si="15"/>
        <v>#VALUE!</v>
      </c>
    </row>
    <row r="42" spans="1:97" ht="16" customHeight="1" thickBot="1" x14ac:dyDescent="0.25">
      <c r="A42" s="223" t="s">
        <v>66</v>
      </c>
      <c r="B42" s="30">
        <f t="shared" si="17"/>
        <v>6906685.6569840023</v>
      </c>
      <c r="C42" s="31">
        <f t="shared" si="17"/>
        <v>6430376.9057737766</v>
      </c>
      <c r="D42" s="32">
        <f t="shared" si="17"/>
        <v>476308.75121022225</v>
      </c>
      <c r="E42" s="30">
        <f t="shared" si="19"/>
        <v>3262228.5523279998</v>
      </c>
      <c r="F42" s="33">
        <f t="shared" si="19"/>
        <v>2957154.9685912593</v>
      </c>
      <c r="G42" s="34">
        <f t="shared" si="19"/>
        <v>305073.58373674075</v>
      </c>
      <c r="H42" s="31">
        <f t="shared" si="18"/>
        <v>4094862.3983109994</v>
      </c>
      <c r="I42" s="33">
        <f t="shared" si="18"/>
        <v>317154.54168899998</v>
      </c>
      <c r="J42" s="33">
        <f t="shared" si="18"/>
        <v>4412016.9400000004</v>
      </c>
      <c r="K42" s="221">
        <f t="shared" si="2"/>
        <v>0.35245488451490803</v>
      </c>
      <c r="L42" s="218">
        <f>SLP!L42+ROSA!L42+'STA ANA'!L42+BOA!L42+'STA MARIA'!L42+'CB I'!L42+IG!L42+PN!L42+MJ!L42+'RB I'!L42+'SF I'!L42</f>
        <v>1175557.138082</v>
      </c>
      <c r="M42" s="218">
        <f>SLP!M42+ROSA!M42+'STA ANA'!M42+BOA!M42+'STA MARIA'!M42+'CB I'!M42+IG!M42+PN!M42+MJ!M42+'RB I'!M42+'SF I'!M42</f>
        <v>1044424.7421478148</v>
      </c>
      <c r="N42" s="218">
        <f>SLP!N42+ROSA!N42+'STA ANA'!N42+BOA!N42+'STA MARIA'!N42+'CB I'!N42+IG!N42+PN!N42+MJ!N42+'RB I'!N42+'SF I'!N42</f>
        <v>131132.39593418519</v>
      </c>
      <c r="O42" s="218">
        <f>SLP!O42+ROSA!O42+'STA ANA'!O42+BOA!O42+'STA MARIA'!O42+'CB I'!O42+IG!O42+PN!O42+MJ!O42+'RB I'!O42+'SF I'!O42</f>
        <v>506667.56225699995</v>
      </c>
      <c r="P42" s="218">
        <f>SLP!P42+ROSA!P42+'STA ANA'!P42+BOA!P42+'STA MARIA'!P42+'CB I'!P42+IG!P42+PN!P42+MJ!P42+'RB I'!P42+'SF I'!P42</f>
        <v>38160.227742999996</v>
      </c>
      <c r="Q42" s="218">
        <f>SLP!Q42+ROSA!Q42+'STA ANA'!Q42+BOA!Q42+'STA MARIA'!Q42+'CB I'!Q42+IG!Q42+PN!Q42+MJ!Q42+'RB I'!Q42+'SF I'!Q42</f>
        <v>544827.78999999992</v>
      </c>
      <c r="R42" s="221">
        <f t="shared" si="3"/>
        <v>-0.53653653033920334</v>
      </c>
      <c r="S42" s="218">
        <f>SLP!S42+ROSA!S42+'STA ANA'!S42+BOA!S42+'STA MARIA'!S42+'CB I'!S42+IG!S42+PN!S42+MJ!S42+'RB I'!S42+'SF I'!S42</f>
        <v>1175557.138082</v>
      </c>
      <c r="T42" s="218">
        <f>SLP!T42+ROSA!T42+'STA ANA'!T42+BOA!T42+'STA MARIA'!T42+'CB I'!T42+IG!T42+PN!T42+MJ!T42+'RB I'!T42+'SF I'!T42</f>
        <v>1044424.7421478148</v>
      </c>
      <c r="U42" s="218">
        <f>SLP!U42+ROSA!U42+'STA ANA'!U42+BOA!U42+'STA MARIA'!U42+'CB I'!U42+IG!U42+PN!U42+MJ!U42+'RB I'!U42+'SF I'!U42</f>
        <v>131132.39593418519</v>
      </c>
      <c r="V42" s="218">
        <f>SLP!V42+ROSA!V42+'STA ANA'!V42+BOA!V42+'STA MARIA'!V42+'CB I'!V42+IG!V42+PN!V42+MJ!V42+'RB I'!V42+'SF I'!V42</f>
        <v>731140.74589699996</v>
      </c>
      <c r="W42" s="218">
        <f>SLP!W42+ROSA!W42+'STA ANA'!W42+BOA!W42+'STA MARIA'!W42+'CB I'!W42+IG!W42+PN!W42+MJ!W42+'RB I'!W42+'SF I'!W42</f>
        <v>78702.664103000003</v>
      </c>
      <c r="X42" s="218">
        <f>SLP!X42+ROSA!X42+'STA ANA'!X42+BOA!X42+'STA MARIA'!X42+'CB I'!X42+IG!X42+PN!X42+MJ!X42+'RB I'!X42+'SF I'!X42</f>
        <v>809843.41</v>
      </c>
      <c r="Y42" s="221">
        <f t="shared" si="4"/>
        <v>-0.3110982156755786</v>
      </c>
      <c r="Z42" s="218">
        <f>SLP!Z42+ROSA!Z42+'STA ANA'!Z42+BOA!Z42+'STA MARIA'!Z42+'CB I'!Z42+IG!Z42+PN!Z42+MJ!Z42+'RB I'!Z42+'SF I'!Z42</f>
        <v>455557.13808200002</v>
      </c>
      <c r="AA42" s="218">
        <f>SLP!AA42+ROSA!AA42+'STA ANA'!AA42+BOA!AA42+'STA MARIA'!AA42+'CB I'!AA42+IG!AA42+PN!AA42+MJ!AA42+'RB I'!AA42+'SF I'!AA42</f>
        <v>434152.74214781477</v>
      </c>
      <c r="AB42" s="218">
        <f>SLP!AB42+ROSA!AB42+'STA ANA'!AB42+BOA!AB42+'STA MARIA'!AB42+'CB I'!AB42+IG!AB42+PN!AB42+MJ!AB42+'RB I'!AB42+'SF I'!AB42</f>
        <v>21404.395934185199</v>
      </c>
      <c r="AC42" s="218">
        <f>SLP!AC42+ROSA!AC42+'STA ANA'!AC42+BOA!AC42+'STA MARIA'!AC42+'CB I'!AC42+IG!AC42+PN!AC42+MJ!AC42+'RB I'!AC42+'SF I'!AC42</f>
        <v>825513.22703900002</v>
      </c>
      <c r="AD42" s="218">
        <f>SLP!AD42+ROSA!AD42+'STA ANA'!AD42+BOA!AD42+'STA MARIA'!AD42+'CB I'!AD42+IG!AD42+PN!AD42+MJ!AD42+'RB I'!AD42+'SF I'!AD42</f>
        <v>94895.512961</v>
      </c>
      <c r="AE42" s="218">
        <f>SLP!AE42+ROSA!AE42+'STA ANA'!AE42+BOA!AE42+'STA MARIA'!AE42+'CB I'!AE42+IG!AE42+PN!AE42+MJ!AE42+'RB I'!AE42+'SF I'!AE42</f>
        <v>920408.74</v>
      </c>
      <c r="AF42" s="221">
        <f t="shared" si="5"/>
        <v>1.0204024107165388</v>
      </c>
      <c r="AG42" s="218">
        <f>SLP!AG42+ROSA!AG42+'STA ANA'!AG42+BOA!AG42+'STA MARIA'!AG42+'CB I'!AG42+IG!AG42+PN!AG42+MJ!AG42+'RB I'!AG42+'SF I'!AG42</f>
        <v>455557.13808200002</v>
      </c>
      <c r="AH42" s="218">
        <f>SLP!AH42+ROSA!AH42+'STA ANA'!AH42+BOA!AH42+'STA MARIA'!AH42+'CB I'!AH42+IG!AH42+PN!AH42+MJ!AH42+'RB I'!AH42+'SF I'!AH42</f>
        <v>434152.74214781477</v>
      </c>
      <c r="AI42" s="218">
        <f>SLP!AI42+ROSA!AI42+'STA ANA'!AI42+BOA!AI42+'STA MARIA'!AI42+'CB I'!AI42+IG!AI42+PN!AI42+MJ!AI42+'RB I'!AI42+'SF I'!AI42</f>
        <v>21404.395934185199</v>
      </c>
      <c r="AJ42" s="218">
        <f>SLP!AJ42+ROSA!AJ42+'STA ANA'!AJ42+BOA!AJ42+'STA MARIA'!AJ42+'CB I'!AJ42+IG!AJ42+PN!AJ42+MJ!AJ42+'RB I'!AJ42+'SF I'!AJ42</f>
        <v>535669.11294899997</v>
      </c>
      <c r="AK42" s="218">
        <f>SLP!AK42+ROSA!AK42+'STA ANA'!AK42+BOA!AK42+'STA MARIA'!AK42+'CB I'!AK42+IG!AK42+PN!AK42+MJ!AK42+'RB I'!AK42+'SF I'!AK42</f>
        <v>42798.217051</v>
      </c>
      <c r="AL42" s="218">
        <f>SLP!AL42+ROSA!AL42+'STA ANA'!AL42+BOA!AL42+'STA MARIA'!AL42+'CB I'!AL42+IG!AL42+PN!AL42+MJ!AL42+'RB I'!AL42+'SF I'!AL42</f>
        <v>578467.32999999996</v>
      </c>
      <c r="AM42" s="221">
        <f t="shared" si="6"/>
        <v>0.26980192305948725</v>
      </c>
      <c r="AN42" s="218">
        <f>SLP!AN42+ROSA!AN42+'STA ANA'!AN42+BOA!AN42+'STA MARIA'!AN42+'CB I'!AN42+IG!AN42+PN!AN42+MJ!AN42+'RB I'!AN42+'SF I'!AN42</f>
        <v>455557.13808200002</v>
      </c>
      <c r="AO42" s="218">
        <f>SLP!AO42+ROSA!AO42+'STA ANA'!AO42+BOA!AO42+'STA MARIA'!AO42+'CB I'!AO42+IG!AO42+PN!AO42+MJ!AO42+'RB I'!AO42+'SF I'!AO42</f>
        <v>434152.74214781477</v>
      </c>
      <c r="AP42" s="218">
        <f>SLP!AP42+ROSA!AP42+'STA ANA'!AP42+BOA!AP42+'STA MARIA'!AP42+'CB I'!AP42+IG!AP42+PN!AP42+MJ!AP42+'RB I'!AP42+'SF I'!AP42</f>
        <v>21404.395934185199</v>
      </c>
      <c r="AQ42" s="218">
        <f>SLP!AQ42+ROSA!AQ42+'STA ANA'!AQ42+BOA!AQ42+'STA MARIA'!AQ42+'CB I'!AQ42+IG!AQ42+PN!AQ42+MJ!AQ42+'RB I'!AQ42+'SF I'!AQ42</f>
        <v>754350.52868500003</v>
      </c>
      <c r="AR42" s="218">
        <f>SLP!AR42+ROSA!AR42+'STA ANA'!AR42+BOA!AR42+'STA MARIA'!AR42+'CB I'!AR42+IG!AR42+PN!AR42+MJ!AR42+'RB I'!AR42+'SF I'!AR42</f>
        <v>32863.741314999999</v>
      </c>
      <c r="AS42" s="218">
        <f>SLP!AS42+ROSA!AS42+'STA ANA'!AS42+BOA!AS42+'STA MARIA'!AS42+'CB I'!AS42+IG!AS42+PN!AS42+MJ!AS42+'RB I'!AS42+'SF I'!AS42</f>
        <v>787214.27000000014</v>
      </c>
      <c r="AT42" s="221">
        <f t="shared" si="7"/>
        <v>0.72802532150929</v>
      </c>
      <c r="AU42" s="218">
        <f>SLP!AU42+ROSA!AU42+'STA ANA'!AU42+BOA!AU42+'STA MARIA'!AU42+'CB I'!AU42+IG!AU42+PN!AU42+MJ!AU42+'RB I'!AU42+'SF I'!AU42</f>
        <v>455557.13808200002</v>
      </c>
      <c r="AV42" s="218">
        <f>SLP!AV42+ROSA!AV42+'STA ANA'!AV42+BOA!AV42+'STA MARIA'!AV42+'CB I'!AV42+IG!AV42+PN!AV42+MJ!AV42+'RB I'!AV42+'SF I'!AV42</f>
        <v>434152.74214781477</v>
      </c>
      <c r="AW42" s="218">
        <f>SLP!AW42+ROSA!AW42+'STA ANA'!AW42+BOA!AW42+'STA MARIA'!AW42+'CB I'!AW42+IG!AW42+PN!AW42+MJ!AW42+'RB I'!AW42+'SF I'!AW42</f>
        <v>21404.395934185199</v>
      </c>
      <c r="AX42" s="218">
        <f>SLP!AX42+ROSA!AX42+'STA ANA'!AX42+BOA!AX42+'STA MARIA'!AX42+'CB I'!AX42+IG!AX42+PN!AX42+MJ!AX42+'RB I'!AX42+'SF I'!AX42</f>
        <v>741521.22148399998</v>
      </c>
      <c r="AY42" s="218">
        <f>SLP!AY42+ROSA!AY42+'STA ANA'!AY42+BOA!AY42+'STA MARIA'!AY42+'CB I'!AY42+IG!AY42+PN!AY42+MJ!AY42+'RB I'!AY42+'SF I'!AY42</f>
        <v>29734.178516000004</v>
      </c>
      <c r="AZ42" s="218">
        <f>SLP!AZ42+ROSA!AZ42+'STA ANA'!AZ42+BOA!AZ42+'STA MARIA'!AZ42+'CB I'!AZ42+IG!AZ42+PN!AZ42+MJ!AZ42+'RB I'!AZ42+'SF I'!AZ42</f>
        <v>771255.4</v>
      </c>
      <c r="BA42" s="221">
        <f t="shared" si="8"/>
        <v>0.69299377734955936</v>
      </c>
      <c r="BB42" s="218">
        <f>SLP!BB42+ROSA!BB42+'STA ANA'!BB42+BOA!BB42+'STA MARIA'!BB42+'CB I'!BB42+IG!BB42+PN!BB42+MJ!BB42+'RB I'!BB42+'SF I'!BB42</f>
        <v>455557.13808200002</v>
      </c>
      <c r="BC42" s="218">
        <f>SLP!BC42+ROSA!BC42+'STA ANA'!BC42+BOA!BC42+'STA MARIA'!BC42+'CB I'!BC42+IG!BC42+PN!BC42+MJ!BC42+'RB I'!BC42+'SF I'!BC42</f>
        <v>434152.74214781477</v>
      </c>
      <c r="BD42" s="218">
        <f>SLP!BD42+ROSA!BD42+'STA ANA'!BD42+BOA!BD42+'STA MARIA'!BD42+'CB I'!BD42+IG!BD42+PN!BD42+MJ!BD42+'RB I'!BD42+'SF I'!BD42</f>
        <v>21404.395934185199</v>
      </c>
      <c r="BE42" s="218">
        <f>SLP!BE42+ROSA!BE42+'STA ANA'!BE42+BOA!BE42+'STA MARIA'!BE42+'CB I'!BE42+IG!BE42+PN!BE42+MJ!BE42+'RB I'!BE42+'SF I'!BE42</f>
        <v>0</v>
      </c>
      <c r="BF42" s="218">
        <f>SLP!BF42+ROSA!BF42+'STA ANA'!BF42+BOA!BF42+'STA MARIA'!BF42+'CB I'!BF42+IG!BF42+PN!BF42+MJ!BF42+'RB I'!BF42+'SF I'!BF42</f>
        <v>0</v>
      </c>
      <c r="BG42" s="218">
        <f>SLP!BG42+ROSA!BG42+'STA ANA'!BG42+BOA!BG42+'STA MARIA'!BG42+'CB I'!BG42+IG!BG42+PN!BG42+MJ!BG42+'RB I'!BG42+'SF I'!BG42</f>
        <v>0</v>
      </c>
      <c r="BH42" s="221">
        <f t="shared" si="9"/>
        <v>-1</v>
      </c>
      <c r="BI42" s="218">
        <f>SLP!BI42+ROSA!BI42+'STA ANA'!BI42+BOA!BI42+'STA MARIA'!BI42+'CB I'!BI42+IG!BI42+PN!BI42+MJ!BI42+'RB I'!BI42+'SF I'!BI42</f>
        <v>455557.13808200002</v>
      </c>
      <c r="BJ42" s="218">
        <f>SLP!BJ42+ROSA!BJ42+'STA ANA'!BJ42+BOA!BJ42+'STA MARIA'!BJ42+'CB I'!BJ42+IG!BJ42+PN!BJ42+MJ!BJ42+'RB I'!BJ42+'SF I'!BJ42</f>
        <v>434152.74214781477</v>
      </c>
      <c r="BK42" s="218">
        <f>SLP!BK42+ROSA!BK42+'STA ANA'!BK42+BOA!BK42+'STA MARIA'!BK42+'CB I'!BK42+IG!BK42+PN!BK42+MJ!BK42+'RB I'!BK42+'SF I'!BK42</f>
        <v>21404.395934185199</v>
      </c>
      <c r="BL42" s="218">
        <f>SLP!BL42+ROSA!BL42+'STA ANA'!BL42+BOA!BL42+'STA MARIA'!BL42+'CB I'!BL42+IG!BL42+PN!BL42+MJ!BL42+'RB I'!BL42+'SF I'!BL42</f>
        <v>0</v>
      </c>
      <c r="BM42" s="218">
        <f>SLP!BM42+ROSA!BM42+'STA ANA'!BM42+BOA!BM42+'STA MARIA'!BM42+'CB I'!BM42+IG!BM42+PN!BM42+MJ!BM42+'RB I'!BM42+'SF I'!BM42</f>
        <v>0</v>
      </c>
      <c r="BN42" s="218">
        <f>SLP!BN42+ROSA!BN42+'STA ANA'!BN42+BOA!BN42+'STA MARIA'!BN42+'CB I'!BN42+IG!BN42+PN!BN42+MJ!BN42+'RB I'!BN42+'SF I'!BN42</f>
        <v>0</v>
      </c>
      <c r="BO42" s="221">
        <f t="shared" si="10"/>
        <v>-1</v>
      </c>
      <c r="BP42" s="218">
        <f>SLP!BP42+ROSA!BP42+'STA ANA'!BP42+BOA!BP42+'STA MARIA'!BP42+'CB I'!BP42+IG!BP42+PN!BP42+MJ!BP42+'RB I'!BP42+'SF I'!BP42</f>
        <v>455557.13808200002</v>
      </c>
      <c r="BQ42" s="218">
        <f>SLP!BQ42+ROSA!BQ42+'STA ANA'!BQ42+BOA!BQ42+'STA MARIA'!BQ42+'CB I'!BQ42+IG!BQ42+PN!BQ42+MJ!BQ42+'RB I'!BQ42+'SF I'!BQ42</f>
        <v>434152.74214781477</v>
      </c>
      <c r="BR42" s="218">
        <f>SLP!BR42+ROSA!BR42+'STA ANA'!BR42+BOA!BR42+'STA MARIA'!BR42+'CB I'!BR42+IG!BR42+PN!BR42+MJ!BR42+'RB I'!BR42+'SF I'!BR42</f>
        <v>21404.395934185199</v>
      </c>
      <c r="BS42" s="218">
        <f>SLP!BS42+ROSA!BS42+'STA ANA'!BS42+BOA!BS42+'STA MARIA'!BS42+'CB I'!BS42+IG!BS42+PN!BS42+MJ!BS42+'RB I'!BS42+'SF I'!BS42</f>
        <v>0</v>
      </c>
      <c r="BT42" s="218">
        <f>SLP!BT42+ROSA!BT42+'STA ANA'!BT42+BOA!BT42+'STA MARIA'!BT42+'CB I'!BT42+IG!BT42+PN!BT42+MJ!BT42+'RB I'!BT42+'SF I'!BT42</f>
        <v>0</v>
      </c>
      <c r="BU42" s="218">
        <f>SLP!BU42+ROSA!BU42+'STA ANA'!BU42+BOA!BU42+'STA MARIA'!BU42+'CB I'!BU42+IG!BU42+PN!BU42+MJ!BU42+'RB I'!BU42+'SF I'!BU42</f>
        <v>0</v>
      </c>
      <c r="BV42" s="221">
        <f t="shared" si="11"/>
        <v>-1</v>
      </c>
      <c r="BW42" s="218">
        <f>SLP!BW42+ROSA!BW42+'STA ANA'!BW42+BOA!BW42+'STA MARIA'!BW42+'CB I'!BW42+IG!BW42+PN!BW42+MJ!BW42+'RB I'!BW42+'SF I'!BW42</f>
        <v>455557.13808200002</v>
      </c>
      <c r="BX42" s="218">
        <f>SLP!BX42+ROSA!BX42+'STA ANA'!BX42+BOA!BX42+'STA MARIA'!BX42+'CB I'!BX42+IG!BX42+PN!BX42+MJ!BX42+'RB I'!BX42+'SF I'!BX42</f>
        <v>434152.74214781477</v>
      </c>
      <c r="BY42" s="218">
        <f>SLP!BY42+ROSA!BY42+'STA ANA'!BY42+BOA!BY42+'STA MARIA'!BY42+'CB I'!BY42+IG!BY42+PN!BY42+MJ!BY42+'RB I'!BY42+'SF I'!BY42</f>
        <v>21404.395934185199</v>
      </c>
      <c r="BZ42" s="218">
        <f>SLP!BZ42+ROSA!BZ42+'STA ANA'!BZ42+BOA!BZ42+'STA MARIA'!BZ42+'CB I'!BZ42+IG!BZ42+PN!BZ42+MJ!BZ42+'RB I'!BZ42+'SF I'!BZ42</f>
        <v>0</v>
      </c>
      <c r="CA42" s="218">
        <f>SLP!CA42+ROSA!CA42+'STA ANA'!CA42+BOA!CA42+'STA MARIA'!CA42+'CB I'!CA42+IG!CA42+PN!CA42+MJ!CA42+'RB I'!CA42+'SF I'!CA42</f>
        <v>0</v>
      </c>
      <c r="CB42" s="218">
        <f>SLP!CB42+ROSA!CB42+'STA ANA'!CB42+BOA!CB42+'STA MARIA'!CB42+'CB I'!CB42+IG!CB42+PN!CB42+MJ!CB42+'RB I'!CB42+'SF I'!CB42</f>
        <v>0</v>
      </c>
      <c r="CC42" s="221">
        <f t="shared" si="12"/>
        <v>-1</v>
      </c>
      <c r="CD42" s="218">
        <f>SLP!CD42+ROSA!CD42+'STA ANA'!CD42+BOA!CD42+'STA MARIA'!CD42+'CB I'!CD42+IG!CD42+PN!CD42+MJ!CD42+'RB I'!CD42+'SF I'!CD42</f>
        <v>455557.13808200002</v>
      </c>
      <c r="CE42" s="218">
        <f>SLP!CE42+ROSA!CE42+'STA ANA'!CE42+BOA!CE42+'STA MARIA'!CE42+'CB I'!CE42+IG!CE42+PN!CE42+MJ!CE42+'RB I'!CE42+'SF I'!CE42</f>
        <v>434152.74214781477</v>
      </c>
      <c r="CF42" s="218">
        <f>SLP!CF42+ROSA!CF42+'STA ANA'!CF42+BOA!CF42+'STA MARIA'!CF42+'CB I'!CF42+IG!CF42+PN!CF42+MJ!CF42+'RB I'!CF42+'SF I'!CF42</f>
        <v>21404.395934185199</v>
      </c>
      <c r="CG42" s="218">
        <f>SLP!CG42+ROSA!CG42+'STA ANA'!CG42+BOA!CG42+'STA MARIA'!CG42+'CB I'!CG42+IG!CG42+PN!CG42+MJ!CG42+'RB I'!CG42+'SF I'!CG42</f>
        <v>0</v>
      </c>
      <c r="CH42" s="218">
        <f>SLP!CH42+ROSA!CH42+'STA ANA'!CH42+BOA!CH42+'STA MARIA'!CH42+'CB I'!CH42+IG!CH42+PN!CH42+MJ!CH42+'RB I'!CH42+'SF I'!CH42</f>
        <v>0</v>
      </c>
      <c r="CI42" s="218">
        <f>SLP!CI42+ROSA!CI42+'STA ANA'!CI42+BOA!CI42+'STA MARIA'!CI42+'CB I'!CI42+IG!CI42+PN!CI42+MJ!CI42+'RB I'!CI42+'SF I'!CI42</f>
        <v>0</v>
      </c>
      <c r="CJ42" s="221">
        <f t="shared" si="13"/>
        <v>-1</v>
      </c>
      <c r="CK42" s="218">
        <f>SLP!CK42+ROSA!CK42+'STA ANA'!CK42+BOA!CK42+'STA MARIA'!CK42+'CB I'!CK42+IG!CK42+PN!CK42+MJ!CK42+'RB I'!CK42+'SF I'!CK42</f>
        <v>455557.13808200002</v>
      </c>
      <c r="CL42" s="218">
        <f>SLP!CL42+ROSA!CL42+'STA ANA'!CL42+BOA!CL42+'STA MARIA'!CL42+'CB I'!CL42+IG!CL42+PN!CL42+MJ!CL42+'RB I'!CL42+'SF I'!CL42</f>
        <v>434152.74214781477</v>
      </c>
      <c r="CM42" s="218">
        <f>SLP!CM42+ROSA!CM42+'STA ANA'!CM42+BOA!CM42+'STA MARIA'!CM42+'CB I'!CM42+IG!CM42+PN!CM42+MJ!CM42+'RB I'!CM42+'SF I'!CM42</f>
        <v>21404.395934185199</v>
      </c>
      <c r="CN42" s="218">
        <f>SLP!CN42+ROSA!CN42+'STA ANA'!CN42+BOA!CN42+'STA MARIA'!CN42+'CB I'!CN42+IG!CN42+PN!CN42+MJ!CN42+'RB I'!CN42+'SF I'!CN42</f>
        <v>0</v>
      </c>
      <c r="CO42" s="218">
        <f>SLP!CO42+ROSA!CO42+'STA ANA'!CO42+BOA!CO42+'STA MARIA'!CO42+'CB I'!CO42+IG!CO42+PN!CO42+MJ!CO42+'RB I'!CO42+'SF I'!CO42</f>
        <v>0</v>
      </c>
      <c r="CP42" s="218">
        <f>SLP!CP42+ROSA!CP42+'STA ANA'!CP42+BOA!CP42+'STA MARIA'!CP42+'CB I'!CP42+IG!CP42+PN!CP42+MJ!CP42+'RB I'!CP42+'SF I'!CP42</f>
        <v>0</v>
      </c>
      <c r="CQ42" s="221">
        <f t="shared" si="14"/>
        <v>-1</v>
      </c>
      <c r="CR42" s="154"/>
      <c r="CS42" s="222" t="e">
        <f t="shared" si="15"/>
        <v>#VALUE!</v>
      </c>
    </row>
    <row r="43" spans="1:97" ht="16" customHeight="1" thickBot="1" x14ac:dyDescent="0.25">
      <c r="A43" s="220" t="s">
        <v>67</v>
      </c>
      <c r="B43" s="30">
        <f t="shared" si="17"/>
        <v>755689.84865085164</v>
      </c>
      <c r="C43" s="31">
        <f t="shared" si="17"/>
        <v>681528.37477185146</v>
      </c>
      <c r="D43" s="32">
        <f t="shared" si="17"/>
        <v>74161.473879000012</v>
      </c>
      <c r="E43" s="30">
        <f t="shared" si="19"/>
        <v>251896.61621695047</v>
      </c>
      <c r="F43" s="33">
        <f t="shared" si="19"/>
        <v>227176.12492395047</v>
      </c>
      <c r="G43" s="34">
        <f t="shared" si="19"/>
        <v>24720.491293000003</v>
      </c>
      <c r="H43" s="31">
        <f t="shared" si="18"/>
        <v>574665.43275567796</v>
      </c>
      <c r="I43" s="33">
        <f t="shared" si="18"/>
        <v>60421.904371990386</v>
      </c>
      <c r="J43" s="33">
        <f t="shared" si="18"/>
        <v>635087.33712766855</v>
      </c>
      <c r="K43" s="221">
        <f t="shared" si="2"/>
        <v>1.521222184980398</v>
      </c>
      <c r="L43" s="218">
        <f>SLP!L43+ROSA!L43+'STA ANA'!L43+BOA!L43+'STA MARIA'!L43+'CB I'!L43+IG!L43+PN!L43+MJ!L43+'RB I'!L43+'SF I'!L43</f>
        <v>62974.154054237617</v>
      </c>
      <c r="M43" s="218">
        <f>SLP!M43+ROSA!M43+'STA ANA'!M43+BOA!M43+'STA MARIA'!M43+'CB I'!M43+IG!M43+PN!M43+MJ!M43+'RB I'!M43+'SF I'!M43</f>
        <v>56794.031230987617</v>
      </c>
      <c r="N43" s="218">
        <f>SLP!N43+ROSA!N43+'STA ANA'!N43+BOA!N43+'STA MARIA'!N43+'CB I'!N43+IG!N43+PN!N43+MJ!N43+'RB I'!N43+'SF I'!N43</f>
        <v>6180.1228232500007</v>
      </c>
      <c r="O43" s="218">
        <f>SLP!O43+ROSA!O43+'STA ANA'!O43+BOA!O43+'STA MARIA'!O43+'CB I'!O43+IG!O43+PN!O43+MJ!O43+'RB I'!O43+'SF I'!O43</f>
        <v>70848.601226798171</v>
      </c>
      <c r="P43" s="218">
        <f>SLP!P43+ROSA!P43+'STA ANA'!P43+BOA!P43+'STA MARIA'!P43+'CB I'!P43+IG!P43+PN!P43+MJ!P43+'RB I'!P43+'SF I'!P43</f>
        <v>7435.6405133890585</v>
      </c>
      <c r="Q43" s="218">
        <f>SLP!Q43+ROSA!Q43+'STA ANA'!Q43+BOA!Q43+'STA MARIA'!Q43+'CB I'!Q43+IG!Q43+PN!Q43+MJ!Q43+'RB I'!Q43+'SF I'!Q43</f>
        <v>78284.241740187237</v>
      </c>
      <c r="R43" s="221">
        <f t="shared" si="3"/>
        <v>0.24311700436283012</v>
      </c>
      <c r="S43" s="218">
        <f>SLP!S43+ROSA!S43+'STA ANA'!S43+BOA!S43+'STA MARIA'!S43+'CB I'!S43+IG!S43+PN!S43+MJ!S43+'RB I'!S43+'SF I'!S43</f>
        <v>62974.154054237617</v>
      </c>
      <c r="T43" s="218">
        <f>SLP!T43+ROSA!T43+'STA ANA'!T43+BOA!T43+'STA MARIA'!T43+'CB I'!T43+IG!T43+PN!T43+MJ!T43+'RB I'!T43+'SF I'!T43</f>
        <v>56794.031230987617</v>
      </c>
      <c r="U43" s="218">
        <f>SLP!U43+ROSA!U43+'STA ANA'!U43+BOA!U43+'STA MARIA'!U43+'CB I'!U43+IG!U43+PN!U43+MJ!U43+'RB I'!U43+'SF I'!U43</f>
        <v>6180.1228232500007</v>
      </c>
      <c r="V43" s="218">
        <f>SLP!V43+ROSA!V43+'STA ANA'!V43+BOA!V43+'STA MARIA'!V43+'CB I'!V43+IG!V43+PN!V43+MJ!V43+'RB I'!V43+'SF I'!V43</f>
        <v>82552.452575060845</v>
      </c>
      <c r="W43" s="218">
        <f>SLP!W43+ROSA!W43+'STA ANA'!W43+BOA!W43+'STA MARIA'!W43+'CB I'!W43+IG!W43+PN!W43+MJ!W43+'RB I'!W43+'SF I'!W43</f>
        <v>7539.8961091047313</v>
      </c>
      <c r="X43" s="218">
        <f>SLP!X43+ROSA!X43+'STA ANA'!X43+BOA!X43+'STA MARIA'!X43+'CB I'!X43+IG!X43+PN!X43+MJ!X43+'RB I'!X43+'SF I'!X43</f>
        <v>90092.348684165583</v>
      </c>
      <c r="Y43" s="221">
        <f t="shared" si="4"/>
        <v>0.43062419872400248</v>
      </c>
      <c r="Z43" s="218">
        <f>SLP!Z43+ROSA!Z43+'STA ANA'!Z43+BOA!Z43+'STA MARIA'!Z43+'CB I'!Z43+IG!Z43+PN!Z43+MJ!Z43+'RB I'!Z43+'SF I'!Z43</f>
        <v>62974.154054237617</v>
      </c>
      <c r="AA43" s="218">
        <f>SLP!AA43+ROSA!AA43+'STA ANA'!AA43+BOA!AA43+'STA MARIA'!AA43+'CB I'!AA43+IG!AA43+PN!AA43+MJ!AA43+'RB I'!AA43+'SF I'!AA43</f>
        <v>56794.031230987617</v>
      </c>
      <c r="AB43" s="218">
        <f>SLP!AB43+ROSA!AB43+'STA ANA'!AB43+BOA!AB43+'STA MARIA'!AB43+'CB I'!AB43+IG!AB43+PN!AB43+MJ!AB43+'RB I'!AB43+'SF I'!AB43</f>
        <v>6180.1228232500007</v>
      </c>
      <c r="AC43" s="218">
        <f>SLP!AC43+ROSA!AC43+'STA ANA'!AC43+BOA!AC43+'STA MARIA'!AC43+'CB I'!AC43+IG!AC43+PN!AC43+MJ!AC43+'RB I'!AC43+'SF I'!AC43</f>
        <v>63531.64323779627</v>
      </c>
      <c r="AD43" s="218">
        <f>SLP!AD43+ROSA!AD43+'STA ANA'!AD43+BOA!AD43+'STA MARIA'!AD43+'CB I'!AD43+IG!AD43+PN!AD43+MJ!AD43+'RB I'!AD43+'SF I'!AD43</f>
        <v>6758.2869982752654</v>
      </c>
      <c r="AE43" s="218">
        <f>SLP!AE43+ROSA!AE43+'STA ANA'!AE43+BOA!AE43+'STA MARIA'!AE43+'CB I'!AE43+IG!AE43+PN!AE43+MJ!AE43+'RB I'!AE43+'SF I'!AE43</f>
        <v>70289.930236071537</v>
      </c>
      <c r="AF43" s="221">
        <f t="shared" si="5"/>
        <v>0.11617109100875056</v>
      </c>
      <c r="AG43" s="218">
        <f>SLP!AG43+ROSA!AG43+'STA ANA'!AG43+BOA!AG43+'STA MARIA'!AG43+'CB I'!AG43+IG!AG43+PN!AG43+MJ!AG43+'RB I'!AG43+'SF I'!AG43</f>
        <v>62974.154054237617</v>
      </c>
      <c r="AH43" s="218">
        <f>SLP!AH43+ROSA!AH43+'STA ANA'!AH43+BOA!AH43+'STA MARIA'!AH43+'CB I'!AH43+IG!AH43+PN!AH43+MJ!AH43+'RB I'!AH43+'SF I'!AH43</f>
        <v>56794.031230987617</v>
      </c>
      <c r="AI43" s="218">
        <f>SLP!AI43+ROSA!AI43+'STA ANA'!AI43+BOA!AI43+'STA MARIA'!AI43+'CB I'!AI43+IG!AI43+PN!AI43+MJ!AI43+'RB I'!AI43+'SF I'!AI43</f>
        <v>6180.1228232500007</v>
      </c>
      <c r="AJ43" s="218">
        <f>SLP!AJ43+ROSA!AJ43+'STA ANA'!AJ43+BOA!AJ43+'STA MARIA'!AJ43+'CB I'!AJ43+IG!AJ43+PN!AJ43+MJ!AJ43+'RB I'!AJ43+'SF I'!AJ43</f>
        <v>67734.989336188068</v>
      </c>
      <c r="AK43" s="218">
        <f>SLP!AK43+ROSA!AK43+'STA ANA'!AK43+BOA!AK43+'STA MARIA'!AK43+'CB I'!AK43+IG!AK43+PN!AK43+MJ!AK43+'RB I'!AK43+'SF I'!AK43</f>
        <v>7259.1919131165787</v>
      </c>
      <c r="AL43" s="218">
        <f>SLP!AL43+ROSA!AL43+'STA ANA'!AL43+BOA!AL43+'STA MARIA'!AL43+'CB I'!AL43+IG!AL43+PN!AL43+MJ!AL43+'RB I'!AL43+'SF I'!AL43</f>
        <v>74994.181249304645</v>
      </c>
      <c r="AM43" s="221">
        <f t="shared" si="6"/>
        <v>0.19087238845184906</v>
      </c>
      <c r="AN43" s="218">
        <f>SLP!AN43+ROSA!AN43+'STA ANA'!AN43+BOA!AN43+'STA MARIA'!AN43+'CB I'!AN43+IG!AN43+PN!AN43+MJ!AN43+'RB I'!AN43+'SF I'!AN43</f>
        <v>62974.154054237617</v>
      </c>
      <c r="AO43" s="218">
        <f>SLP!AO43+ROSA!AO43+'STA ANA'!AO43+BOA!AO43+'STA MARIA'!AO43+'CB I'!AO43+IG!AO43+PN!AO43+MJ!AO43+'RB I'!AO43+'SF I'!AO43</f>
        <v>56794.031230987617</v>
      </c>
      <c r="AP43" s="218">
        <f>SLP!AP43+ROSA!AP43+'STA ANA'!AP43+BOA!AP43+'STA MARIA'!AP43+'CB I'!AP43+IG!AP43+PN!AP43+MJ!AP43+'RB I'!AP43+'SF I'!AP43</f>
        <v>6180.1228232500007</v>
      </c>
      <c r="AQ43" s="218">
        <f>SLP!AQ43+ROSA!AQ43+'STA ANA'!AQ43+BOA!AQ43+'STA MARIA'!AQ43+'CB I'!AQ43+IG!AQ43+PN!AQ43+MJ!AQ43+'RB I'!AQ43+'SF I'!AQ43</f>
        <v>57674.619962650184</v>
      </c>
      <c r="AR43" s="218">
        <f>SLP!AR43+ROSA!AR43+'STA ANA'!AR43+BOA!AR43+'STA MARIA'!AR43+'CB I'!AR43+IG!AR43+PN!AR43+MJ!AR43+'RB I'!AR43+'SF I'!AR43</f>
        <v>6168.1046646600462</v>
      </c>
      <c r="AS43" s="218">
        <f>SLP!AS43+ROSA!AS43+'STA ANA'!AS43+BOA!AS43+'STA MARIA'!AS43+'CB I'!AS43+IG!AS43+PN!AS43+MJ!AS43+'RB I'!AS43+'SF I'!AS43</f>
        <v>63842.724627310236</v>
      </c>
      <c r="AT43" s="221">
        <f t="shared" si="7"/>
        <v>1.3792492906288922E-2</v>
      </c>
      <c r="AU43" s="218">
        <f>SLP!AU43+ROSA!AU43+'STA ANA'!AU43+BOA!AU43+'STA MARIA'!AU43+'CB I'!AU43+IG!AU43+PN!AU43+MJ!AU43+'RB I'!AU43+'SF I'!AU43</f>
        <v>62974.154054237617</v>
      </c>
      <c r="AV43" s="218">
        <f>SLP!AV43+ROSA!AV43+'STA ANA'!AV43+BOA!AV43+'STA MARIA'!AV43+'CB I'!AV43+IG!AV43+PN!AV43+MJ!AV43+'RB I'!AV43+'SF I'!AV43</f>
        <v>56794.031230987617</v>
      </c>
      <c r="AW43" s="218">
        <f>SLP!AW43+ROSA!AW43+'STA ANA'!AW43+BOA!AW43+'STA MARIA'!AW43+'CB I'!AW43+IG!AW43+PN!AW43+MJ!AW43+'RB I'!AW43+'SF I'!AW43</f>
        <v>6180.1228232500007</v>
      </c>
      <c r="AX43" s="218">
        <f>SLP!AX43+ROSA!AX43+'STA ANA'!AX43+BOA!AX43+'STA MARIA'!AX43+'CB I'!AX43+IG!AX43+PN!AX43+MJ!AX43+'RB I'!AX43+'SF I'!AX43</f>
        <v>232323.12641718448</v>
      </c>
      <c r="AY43" s="218">
        <f>SLP!AY43+ROSA!AY43+'STA ANA'!AY43+BOA!AY43+'STA MARIA'!AY43+'CB I'!AY43+IG!AY43+PN!AY43+MJ!AY43+'RB I'!AY43+'SF I'!AY43</f>
        <v>25260.784173444703</v>
      </c>
      <c r="AZ43" s="218">
        <f>SLP!AZ43+ROSA!AZ43+'STA ANA'!AZ43+BOA!AZ43+'STA MARIA'!AZ43+'CB I'!AZ43+IG!AZ43+PN!AZ43+MJ!AZ43+'RB I'!AZ43+'SF I'!AZ43</f>
        <v>257583.91059062921</v>
      </c>
      <c r="BA43" s="221">
        <f t="shared" si="8"/>
        <v>3.0903115644678678</v>
      </c>
      <c r="BB43" s="218">
        <f>SLP!BB43+ROSA!BB43+'STA ANA'!BB43+BOA!BB43+'STA MARIA'!BB43+'CB I'!BB43+IG!BB43+PN!BB43+MJ!BB43+'RB I'!BB43+'SF I'!BB43</f>
        <v>62974.154054237617</v>
      </c>
      <c r="BC43" s="218">
        <f>SLP!BC43+ROSA!BC43+'STA ANA'!BC43+BOA!BC43+'STA MARIA'!BC43+'CB I'!BC43+IG!BC43+PN!BC43+MJ!BC43+'RB I'!BC43+'SF I'!BC43</f>
        <v>56794.031230987617</v>
      </c>
      <c r="BD43" s="218">
        <f>SLP!BD43+ROSA!BD43+'STA ANA'!BD43+BOA!BD43+'STA MARIA'!BD43+'CB I'!BD43+IG!BD43+PN!BD43+MJ!BD43+'RB I'!BD43+'SF I'!BD43</f>
        <v>6180.1228232500007</v>
      </c>
      <c r="BE43" s="218">
        <f>SLP!BE43+ROSA!BE43+'STA ANA'!BE43+BOA!BE43+'STA MARIA'!BE43+'CB I'!BE43+IG!BE43+PN!BE43+MJ!BE43+'RB I'!BE43+'SF I'!BE43</f>
        <v>0</v>
      </c>
      <c r="BF43" s="218">
        <f>SLP!BF43+ROSA!BF43+'STA ANA'!BF43+BOA!BF43+'STA MARIA'!BF43+'CB I'!BF43+IG!BF43+PN!BF43+MJ!BF43+'RB I'!BF43+'SF I'!BF43</f>
        <v>0</v>
      </c>
      <c r="BG43" s="218">
        <f>SLP!BG43+ROSA!BG43+'STA ANA'!BG43+BOA!BG43+'STA MARIA'!BG43+'CB I'!BG43+IG!BG43+PN!BG43+MJ!BG43+'RB I'!BG43+'SF I'!BG43</f>
        <v>0</v>
      </c>
      <c r="BH43" s="221">
        <f t="shared" si="9"/>
        <v>-1</v>
      </c>
      <c r="BI43" s="218">
        <f>SLP!BI43+ROSA!BI43+'STA ANA'!BI43+BOA!BI43+'STA MARIA'!BI43+'CB I'!BI43+IG!BI43+PN!BI43+MJ!BI43+'RB I'!BI43+'SF I'!BI43</f>
        <v>62974.154054237617</v>
      </c>
      <c r="BJ43" s="218">
        <f>SLP!BJ43+ROSA!BJ43+'STA ANA'!BJ43+BOA!BJ43+'STA MARIA'!BJ43+'CB I'!BJ43+IG!BJ43+PN!BJ43+MJ!BJ43+'RB I'!BJ43+'SF I'!BJ43</f>
        <v>56794.031230987617</v>
      </c>
      <c r="BK43" s="218">
        <f>SLP!BK43+ROSA!BK43+'STA ANA'!BK43+BOA!BK43+'STA MARIA'!BK43+'CB I'!BK43+IG!BK43+PN!BK43+MJ!BK43+'RB I'!BK43+'SF I'!BK43</f>
        <v>6180.1228232500007</v>
      </c>
      <c r="BL43" s="218">
        <f>SLP!BL43+ROSA!BL43+'STA ANA'!BL43+BOA!BL43+'STA MARIA'!BL43+'CB I'!BL43+IG!BL43+PN!BL43+MJ!BL43+'RB I'!BL43+'SF I'!BL43</f>
        <v>0</v>
      </c>
      <c r="BM43" s="218">
        <f>SLP!BM43+ROSA!BM43+'STA ANA'!BM43+BOA!BM43+'STA MARIA'!BM43+'CB I'!BM43+IG!BM43+PN!BM43+MJ!BM43+'RB I'!BM43+'SF I'!BM43</f>
        <v>0</v>
      </c>
      <c r="BN43" s="218">
        <f>SLP!BN43+ROSA!BN43+'STA ANA'!BN43+BOA!BN43+'STA MARIA'!BN43+'CB I'!BN43+IG!BN43+PN!BN43+MJ!BN43+'RB I'!BN43+'SF I'!BN43</f>
        <v>0</v>
      </c>
      <c r="BO43" s="221">
        <f t="shared" si="10"/>
        <v>-1</v>
      </c>
      <c r="BP43" s="218">
        <f>SLP!BP43+ROSA!BP43+'STA ANA'!BP43+BOA!BP43+'STA MARIA'!BP43+'CB I'!BP43+IG!BP43+PN!BP43+MJ!BP43+'RB I'!BP43+'SF I'!BP43</f>
        <v>62974.154054237617</v>
      </c>
      <c r="BQ43" s="218">
        <f>SLP!BQ43+ROSA!BQ43+'STA ANA'!BQ43+BOA!BQ43+'STA MARIA'!BQ43+'CB I'!BQ43+IG!BQ43+PN!BQ43+MJ!BQ43+'RB I'!BQ43+'SF I'!BQ43</f>
        <v>56794.031230987617</v>
      </c>
      <c r="BR43" s="218">
        <f>SLP!BR43+ROSA!BR43+'STA ANA'!BR43+BOA!BR43+'STA MARIA'!BR43+'CB I'!BR43+IG!BR43+PN!BR43+MJ!BR43+'RB I'!BR43+'SF I'!BR43</f>
        <v>6180.1228232500007</v>
      </c>
      <c r="BS43" s="218">
        <f>SLP!BS43+ROSA!BS43+'STA ANA'!BS43+BOA!BS43+'STA MARIA'!BS43+'CB I'!BS43+IG!BS43+PN!BS43+MJ!BS43+'RB I'!BS43+'SF I'!BS43</f>
        <v>0</v>
      </c>
      <c r="BT43" s="218">
        <f>SLP!BT43+ROSA!BT43+'STA ANA'!BT43+BOA!BT43+'STA MARIA'!BT43+'CB I'!BT43+IG!BT43+PN!BT43+MJ!BT43+'RB I'!BT43+'SF I'!BT43</f>
        <v>0</v>
      </c>
      <c r="BU43" s="218">
        <f>SLP!BU43+ROSA!BU43+'STA ANA'!BU43+BOA!BU43+'STA MARIA'!BU43+'CB I'!BU43+IG!BU43+PN!BU43+MJ!BU43+'RB I'!BU43+'SF I'!BU43</f>
        <v>0</v>
      </c>
      <c r="BV43" s="221">
        <f t="shared" si="11"/>
        <v>-1</v>
      </c>
      <c r="BW43" s="218">
        <f>SLP!BW43+ROSA!BW43+'STA ANA'!BW43+BOA!BW43+'STA MARIA'!BW43+'CB I'!BW43+IG!BW43+PN!BW43+MJ!BW43+'RB I'!BW43+'SF I'!BW43</f>
        <v>62974.154054237617</v>
      </c>
      <c r="BX43" s="218">
        <f>SLP!BX43+ROSA!BX43+'STA ANA'!BX43+BOA!BX43+'STA MARIA'!BX43+'CB I'!BX43+IG!BX43+PN!BX43+MJ!BX43+'RB I'!BX43+'SF I'!BX43</f>
        <v>56794.031230987617</v>
      </c>
      <c r="BY43" s="218">
        <f>SLP!BY43+ROSA!BY43+'STA ANA'!BY43+BOA!BY43+'STA MARIA'!BY43+'CB I'!BY43+IG!BY43+PN!BY43+MJ!BY43+'RB I'!BY43+'SF I'!BY43</f>
        <v>6180.1228232500007</v>
      </c>
      <c r="BZ43" s="218">
        <f>SLP!BZ43+ROSA!BZ43+'STA ANA'!BZ43+BOA!BZ43+'STA MARIA'!BZ43+'CB I'!BZ43+IG!BZ43+PN!BZ43+MJ!BZ43+'RB I'!BZ43+'SF I'!BZ43</f>
        <v>0</v>
      </c>
      <c r="CA43" s="218">
        <f>SLP!CA43+ROSA!CA43+'STA ANA'!CA43+BOA!CA43+'STA MARIA'!CA43+'CB I'!CA43+IG!CA43+PN!CA43+MJ!CA43+'RB I'!CA43+'SF I'!CA43</f>
        <v>0</v>
      </c>
      <c r="CB43" s="218">
        <f>SLP!CB43+ROSA!CB43+'STA ANA'!CB43+BOA!CB43+'STA MARIA'!CB43+'CB I'!CB43+IG!CB43+PN!CB43+MJ!CB43+'RB I'!CB43+'SF I'!CB43</f>
        <v>0</v>
      </c>
      <c r="CC43" s="221">
        <f t="shared" si="12"/>
        <v>-1</v>
      </c>
      <c r="CD43" s="218">
        <f>SLP!CD43+ROSA!CD43+'STA ANA'!CD43+BOA!CD43+'STA MARIA'!CD43+'CB I'!CD43+IG!CD43+PN!CD43+MJ!CD43+'RB I'!CD43+'SF I'!CD43</f>
        <v>62974.154054237617</v>
      </c>
      <c r="CE43" s="218">
        <f>SLP!CE43+ROSA!CE43+'STA ANA'!CE43+BOA!CE43+'STA MARIA'!CE43+'CB I'!CE43+IG!CE43+PN!CE43+MJ!CE43+'RB I'!CE43+'SF I'!CE43</f>
        <v>56794.031230987617</v>
      </c>
      <c r="CF43" s="218">
        <f>SLP!CF43+ROSA!CF43+'STA ANA'!CF43+BOA!CF43+'STA MARIA'!CF43+'CB I'!CF43+IG!CF43+PN!CF43+MJ!CF43+'RB I'!CF43+'SF I'!CF43</f>
        <v>6180.1228232500007</v>
      </c>
      <c r="CG43" s="218">
        <f>SLP!CG43+ROSA!CG43+'STA ANA'!CG43+BOA!CG43+'STA MARIA'!CG43+'CB I'!CG43+IG!CG43+PN!CG43+MJ!CG43+'RB I'!CG43+'SF I'!CG43</f>
        <v>0</v>
      </c>
      <c r="CH43" s="218">
        <f>SLP!CH43+ROSA!CH43+'STA ANA'!CH43+BOA!CH43+'STA MARIA'!CH43+'CB I'!CH43+IG!CH43+PN!CH43+MJ!CH43+'RB I'!CH43+'SF I'!CH43</f>
        <v>0</v>
      </c>
      <c r="CI43" s="218">
        <f>SLP!CI43+ROSA!CI43+'STA ANA'!CI43+BOA!CI43+'STA MARIA'!CI43+'CB I'!CI43+IG!CI43+PN!CI43+MJ!CI43+'RB I'!CI43+'SF I'!CI43</f>
        <v>0</v>
      </c>
      <c r="CJ43" s="221">
        <f t="shared" si="13"/>
        <v>-1</v>
      </c>
      <c r="CK43" s="218">
        <f>SLP!CK43+ROSA!CK43+'STA ANA'!CK43+BOA!CK43+'STA MARIA'!CK43+'CB I'!CK43+IG!CK43+PN!CK43+MJ!CK43+'RB I'!CK43+'SF I'!CK43</f>
        <v>62974.154054237617</v>
      </c>
      <c r="CL43" s="218">
        <f>SLP!CL43+ROSA!CL43+'STA ANA'!CL43+BOA!CL43+'STA MARIA'!CL43+'CB I'!CL43+IG!CL43+PN!CL43+MJ!CL43+'RB I'!CL43+'SF I'!CL43</f>
        <v>56794.031230987617</v>
      </c>
      <c r="CM43" s="218">
        <f>SLP!CM43+ROSA!CM43+'STA ANA'!CM43+BOA!CM43+'STA MARIA'!CM43+'CB I'!CM43+IG!CM43+PN!CM43+MJ!CM43+'RB I'!CM43+'SF I'!CM43</f>
        <v>6180.1228232500007</v>
      </c>
      <c r="CN43" s="218">
        <f>SLP!CN43+ROSA!CN43+'STA ANA'!CN43+BOA!CN43+'STA MARIA'!CN43+'CB I'!CN43+IG!CN43+PN!CN43+MJ!CN43+'RB I'!CN43+'SF I'!CN43</f>
        <v>0</v>
      </c>
      <c r="CO43" s="218">
        <f>SLP!CO43+ROSA!CO43+'STA ANA'!CO43+BOA!CO43+'STA MARIA'!CO43+'CB I'!CO43+IG!CO43+PN!CO43+MJ!CO43+'RB I'!CO43+'SF I'!CO43</f>
        <v>0</v>
      </c>
      <c r="CP43" s="218">
        <f>SLP!CP43+ROSA!CP43+'STA ANA'!CP43+BOA!CP43+'STA MARIA'!CP43+'CB I'!CP43+IG!CP43+PN!CP43+MJ!CP43+'RB I'!CP43+'SF I'!CP43</f>
        <v>0</v>
      </c>
      <c r="CQ43" s="221">
        <f t="shared" si="14"/>
        <v>-1</v>
      </c>
      <c r="CR43" s="154"/>
      <c r="CS43" s="222" t="e">
        <f t="shared" si="15"/>
        <v>#VALUE!</v>
      </c>
    </row>
    <row r="44" spans="1:97" ht="16" customHeight="1" thickBot="1" x14ac:dyDescent="0.25">
      <c r="A44" s="220" t="s">
        <v>68</v>
      </c>
      <c r="B44" s="30">
        <f t="shared" si="17"/>
        <v>0</v>
      </c>
      <c r="C44" s="31">
        <f t="shared" si="17"/>
        <v>0</v>
      </c>
      <c r="D44" s="32">
        <f t="shared" si="17"/>
        <v>0</v>
      </c>
      <c r="E44" s="30">
        <f t="shared" si="19"/>
        <v>0</v>
      </c>
      <c r="F44" s="33">
        <f t="shared" si="19"/>
        <v>0</v>
      </c>
      <c r="G44" s="34">
        <f t="shared" si="19"/>
        <v>0</v>
      </c>
      <c r="H44" s="31">
        <f t="shared" si="18"/>
        <v>0</v>
      </c>
      <c r="I44" s="33">
        <f t="shared" si="18"/>
        <v>0</v>
      </c>
      <c r="J44" s="33">
        <f t="shared" si="18"/>
        <v>0</v>
      </c>
      <c r="K44" s="221" t="str">
        <f t="shared" si="2"/>
        <v/>
      </c>
      <c r="L44" s="218">
        <f>SLP!L44+ROSA!L44+'STA ANA'!L44+BOA!L44+'STA MARIA'!L44+'CB I'!L44+IG!L44+PN!L44+MJ!L44+'RB I'!L44+'SF I'!L44</f>
        <v>0</v>
      </c>
      <c r="M44" s="218">
        <f>SLP!M44+ROSA!M44+'STA ANA'!M44+BOA!M44+'STA MARIA'!M44+'CB I'!M44+IG!M44+PN!M44+MJ!M44+'RB I'!M44+'SF I'!M44</f>
        <v>0</v>
      </c>
      <c r="N44" s="218">
        <f>SLP!N44+ROSA!N44+'STA ANA'!N44+BOA!N44+'STA MARIA'!N44+'CB I'!N44+IG!N44+PN!N44+MJ!N44+'RB I'!N44+'SF I'!N44</f>
        <v>0</v>
      </c>
      <c r="O44" s="218">
        <f>SLP!O44+ROSA!O44+'STA ANA'!O44+BOA!O44+'STA MARIA'!O44+'CB I'!O44+IG!O44+PN!O44+MJ!O44+'RB I'!O44+'SF I'!O44</f>
        <v>0</v>
      </c>
      <c r="P44" s="218">
        <f>SLP!P44+ROSA!P44+'STA ANA'!P44+BOA!P44+'STA MARIA'!P44+'CB I'!P44+IG!P44+PN!P44+MJ!P44+'RB I'!P44+'SF I'!P44</f>
        <v>0</v>
      </c>
      <c r="Q44" s="218">
        <f>SLP!Q44+ROSA!Q44+'STA ANA'!Q44+BOA!Q44+'STA MARIA'!Q44+'CB I'!Q44+IG!Q44+PN!Q44+MJ!Q44+'RB I'!Q44+'SF I'!Q44</f>
        <v>0</v>
      </c>
      <c r="R44" s="221" t="str">
        <f t="shared" si="3"/>
        <v/>
      </c>
      <c r="S44" s="218">
        <f>SLP!S44+ROSA!S44+'STA ANA'!S44+BOA!S44+'STA MARIA'!S44+'CB I'!S44+IG!S44+PN!S44+MJ!S44+'RB I'!S44+'SF I'!S44</f>
        <v>0</v>
      </c>
      <c r="T44" s="218">
        <f>SLP!T44+ROSA!T44+'STA ANA'!T44+BOA!T44+'STA MARIA'!T44+'CB I'!T44+IG!T44+PN!T44+MJ!T44+'RB I'!T44+'SF I'!T44</f>
        <v>0</v>
      </c>
      <c r="U44" s="218">
        <f>SLP!U44+ROSA!U44+'STA ANA'!U44+BOA!U44+'STA MARIA'!U44+'CB I'!U44+IG!U44+PN!U44+MJ!U44+'RB I'!U44+'SF I'!U44</f>
        <v>0</v>
      </c>
      <c r="V44" s="218">
        <f>SLP!V44+ROSA!V44+'STA ANA'!V44+BOA!V44+'STA MARIA'!V44+'CB I'!V44+IG!V44+PN!V44+MJ!V44+'RB I'!V44+'SF I'!V44</f>
        <v>0</v>
      </c>
      <c r="W44" s="218">
        <f>SLP!W44+ROSA!W44+'STA ANA'!W44+BOA!W44+'STA MARIA'!W44+'CB I'!W44+IG!W44+PN!W44+MJ!W44+'RB I'!W44+'SF I'!W44</f>
        <v>0</v>
      </c>
      <c r="X44" s="218">
        <f>SLP!X44+ROSA!X44+'STA ANA'!X44+BOA!X44+'STA MARIA'!X44+'CB I'!X44+IG!X44+PN!X44+MJ!X44+'RB I'!X44+'SF I'!X44</f>
        <v>0</v>
      </c>
      <c r="Y44" s="221" t="str">
        <f t="shared" si="4"/>
        <v/>
      </c>
      <c r="Z44" s="218">
        <f>SLP!Z44+ROSA!Z44+'STA ANA'!Z44+BOA!Z44+'STA MARIA'!Z44+'CB I'!Z44+IG!Z44+PN!Z44+MJ!Z44+'RB I'!Z44+'SF I'!Z44</f>
        <v>0</v>
      </c>
      <c r="AA44" s="218">
        <f>SLP!AA44+ROSA!AA44+'STA ANA'!AA44+BOA!AA44+'STA MARIA'!AA44+'CB I'!AA44+IG!AA44+PN!AA44+MJ!AA44+'RB I'!AA44+'SF I'!AA44</f>
        <v>0</v>
      </c>
      <c r="AB44" s="218">
        <f>SLP!AB44+ROSA!AB44+'STA ANA'!AB44+BOA!AB44+'STA MARIA'!AB44+'CB I'!AB44+IG!AB44+PN!AB44+MJ!AB44+'RB I'!AB44+'SF I'!AB44</f>
        <v>0</v>
      </c>
      <c r="AC44" s="218">
        <f>SLP!AC44+ROSA!AC44+'STA ANA'!AC44+BOA!AC44+'STA MARIA'!AC44+'CB I'!AC44+IG!AC44+PN!AC44+MJ!AC44+'RB I'!AC44+'SF I'!AC44</f>
        <v>0</v>
      </c>
      <c r="AD44" s="218">
        <f>SLP!AD44+ROSA!AD44+'STA ANA'!AD44+BOA!AD44+'STA MARIA'!AD44+'CB I'!AD44+IG!AD44+PN!AD44+MJ!AD44+'RB I'!AD44+'SF I'!AD44</f>
        <v>0</v>
      </c>
      <c r="AE44" s="218">
        <f>SLP!AE44+ROSA!AE44+'STA ANA'!AE44+BOA!AE44+'STA MARIA'!AE44+'CB I'!AE44+IG!AE44+PN!AE44+MJ!AE44+'RB I'!AE44+'SF I'!AE44</f>
        <v>0</v>
      </c>
      <c r="AF44" s="221" t="str">
        <f t="shared" si="5"/>
        <v/>
      </c>
      <c r="AG44" s="218">
        <f>SLP!AG44+ROSA!AG44+'STA ANA'!AG44+BOA!AG44+'STA MARIA'!AG44+'CB I'!AG44+IG!AG44+PN!AG44+MJ!AG44+'RB I'!AG44+'SF I'!AG44</f>
        <v>0</v>
      </c>
      <c r="AH44" s="218">
        <f>SLP!AH44+ROSA!AH44+'STA ANA'!AH44+BOA!AH44+'STA MARIA'!AH44+'CB I'!AH44+IG!AH44+PN!AH44+MJ!AH44+'RB I'!AH44+'SF I'!AH44</f>
        <v>0</v>
      </c>
      <c r="AI44" s="218">
        <f>SLP!AI44+ROSA!AI44+'STA ANA'!AI44+BOA!AI44+'STA MARIA'!AI44+'CB I'!AI44+IG!AI44+PN!AI44+MJ!AI44+'RB I'!AI44+'SF I'!AI44</f>
        <v>0</v>
      </c>
      <c r="AJ44" s="218">
        <f>SLP!AJ44+ROSA!AJ44+'STA ANA'!AJ44+BOA!AJ44+'STA MARIA'!AJ44+'CB I'!AJ44+IG!AJ44+PN!AJ44+MJ!AJ44+'RB I'!AJ44+'SF I'!AJ44</f>
        <v>0</v>
      </c>
      <c r="AK44" s="218">
        <f>SLP!AK44+ROSA!AK44+'STA ANA'!AK44+BOA!AK44+'STA MARIA'!AK44+'CB I'!AK44+IG!AK44+PN!AK44+MJ!AK44+'RB I'!AK44+'SF I'!AK44</f>
        <v>0</v>
      </c>
      <c r="AL44" s="218">
        <f>SLP!AL44+ROSA!AL44+'STA ANA'!AL44+BOA!AL44+'STA MARIA'!AL44+'CB I'!AL44+IG!AL44+PN!AL44+MJ!AL44+'RB I'!AL44+'SF I'!AL44</f>
        <v>0</v>
      </c>
      <c r="AM44" s="221" t="str">
        <f t="shared" si="6"/>
        <v/>
      </c>
      <c r="AN44" s="218">
        <f>SLP!AN44+ROSA!AN44+'STA ANA'!AN44+BOA!AN44+'STA MARIA'!AN44+'CB I'!AN44+IG!AN44+PN!AN44+MJ!AN44+'RB I'!AN44+'SF I'!AN44</f>
        <v>0</v>
      </c>
      <c r="AO44" s="218">
        <f>SLP!AO44+ROSA!AO44+'STA ANA'!AO44+BOA!AO44+'STA MARIA'!AO44+'CB I'!AO44+IG!AO44+PN!AO44+MJ!AO44+'RB I'!AO44+'SF I'!AO44</f>
        <v>0</v>
      </c>
      <c r="AP44" s="218">
        <f>SLP!AP44+ROSA!AP44+'STA ANA'!AP44+BOA!AP44+'STA MARIA'!AP44+'CB I'!AP44+IG!AP44+PN!AP44+MJ!AP44+'RB I'!AP44+'SF I'!AP44</f>
        <v>0</v>
      </c>
      <c r="AQ44" s="218">
        <f>SLP!AQ44+ROSA!AQ44+'STA ANA'!AQ44+BOA!AQ44+'STA MARIA'!AQ44+'CB I'!AQ44+IG!AQ44+PN!AQ44+MJ!AQ44+'RB I'!AQ44+'SF I'!AQ44</f>
        <v>0</v>
      </c>
      <c r="AR44" s="218">
        <f>SLP!AR44+ROSA!AR44+'STA ANA'!AR44+BOA!AR44+'STA MARIA'!AR44+'CB I'!AR44+IG!AR44+PN!AR44+MJ!AR44+'RB I'!AR44+'SF I'!AR44</f>
        <v>0</v>
      </c>
      <c r="AS44" s="218">
        <f>SLP!AS44+ROSA!AS44+'STA ANA'!AS44+BOA!AS44+'STA MARIA'!AS44+'CB I'!AS44+IG!AS44+PN!AS44+MJ!AS44+'RB I'!AS44+'SF I'!AS44</f>
        <v>0</v>
      </c>
      <c r="AT44" s="221" t="str">
        <f t="shared" si="7"/>
        <v/>
      </c>
      <c r="AU44" s="218">
        <f>SLP!AU44+ROSA!AU44+'STA ANA'!AU44+BOA!AU44+'STA MARIA'!AU44+'CB I'!AU44+IG!AU44+PN!AU44+MJ!AU44+'RB I'!AU44+'SF I'!AU44</f>
        <v>0</v>
      </c>
      <c r="AV44" s="218">
        <f>SLP!AV44+ROSA!AV44+'STA ANA'!AV44+BOA!AV44+'STA MARIA'!AV44+'CB I'!AV44+IG!AV44+PN!AV44+MJ!AV44+'RB I'!AV44+'SF I'!AV44</f>
        <v>0</v>
      </c>
      <c r="AW44" s="218">
        <f>SLP!AW44+ROSA!AW44+'STA ANA'!AW44+BOA!AW44+'STA MARIA'!AW44+'CB I'!AW44+IG!AW44+PN!AW44+MJ!AW44+'RB I'!AW44+'SF I'!AW44</f>
        <v>0</v>
      </c>
      <c r="AX44" s="218">
        <f>SLP!AX44+ROSA!AX44+'STA ANA'!AX44+BOA!AX44+'STA MARIA'!AX44+'CB I'!AX44+IG!AX44+PN!AX44+MJ!AX44+'RB I'!AX44+'SF I'!AX44</f>
        <v>0</v>
      </c>
      <c r="AY44" s="218">
        <f>SLP!AY44+ROSA!AY44+'STA ANA'!AY44+BOA!AY44+'STA MARIA'!AY44+'CB I'!AY44+IG!AY44+PN!AY44+MJ!AY44+'RB I'!AY44+'SF I'!AY44</f>
        <v>0</v>
      </c>
      <c r="AZ44" s="218">
        <f>SLP!AZ44+ROSA!AZ44+'STA ANA'!AZ44+BOA!AZ44+'STA MARIA'!AZ44+'CB I'!AZ44+IG!AZ44+PN!AZ44+MJ!AZ44+'RB I'!AZ44+'SF I'!AZ44</f>
        <v>0</v>
      </c>
      <c r="BA44" s="221" t="str">
        <f t="shared" si="8"/>
        <v/>
      </c>
      <c r="BB44" s="218">
        <f>SLP!BB44+ROSA!BB44+'STA ANA'!BB44+BOA!BB44+'STA MARIA'!BB44+'CB I'!BB44+IG!BB44+PN!BB44+MJ!BB44+'RB I'!BB44+'SF I'!BB44</f>
        <v>0</v>
      </c>
      <c r="BC44" s="218">
        <f>SLP!BC44+ROSA!BC44+'STA ANA'!BC44+BOA!BC44+'STA MARIA'!BC44+'CB I'!BC44+IG!BC44+PN!BC44+MJ!BC44+'RB I'!BC44+'SF I'!BC44</f>
        <v>0</v>
      </c>
      <c r="BD44" s="218">
        <f>SLP!BD44+ROSA!BD44+'STA ANA'!BD44+BOA!BD44+'STA MARIA'!BD44+'CB I'!BD44+IG!BD44+PN!BD44+MJ!BD44+'RB I'!BD44+'SF I'!BD44</f>
        <v>0</v>
      </c>
      <c r="BE44" s="218">
        <f>SLP!BE44+ROSA!BE44+'STA ANA'!BE44+BOA!BE44+'STA MARIA'!BE44+'CB I'!BE44+IG!BE44+PN!BE44+MJ!BE44+'RB I'!BE44+'SF I'!BE44</f>
        <v>0</v>
      </c>
      <c r="BF44" s="218">
        <f>SLP!BF44+ROSA!BF44+'STA ANA'!BF44+BOA!BF44+'STA MARIA'!BF44+'CB I'!BF44+IG!BF44+PN!BF44+MJ!BF44+'RB I'!BF44+'SF I'!BF44</f>
        <v>0</v>
      </c>
      <c r="BG44" s="218">
        <f>SLP!BG44+ROSA!BG44+'STA ANA'!BG44+BOA!BG44+'STA MARIA'!BG44+'CB I'!BG44+IG!BG44+PN!BG44+MJ!BG44+'RB I'!BG44+'SF I'!BG44</f>
        <v>0</v>
      </c>
      <c r="BH44" s="221" t="str">
        <f t="shared" si="9"/>
        <v/>
      </c>
      <c r="BI44" s="218">
        <f>SLP!BI44+ROSA!BI44+'STA ANA'!BI44+BOA!BI44+'STA MARIA'!BI44+'CB I'!BI44+IG!BI44+PN!BI44+MJ!BI44+'RB I'!BI44+'SF I'!BI44</f>
        <v>0</v>
      </c>
      <c r="BJ44" s="218">
        <f>SLP!BJ44+ROSA!BJ44+'STA ANA'!BJ44+BOA!BJ44+'STA MARIA'!BJ44+'CB I'!BJ44+IG!BJ44+PN!BJ44+MJ!BJ44+'RB I'!BJ44+'SF I'!BJ44</f>
        <v>0</v>
      </c>
      <c r="BK44" s="218">
        <f>SLP!BK44+ROSA!BK44+'STA ANA'!BK44+BOA!BK44+'STA MARIA'!BK44+'CB I'!BK44+IG!BK44+PN!BK44+MJ!BK44+'RB I'!BK44+'SF I'!BK44</f>
        <v>0</v>
      </c>
      <c r="BL44" s="218">
        <f>SLP!BL44+ROSA!BL44+'STA ANA'!BL44+BOA!BL44+'STA MARIA'!BL44+'CB I'!BL44+IG!BL44+PN!BL44+MJ!BL44+'RB I'!BL44+'SF I'!BL44</f>
        <v>0</v>
      </c>
      <c r="BM44" s="218">
        <f>SLP!BM44+ROSA!BM44+'STA ANA'!BM44+BOA!BM44+'STA MARIA'!BM44+'CB I'!BM44+IG!BM44+PN!BM44+MJ!BM44+'RB I'!BM44+'SF I'!BM44</f>
        <v>0</v>
      </c>
      <c r="BN44" s="218">
        <f>SLP!BN44+ROSA!BN44+'STA ANA'!BN44+BOA!BN44+'STA MARIA'!BN44+'CB I'!BN44+IG!BN44+PN!BN44+MJ!BN44+'RB I'!BN44+'SF I'!BN44</f>
        <v>0</v>
      </c>
      <c r="BO44" s="221" t="str">
        <f t="shared" si="10"/>
        <v/>
      </c>
      <c r="BP44" s="218">
        <f>SLP!BP44+ROSA!BP44+'STA ANA'!BP44+BOA!BP44+'STA MARIA'!BP44+'CB I'!BP44+IG!BP44+PN!BP44+MJ!BP44+'RB I'!BP44+'SF I'!BP44</f>
        <v>0</v>
      </c>
      <c r="BQ44" s="218">
        <f>SLP!BQ44+ROSA!BQ44+'STA ANA'!BQ44+BOA!BQ44+'STA MARIA'!BQ44+'CB I'!BQ44+IG!BQ44+PN!BQ44+MJ!BQ44+'RB I'!BQ44+'SF I'!BQ44</f>
        <v>0</v>
      </c>
      <c r="BR44" s="218">
        <f>SLP!BR44+ROSA!BR44+'STA ANA'!BR44+BOA!BR44+'STA MARIA'!BR44+'CB I'!BR44+IG!BR44+PN!BR44+MJ!BR44+'RB I'!BR44+'SF I'!BR44</f>
        <v>0</v>
      </c>
      <c r="BS44" s="218">
        <f>SLP!BS44+ROSA!BS44+'STA ANA'!BS44+BOA!BS44+'STA MARIA'!BS44+'CB I'!BS44+IG!BS44+PN!BS44+MJ!BS44+'RB I'!BS44+'SF I'!BS44</f>
        <v>0</v>
      </c>
      <c r="BT44" s="218">
        <f>SLP!BT44+ROSA!BT44+'STA ANA'!BT44+BOA!BT44+'STA MARIA'!BT44+'CB I'!BT44+IG!BT44+PN!BT44+MJ!BT44+'RB I'!BT44+'SF I'!BT44</f>
        <v>0</v>
      </c>
      <c r="BU44" s="218">
        <f>SLP!BU44+ROSA!BU44+'STA ANA'!BU44+BOA!BU44+'STA MARIA'!BU44+'CB I'!BU44+IG!BU44+PN!BU44+MJ!BU44+'RB I'!BU44+'SF I'!BU44</f>
        <v>0</v>
      </c>
      <c r="BV44" s="221" t="str">
        <f t="shared" si="11"/>
        <v/>
      </c>
      <c r="BW44" s="218">
        <f>SLP!BW44+ROSA!BW44+'STA ANA'!BW44+BOA!BW44+'STA MARIA'!BW44+'CB I'!BW44+IG!BW44+PN!BW44+MJ!BW44+'RB I'!BW44+'SF I'!BW44</f>
        <v>0</v>
      </c>
      <c r="BX44" s="218">
        <f>SLP!BX44+ROSA!BX44+'STA ANA'!BX44+BOA!BX44+'STA MARIA'!BX44+'CB I'!BX44+IG!BX44+PN!BX44+MJ!BX44+'RB I'!BX44+'SF I'!BX44</f>
        <v>0</v>
      </c>
      <c r="BY44" s="218">
        <f>SLP!BY44+ROSA!BY44+'STA ANA'!BY44+BOA!BY44+'STA MARIA'!BY44+'CB I'!BY44+IG!BY44+PN!BY44+MJ!BY44+'RB I'!BY44+'SF I'!BY44</f>
        <v>0</v>
      </c>
      <c r="BZ44" s="218">
        <f>SLP!BZ44+ROSA!BZ44+'STA ANA'!BZ44+BOA!BZ44+'STA MARIA'!BZ44+'CB I'!BZ44+IG!BZ44+PN!BZ44+MJ!BZ44+'RB I'!BZ44+'SF I'!BZ44</f>
        <v>0</v>
      </c>
      <c r="CA44" s="218">
        <f>SLP!CA44+ROSA!CA44+'STA ANA'!CA44+BOA!CA44+'STA MARIA'!CA44+'CB I'!CA44+IG!CA44+PN!CA44+MJ!CA44+'RB I'!CA44+'SF I'!CA44</f>
        <v>0</v>
      </c>
      <c r="CB44" s="218">
        <f>SLP!CB44+ROSA!CB44+'STA ANA'!CB44+BOA!CB44+'STA MARIA'!CB44+'CB I'!CB44+IG!CB44+PN!CB44+MJ!CB44+'RB I'!CB44+'SF I'!CB44</f>
        <v>0</v>
      </c>
      <c r="CC44" s="221" t="str">
        <f t="shared" si="12"/>
        <v/>
      </c>
      <c r="CD44" s="218">
        <f>SLP!CD44+ROSA!CD44+'STA ANA'!CD44+BOA!CD44+'STA MARIA'!CD44+'CB I'!CD44+IG!CD44+PN!CD44+MJ!CD44+'RB I'!CD44+'SF I'!CD44</f>
        <v>0</v>
      </c>
      <c r="CE44" s="218">
        <f>SLP!CE44+ROSA!CE44+'STA ANA'!CE44+BOA!CE44+'STA MARIA'!CE44+'CB I'!CE44+IG!CE44+PN!CE44+MJ!CE44+'RB I'!CE44+'SF I'!CE44</f>
        <v>0</v>
      </c>
      <c r="CF44" s="218">
        <f>SLP!CF44+ROSA!CF44+'STA ANA'!CF44+BOA!CF44+'STA MARIA'!CF44+'CB I'!CF44+IG!CF44+PN!CF44+MJ!CF44+'RB I'!CF44+'SF I'!CF44</f>
        <v>0</v>
      </c>
      <c r="CG44" s="218">
        <f>SLP!CG44+ROSA!CG44+'STA ANA'!CG44+BOA!CG44+'STA MARIA'!CG44+'CB I'!CG44+IG!CG44+PN!CG44+MJ!CG44+'RB I'!CG44+'SF I'!CG44</f>
        <v>0</v>
      </c>
      <c r="CH44" s="218">
        <f>SLP!CH44+ROSA!CH44+'STA ANA'!CH44+BOA!CH44+'STA MARIA'!CH44+'CB I'!CH44+IG!CH44+PN!CH44+MJ!CH44+'RB I'!CH44+'SF I'!CH44</f>
        <v>0</v>
      </c>
      <c r="CI44" s="218">
        <f>SLP!CI44+ROSA!CI44+'STA ANA'!CI44+BOA!CI44+'STA MARIA'!CI44+'CB I'!CI44+IG!CI44+PN!CI44+MJ!CI44+'RB I'!CI44+'SF I'!CI44</f>
        <v>0</v>
      </c>
      <c r="CJ44" s="221" t="str">
        <f t="shared" si="13"/>
        <v/>
      </c>
      <c r="CK44" s="218">
        <f>SLP!CK44+ROSA!CK44+'STA ANA'!CK44+BOA!CK44+'STA MARIA'!CK44+'CB I'!CK44+IG!CK44+PN!CK44+MJ!CK44+'RB I'!CK44+'SF I'!CK44</f>
        <v>0</v>
      </c>
      <c r="CL44" s="218">
        <f>SLP!CL44+ROSA!CL44+'STA ANA'!CL44+BOA!CL44+'STA MARIA'!CL44+'CB I'!CL44+IG!CL44+PN!CL44+MJ!CL44+'RB I'!CL44+'SF I'!CL44</f>
        <v>0</v>
      </c>
      <c r="CM44" s="218">
        <f>SLP!CM44+ROSA!CM44+'STA ANA'!CM44+BOA!CM44+'STA MARIA'!CM44+'CB I'!CM44+IG!CM44+PN!CM44+MJ!CM44+'RB I'!CM44+'SF I'!CM44</f>
        <v>0</v>
      </c>
      <c r="CN44" s="218">
        <f>SLP!CN44+ROSA!CN44+'STA ANA'!CN44+BOA!CN44+'STA MARIA'!CN44+'CB I'!CN44+IG!CN44+PN!CN44+MJ!CN44+'RB I'!CN44+'SF I'!CN44</f>
        <v>0</v>
      </c>
      <c r="CO44" s="218">
        <f>SLP!CO44+ROSA!CO44+'STA ANA'!CO44+BOA!CO44+'STA MARIA'!CO44+'CB I'!CO44+IG!CO44+PN!CO44+MJ!CO44+'RB I'!CO44+'SF I'!CO44</f>
        <v>0</v>
      </c>
      <c r="CP44" s="218">
        <f>SLP!CP44+ROSA!CP44+'STA ANA'!CP44+BOA!CP44+'STA MARIA'!CP44+'CB I'!CP44+IG!CP44+PN!CP44+MJ!CP44+'RB I'!CP44+'SF I'!CP44</f>
        <v>0</v>
      </c>
      <c r="CQ44" s="221" t="str">
        <f t="shared" si="14"/>
        <v/>
      </c>
      <c r="CR44" s="154"/>
      <c r="CS44" s="222" t="e">
        <f t="shared" si="15"/>
        <v>#VALUE!</v>
      </c>
    </row>
    <row r="45" spans="1:97" ht="16" customHeight="1" thickBot="1" x14ac:dyDescent="0.25">
      <c r="A45" s="223" t="s">
        <v>69</v>
      </c>
      <c r="B45" s="30">
        <f t="shared" si="17"/>
        <v>0</v>
      </c>
      <c r="C45" s="31">
        <f t="shared" si="17"/>
        <v>0</v>
      </c>
      <c r="D45" s="32">
        <f t="shared" si="17"/>
        <v>0</v>
      </c>
      <c r="E45" s="30">
        <f t="shared" si="19"/>
        <v>0</v>
      </c>
      <c r="F45" s="33">
        <f t="shared" si="19"/>
        <v>0</v>
      </c>
      <c r="G45" s="34">
        <f t="shared" si="19"/>
        <v>0</v>
      </c>
      <c r="H45" s="31">
        <f t="shared" si="18"/>
        <v>0</v>
      </c>
      <c r="I45" s="33">
        <f t="shared" si="18"/>
        <v>0</v>
      </c>
      <c r="J45" s="33">
        <f t="shared" si="18"/>
        <v>0</v>
      </c>
      <c r="K45" s="221" t="str">
        <f t="shared" si="2"/>
        <v/>
      </c>
      <c r="L45" s="218">
        <f>SLP!L45+ROSA!L45+'STA ANA'!L45+BOA!L45+'STA MARIA'!L45+'CB I'!L45+IG!L45+PN!L45+MJ!L45+'RB I'!L45+'SF I'!L45</f>
        <v>0</v>
      </c>
      <c r="M45" s="218">
        <f>SLP!M45+ROSA!M45+'STA ANA'!M45+BOA!M45+'STA MARIA'!M45+'CB I'!M45+IG!M45+PN!M45+MJ!M45+'RB I'!M45+'SF I'!M45</f>
        <v>0</v>
      </c>
      <c r="N45" s="218">
        <f>SLP!N45+ROSA!N45+'STA ANA'!N45+BOA!N45+'STA MARIA'!N45+'CB I'!N45+IG!N45+PN!N45+MJ!N45+'RB I'!N45+'SF I'!N45</f>
        <v>0</v>
      </c>
      <c r="O45" s="218">
        <f>SLP!O45+ROSA!O45+'STA ANA'!O45+BOA!O45+'STA MARIA'!O45+'CB I'!O45+IG!O45+PN!O45+MJ!O45+'RB I'!O45+'SF I'!O45</f>
        <v>0</v>
      </c>
      <c r="P45" s="218">
        <f>SLP!P45+ROSA!P45+'STA ANA'!P45+BOA!P45+'STA MARIA'!P45+'CB I'!P45+IG!P45+PN!P45+MJ!P45+'RB I'!P45+'SF I'!P45</f>
        <v>0</v>
      </c>
      <c r="Q45" s="218">
        <f>SLP!Q45+ROSA!Q45+'STA ANA'!Q45+BOA!Q45+'STA MARIA'!Q45+'CB I'!Q45+IG!Q45+PN!Q45+MJ!Q45+'RB I'!Q45+'SF I'!Q45</f>
        <v>0</v>
      </c>
      <c r="R45" s="221" t="str">
        <f t="shared" si="3"/>
        <v/>
      </c>
      <c r="S45" s="218">
        <f>SLP!S45+ROSA!S45+'STA ANA'!S45+BOA!S45+'STA MARIA'!S45+'CB I'!S45+IG!S45+PN!S45+MJ!S45+'RB I'!S45+'SF I'!S45</f>
        <v>0</v>
      </c>
      <c r="T45" s="218">
        <f>SLP!T45+ROSA!T45+'STA ANA'!T45+BOA!T45+'STA MARIA'!T45+'CB I'!T45+IG!T45+PN!T45+MJ!T45+'RB I'!T45+'SF I'!T45</f>
        <v>0</v>
      </c>
      <c r="U45" s="218">
        <f>SLP!U45+ROSA!U45+'STA ANA'!U45+BOA!U45+'STA MARIA'!U45+'CB I'!U45+IG!U45+PN!U45+MJ!U45+'RB I'!U45+'SF I'!U45</f>
        <v>0</v>
      </c>
      <c r="V45" s="218">
        <f>SLP!V45+ROSA!V45+'STA ANA'!V45+BOA!V45+'STA MARIA'!V45+'CB I'!V45+IG!V45+PN!V45+MJ!V45+'RB I'!V45+'SF I'!V45</f>
        <v>0</v>
      </c>
      <c r="W45" s="218">
        <f>SLP!W45+ROSA!W45+'STA ANA'!W45+BOA!W45+'STA MARIA'!W45+'CB I'!W45+IG!W45+PN!W45+MJ!W45+'RB I'!W45+'SF I'!W45</f>
        <v>0</v>
      </c>
      <c r="X45" s="218">
        <f>SLP!X45+ROSA!X45+'STA ANA'!X45+BOA!X45+'STA MARIA'!X45+'CB I'!X45+IG!X45+PN!X45+MJ!X45+'RB I'!X45+'SF I'!X45</f>
        <v>0</v>
      </c>
      <c r="Y45" s="221" t="str">
        <f t="shared" si="4"/>
        <v/>
      </c>
      <c r="Z45" s="218">
        <f>SLP!Z45+ROSA!Z45+'STA ANA'!Z45+BOA!Z45+'STA MARIA'!Z45+'CB I'!Z45+IG!Z45+PN!Z45+MJ!Z45+'RB I'!Z45+'SF I'!Z45</f>
        <v>0</v>
      </c>
      <c r="AA45" s="218">
        <f>SLP!AA45+ROSA!AA45+'STA ANA'!AA45+BOA!AA45+'STA MARIA'!AA45+'CB I'!AA45+IG!AA45+PN!AA45+MJ!AA45+'RB I'!AA45+'SF I'!AA45</f>
        <v>0</v>
      </c>
      <c r="AB45" s="218">
        <f>SLP!AB45+ROSA!AB45+'STA ANA'!AB45+BOA!AB45+'STA MARIA'!AB45+'CB I'!AB45+IG!AB45+PN!AB45+MJ!AB45+'RB I'!AB45+'SF I'!AB45</f>
        <v>0</v>
      </c>
      <c r="AC45" s="218">
        <f>SLP!AC45+ROSA!AC45+'STA ANA'!AC45+BOA!AC45+'STA MARIA'!AC45+'CB I'!AC45+IG!AC45+PN!AC45+MJ!AC45+'RB I'!AC45+'SF I'!AC45</f>
        <v>0</v>
      </c>
      <c r="AD45" s="218">
        <f>SLP!AD45+ROSA!AD45+'STA ANA'!AD45+BOA!AD45+'STA MARIA'!AD45+'CB I'!AD45+IG!AD45+PN!AD45+MJ!AD45+'RB I'!AD45+'SF I'!AD45</f>
        <v>0</v>
      </c>
      <c r="AE45" s="218">
        <f>SLP!AE45+ROSA!AE45+'STA ANA'!AE45+BOA!AE45+'STA MARIA'!AE45+'CB I'!AE45+IG!AE45+PN!AE45+MJ!AE45+'RB I'!AE45+'SF I'!AE45</f>
        <v>0</v>
      </c>
      <c r="AF45" s="221" t="str">
        <f t="shared" si="5"/>
        <v/>
      </c>
      <c r="AG45" s="218">
        <f>SLP!AG45+ROSA!AG45+'STA ANA'!AG45+BOA!AG45+'STA MARIA'!AG45+'CB I'!AG45+IG!AG45+PN!AG45+MJ!AG45+'RB I'!AG45+'SF I'!AG45</f>
        <v>0</v>
      </c>
      <c r="AH45" s="218">
        <f>SLP!AH45+ROSA!AH45+'STA ANA'!AH45+BOA!AH45+'STA MARIA'!AH45+'CB I'!AH45+IG!AH45+PN!AH45+MJ!AH45+'RB I'!AH45+'SF I'!AH45</f>
        <v>0</v>
      </c>
      <c r="AI45" s="218">
        <f>SLP!AI45+ROSA!AI45+'STA ANA'!AI45+BOA!AI45+'STA MARIA'!AI45+'CB I'!AI45+IG!AI45+PN!AI45+MJ!AI45+'RB I'!AI45+'SF I'!AI45</f>
        <v>0</v>
      </c>
      <c r="AJ45" s="218">
        <f>SLP!AJ45+ROSA!AJ45+'STA ANA'!AJ45+BOA!AJ45+'STA MARIA'!AJ45+'CB I'!AJ45+IG!AJ45+PN!AJ45+MJ!AJ45+'RB I'!AJ45+'SF I'!AJ45</f>
        <v>0</v>
      </c>
      <c r="AK45" s="218">
        <f>SLP!AK45+ROSA!AK45+'STA ANA'!AK45+BOA!AK45+'STA MARIA'!AK45+'CB I'!AK45+IG!AK45+PN!AK45+MJ!AK45+'RB I'!AK45+'SF I'!AK45</f>
        <v>0</v>
      </c>
      <c r="AL45" s="218">
        <f>SLP!AL45+ROSA!AL45+'STA ANA'!AL45+BOA!AL45+'STA MARIA'!AL45+'CB I'!AL45+IG!AL45+PN!AL45+MJ!AL45+'RB I'!AL45+'SF I'!AL45</f>
        <v>0</v>
      </c>
      <c r="AM45" s="221" t="str">
        <f t="shared" si="6"/>
        <v/>
      </c>
      <c r="AN45" s="218">
        <f>SLP!AN45+ROSA!AN45+'STA ANA'!AN45+BOA!AN45+'STA MARIA'!AN45+'CB I'!AN45+IG!AN45+PN!AN45+MJ!AN45+'RB I'!AN45+'SF I'!AN45</f>
        <v>0</v>
      </c>
      <c r="AO45" s="218">
        <f>SLP!AO45+ROSA!AO45+'STA ANA'!AO45+BOA!AO45+'STA MARIA'!AO45+'CB I'!AO45+IG!AO45+PN!AO45+MJ!AO45+'RB I'!AO45+'SF I'!AO45</f>
        <v>0</v>
      </c>
      <c r="AP45" s="218">
        <f>SLP!AP45+ROSA!AP45+'STA ANA'!AP45+BOA!AP45+'STA MARIA'!AP45+'CB I'!AP45+IG!AP45+PN!AP45+MJ!AP45+'RB I'!AP45+'SF I'!AP45</f>
        <v>0</v>
      </c>
      <c r="AQ45" s="218">
        <f>SLP!AQ45+ROSA!AQ45+'STA ANA'!AQ45+BOA!AQ45+'STA MARIA'!AQ45+'CB I'!AQ45+IG!AQ45+PN!AQ45+MJ!AQ45+'RB I'!AQ45+'SF I'!AQ45</f>
        <v>0</v>
      </c>
      <c r="AR45" s="218">
        <f>SLP!AR45+ROSA!AR45+'STA ANA'!AR45+BOA!AR45+'STA MARIA'!AR45+'CB I'!AR45+IG!AR45+PN!AR45+MJ!AR45+'RB I'!AR45+'SF I'!AR45</f>
        <v>0</v>
      </c>
      <c r="AS45" s="218">
        <f>SLP!AS45+ROSA!AS45+'STA ANA'!AS45+BOA!AS45+'STA MARIA'!AS45+'CB I'!AS45+IG!AS45+PN!AS45+MJ!AS45+'RB I'!AS45+'SF I'!AS45</f>
        <v>0</v>
      </c>
      <c r="AT45" s="221" t="str">
        <f t="shared" si="7"/>
        <v/>
      </c>
      <c r="AU45" s="218">
        <f>SLP!AU45+ROSA!AU45+'STA ANA'!AU45+BOA!AU45+'STA MARIA'!AU45+'CB I'!AU45+IG!AU45+PN!AU45+MJ!AU45+'RB I'!AU45+'SF I'!AU45</f>
        <v>0</v>
      </c>
      <c r="AV45" s="218">
        <f>SLP!AV45+ROSA!AV45+'STA ANA'!AV45+BOA!AV45+'STA MARIA'!AV45+'CB I'!AV45+IG!AV45+PN!AV45+MJ!AV45+'RB I'!AV45+'SF I'!AV45</f>
        <v>0</v>
      </c>
      <c r="AW45" s="218">
        <f>SLP!AW45+ROSA!AW45+'STA ANA'!AW45+BOA!AW45+'STA MARIA'!AW45+'CB I'!AW45+IG!AW45+PN!AW45+MJ!AW45+'RB I'!AW45+'SF I'!AW45</f>
        <v>0</v>
      </c>
      <c r="AX45" s="218">
        <f>SLP!AX45+ROSA!AX45+'STA ANA'!AX45+BOA!AX45+'STA MARIA'!AX45+'CB I'!AX45+IG!AX45+PN!AX45+MJ!AX45+'RB I'!AX45+'SF I'!AX45</f>
        <v>0</v>
      </c>
      <c r="AY45" s="218">
        <f>SLP!AY45+ROSA!AY45+'STA ANA'!AY45+BOA!AY45+'STA MARIA'!AY45+'CB I'!AY45+IG!AY45+PN!AY45+MJ!AY45+'RB I'!AY45+'SF I'!AY45</f>
        <v>0</v>
      </c>
      <c r="AZ45" s="218">
        <f>SLP!AZ45+ROSA!AZ45+'STA ANA'!AZ45+BOA!AZ45+'STA MARIA'!AZ45+'CB I'!AZ45+IG!AZ45+PN!AZ45+MJ!AZ45+'RB I'!AZ45+'SF I'!AZ45</f>
        <v>0</v>
      </c>
      <c r="BA45" s="221" t="str">
        <f t="shared" si="8"/>
        <v/>
      </c>
      <c r="BB45" s="218">
        <f>SLP!BB45+ROSA!BB45+'STA ANA'!BB45+BOA!BB45+'STA MARIA'!BB45+'CB I'!BB45+IG!BB45+PN!BB45+MJ!BB45+'RB I'!BB45+'SF I'!BB45</f>
        <v>0</v>
      </c>
      <c r="BC45" s="218">
        <f>SLP!BC45+ROSA!BC45+'STA ANA'!BC45+BOA!BC45+'STA MARIA'!BC45+'CB I'!BC45+IG!BC45+PN!BC45+MJ!BC45+'RB I'!BC45+'SF I'!BC45</f>
        <v>0</v>
      </c>
      <c r="BD45" s="218">
        <f>SLP!BD45+ROSA!BD45+'STA ANA'!BD45+BOA!BD45+'STA MARIA'!BD45+'CB I'!BD45+IG!BD45+PN!BD45+MJ!BD45+'RB I'!BD45+'SF I'!BD45</f>
        <v>0</v>
      </c>
      <c r="BE45" s="218">
        <f>SLP!BE45+ROSA!BE45+'STA ANA'!BE45+BOA!BE45+'STA MARIA'!BE45+'CB I'!BE45+IG!BE45+PN!BE45+MJ!BE45+'RB I'!BE45+'SF I'!BE45</f>
        <v>0</v>
      </c>
      <c r="BF45" s="218">
        <f>SLP!BF45+ROSA!BF45+'STA ANA'!BF45+BOA!BF45+'STA MARIA'!BF45+'CB I'!BF45+IG!BF45+PN!BF45+MJ!BF45+'RB I'!BF45+'SF I'!BF45</f>
        <v>0</v>
      </c>
      <c r="BG45" s="218">
        <f>SLP!BG45+ROSA!BG45+'STA ANA'!BG45+BOA!BG45+'STA MARIA'!BG45+'CB I'!BG45+IG!BG45+PN!BG45+MJ!BG45+'RB I'!BG45+'SF I'!BG45</f>
        <v>0</v>
      </c>
      <c r="BH45" s="221" t="str">
        <f t="shared" si="9"/>
        <v/>
      </c>
      <c r="BI45" s="218">
        <f>SLP!BI45+ROSA!BI45+'STA ANA'!BI45+BOA!BI45+'STA MARIA'!BI45+'CB I'!BI45+IG!BI45+PN!BI45+MJ!BI45+'RB I'!BI45+'SF I'!BI45</f>
        <v>0</v>
      </c>
      <c r="BJ45" s="218">
        <f>SLP!BJ45+ROSA!BJ45+'STA ANA'!BJ45+BOA!BJ45+'STA MARIA'!BJ45+'CB I'!BJ45+IG!BJ45+PN!BJ45+MJ!BJ45+'RB I'!BJ45+'SF I'!BJ45</f>
        <v>0</v>
      </c>
      <c r="BK45" s="218">
        <f>SLP!BK45+ROSA!BK45+'STA ANA'!BK45+BOA!BK45+'STA MARIA'!BK45+'CB I'!BK45+IG!BK45+PN!BK45+MJ!BK45+'RB I'!BK45+'SF I'!BK45</f>
        <v>0</v>
      </c>
      <c r="BL45" s="218">
        <f>SLP!BL45+ROSA!BL45+'STA ANA'!BL45+BOA!BL45+'STA MARIA'!BL45+'CB I'!BL45+IG!BL45+PN!BL45+MJ!BL45+'RB I'!BL45+'SF I'!BL45</f>
        <v>0</v>
      </c>
      <c r="BM45" s="218">
        <f>SLP!BM45+ROSA!BM45+'STA ANA'!BM45+BOA!BM45+'STA MARIA'!BM45+'CB I'!BM45+IG!BM45+PN!BM45+MJ!BM45+'RB I'!BM45+'SF I'!BM45</f>
        <v>0</v>
      </c>
      <c r="BN45" s="218">
        <f>SLP!BN45+ROSA!BN45+'STA ANA'!BN45+BOA!BN45+'STA MARIA'!BN45+'CB I'!BN45+IG!BN45+PN!BN45+MJ!BN45+'RB I'!BN45+'SF I'!BN45</f>
        <v>0</v>
      </c>
      <c r="BO45" s="221" t="str">
        <f t="shared" si="10"/>
        <v/>
      </c>
      <c r="BP45" s="218">
        <f>SLP!BP45+ROSA!BP45+'STA ANA'!BP45+BOA!BP45+'STA MARIA'!BP45+'CB I'!BP45+IG!BP45+PN!BP45+MJ!BP45+'RB I'!BP45+'SF I'!BP45</f>
        <v>0</v>
      </c>
      <c r="BQ45" s="218">
        <f>SLP!BQ45+ROSA!BQ45+'STA ANA'!BQ45+BOA!BQ45+'STA MARIA'!BQ45+'CB I'!BQ45+IG!BQ45+PN!BQ45+MJ!BQ45+'RB I'!BQ45+'SF I'!BQ45</f>
        <v>0</v>
      </c>
      <c r="BR45" s="218">
        <f>SLP!BR45+ROSA!BR45+'STA ANA'!BR45+BOA!BR45+'STA MARIA'!BR45+'CB I'!BR45+IG!BR45+PN!BR45+MJ!BR45+'RB I'!BR45+'SF I'!BR45</f>
        <v>0</v>
      </c>
      <c r="BS45" s="218">
        <f>SLP!BS45+ROSA!BS45+'STA ANA'!BS45+BOA!BS45+'STA MARIA'!BS45+'CB I'!BS45+IG!BS45+PN!BS45+MJ!BS45+'RB I'!BS45+'SF I'!BS45</f>
        <v>0</v>
      </c>
      <c r="BT45" s="218">
        <f>SLP!BT45+ROSA!BT45+'STA ANA'!BT45+BOA!BT45+'STA MARIA'!BT45+'CB I'!BT45+IG!BT45+PN!BT45+MJ!BT45+'RB I'!BT45+'SF I'!BT45</f>
        <v>0</v>
      </c>
      <c r="BU45" s="218">
        <f>SLP!BU45+ROSA!BU45+'STA ANA'!BU45+BOA!BU45+'STA MARIA'!BU45+'CB I'!BU45+IG!BU45+PN!BU45+MJ!BU45+'RB I'!BU45+'SF I'!BU45</f>
        <v>0</v>
      </c>
      <c r="BV45" s="221" t="str">
        <f t="shared" si="11"/>
        <v/>
      </c>
      <c r="BW45" s="218">
        <f>SLP!BW45+ROSA!BW45+'STA ANA'!BW45+BOA!BW45+'STA MARIA'!BW45+'CB I'!BW45+IG!BW45+PN!BW45+MJ!BW45+'RB I'!BW45+'SF I'!BW45</f>
        <v>0</v>
      </c>
      <c r="BX45" s="218">
        <f>SLP!BX45+ROSA!BX45+'STA ANA'!BX45+BOA!BX45+'STA MARIA'!BX45+'CB I'!BX45+IG!BX45+PN!BX45+MJ!BX45+'RB I'!BX45+'SF I'!BX45</f>
        <v>0</v>
      </c>
      <c r="BY45" s="218">
        <f>SLP!BY45+ROSA!BY45+'STA ANA'!BY45+BOA!BY45+'STA MARIA'!BY45+'CB I'!BY45+IG!BY45+PN!BY45+MJ!BY45+'RB I'!BY45+'SF I'!BY45</f>
        <v>0</v>
      </c>
      <c r="BZ45" s="218">
        <f>SLP!BZ45+ROSA!BZ45+'STA ANA'!BZ45+BOA!BZ45+'STA MARIA'!BZ45+'CB I'!BZ45+IG!BZ45+PN!BZ45+MJ!BZ45+'RB I'!BZ45+'SF I'!BZ45</f>
        <v>0</v>
      </c>
      <c r="CA45" s="218">
        <f>SLP!CA45+ROSA!CA45+'STA ANA'!CA45+BOA!CA45+'STA MARIA'!CA45+'CB I'!CA45+IG!CA45+PN!CA45+MJ!CA45+'RB I'!CA45+'SF I'!CA45</f>
        <v>0</v>
      </c>
      <c r="CB45" s="218">
        <f>SLP!CB45+ROSA!CB45+'STA ANA'!CB45+BOA!CB45+'STA MARIA'!CB45+'CB I'!CB45+IG!CB45+PN!CB45+MJ!CB45+'RB I'!CB45+'SF I'!CB45</f>
        <v>0</v>
      </c>
      <c r="CC45" s="221" t="str">
        <f t="shared" si="12"/>
        <v/>
      </c>
      <c r="CD45" s="218">
        <f>SLP!CD45+ROSA!CD45+'STA ANA'!CD45+BOA!CD45+'STA MARIA'!CD45+'CB I'!CD45+IG!CD45+PN!CD45+MJ!CD45+'RB I'!CD45+'SF I'!CD45</f>
        <v>0</v>
      </c>
      <c r="CE45" s="218">
        <f>SLP!CE45+ROSA!CE45+'STA ANA'!CE45+BOA!CE45+'STA MARIA'!CE45+'CB I'!CE45+IG!CE45+PN!CE45+MJ!CE45+'RB I'!CE45+'SF I'!CE45</f>
        <v>0</v>
      </c>
      <c r="CF45" s="218">
        <f>SLP!CF45+ROSA!CF45+'STA ANA'!CF45+BOA!CF45+'STA MARIA'!CF45+'CB I'!CF45+IG!CF45+PN!CF45+MJ!CF45+'RB I'!CF45+'SF I'!CF45</f>
        <v>0</v>
      </c>
      <c r="CG45" s="218">
        <f>SLP!CG45+ROSA!CG45+'STA ANA'!CG45+BOA!CG45+'STA MARIA'!CG45+'CB I'!CG45+IG!CG45+PN!CG45+MJ!CG45+'RB I'!CG45+'SF I'!CG45</f>
        <v>0</v>
      </c>
      <c r="CH45" s="218">
        <f>SLP!CH45+ROSA!CH45+'STA ANA'!CH45+BOA!CH45+'STA MARIA'!CH45+'CB I'!CH45+IG!CH45+PN!CH45+MJ!CH45+'RB I'!CH45+'SF I'!CH45</f>
        <v>0</v>
      </c>
      <c r="CI45" s="218">
        <f>SLP!CI45+ROSA!CI45+'STA ANA'!CI45+BOA!CI45+'STA MARIA'!CI45+'CB I'!CI45+IG!CI45+PN!CI45+MJ!CI45+'RB I'!CI45+'SF I'!CI45</f>
        <v>0</v>
      </c>
      <c r="CJ45" s="221" t="str">
        <f t="shared" si="13"/>
        <v/>
      </c>
      <c r="CK45" s="218">
        <f>SLP!CK45+ROSA!CK45+'STA ANA'!CK45+BOA!CK45+'STA MARIA'!CK45+'CB I'!CK45+IG!CK45+PN!CK45+MJ!CK45+'RB I'!CK45+'SF I'!CK45</f>
        <v>0</v>
      </c>
      <c r="CL45" s="218">
        <f>SLP!CL45+ROSA!CL45+'STA ANA'!CL45+BOA!CL45+'STA MARIA'!CL45+'CB I'!CL45+IG!CL45+PN!CL45+MJ!CL45+'RB I'!CL45+'SF I'!CL45</f>
        <v>0</v>
      </c>
      <c r="CM45" s="218">
        <f>SLP!CM45+ROSA!CM45+'STA ANA'!CM45+BOA!CM45+'STA MARIA'!CM45+'CB I'!CM45+IG!CM45+PN!CM45+MJ!CM45+'RB I'!CM45+'SF I'!CM45</f>
        <v>0</v>
      </c>
      <c r="CN45" s="218">
        <f>SLP!CN45+ROSA!CN45+'STA ANA'!CN45+BOA!CN45+'STA MARIA'!CN45+'CB I'!CN45+IG!CN45+PN!CN45+MJ!CN45+'RB I'!CN45+'SF I'!CN45</f>
        <v>0</v>
      </c>
      <c r="CO45" s="218">
        <f>SLP!CO45+ROSA!CO45+'STA ANA'!CO45+BOA!CO45+'STA MARIA'!CO45+'CB I'!CO45+IG!CO45+PN!CO45+MJ!CO45+'RB I'!CO45+'SF I'!CO45</f>
        <v>0</v>
      </c>
      <c r="CP45" s="218">
        <f>SLP!CP45+ROSA!CP45+'STA ANA'!CP45+BOA!CP45+'STA MARIA'!CP45+'CB I'!CP45+IG!CP45+PN!CP45+MJ!CP45+'RB I'!CP45+'SF I'!CP45</f>
        <v>0</v>
      </c>
      <c r="CQ45" s="221" t="str">
        <f t="shared" si="14"/>
        <v/>
      </c>
      <c r="CR45" s="154"/>
      <c r="CS45" s="222" t="e">
        <f t="shared" si="15"/>
        <v>#VALUE!</v>
      </c>
    </row>
    <row r="46" spans="1:97" ht="16" customHeight="1" thickBot="1" x14ac:dyDescent="0.25">
      <c r="A46" s="223" t="s">
        <v>70</v>
      </c>
      <c r="B46" s="30">
        <f t="shared" si="17"/>
        <v>0</v>
      </c>
      <c r="C46" s="31">
        <f t="shared" si="17"/>
        <v>0</v>
      </c>
      <c r="D46" s="32">
        <f t="shared" si="17"/>
        <v>0</v>
      </c>
      <c r="E46" s="30">
        <f t="shared" si="19"/>
        <v>0</v>
      </c>
      <c r="F46" s="33">
        <f t="shared" si="19"/>
        <v>0</v>
      </c>
      <c r="G46" s="34">
        <f t="shared" si="19"/>
        <v>0</v>
      </c>
      <c r="H46" s="31">
        <f t="shared" si="18"/>
        <v>0</v>
      </c>
      <c r="I46" s="33">
        <f t="shared" si="18"/>
        <v>0</v>
      </c>
      <c r="J46" s="33">
        <f t="shared" si="18"/>
        <v>0</v>
      </c>
      <c r="K46" s="221" t="str">
        <f t="shared" si="2"/>
        <v/>
      </c>
      <c r="L46" s="218">
        <f>SLP!L46+ROSA!L46+'STA ANA'!L46+BOA!L46+'STA MARIA'!L46+'CB I'!L46+IG!L46+PN!L46+MJ!L46+'RB I'!L46+'SF I'!L46</f>
        <v>0</v>
      </c>
      <c r="M46" s="218">
        <f>SLP!M46+ROSA!M46+'STA ANA'!M46+BOA!M46+'STA MARIA'!M46+'CB I'!M46+IG!M46+PN!M46+MJ!M46+'RB I'!M46+'SF I'!M46</f>
        <v>0</v>
      </c>
      <c r="N46" s="218">
        <f>SLP!N46+ROSA!N46+'STA ANA'!N46+BOA!N46+'STA MARIA'!N46+'CB I'!N46+IG!N46+PN!N46+MJ!N46+'RB I'!N46+'SF I'!N46</f>
        <v>0</v>
      </c>
      <c r="O46" s="218">
        <f>SLP!O46+ROSA!O46+'STA ANA'!O46+BOA!O46+'STA MARIA'!O46+'CB I'!O46+IG!O46+PN!O46+MJ!O46+'RB I'!O46+'SF I'!O46</f>
        <v>0</v>
      </c>
      <c r="P46" s="218">
        <f>SLP!P46+ROSA!P46+'STA ANA'!P46+BOA!P46+'STA MARIA'!P46+'CB I'!P46+IG!P46+PN!P46+MJ!P46+'RB I'!P46+'SF I'!P46</f>
        <v>0</v>
      </c>
      <c r="Q46" s="218">
        <f>SLP!Q46+ROSA!Q46+'STA ANA'!Q46+BOA!Q46+'STA MARIA'!Q46+'CB I'!Q46+IG!Q46+PN!Q46+MJ!Q46+'RB I'!Q46+'SF I'!Q46</f>
        <v>0</v>
      </c>
      <c r="R46" s="221" t="str">
        <f t="shared" si="3"/>
        <v/>
      </c>
      <c r="S46" s="218">
        <f>SLP!S46+ROSA!S46+'STA ANA'!S46+BOA!S46+'STA MARIA'!S46+'CB I'!S46+IG!S46+PN!S46+MJ!S46+'RB I'!S46+'SF I'!S46</f>
        <v>0</v>
      </c>
      <c r="T46" s="218">
        <f>SLP!T46+ROSA!T46+'STA ANA'!T46+BOA!T46+'STA MARIA'!T46+'CB I'!T46+IG!T46+PN!T46+MJ!T46+'RB I'!T46+'SF I'!T46</f>
        <v>0</v>
      </c>
      <c r="U46" s="218">
        <f>SLP!U46+ROSA!U46+'STA ANA'!U46+BOA!U46+'STA MARIA'!U46+'CB I'!U46+IG!U46+PN!U46+MJ!U46+'RB I'!U46+'SF I'!U46</f>
        <v>0</v>
      </c>
      <c r="V46" s="218">
        <f>SLP!V46+ROSA!V46+'STA ANA'!V46+BOA!V46+'STA MARIA'!V46+'CB I'!V46+IG!V46+PN!V46+MJ!V46+'RB I'!V46+'SF I'!V46</f>
        <v>0</v>
      </c>
      <c r="W46" s="218">
        <f>SLP!W46+ROSA!W46+'STA ANA'!W46+BOA!W46+'STA MARIA'!W46+'CB I'!W46+IG!W46+PN!W46+MJ!W46+'RB I'!W46+'SF I'!W46</f>
        <v>0</v>
      </c>
      <c r="X46" s="218">
        <f>SLP!X46+ROSA!X46+'STA ANA'!X46+BOA!X46+'STA MARIA'!X46+'CB I'!X46+IG!X46+PN!X46+MJ!X46+'RB I'!X46+'SF I'!X46</f>
        <v>0</v>
      </c>
      <c r="Y46" s="221" t="str">
        <f t="shared" si="4"/>
        <v/>
      </c>
      <c r="Z46" s="218">
        <f>SLP!Z46+ROSA!Z46+'STA ANA'!Z46+BOA!Z46+'STA MARIA'!Z46+'CB I'!Z46+IG!Z46+PN!Z46+MJ!Z46+'RB I'!Z46+'SF I'!Z46</f>
        <v>0</v>
      </c>
      <c r="AA46" s="218">
        <f>SLP!AA46+ROSA!AA46+'STA ANA'!AA46+BOA!AA46+'STA MARIA'!AA46+'CB I'!AA46+IG!AA46+PN!AA46+MJ!AA46+'RB I'!AA46+'SF I'!AA46</f>
        <v>0</v>
      </c>
      <c r="AB46" s="218">
        <f>SLP!AB46+ROSA!AB46+'STA ANA'!AB46+BOA!AB46+'STA MARIA'!AB46+'CB I'!AB46+IG!AB46+PN!AB46+MJ!AB46+'RB I'!AB46+'SF I'!AB46</f>
        <v>0</v>
      </c>
      <c r="AC46" s="218">
        <f>SLP!AC46+ROSA!AC46+'STA ANA'!AC46+BOA!AC46+'STA MARIA'!AC46+'CB I'!AC46+IG!AC46+PN!AC46+MJ!AC46+'RB I'!AC46+'SF I'!AC46</f>
        <v>0</v>
      </c>
      <c r="AD46" s="218">
        <f>SLP!AD46+ROSA!AD46+'STA ANA'!AD46+BOA!AD46+'STA MARIA'!AD46+'CB I'!AD46+IG!AD46+PN!AD46+MJ!AD46+'RB I'!AD46+'SF I'!AD46</f>
        <v>0</v>
      </c>
      <c r="AE46" s="218">
        <f>SLP!AE46+ROSA!AE46+'STA ANA'!AE46+BOA!AE46+'STA MARIA'!AE46+'CB I'!AE46+IG!AE46+PN!AE46+MJ!AE46+'RB I'!AE46+'SF I'!AE46</f>
        <v>0</v>
      </c>
      <c r="AF46" s="221" t="str">
        <f t="shared" si="5"/>
        <v/>
      </c>
      <c r="AG46" s="218">
        <f>SLP!AG46+ROSA!AG46+'STA ANA'!AG46+BOA!AG46+'STA MARIA'!AG46+'CB I'!AG46+IG!AG46+PN!AG46+MJ!AG46+'RB I'!AG46+'SF I'!AG46</f>
        <v>0</v>
      </c>
      <c r="AH46" s="218">
        <f>SLP!AH46+ROSA!AH46+'STA ANA'!AH46+BOA!AH46+'STA MARIA'!AH46+'CB I'!AH46+IG!AH46+PN!AH46+MJ!AH46+'RB I'!AH46+'SF I'!AH46</f>
        <v>0</v>
      </c>
      <c r="AI46" s="218">
        <f>SLP!AI46+ROSA!AI46+'STA ANA'!AI46+BOA!AI46+'STA MARIA'!AI46+'CB I'!AI46+IG!AI46+PN!AI46+MJ!AI46+'RB I'!AI46+'SF I'!AI46</f>
        <v>0</v>
      </c>
      <c r="AJ46" s="218">
        <f>SLP!AJ46+ROSA!AJ46+'STA ANA'!AJ46+BOA!AJ46+'STA MARIA'!AJ46+'CB I'!AJ46+IG!AJ46+PN!AJ46+MJ!AJ46+'RB I'!AJ46+'SF I'!AJ46</f>
        <v>0</v>
      </c>
      <c r="AK46" s="218">
        <f>SLP!AK46+ROSA!AK46+'STA ANA'!AK46+BOA!AK46+'STA MARIA'!AK46+'CB I'!AK46+IG!AK46+PN!AK46+MJ!AK46+'RB I'!AK46+'SF I'!AK46</f>
        <v>0</v>
      </c>
      <c r="AL46" s="218">
        <f>SLP!AL46+ROSA!AL46+'STA ANA'!AL46+BOA!AL46+'STA MARIA'!AL46+'CB I'!AL46+IG!AL46+PN!AL46+MJ!AL46+'RB I'!AL46+'SF I'!AL46</f>
        <v>0</v>
      </c>
      <c r="AM46" s="221" t="str">
        <f t="shared" si="6"/>
        <v/>
      </c>
      <c r="AN46" s="218">
        <f>SLP!AN46+ROSA!AN46+'STA ANA'!AN46+BOA!AN46+'STA MARIA'!AN46+'CB I'!AN46+IG!AN46+PN!AN46+MJ!AN46+'RB I'!AN46+'SF I'!AN46</f>
        <v>0</v>
      </c>
      <c r="AO46" s="218">
        <f>SLP!AO46+ROSA!AO46+'STA ANA'!AO46+BOA!AO46+'STA MARIA'!AO46+'CB I'!AO46+IG!AO46+PN!AO46+MJ!AO46+'RB I'!AO46+'SF I'!AO46</f>
        <v>0</v>
      </c>
      <c r="AP46" s="218">
        <f>SLP!AP46+ROSA!AP46+'STA ANA'!AP46+BOA!AP46+'STA MARIA'!AP46+'CB I'!AP46+IG!AP46+PN!AP46+MJ!AP46+'RB I'!AP46+'SF I'!AP46</f>
        <v>0</v>
      </c>
      <c r="AQ46" s="218">
        <f>SLP!AQ46+ROSA!AQ46+'STA ANA'!AQ46+BOA!AQ46+'STA MARIA'!AQ46+'CB I'!AQ46+IG!AQ46+PN!AQ46+MJ!AQ46+'RB I'!AQ46+'SF I'!AQ46</f>
        <v>0</v>
      </c>
      <c r="AR46" s="218">
        <f>SLP!AR46+ROSA!AR46+'STA ANA'!AR46+BOA!AR46+'STA MARIA'!AR46+'CB I'!AR46+IG!AR46+PN!AR46+MJ!AR46+'RB I'!AR46+'SF I'!AR46</f>
        <v>0</v>
      </c>
      <c r="AS46" s="218">
        <f>SLP!AS46+ROSA!AS46+'STA ANA'!AS46+BOA!AS46+'STA MARIA'!AS46+'CB I'!AS46+IG!AS46+PN!AS46+MJ!AS46+'RB I'!AS46+'SF I'!AS46</f>
        <v>0</v>
      </c>
      <c r="AT46" s="221" t="str">
        <f t="shared" si="7"/>
        <v/>
      </c>
      <c r="AU46" s="218">
        <f>SLP!AU46+ROSA!AU46+'STA ANA'!AU46+BOA!AU46+'STA MARIA'!AU46+'CB I'!AU46+IG!AU46+PN!AU46+MJ!AU46+'RB I'!AU46+'SF I'!AU46</f>
        <v>0</v>
      </c>
      <c r="AV46" s="218">
        <f>SLP!AV46+ROSA!AV46+'STA ANA'!AV46+BOA!AV46+'STA MARIA'!AV46+'CB I'!AV46+IG!AV46+PN!AV46+MJ!AV46+'RB I'!AV46+'SF I'!AV46</f>
        <v>0</v>
      </c>
      <c r="AW46" s="218">
        <f>SLP!AW46+ROSA!AW46+'STA ANA'!AW46+BOA!AW46+'STA MARIA'!AW46+'CB I'!AW46+IG!AW46+PN!AW46+MJ!AW46+'RB I'!AW46+'SF I'!AW46</f>
        <v>0</v>
      </c>
      <c r="AX46" s="218">
        <f>SLP!AX46+ROSA!AX46+'STA ANA'!AX46+BOA!AX46+'STA MARIA'!AX46+'CB I'!AX46+IG!AX46+PN!AX46+MJ!AX46+'RB I'!AX46+'SF I'!AX46</f>
        <v>0</v>
      </c>
      <c r="AY46" s="218">
        <f>SLP!AY46+ROSA!AY46+'STA ANA'!AY46+BOA!AY46+'STA MARIA'!AY46+'CB I'!AY46+IG!AY46+PN!AY46+MJ!AY46+'RB I'!AY46+'SF I'!AY46</f>
        <v>0</v>
      </c>
      <c r="AZ46" s="218">
        <f>SLP!AZ46+ROSA!AZ46+'STA ANA'!AZ46+BOA!AZ46+'STA MARIA'!AZ46+'CB I'!AZ46+IG!AZ46+PN!AZ46+MJ!AZ46+'RB I'!AZ46+'SF I'!AZ46</f>
        <v>0</v>
      </c>
      <c r="BA46" s="221" t="str">
        <f t="shared" si="8"/>
        <v/>
      </c>
      <c r="BB46" s="218">
        <f>SLP!BB46+ROSA!BB46+'STA ANA'!BB46+BOA!BB46+'STA MARIA'!BB46+'CB I'!BB46+IG!BB46+PN!BB46+MJ!BB46+'RB I'!BB46+'SF I'!BB46</f>
        <v>0</v>
      </c>
      <c r="BC46" s="218">
        <f>SLP!BC46+ROSA!BC46+'STA ANA'!BC46+BOA!BC46+'STA MARIA'!BC46+'CB I'!BC46+IG!BC46+PN!BC46+MJ!BC46+'RB I'!BC46+'SF I'!BC46</f>
        <v>0</v>
      </c>
      <c r="BD46" s="218">
        <f>SLP!BD46+ROSA!BD46+'STA ANA'!BD46+BOA!BD46+'STA MARIA'!BD46+'CB I'!BD46+IG!BD46+PN!BD46+MJ!BD46+'RB I'!BD46+'SF I'!BD46</f>
        <v>0</v>
      </c>
      <c r="BE46" s="218">
        <f>SLP!BE46+ROSA!BE46+'STA ANA'!BE46+BOA!BE46+'STA MARIA'!BE46+'CB I'!BE46+IG!BE46+PN!BE46+MJ!BE46+'RB I'!BE46+'SF I'!BE46</f>
        <v>0</v>
      </c>
      <c r="BF46" s="218">
        <f>SLP!BF46+ROSA!BF46+'STA ANA'!BF46+BOA!BF46+'STA MARIA'!BF46+'CB I'!BF46+IG!BF46+PN!BF46+MJ!BF46+'RB I'!BF46+'SF I'!BF46</f>
        <v>0</v>
      </c>
      <c r="BG46" s="218">
        <f>SLP!BG46+ROSA!BG46+'STA ANA'!BG46+BOA!BG46+'STA MARIA'!BG46+'CB I'!BG46+IG!BG46+PN!BG46+MJ!BG46+'RB I'!BG46+'SF I'!BG46</f>
        <v>0</v>
      </c>
      <c r="BH46" s="221" t="str">
        <f t="shared" si="9"/>
        <v/>
      </c>
      <c r="BI46" s="218">
        <f>SLP!BI46+ROSA!BI46+'STA ANA'!BI46+BOA!BI46+'STA MARIA'!BI46+'CB I'!BI46+IG!BI46+PN!BI46+MJ!BI46+'RB I'!BI46+'SF I'!BI46</f>
        <v>0</v>
      </c>
      <c r="BJ46" s="218">
        <f>SLP!BJ46+ROSA!BJ46+'STA ANA'!BJ46+BOA!BJ46+'STA MARIA'!BJ46+'CB I'!BJ46+IG!BJ46+PN!BJ46+MJ!BJ46+'RB I'!BJ46+'SF I'!BJ46</f>
        <v>0</v>
      </c>
      <c r="BK46" s="218">
        <f>SLP!BK46+ROSA!BK46+'STA ANA'!BK46+BOA!BK46+'STA MARIA'!BK46+'CB I'!BK46+IG!BK46+PN!BK46+MJ!BK46+'RB I'!BK46+'SF I'!BK46</f>
        <v>0</v>
      </c>
      <c r="BL46" s="218">
        <f>SLP!BL46+ROSA!BL46+'STA ANA'!BL46+BOA!BL46+'STA MARIA'!BL46+'CB I'!BL46+IG!BL46+PN!BL46+MJ!BL46+'RB I'!BL46+'SF I'!BL46</f>
        <v>0</v>
      </c>
      <c r="BM46" s="218">
        <f>SLP!BM46+ROSA!BM46+'STA ANA'!BM46+BOA!BM46+'STA MARIA'!BM46+'CB I'!BM46+IG!BM46+PN!BM46+MJ!BM46+'RB I'!BM46+'SF I'!BM46</f>
        <v>0</v>
      </c>
      <c r="BN46" s="218">
        <f>SLP!BN46+ROSA!BN46+'STA ANA'!BN46+BOA!BN46+'STA MARIA'!BN46+'CB I'!BN46+IG!BN46+PN!BN46+MJ!BN46+'RB I'!BN46+'SF I'!BN46</f>
        <v>0</v>
      </c>
      <c r="BO46" s="221" t="str">
        <f t="shared" si="10"/>
        <v/>
      </c>
      <c r="BP46" s="218">
        <f>SLP!BP46+ROSA!BP46+'STA ANA'!BP46+BOA!BP46+'STA MARIA'!BP46+'CB I'!BP46+IG!BP46+PN!BP46+MJ!BP46+'RB I'!BP46+'SF I'!BP46</f>
        <v>0</v>
      </c>
      <c r="BQ46" s="218">
        <f>SLP!BQ46+ROSA!BQ46+'STA ANA'!BQ46+BOA!BQ46+'STA MARIA'!BQ46+'CB I'!BQ46+IG!BQ46+PN!BQ46+MJ!BQ46+'RB I'!BQ46+'SF I'!BQ46</f>
        <v>0</v>
      </c>
      <c r="BR46" s="218">
        <f>SLP!BR46+ROSA!BR46+'STA ANA'!BR46+BOA!BR46+'STA MARIA'!BR46+'CB I'!BR46+IG!BR46+PN!BR46+MJ!BR46+'RB I'!BR46+'SF I'!BR46</f>
        <v>0</v>
      </c>
      <c r="BS46" s="218">
        <f>SLP!BS46+ROSA!BS46+'STA ANA'!BS46+BOA!BS46+'STA MARIA'!BS46+'CB I'!BS46+IG!BS46+PN!BS46+MJ!BS46+'RB I'!BS46+'SF I'!BS46</f>
        <v>0</v>
      </c>
      <c r="BT46" s="218">
        <f>SLP!BT46+ROSA!BT46+'STA ANA'!BT46+BOA!BT46+'STA MARIA'!BT46+'CB I'!BT46+IG!BT46+PN!BT46+MJ!BT46+'RB I'!BT46+'SF I'!BT46</f>
        <v>0</v>
      </c>
      <c r="BU46" s="218">
        <f>SLP!BU46+ROSA!BU46+'STA ANA'!BU46+BOA!BU46+'STA MARIA'!BU46+'CB I'!BU46+IG!BU46+PN!BU46+MJ!BU46+'RB I'!BU46+'SF I'!BU46</f>
        <v>0</v>
      </c>
      <c r="BV46" s="221" t="str">
        <f t="shared" si="11"/>
        <v/>
      </c>
      <c r="BW46" s="218">
        <f>SLP!BW46+ROSA!BW46+'STA ANA'!BW46+BOA!BW46+'STA MARIA'!BW46+'CB I'!BW46+IG!BW46+PN!BW46+MJ!BW46+'RB I'!BW46+'SF I'!BW46</f>
        <v>0</v>
      </c>
      <c r="BX46" s="218">
        <f>SLP!BX46+ROSA!BX46+'STA ANA'!BX46+BOA!BX46+'STA MARIA'!BX46+'CB I'!BX46+IG!BX46+PN!BX46+MJ!BX46+'RB I'!BX46+'SF I'!BX46</f>
        <v>0</v>
      </c>
      <c r="BY46" s="218">
        <f>SLP!BY46+ROSA!BY46+'STA ANA'!BY46+BOA!BY46+'STA MARIA'!BY46+'CB I'!BY46+IG!BY46+PN!BY46+MJ!BY46+'RB I'!BY46+'SF I'!BY46</f>
        <v>0</v>
      </c>
      <c r="BZ46" s="218">
        <f>SLP!BZ46+ROSA!BZ46+'STA ANA'!BZ46+BOA!BZ46+'STA MARIA'!BZ46+'CB I'!BZ46+IG!BZ46+PN!BZ46+MJ!BZ46+'RB I'!BZ46+'SF I'!BZ46</f>
        <v>0</v>
      </c>
      <c r="CA46" s="218">
        <f>SLP!CA46+ROSA!CA46+'STA ANA'!CA46+BOA!CA46+'STA MARIA'!CA46+'CB I'!CA46+IG!CA46+PN!CA46+MJ!CA46+'RB I'!CA46+'SF I'!CA46</f>
        <v>0</v>
      </c>
      <c r="CB46" s="218">
        <f>SLP!CB46+ROSA!CB46+'STA ANA'!CB46+BOA!CB46+'STA MARIA'!CB46+'CB I'!CB46+IG!CB46+PN!CB46+MJ!CB46+'RB I'!CB46+'SF I'!CB46</f>
        <v>0</v>
      </c>
      <c r="CC46" s="221" t="str">
        <f t="shared" si="12"/>
        <v/>
      </c>
      <c r="CD46" s="218">
        <f>SLP!CD46+ROSA!CD46+'STA ANA'!CD46+BOA!CD46+'STA MARIA'!CD46+'CB I'!CD46+IG!CD46+PN!CD46+MJ!CD46+'RB I'!CD46+'SF I'!CD46</f>
        <v>0</v>
      </c>
      <c r="CE46" s="218">
        <f>SLP!CE46+ROSA!CE46+'STA ANA'!CE46+BOA!CE46+'STA MARIA'!CE46+'CB I'!CE46+IG!CE46+PN!CE46+MJ!CE46+'RB I'!CE46+'SF I'!CE46</f>
        <v>0</v>
      </c>
      <c r="CF46" s="218">
        <f>SLP!CF46+ROSA!CF46+'STA ANA'!CF46+BOA!CF46+'STA MARIA'!CF46+'CB I'!CF46+IG!CF46+PN!CF46+MJ!CF46+'RB I'!CF46+'SF I'!CF46</f>
        <v>0</v>
      </c>
      <c r="CG46" s="218">
        <f>SLP!CG46+ROSA!CG46+'STA ANA'!CG46+BOA!CG46+'STA MARIA'!CG46+'CB I'!CG46+IG!CG46+PN!CG46+MJ!CG46+'RB I'!CG46+'SF I'!CG46</f>
        <v>0</v>
      </c>
      <c r="CH46" s="218">
        <f>SLP!CH46+ROSA!CH46+'STA ANA'!CH46+BOA!CH46+'STA MARIA'!CH46+'CB I'!CH46+IG!CH46+PN!CH46+MJ!CH46+'RB I'!CH46+'SF I'!CH46</f>
        <v>0</v>
      </c>
      <c r="CI46" s="218">
        <f>SLP!CI46+ROSA!CI46+'STA ANA'!CI46+BOA!CI46+'STA MARIA'!CI46+'CB I'!CI46+IG!CI46+PN!CI46+MJ!CI46+'RB I'!CI46+'SF I'!CI46</f>
        <v>0</v>
      </c>
      <c r="CJ46" s="221" t="str">
        <f t="shared" si="13"/>
        <v/>
      </c>
      <c r="CK46" s="218">
        <f>SLP!CK46+ROSA!CK46+'STA ANA'!CK46+BOA!CK46+'STA MARIA'!CK46+'CB I'!CK46+IG!CK46+PN!CK46+MJ!CK46+'RB I'!CK46+'SF I'!CK46</f>
        <v>0</v>
      </c>
      <c r="CL46" s="218">
        <f>SLP!CL46+ROSA!CL46+'STA ANA'!CL46+BOA!CL46+'STA MARIA'!CL46+'CB I'!CL46+IG!CL46+PN!CL46+MJ!CL46+'RB I'!CL46+'SF I'!CL46</f>
        <v>0</v>
      </c>
      <c r="CM46" s="218">
        <f>SLP!CM46+ROSA!CM46+'STA ANA'!CM46+BOA!CM46+'STA MARIA'!CM46+'CB I'!CM46+IG!CM46+PN!CM46+MJ!CM46+'RB I'!CM46+'SF I'!CM46</f>
        <v>0</v>
      </c>
      <c r="CN46" s="218">
        <f>SLP!CN46+ROSA!CN46+'STA ANA'!CN46+BOA!CN46+'STA MARIA'!CN46+'CB I'!CN46+IG!CN46+PN!CN46+MJ!CN46+'RB I'!CN46+'SF I'!CN46</f>
        <v>0</v>
      </c>
      <c r="CO46" s="218">
        <f>SLP!CO46+ROSA!CO46+'STA ANA'!CO46+BOA!CO46+'STA MARIA'!CO46+'CB I'!CO46+IG!CO46+PN!CO46+MJ!CO46+'RB I'!CO46+'SF I'!CO46</f>
        <v>0</v>
      </c>
      <c r="CP46" s="218">
        <f>SLP!CP46+ROSA!CP46+'STA ANA'!CP46+BOA!CP46+'STA MARIA'!CP46+'CB I'!CP46+IG!CP46+PN!CP46+MJ!CP46+'RB I'!CP46+'SF I'!CP46</f>
        <v>0</v>
      </c>
      <c r="CQ46" s="221" t="str">
        <f t="shared" si="14"/>
        <v/>
      </c>
      <c r="CR46" s="154"/>
      <c r="CS46" s="222" t="e">
        <f t="shared" si="15"/>
        <v>#VALUE!</v>
      </c>
    </row>
    <row r="47" spans="1:97" ht="16" customHeight="1" thickBot="1" x14ac:dyDescent="0.25">
      <c r="A47" s="220" t="s">
        <v>71</v>
      </c>
      <c r="B47" s="30">
        <f t="shared" si="17"/>
        <v>0</v>
      </c>
      <c r="C47" s="31">
        <f t="shared" si="17"/>
        <v>0</v>
      </c>
      <c r="D47" s="32">
        <f t="shared" si="17"/>
        <v>0</v>
      </c>
      <c r="E47" s="30">
        <f t="shared" si="19"/>
        <v>0</v>
      </c>
      <c r="F47" s="33">
        <f t="shared" si="19"/>
        <v>0</v>
      </c>
      <c r="G47" s="34">
        <f t="shared" si="19"/>
        <v>0</v>
      </c>
      <c r="H47" s="31">
        <f t="shared" si="18"/>
        <v>0</v>
      </c>
      <c r="I47" s="33">
        <f t="shared" si="18"/>
        <v>0</v>
      </c>
      <c r="J47" s="33">
        <f t="shared" si="18"/>
        <v>0</v>
      </c>
      <c r="K47" s="221" t="str">
        <f t="shared" si="2"/>
        <v/>
      </c>
      <c r="L47" s="218">
        <f>SLP!L47+ROSA!L47+'STA ANA'!L47+BOA!L47+'STA MARIA'!L47+'CB I'!L47+IG!L47+PN!L47+MJ!L47+'RB I'!L47+'SF I'!L47</f>
        <v>0</v>
      </c>
      <c r="M47" s="218">
        <f>SLP!M47+ROSA!M47+'STA ANA'!M47+BOA!M47+'STA MARIA'!M47+'CB I'!M47+IG!M47+PN!M47+MJ!M47+'RB I'!M47+'SF I'!M47</f>
        <v>0</v>
      </c>
      <c r="N47" s="218">
        <f>SLP!N47+ROSA!N47+'STA ANA'!N47+BOA!N47+'STA MARIA'!N47+'CB I'!N47+IG!N47+PN!N47+MJ!N47+'RB I'!N47+'SF I'!N47</f>
        <v>0</v>
      </c>
      <c r="O47" s="218">
        <f>SLP!O47+ROSA!O47+'STA ANA'!O47+BOA!O47+'STA MARIA'!O47+'CB I'!O47+IG!O47+PN!O47+MJ!O47+'RB I'!O47+'SF I'!O47</f>
        <v>0</v>
      </c>
      <c r="P47" s="218">
        <f>SLP!P47+ROSA!P47+'STA ANA'!P47+BOA!P47+'STA MARIA'!P47+'CB I'!P47+IG!P47+PN!P47+MJ!P47+'RB I'!P47+'SF I'!P47</f>
        <v>0</v>
      </c>
      <c r="Q47" s="218">
        <f>SLP!Q47+ROSA!Q47+'STA ANA'!Q47+BOA!Q47+'STA MARIA'!Q47+'CB I'!Q47+IG!Q47+PN!Q47+MJ!Q47+'RB I'!Q47+'SF I'!Q47</f>
        <v>0</v>
      </c>
      <c r="R47" s="221" t="str">
        <f t="shared" si="3"/>
        <v/>
      </c>
      <c r="S47" s="218">
        <f>SLP!S47+ROSA!S47+'STA ANA'!S47+BOA!S47+'STA MARIA'!S47+'CB I'!S47+IG!S47+PN!S47+MJ!S47+'RB I'!S47+'SF I'!S47</f>
        <v>0</v>
      </c>
      <c r="T47" s="218">
        <f>SLP!T47+ROSA!T47+'STA ANA'!T47+BOA!T47+'STA MARIA'!T47+'CB I'!T47+IG!T47+PN!T47+MJ!T47+'RB I'!T47+'SF I'!T47</f>
        <v>0</v>
      </c>
      <c r="U47" s="218">
        <f>SLP!U47+ROSA!U47+'STA ANA'!U47+BOA!U47+'STA MARIA'!U47+'CB I'!U47+IG!U47+PN!U47+MJ!U47+'RB I'!U47+'SF I'!U47</f>
        <v>0</v>
      </c>
      <c r="V47" s="218">
        <f>SLP!V47+ROSA!V47+'STA ANA'!V47+BOA!V47+'STA MARIA'!V47+'CB I'!V47+IG!V47+PN!V47+MJ!V47+'RB I'!V47+'SF I'!V47</f>
        <v>0</v>
      </c>
      <c r="W47" s="218">
        <f>SLP!W47+ROSA!W47+'STA ANA'!W47+BOA!W47+'STA MARIA'!W47+'CB I'!W47+IG!W47+PN!W47+MJ!W47+'RB I'!W47+'SF I'!W47</f>
        <v>0</v>
      </c>
      <c r="X47" s="218">
        <f>SLP!X47+ROSA!X47+'STA ANA'!X47+BOA!X47+'STA MARIA'!X47+'CB I'!X47+IG!X47+PN!X47+MJ!X47+'RB I'!X47+'SF I'!X47</f>
        <v>0</v>
      </c>
      <c r="Y47" s="221" t="str">
        <f t="shared" si="4"/>
        <v/>
      </c>
      <c r="Z47" s="218">
        <f>SLP!Z47+ROSA!Z47+'STA ANA'!Z47+BOA!Z47+'STA MARIA'!Z47+'CB I'!Z47+IG!Z47+PN!Z47+MJ!Z47+'RB I'!Z47+'SF I'!Z47</f>
        <v>0</v>
      </c>
      <c r="AA47" s="218">
        <f>SLP!AA47+ROSA!AA47+'STA ANA'!AA47+BOA!AA47+'STA MARIA'!AA47+'CB I'!AA47+IG!AA47+PN!AA47+MJ!AA47+'RB I'!AA47+'SF I'!AA47</f>
        <v>0</v>
      </c>
      <c r="AB47" s="218">
        <f>SLP!AB47+ROSA!AB47+'STA ANA'!AB47+BOA!AB47+'STA MARIA'!AB47+'CB I'!AB47+IG!AB47+PN!AB47+MJ!AB47+'RB I'!AB47+'SF I'!AB47</f>
        <v>0</v>
      </c>
      <c r="AC47" s="218">
        <f>SLP!AC47+ROSA!AC47+'STA ANA'!AC47+BOA!AC47+'STA MARIA'!AC47+'CB I'!AC47+IG!AC47+PN!AC47+MJ!AC47+'RB I'!AC47+'SF I'!AC47</f>
        <v>0</v>
      </c>
      <c r="AD47" s="218">
        <f>SLP!AD47+ROSA!AD47+'STA ANA'!AD47+BOA!AD47+'STA MARIA'!AD47+'CB I'!AD47+IG!AD47+PN!AD47+MJ!AD47+'RB I'!AD47+'SF I'!AD47</f>
        <v>0</v>
      </c>
      <c r="AE47" s="218">
        <f>SLP!AE47+ROSA!AE47+'STA ANA'!AE47+BOA!AE47+'STA MARIA'!AE47+'CB I'!AE47+IG!AE47+PN!AE47+MJ!AE47+'RB I'!AE47+'SF I'!AE47</f>
        <v>0</v>
      </c>
      <c r="AF47" s="221" t="str">
        <f t="shared" si="5"/>
        <v/>
      </c>
      <c r="AG47" s="218">
        <f>SLP!AG47+ROSA!AG47+'STA ANA'!AG47+BOA!AG47+'STA MARIA'!AG47+'CB I'!AG47+IG!AG47+PN!AG47+MJ!AG47+'RB I'!AG47+'SF I'!AG47</f>
        <v>0</v>
      </c>
      <c r="AH47" s="218">
        <f>SLP!AH47+ROSA!AH47+'STA ANA'!AH47+BOA!AH47+'STA MARIA'!AH47+'CB I'!AH47+IG!AH47+PN!AH47+MJ!AH47+'RB I'!AH47+'SF I'!AH47</f>
        <v>0</v>
      </c>
      <c r="AI47" s="218">
        <f>SLP!AI47+ROSA!AI47+'STA ANA'!AI47+BOA!AI47+'STA MARIA'!AI47+'CB I'!AI47+IG!AI47+PN!AI47+MJ!AI47+'RB I'!AI47+'SF I'!AI47</f>
        <v>0</v>
      </c>
      <c r="AJ47" s="218">
        <f>SLP!AJ47+ROSA!AJ47+'STA ANA'!AJ47+BOA!AJ47+'STA MARIA'!AJ47+'CB I'!AJ47+IG!AJ47+PN!AJ47+MJ!AJ47+'RB I'!AJ47+'SF I'!AJ47</f>
        <v>0</v>
      </c>
      <c r="AK47" s="218">
        <f>SLP!AK47+ROSA!AK47+'STA ANA'!AK47+BOA!AK47+'STA MARIA'!AK47+'CB I'!AK47+IG!AK47+PN!AK47+MJ!AK47+'RB I'!AK47+'SF I'!AK47</f>
        <v>0</v>
      </c>
      <c r="AL47" s="218">
        <f>SLP!AL47+ROSA!AL47+'STA ANA'!AL47+BOA!AL47+'STA MARIA'!AL47+'CB I'!AL47+IG!AL47+PN!AL47+MJ!AL47+'RB I'!AL47+'SF I'!AL47</f>
        <v>0</v>
      </c>
      <c r="AM47" s="221" t="str">
        <f t="shared" si="6"/>
        <v/>
      </c>
      <c r="AN47" s="218">
        <f>SLP!AN47+ROSA!AN47+'STA ANA'!AN47+BOA!AN47+'STA MARIA'!AN47+'CB I'!AN47+IG!AN47+PN!AN47+MJ!AN47+'RB I'!AN47+'SF I'!AN47</f>
        <v>0</v>
      </c>
      <c r="AO47" s="218">
        <f>SLP!AO47+ROSA!AO47+'STA ANA'!AO47+BOA!AO47+'STA MARIA'!AO47+'CB I'!AO47+IG!AO47+PN!AO47+MJ!AO47+'RB I'!AO47+'SF I'!AO47</f>
        <v>0</v>
      </c>
      <c r="AP47" s="218">
        <f>SLP!AP47+ROSA!AP47+'STA ANA'!AP47+BOA!AP47+'STA MARIA'!AP47+'CB I'!AP47+IG!AP47+PN!AP47+MJ!AP47+'RB I'!AP47+'SF I'!AP47</f>
        <v>0</v>
      </c>
      <c r="AQ47" s="218">
        <f>SLP!AQ47+ROSA!AQ47+'STA ANA'!AQ47+BOA!AQ47+'STA MARIA'!AQ47+'CB I'!AQ47+IG!AQ47+PN!AQ47+MJ!AQ47+'RB I'!AQ47+'SF I'!AQ47</f>
        <v>0</v>
      </c>
      <c r="AR47" s="218">
        <f>SLP!AR47+ROSA!AR47+'STA ANA'!AR47+BOA!AR47+'STA MARIA'!AR47+'CB I'!AR47+IG!AR47+PN!AR47+MJ!AR47+'RB I'!AR47+'SF I'!AR47</f>
        <v>0</v>
      </c>
      <c r="AS47" s="218">
        <f>SLP!AS47+ROSA!AS47+'STA ANA'!AS47+BOA!AS47+'STA MARIA'!AS47+'CB I'!AS47+IG!AS47+PN!AS47+MJ!AS47+'RB I'!AS47+'SF I'!AS47</f>
        <v>0</v>
      </c>
      <c r="AT47" s="221" t="str">
        <f t="shared" si="7"/>
        <v/>
      </c>
      <c r="AU47" s="218">
        <f>SLP!AU47+ROSA!AU47+'STA ANA'!AU47+BOA!AU47+'STA MARIA'!AU47+'CB I'!AU47+IG!AU47+PN!AU47+MJ!AU47+'RB I'!AU47+'SF I'!AU47</f>
        <v>0</v>
      </c>
      <c r="AV47" s="218">
        <f>SLP!AV47+ROSA!AV47+'STA ANA'!AV47+BOA!AV47+'STA MARIA'!AV47+'CB I'!AV47+IG!AV47+PN!AV47+MJ!AV47+'RB I'!AV47+'SF I'!AV47</f>
        <v>0</v>
      </c>
      <c r="AW47" s="218">
        <f>SLP!AW47+ROSA!AW47+'STA ANA'!AW47+BOA!AW47+'STA MARIA'!AW47+'CB I'!AW47+IG!AW47+PN!AW47+MJ!AW47+'RB I'!AW47+'SF I'!AW47</f>
        <v>0</v>
      </c>
      <c r="AX47" s="218">
        <f>SLP!AX47+ROSA!AX47+'STA ANA'!AX47+BOA!AX47+'STA MARIA'!AX47+'CB I'!AX47+IG!AX47+PN!AX47+MJ!AX47+'RB I'!AX47+'SF I'!AX47</f>
        <v>0</v>
      </c>
      <c r="AY47" s="218">
        <f>SLP!AY47+ROSA!AY47+'STA ANA'!AY47+BOA!AY47+'STA MARIA'!AY47+'CB I'!AY47+IG!AY47+PN!AY47+MJ!AY47+'RB I'!AY47+'SF I'!AY47</f>
        <v>0</v>
      </c>
      <c r="AZ47" s="218">
        <f>SLP!AZ47+ROSA!AZ47+'STA ANA'!AZ47+BOA!AZ47+'STA MARIA'!AZ47+'CB I'!AZ47+IG!AZ47+PN!AZ47+MJ!AZ47+'RB I'!AZ47+'SF I'!AZ47</f>
        <v>0</v>
      </c>
      <c r="BA47" s="221" t="str">
        <f t="shared" si="8"/>
        <v/>
      </c>
      <c r="BB47" s="218">
        <f>SLP!BB47+ROSA!BB47+'STA ANA'!BB47+BOA!BB47+'STA MARIA'!BB47+'CB I'!BB47+IG!BB47+PN!BB47+MJ!BB47+'RB I'!BB47+'SF I'!BB47</f>
        <v>0</v>
      </c>
      <c r="BC47" s="218">
        <f>SLP!BC47+ROSA!BC47+'STA ANA'!BC47+BOA!BC47+'STA MARIA'!BC47+'CB I'!BC47+IG!BC47+PN!BC47+MJ!BC47+'RB I'!BC47+'SF I'!BC47</f>
        <v>0</v>
      </c>
      <c r="BD47" s="218">
        <f>SLP!BD47+ROSA!BD47+'STA ANA'!BD47+BOA!BD47+'STA MARIA'!BD47+'CB I'!BD47+IG!BD47+PN!BD47+MJ!BD47+'RB I'!BD47+'SF I'!BD47</f>
        <v>0</v>
      </c>
      <c r="BE47" s="218">
        <f>SLP!BE47+ROSA!BE47+'STA ANA'!BE47+BOA!BE47+'STA MARIA'!BE47+'CB I'!BE47+IG!BE47+PN!BE47+MJ!BE47+'RB I'!BE47+'SF I'!BE47</f>
        <v>0</v>
      </c>
      <c r="BF47" s="218">
        <f>SLP!BF47+ROSA!BF47+'STA ANA'!BF47+BOA!BF47+'STA MARIA'!BF47+'CB I'!BF47+IG!BF47+PN!BF47+MJ!BF47+'RB I'!BF47+'SF I'!BF47</f>
        <v>0</v>
      </c>
      <c r="BG47" s="218">
        <f>SLP!BG47+ROSA!BG47+'STA ANA'!BG47+BOA!BG47+'STA MARIA'!BG47+'CB I'!BG47+IG!BG47+PN!BG47+MJ!BG47+'RB I'!BG47+'SF I'!BG47</f>
        <v>0</v>
      </c>
      <c r="BH47" s="221" t="str">
        <f t="shared" si="9"/>
        <v/>
      </c>
      <c r="BI47" s="218">
        <f>SLP!BI47+ROSA!BI47+'STA ANA'!BI47+BOA!BI47+'STA MARIA'!BI47+'CB I'!BI47+IG!BI47+PN!BI47+MJ!BI47+'RB I'!BI47+'SF I'!BI47</f>
        <v>0</v>
      </c>
      <c r="BJ47" s="218">
        <f>SLP!BJ47+ROSA!BJ47+'STA ANA'!BJ47+BOA!BJ47+'STA MARIA'!BJ47+'CB I'!BJ47+IG!BJ47+PN!BJ47+MJ!BJ47+'RB I'!BJ47+'SF I'!BJ47</f>
        <v>0</v>
      </c>
      <c r="BK47" s="218">
        <f>SLP!BK47+ROSA!BK47+'STA ANA'!BK47+BOA!BK47+'STA MARIA'!BK47+'CB I'!BK47+IG!BK47+PN!BK47+MJ!BK47+'RB I'!BK47+'SF I'!BK47</f>
        <v>0</v>
      </c>
      <c r="BL47" s="218">
        <f>SLP!BL47+ROSA!BL47+'STA ANA'!BL47+BOA!BL47+'STA MARIA'!BL47+'CB I'!BL47+IG!BL47+PN!BL47+MJ!BL47+'RB I'!BL47+'SF I'!BL47</f>
        <v>0</v>
      </c>
      <c r="BM47" s="218">
        <f>SLP!BM47+ROSA!BM47+'STA ANA'!BM47+BOA!BM47+'STA MARIA'!BM47+'CB I'!BM47+IG!BM47+PN!BM47+MJ!BM47+'RB I'!BM47+'SF I'!BM47</f>
        <v>0</v>
      </c>
      <c r="BN47" s="218">
        <f>SLP!BN47+ROSA!BN47+'STA ANA'!BN47+BOA!BN47+'STA MARIA'!BN47+'CB I'!BN47+IG!BN47+PN!BN47+MJ!BN47+'RB I'!BN47+'SF I'!BN47</f>
        <v>0</v>
      </c>
      <c r="BO47" s="221" t="str">
        <f t="shared" si="10"/>
        <v/>
      </c>
      <c r="BP47" s="218">
        <f>SLP!BP47+ROSA!BP47+'STA ANA'!BP47+BOA!BP47+'STA MARIA'!BP47+'CB I'!BP47+IG!BP47+PN!BP47+MJ!BP47+'RB I'!BP47+'SF I'!BP47</f>
        <v>0</v>
      </c>
      <c r="BQ47" s="218">
        <f>SLP!BQ47+ROSA!BQ47+'STA ANA'!BQ47+BOA!BQ47+'STA MARIA'!BQ47+'CB I'!BQ47+IG!BQ47+PN!BQ47+MJ!BQ47+'RB I'!BQ47+'SF I'!BQ47</f>
        <v>0</v>
      </c>
      <c r="BR47" s="218">
        <f>SLP!BR47+ROSA!BR47+'STA ANA'!BR47+BOA!BR47+'STA MARIA'!BR47+'CB I'!BR47+IG!BR47+PN!BR47+MJ!BR47+'RB I'!BR47+'SF I'!BR47</f>
        <v>0</v>
      </c>
      <c r="BS47" s="218">
        <f>SLP!BS47+ROSA!BS47+'STA ANA'!BS47+BOA!BS47+'STA MARIA'!BS47+'CB I'!BS47+IG!BS47+PN!BS47+MJ!BS47+'RB I'!BS47+'SF I'!BS47</f>
        <v>0</v>
      </c>
      <c r="BT47" s="218">
        <f>SLP!BT47+ROSA!BT47+'STA ANA'!BT47+BOA!BT47+'STA MARIA'!BT47+'CB I'!BT47+IG!BT47+PN!BT47+MJ!BT47+'RB I'!BT47+'SF I'!BT47</f>
        <v>0</v>
      </c>
      <c r="BU47" s="218">
        <f>SLP!BU47+ROSA!BU47+'STA ANA'!BU47+BOA!BU47+'STA MARIA'!BU47+'CB I'!BU47+IG!BU47+PN!BU47+MJ!BU47+'RB I'!BU47+'SF I'!BU47</f>
        <v>0</v>
      </c>
      <c r="BV47" s="221" t="str">
        <f t="shared" si="11"/>
        <v/>
      </c>
      <c r="BW47" s="218">
        <f>SLP!BW47+ROSA!BW47+'STA ANA'!BW47+BOA!BW47+'STA MARIA'!BW47+'CB I'!BW47+IG!BW47+PN!BW47+MJ!BW47+'RB I'!BW47+'SF I'!BW47</f>
        <v>0</v>
      </c>
      <c r="BX47" s="218">
        <f>SLP!BX47+ROSA!BX47+'STA ANA'!BX47+BOA!BX47+'STA MARIA'!BX47+'CB I'!BX47+IG!BX47+PN!BX47+MJ!BX47+'RB I'!BX47+'SF I'!BX47</f>
        <v>0</v>
      </c>
      <c r="BY47" s="218">
        <f>SLP!BY47+ROSA!BY47+'STA ANA'!BY47+BOA!BY47+'STA MARIA'!BY47+'CB I'!BY47+IG!BY47+PN!BY47+MJ!BY47+'RB I'!BY47+'SF I'!BY47</f>
        <v>0</v>
      </c>
      <c r="BZ47" s="218">
        <f>SLP!BZ47+ROSA!BZ47+'STA ANA'!BZ47+BOA!BZ47+'STA MARIA'!BZ47+'CB I'!BZ47+IG!BZ47+PN!BZ47+MJ!BZ47+'RB I'!BZ47+'SF I'!BZ47</f>
        <v>0</v>
      </c>
      <c r="CA47" s="218">
        <f>SLP!CA47+ROSA!CA47+'STA ANA'!CA47+BOA!CA47+'STA MARIA'!CA47+'CB I'!CA47+IG!CA47+PN!CA47+MJ!CA47+'RB I'!CA47+'SF I'!CA47</f>
        <v>0</v>
      </c>
      <c r="CB47" s="218">
        <f>SLP!CB47+ROSA!CB47+'STA ANA'!CB47+BOA!CB47+'STA MARIA'!CB47+'CB I'!CB47+IG!CB47+PN!CB47+MJ!CB47+'RB I'!CB47+'SF I'!CB47</f>
        <v>0</v>
      </c>
      <c r="CC47" s="221" t="str">
        <f t="shared" si="12"/>
        <v/>
      </c>
      <c r="CD47" s="218">
        <f>SLP!CD47+ROSA!CD47+'STA ANA'!CD47+BOA!CD47+'STA MARIA'!CD47+'CB I'!CD47+IG!CD47+PN!CD47+MJ!CD47+'RB I'!CD47+'SF I'!CD47</f>
        <v>0</v>
      </c>
      <c r="CE47" s="218">
        <f>SLP!CE47+ROSA!CE47+'STA ANA'!CE47+BOA!CE47+'STA MARIA'!CE47+'CB I'!CE47+IG!CE47+PN!CE47+MJ!CE47+'RB I'!CE47+'SF I'!CE47</f>
        <v>0</v>
      </c>
      <c r="CF47" s="218">
        <f>SLP!CF47+ROSA!CF47+'STA ANA'!CF47+BOA!CF47+'STA MARIA'!CF47+'CB I'!CF47+IG!CF47+PN!CF47+MJ!CF47+'RB I'!CF47+'SF I'!CF47</f>
        <v>0</v>
      </c>
      <c r="CG47" s="218">
        <f>SLP!CG47+ROSA!CG47+'STA ANA'!CG47+BOA!CG47+'STA MARIA'!CG47+'CB I'!CG47+IG!CG47+PN!CG47+MJ!CG47+'RB I'!CG47+'SF I'!CG47</f>
        <v>0</v>
      </c>
      <c r="CH47" s="218">
        <f>SLP!CH47+ROSA!CH47+'STA ANA'!CH47+BOA!CH47+'STA MARIA'!CH47+'CB I'!CH47+IG!CH47+PN!CH47+MJ!CH47+'RB I'!CH47+'SF I'!CH47</f>
        <v>0</v>
      </c>
      <c r="CI47" s="218">
        <f>SLP!CI47+ROSA!CI47+'STA ANA'!CI47+BOA!CI47+'STA MARIA'!CI47+'CB I'!CI47+IG!CI47+PN!CI47+MJ!CI47+'RB I'!CI47+'SF I'!CI47</f>
        <v>0</v>
      </c>
      <c r="CJ47" s="221" t="str">
        <f t="shared" si="13"/>
        <v/>
      </c>
      <c r="CK47" s="218">
        <f>SLP!CK47+ROSA!CK47+'STA ANA'!CK47+BOA!CK47+'STA MARIA'!CK47+'CB I'!CK47+IG!CK47+PN!CK47+MJ!CK47+'RB I'!CK47+'SF I'!CK47</f>
        <v>0</v>
      </c>
      <c r="CL47" s="218">
        <f>SLP!CL47+ROSA!CL47+'STA ANA'!CL47+BOA!CL47+'STA MARIA'!CL47+'CB I'!CL47+IG!CL47+PN!CL47+MJ!CL47+'RB I'!CL47+'SF I'!CL47</f>
        <v>0</v>
      </c>
      <c r="CM47" s="218">
        <f>SLP!CM47+ROSA!CM47+'STA ANA'!CM47+BOA!CM47+'STA MARIA'!CM47+'CB I'!CM47+IG!CM47+PN!CM47+MJ!CM47+'RB I'!CM47+'SF I'!CM47</f>
        <v>0</v>
      </c>
      <c r="CN47" s="218">
        <f>SLP!CN47+ROSA!CN47+'STA ANA'!CN47+BOA!CN47+'STA MARIA'!CN47+'CB I'!CN47+IG!CN47+PN!CN47+MJ!CN47+'RB I'!CN47+'SF I'!CN47</f>
        <v>0</v>
      </c>
      <c r="CO47" s="218">
        <f>SLP!CO47+ROSA!CO47+'STA ANA'!CO47+BOA!CO47+'STA MARIA'!CO47+'CB I'!CO47+IG!CO47+PN!CO47+MJ!CO47+'RB I'!CO47+'SF I'!CO47</f>
        <v>0</v>
      </c>
      <c r="CP47" s="218">
        <f>SLP!CP47+ROSA!CP47+'STA ANA'!CP47+BOA!CP47+'STA MARIA'!CP47+'CB I'!CP47+IG!CP47+PN!CP47+MJ!CP47+'RB I'!CP47+'SF I'!CP47</f>
        <v>0</v>
      </c>
      <c r="CQ47" s="221" t="str">
        <f t="shared" si="14"/>
        <v/>
      </c>
      <c r="CR47" s="154"/>
      <c r="CS47" s="222" t="e">
        <f t="shared" si="15"/>
        <v>#VALUE!</v>
      </c>
    </row>
    <row r="48" spans="1:97" ht="16" customHeight="1" thickBot="1" x14ac:dyDescent="0.25">
      <c r="A48" s="223" t="s">
        <v>72</v>
      </c>
      <c r="B48" s="30">
        <f t="shared" si="17"/>
        <v>439982.99019871629</v>
      </c>
      <c r="C48" s="31">
        <f t="shared" si="17"/>
        <v>397682.92239871627</v>
      </c>
      <c r="D48" s="32">
        <f t="shared" si="17"/>
        <v>42300.067799999997</v>
      </c>
      <c r="E48" s="30">
        <f t="shared" si="19"/>
        <v>146660.99673290539</v>
      </c>
      <c r="F48" s="33">
        <f t="shared" si="19"/>
        <v>132560.97413290539</v>
      </c>
      <c r="G48" s="34">
        <f t="shared" si="19"/>
        <v>14100.0226</v>
      </c>
      <c r="H48" s="31">
        <f t="shared" si="18"/>
        <v>163727.54741255194</v>
      </c>
      <c r="I48" s="33">
        <f t="shared" si="18"/>
        <v>20138.438290391769</v>
      </c>
      <c r="J48" s="33">
        <f t="shared" si="18"/>
        <v>183865.98570294367</v>
      </c>
      <c r="K48" s="221">
        <f t="shared" si="2"/>
        <v>0.25368018627198397</v>
      </c>
      <c r="L48" s="218">
        <f>SLP!L48+ROSA!L48+'STA ANA'!L48+BOA!L48+'STA MARIA'!L48+'CB I'!L48+IG!L48+PN!L48+MJ!L48+'RB I'!L48+'SF I'!L48</f>
        <v>36665.249183226348</v>
      </c>
      <c r="M48" s="218">
        <f>SLP!M48+ROSA!M48+'STA ANA'!M48+BOA!M48+'STA MARIA'!M48+'CB I'!M48+IG!M48+PN!M48+MJ!M48+'RB I'!M48+'SF I'!M48</f>
        <v>33140.243533226349</v>
      </c>
      <c r="N48" s="218">
        <f>SLP!N48+ROSA!N48+'STA ANA'!N48+BOA!N48+'STA MARIA'!N48+'CB I'!N48+IG!N48+PN!N48+MJ!N48+'RB I'!N48+'SF I'!N48</f>
        <v>3525.0056500000001</v>
      </c>
      <c r="O48" s="218">
        <f>SLP!O48+ROSA!O48+'STA ANA'!O48+BOA!O48+'STA MARIA'!O48+'CB I'!O48+IG!O48+PN!O48+MJ!O48+'RB I'!O48+'SF I'!O48</f>
        <v>17705.916762061861</v>
      </c>
      <c r="P48" s="218">
        <f>SLP!P48+ROSA!P48+'STA ANA'!P48+BOA!P48+'STA MARIA'!P48+'CB I'!P48+IG!P48+PN!P48+MJ!P48+'RB I'!P48+'SF I'!P48</f>
        <v>2562.1702661866761</v>
      </c>
      <c r="Q48" s="218">
        <f>SLP!Q48+ROSA!Q48+'STA ANA'!Q48+BOA!Q48+'STA MARIA'!Q48+'CB I'!Q48+IG!Q48+PN!Q48+MJ!Q48+'RB I'!Q48+'SF I'!Q48</f>
        <v>20268.087028248538</v>
      </c>
      <c r="R48" s="221">
        <f t="shared" si="3"/>
        <v>-0.44721262013075858</v>
      </c>
      <c r="S48" s="218">
        <f>SLP!S48+ROSA!S48+'STA ANA'!S48+BOA!S48+'STA MARIA'!S48+'CB I'!S48+IG!S48+PN!S48+MJ!S48+'RB I'!S48+'SF I'!S48</f>
        <v>36665.249183226348</v>
      </c>
      <c r="T48" s="218">
        <f>SLP!T48+ROSA!T48+'STA ANA'!T48+BOA!T48+'STA MARIA'!T48+'CB I'!T48+IG!T48+PN!T48+MJ!T48+'RB I'!T48+'SF I'!T48</f>
        <v>33140.243533226349</v>
      </c>
      <c r="U48" s="218">
        <f>SLP!U48+ROSA!U48+'STA ANA'!U48+BOA!U48+'STA MARIA'!U48+'CB I'!U48+IG!U48+PN!U48+MJ!U48+'RB I'!U48+'SF I'!U48</f>
        <v>3525.0056500000001</v>
      </c>
      <c r="V48" s="218">
        <f>SLP!V48+ROSA!V48+'STA ANA'!V48+BOA!V48+'STA MARIA'!V48+'CB I'!V48+IG!V48+PN!V48+MJ!V48+'RB I'!V48+'SF I'!V48</f>
        <v>22562.351418296723</v>
      </c>
      <c r="W48" s="218">
        <f>SLP!W48+ROSA!W48+'STA ANA'!W48+BOA!W48+'STA MARIA'!W48+'CB I'!W48+IG!W48+PN!W48+MJ!W48+'RB I'!W48+'SF I'!W48</f>
        <v>3571.0029203805125</v>
      </c>
      <c r="X48" s="218">
        <f>SLP!X48+ROSA!X48+'STA ANA'!X48+BOA!X48+'STA MARIA'!X48+'CB I'!X48+IG!X48+PN!X48+MJ!X48+'RB I'!X48+'SF I'!X48</f>
        <v>26133.354338677233</v>
      </c>
      <c r="Y48" s="221">
        <f t="shared" si="4"/>
        <v>-0.28724460024581688</v>
      </c>
      <c r="Z48" s="218">
        <f>SLP!Z48+ROSA!Z48+'STA ANA'!Z48+BOA!Z48+'STA MARIA'!Z48+'CB I'!Z48+IG!Z48+PN!Z48+MJ!Z48+'RB I'!Z48+'SF I'!Z48</f>
        <v>36665.249183226348</v>
      </c>
      <c r="AA48" s="218">
        <f>SLP!AA48+ROSA!AA48+'STA ANA'!AA48+BOA!AA48+'STA MARIA'!AA48+'CB I'!AA48+IG!AA48+PN!AA48+MJ!AA48+'RB I'!AA48+'SF I'!AA48</f>
        <v>33140.243533226349</v>
      </c>
      <c r="AB48" s="218">
        <f>SLP!AB48+ROSA!AB48+'STA ANA'!AB48+BOA!AB48+'STA MARIA'!AB48+'CB I'!AB48+IG!AB48+PN!AB48+MJ!AB48+'RB I'!AB48+'SF I'!AB48</f>
        <v>3525.0056500000001</v>
      </c>
      <c r="AC48" s="218">
        <f>SLP!AC48+ROSA!AC48+'STA ANA'!AC48+BOA!AC48+'STA MARIA'!AC48+'CB I'!AC48+IG!AC48+PN!AC48+MJ!AC48+'RB I'!AC48+'SF I'!AC48</f>
        <v>18668.447343040039</v>
      </c>
      <c r="AD48" s="218">
        <f>SLP!AD48+ROSA!AD48+'STA ANA'!AD48+BOA!AD48+'STA MARIA'!AD48+'CB I'!AD48+IG!AD48+PN!AD48+MJ!AD48+'RB I'!AD48+'SF I'!AD48</f>
        <v>2271.8763521245655</v>
      </c>
      <c r="AE48" s="218">
        <f>SLP!AE48+ROSA!AE48+'STA ANA'!AE48+BOA!AE48+'STA MARIA'!AE48+'CB I'!AE48+IG!AE48+PN!AE48+MJ!AE48+'RB I'!AE48+'SF I'!AE48</f>
        <v>20940.323695164603</v>
      </c>
      <c r="AF48" s="221">
        <f t="shared" si="5"/>
        <v>-0.42887818406687928</v>
      </c>
      <c r="AG48" s="218">
        <f>SLP!AG48+ROSA!AG48+'STA ANA'!AG48+BOA!AG48+'STA MARIA'!AG48+'CB I'!AG48+IG!AG48+PN!AG48+MJ!AG48+'RB I'!AG48+'SF I'!AG48</f>
        <v>36665.249183226348</v>
      </c>
      <c r="AH48" s="218">
        <f>SLP!AH48+ROSA!AH48+'STA ANA'!AH48+BOA!AH48+'STA MARIA'!AH48+'CB I'!AH48+IG!AH48+PN!AH48+MJ!AH48+'RB I'!AH48+'SF I'!AH48</f>
        <v>33140.243533226349</v>
      </c>
      <c r="AI48" s="218">
        <f>SLP!AI48+ROSA!AI48+'STA ANA'!AI48+BOA!AI48+'STA MARIA'!AI48+'CB I'!AI48+IG!AI48+PN!AI48+MJ!AI48+'RB I'!AI48+'SF I'!AI48</f>
        <v>3525.0056500000001</v>
      </c>
      <c r="AJ48" s="218">
        <f>SLP!AJ48+ROSA!AJ48+'STA ANA'!AJ48+BOA!AJ48+'STA MARIA'!AJ48+'CB I'!AJ48+IG!AJ48+PN!AJ48+MJ!AJ48+'RB I'!AJ48+'SF I'!AJ48</f>
        <v>15884.254685517584</v>
      </c>
      <c r="AK48" s="218">
        <f>SLP!AK48+ROSA!AK48+'STA ANA'!AK48+BOA!AK48+'STA MARIA'!AK48+'CB I'!AK48+IG!AK48+PN!AK48+MJ!AK48+'RB I'!AK48+'SF I'!AK48</f>
        <v>1748.3127678836079</v>
      </c>
      <c r="AL48" s="218">
        <f>SLP!AL48+ROSA!AL48+'STA ANA'!AL48+BOA!AL48+'STA MARIA'!AL48+'CB I'!AL48+IG!AL48+PN!AL48+MJ!AL48+'RB I'!AL48+'SF I'!AL48</f>
        <v>17632.567453401189</v>
      </c>
      <c r="AM48" s="221">
        <f t="shared" si="6"/>
        <v>-0.51909320552312643</v>
      </c>
      <c r="AN48" s="218">
        <f>SLP!AN48+ROSA!AN48+'STA ANA'!AN48+BOA!AN48+'STA MARIA'!AN48+'CB I'!AN48+IG!AN48+PN!AN48+MJ!AN48+'RB I'!AN48+'SF I'!AN48</f>
        <v>36665.249183226348</v>
      </c>
      <c r="AO48" s="218">
        <f>SLP!AO48+ROSA!AO48+'STA ANA'!AO48+BOA!AO48+'STA MARIA'!AO48+'CB I'!AO48+IG!AO48+PN!AO48+MJ!AO48+'RB I'!AO48+'SF I'!AO48</f>
        <v>33140.243533226349</v>
      </c>
      <c r="AP48" s="218">
        <f>SLP!AP48+ROSA!AP48+'STA ANA'!AP48+BOA!AP48+'STA MARIA'!AP48+'CB I'!AP48+IG!AP48+PN!AP48+MJ!AP48+'RB I'!AP48+'SF I'!AP48</f>
        <v>3525.0056500000001</v>
      </c>
      <c r="AQ48" s="218">
        <f>SLP!AQ48+ROSA!AQ48+'STA ANA'!AQ48+BOA!AQ48+'STA MARIA'!AQ48+'CB I'!AQ48+IG!AQ48+PN!AQ48+MJ!AQ48+'RB I'!AQ48+'SF I'!AQ48</f>
        <v>58510.945494851716</v>
      </c>
      <c r="AR48" s="218">
        <f>SLP!AR48+ROSA!AR48+'STA ANA'!AR48+BOA!AR48+'STA MARIA'!AR48+'CB I'!AR48+IG!AR48+PN!AR48+MJ!AR48+'RB I'!AR48+'SF I'!AR48</f>
        <v>6535.960066416782</v>
      </c>
      <c r="AS48" s="218">
        <f>SLP!AS48+ROSA!AS48+'STA ANA'!AS48+BOA!AS48+'STA MARIA'!AS48+'CB I'!AS48+IG!AS48+PN!AS48+MJ!AS48+'RB I'!AS48+'SF I'!AS48</f>
        <v>65046.905561268497</v>
      </c>
      <c r="AT48" s="221">
        <f t="shared" si="7"/>
        <v>0.77407509863661894</v>
      </c>
      <c r="AU48" s="218">
        <f>SLP!AU48+ROSA!AU48+'STA ANA'!AU48+BOA!AU48+'STA MARIA'!AU48+'CB I'!AU48+IG!AU48+PN!AU48+MJ!AU48+'RB I'!AU48+'SF I'!AU48</f>
        <v>36665.249183226348</v>
      </c>
      <c r="AV48" s="218">
        <f>SLP!AV48+ROSA!AV48+'STA ANA'!AV48+BOA!AV48+'STA MARIA'!AV48+'CB I'!AV48+IG!AV48+PN!AV48+MJ!AV48+'RB I'!AV48+'SF I'!AV48</f>
        <v>33140.243533226349</v>
      </c>
      <c r="AW48" s="218">
        <f>SLP!AW48+ROSA!AW48+'STA ANA'!AW48+BOA!AW48+'STA MARIA'!AW48+'CB I'!AW48+IG!AW48+PN!AW48+MJ!AW48+'RB I'!AW48+'SF I'!AW48</f>
        <v>3525.0056500000001</v>
      </c>
      <c r="AX48" s="218">
        <f>SLP!AX48+ROSA!AX48+'STA ANA'!AX48+BOA!AX48+'STA MARIA'!AX48+'CB I'!AX48+IG!AX48+PN!AX48+MJ!AX48+'RB I'!AX48+'SF I'!AX48</f>
        <v>30395.631708783996</v>
      </c>
      <c r="AY48" s="218">
        <f>SLP!AY48+ROSA!AY48+'STA ANA'!AY48+BOA!AY48+'STA MARIA'!AY48+'CB I'!AY48+IG!AY48+PN!AY48+MJ!AY48+'RB I'!AY48+'SF I'!AY48</f>
        <v>3449.1159173996248</v>
      </c>
      <c r="AZ48" s="218">
        <f>SLP!AZ48+ROSA!AZ48+'STA ANA'!AZ48+BOA!AZ48+'STA MARIA'!AZ48+'CB I'!AZ48+IG!AZ48+PN!AZ48+MJ!AZ48+'RB I'!AZ48+'SF I'!AZ48</f>
        <v>33844.74762618362</v>
      </c>
      <c r="BA48" s="221">
        <f t="shared" si="8"/>
        <v>-7.692574358210158E-2</v>
      </c>
      <c r="BB48" s="218">
        <f>SLP!BB48+ROSA!BB48+'STA ANA'!BB48+BOA!BB48+'STA MARIA'!BB48+'CB I'!BB48+IG!BB48+PN!BB48+MJ!BB48+'RB I'!BB48+'SF I'!BB48</f>
        <v>36665.249183226348</v>
      </c>
      <c r="BC48" s="218">
        <f>SLP!BC48+ROSA!BC48+'STA ANA'!BC48+BOA!BC48+'STA MARIA'!BC48+'CB I'!BC48+IG!BC48+PN!BC48+MJ!BC48+'RB I'!BC48+'SF I'!BC48</f>
        <v>33140.243533226349</v>
      </c>
      <c r="BD48" s="218">
        <f>SLP!BD48+ROSA!BD48+'STA ANA'!BD48+BOA!BD48+'STA MARIA'!BD48+'CB I'!BD48+IG!BD48+PN!BD48+MJ!BD48+'RB I'!BD48+'SF I'!BD48</f>
        <v>3525.0056500000001</v>
      </c>
      <c r="BE48" s="218">
        <f>SLP!BE48+ROSA!BE48+'STA ANA'!BE48+BOA!BE48+'STA MARIA'!BE48+'CB I'!BE48+IG!BE48+PN!BE48+MJ!BE48+'RB I'!BE48+'SF I'!BE48</f>
        <v>0</v>
      </c>
      <c r="BF48" s="218">
        <f>SLP!BF48+ROSA!BF48+'STA ANA'!BF48+BOA!BF48+'STA MARIA'!BF48+'CB I'!BF48+IG!BF48+PN!BF48+MJ!BF48+'RB I'!BF48+'SF I'!BF48</f>
        <v>0</v>
      </c>
      <c r="BG48" s="218">
        <f>SLP!BG48+ROSA!BG48+'STA ANA'!BG48+BOA!BG48+'STA MARIA'!BG48+'CB I'!BG48+IG!BG48+PN!BG48+MJ!BG48+'RB I'!BG48+'SF I'!BG48</f>
        <v>0</v>
      </c>
      <c r="BH48" s="221">
        <f t="shared" si="9"/>
        <v>-1</v>
      </c>
      <c r="BI48" s="218">
        <f>SLP!BI48+ROSA!BI48+'STA ANA'!BI48+BOA!BI48+'STA MARIA'!BI48+'CB I'!BI48+IG!BI48+PN!BI48+MJ!BI48+'RB I'!BI48+'SF I'!BI48</f>
        <v>36665.249183226348</v>
      </c>
      <c r="BJ48" s="218">
        <f>SLP!BJ48+ROSA!BJ48+'STA ANA'!BJ48+BOA!BJ48+'STA MARIA'!BJ48+'CB I'!BJ48+IG!BJ48+PN!BJ48+MJ!BJ48+'RB I'!BJ48+'SF I'!BJ48</f>
        <v>33140.243533226349</v>
      </c>
      <c r="BK48" s="218">
        <f>SLP!BK48+ROSA!BK48+'STA ANA'!BK48+BOA!BK48+'STA MARIA'!BK48+'CB I'!BK48+IG!BK48+PN!BK48+MJ!BK48+'RB I'!BK48+'SF I'!BK48</f>
        <v>3525.0056500000001</v>
      </c>
      <c r="BL48" s="218">
        <f>SLP!BL48+ROSA!BL48+'STA ANA'!BL48+BOA!BL48+'STA MARIA'!BL48+'CB I'!BL48+IG!BL48+PN!BL48+MJ!BL48+'RB I'!BL48+'SF I'!BL48</f>
        <v>0</v>
      </c>
      <c r="BM48" s="218">
        <f>SLP!BM48+ROSA!BM48+'STA ANA'!BM48+BOA!BM48+'STA MARIA'!BM48+'CB I'!BM48+IG!BM48+PN!BM48+MJ!BM48+'RB I'!BM48+'SF I'!BM48</f>
        <v>0</v>
      </c>
      <c r="BN48" s="218">
        <f>SLP!BN48+ROSA!BN48+'STA ANA'!BN48+BOA!BN48+'STA MARIA'!BN48+'CB I'!BN48+IG!BN48+PN!BN48+MJ!BN48+'RB I'!BN48+'SF I'!BN48</f>
        <v>0</v>
      </c>
      <c r="BO48" s="221">
        <f t="shared" si="10"/>
        <v>-1</v>
      </c>
      <c r="BP48" s="218">
        <f>SLP!BP48+ROSA!BP48+'STA ANA'!BP48+BOA!BP48+'STA MARIA'!BP48+'CB I'!BP48+IG!BP48+PN!BP48+MJ!BP48+'RB I'!BP48+'SF I'!BP48</f>
        <v>36665.249183226348</v>
      </c>
      <c r="BQ48" s="218">
        <f>SLP!BQ48+ROSA!BQ48+'STA ANA'!BQ48+BOA!BQ48+'STA MARIA'!BQ48+'CB I'!BQ48+IG!BQ48+PN!BQ48+MJ!BQ48+'RB I'!BQ48+'SF I'!BQ48</f>
        <v>33140.243533226349</v>
      </c>
      <c r="BR48" s="218">
        <f>SLP!BR48+ROSA!BR48+'STA ANA'!BR48+BOA!BR48+'STA MARIA'!BR48+'CB I'!BR48+IG!BR48+PN!BR48+MJ!BR48+'RB I'!BR48+'SF I'!BR48</f>
        <v>3525.0056500000001</v>
      </c>
      <c r="BS48" s="218">
        <f>SLP!BS48+ROSA!BS48+'STA ANA'!BS48+BOA!BS48+'STA MARIA'!BS48+'CB I'!BS48+IG!BS48+PN!BS48+MJ!BS48+'RB I'!BS48+'SF I'!BS48</f>
        <v>0</v>
      </c>
      <c r="BT48" s="218">
        <f>SLP!BT48+ROSA!BT48+'STA ANA'!BT48+BOA!BT48+'STA MARIA'!BT48+'CB I'!BT48+IG!BT48+PN!BT48+MJ!BT48+'RB I'!BT48+'SF I'!BT48</f>
        <v>0</v>
      </c>
      <c r="BU48" s="218">
        <f>SLP!BU48+ROSA!BU48+'STA ANA'!BU48+BOA!BU48+'STA MARIA'!BU48+'CB I'!BU48+IG!BU48+PN!BU48+MJ!BU48+'RB I'!BU48+'SF I'!BU48</f>
        <v>0</v>
      </c>
      <c r="BV48" s="221">
        <f t="shared" si="11"/>
        <v>-1</v>
      </c>
      <c r="BW48" s="218">
        <f>SLP!BW48+ROSA!BW48+'STA ANA'!BW48+BOA!BW48+'STA MARIA'!BW48+'CB I'!BW48+IG!BW48+PN!BW48+MJ!BW48+'RB I'!BW48+'SF I'!BW48</f>
        <v>36665.249183226348</v>
      </c>
      <c r="BX48" s="218">
        <f>SLP!BX48+ROSA!BX48+'STA ANA'!BX48+BOA!BX48+'STA MARIA'!BX48+'CB I'!BX48+IG!BX48+PN!BX48+MJ!BX48+'RB I'!BX48+'SF I'!BX48</f>
        <v>33140.243533226349</v>
      </c>
      <c r="BY48" s="218">
        <f>SLP!BY48+ROSA!BY48+'STA ANA'!BY48+BOA!BY48+'STA MARIA'!BY48+'CB I'!BY48+IG!BY48+PN!BY48+MJ!BY48+'RB I'!BY48+'SF I'!BY48</f>
        <v>3525.0056500000001</v>
      </c>
      <c r="BZ48" s="218">
        <f>SLP!BZ48+ROSA!BZ48+'STA ANA'!BZ48+BOA!BZ48+'STA MARIA'!BZ48+'CB I'!BZ48+IG!BZ48+PN!BZ48+MJ!BZ48+'RB I'!BZ48+'SF I'!BZ48</f>
        <v>0</v>
      </c>
      <c r="CA48" s="218">
        <f>SLP!CA48+ROSA!CA48+'STA ANA'!CA48+BOA!CA48+'STA MARIA'!CA48+'CB I'!CA48+IG!CA48+PN!CA48+MJ!CA48+'RB I'!CA48+'SF I'!CA48</f>
        <v>0</v>
      </c>
      <c r="CB48" s="218">
        <f>SLP!CB48+ROSA!CB48+'STA ANA'!CB48+BOA!CB48+'STA MARIA'!CB48+'CB I'!CB48+IG!CB48+PN!CB48+MJ!CB48+'RB I'!CB48+'SF I'!CB48</f>
        <v>0</v>
      </c>
      <c r="CC48" s="221">
        <f t="shared" si="12"/>
        <v>-1</v>
      </c>
      <c r="CD48" s="218">
        <f>SLP!CD48+ROSA!CD48+'STA ANA'!CD48+BOA!CD48+'STA MARIA'!CD48+'CB I'!CD48+IG!CD48+PN!CD48+MJ!CD48+'RB I'!CD48+'SF I'!CD48</f>
        <v>36665.249183226348</v>
      </c>
      <c r="CE48" s="218">
        <f>SLP!CE48+ROSA!CE48+'STA ANA'!CE48+BOA!CE48+'STA MARIA'!CE48+'CB I'!CE48+IG!CE48+PN!CE48+MJ!CE48+'RB I'!CE48+'SF I'!CE48</f>
        <v>33140.243533226349</v>
      </c>
      <c r="CF48" s="218">
        <f>SLP!CF48+ROSA!CF48+'STA ANA'!CF48+BOA!CF48+'STA MARIA'!CF48+'CB I'!CF48+IG!CF48+PN!CF48+MJ!CF48+'RB I'!CF48+'SF I'!CF48</f>
        <v>3525.0056500000001</v>
      </c>
      <c r="CG48" s="218">
        <f>SLP!CG48+ROSA!CG48+'STA ANA'!CG48+BOA!CG48+'STA MARIA'!CG48+'CB I'!CG48+IG!CG48+PN!CG48+MJ!CG48+'RB I'!CG48+'SF I'!CG48</f>
        <v>0</v>
      </c>
      <c r="CH48" s="218">
        <f>SLP!CH48+ROSA!CH48+'STA ANA'!CH48+BOA!CH48+'STA MARIA'!CH48+'CB I'!CH48+IG!CH48+PN!CH48+MJ!CH48+'RB I'!CH48+'SF I'!CH48</f>
        <v>0</v>
      </c>
      <c r="CI48" s="218">
        <f>SLP!CI48+ROSA!CI48+'STA ANA'!CI48+BOA!CI48+'STA MARIA'!CI48+'CB I'!CI48+IG!CI48+PN!CI48+MJ!CI48+'RB I'!CI48+'SF I'!CI48</f>
        <v>0</v>
      </c>
      <c r="CJ48" s="221">
        <f t="shared" si="13"/>
        <v>-1</v>
      </c>
      <c r="CK48" s="218">
        <f>SLP!CK48+ROSA!CK48+'STA ANA'!CK48+BOA!CK48+'STA MARIA'!CK48+'CB I'!CK48+IG!CK48+PN!CK48+MJ!CK48+'RB I'!CK48+'SF I'!CK48</f>
        <v>36665.249183226348</v>
      </c>
      <c r="CL48" s="218">
        <f>SLP!CL48+ROSA!CL48+'STA ANA'!CL48+BOA!CL48+'STA MARIA'!CL48+'CB I'!CL48+IG!CL48+PN!CL48+MJ!CL48+'RB I'!CL48+'SF I'!CL48</f>
        <v>33140.243533226349</v>
      </c>
      <c r="CM48" s="218">
        <f>SLP!CM48+ROSA!CM48+'STA ANA'!CM48+BOA!CM48+'STA MARIA'!CM48+'CB I'!CM48+IG!CM48+PN!CM48+MJ!CM48+'RB I'!CM48+'SF I'!CM48</f>
        <v>3525.0056500000001</v>
      </c>
      <c r="CN48" s="218">
        <f>SLP!CN48+ROSA!CN48+'STA ANA'!CN48+BOA!CN48+'STA MARIA'!CN48+'CB I'!CN48+IG!CN48+PN!CN48+MJ!CN48+'RB I'!CN48+'SF I'!CN48</f>
        <v>0</v>
      </c>
      <c r="CO48" s="218">
        <f>SLP!CO48+ROSA!CO48+'STA ANA'!CO48+BOA!CO48+'STA MARIA'!CO48+'CB I'!CO48+IG!CO48+PN!CO48+MJ!CO48+'RB I'!CO48+'SF I'!CO48</f>
        <v>0</v>
      </c>
      <c r="CP48" s="218">
        <f>SLP!CP48+ROSA!CP48+'STA ANA'!CP48+BOA!CP48+'STA MARIA'!CP48+'CB I'!CP48+IG!CP48+PN!CP48+MJ!CP48+'RB I'!CP48+'SF I'!CP48</f>
        <v>0</v>
      </c>
      <c r="CQ48" s="221">
        <f t="shared" si="14"/>
        <v>-1</v>
      </c>
      <c r="CR48" s="154"/>
      <c r="CS48" s="222" t="e">
        <f t="shared" si="15"/>
        <v>#VALUE!</v>
      </c>
    </row>
    <row r="49" spans="1:101" ht="16" customHeight="1" thickBot="1" x14ac:dyDescent="0.25">
      <c r="A49" s="220" t="s">
        <v>73</v>
      </c>
      <c r="B49" s="30">
        <f t="shared" si="17"/>
        <v>1202550.4136526117</v>
      </c>
      <c r="C49" s="31">
        <f t="shared" si="17"/>
        <v>1085012.9686226114</v>
      </c>
      <c r="D49" s="32">
        <f t="shared" si="17"/>
        <v>117537.44503000002</v>
      </c>
      <c r="E49" s="30">
        <f t="shared" si="19"/>
        <v>400850.13788420393</v>
      </c>
      <c r="F49" s="33">
        <f t="shared" si="19"/>
        <v>361670.98954087053</v>
      </c>
      <c r="G49" s="34">
        <f t="shared" si="19"/>
        <v>39179.148343333341</v>
      </c>
      <c r="H49" s="31">
        <f t="shared" si="18"/>
        <v>736676.82024412137</v>
      </c>
      <c r="I49" s="33">
        <f t="shared" si="18"/>
        <v>71996.964296911479</v>
      </c>
      <c r="J49" s="33">
        <f t="shared" si="18"/>
        <v>808673.78454103298</v>
      </c>
      <c r="K49" s="221">
        <f t="shared" si="2"/>
        <v>1.0173967977395075</v>
      </c>
      <c r="L49" s="218">
        <f>SLP!L49+ROSA!L49+'STA ANA'!L49+BOA!L49+'STA MARIA'!L49+'CB I'!L49+IG!L49+PN!L49+MJ!L49+'RB I'!L49+'SF I'!L49</f>
        <v>100212.53447105098</v>
      </c>
      <c r="M49" s="218">
        <f>SLP!M49+ROSA!M49+'STA ANA'!M49+BOA!M49+'STA MARIA'!M49+'CB I'!M49+IG!M49+PN!M49+MJ!M49+'RB I'!M49+'SF I'!M49</f>
        <v>90417.747385217634</v>
      </c>
      <c r="N49" s="218">
        <f>SLP!N49+ROSA!N49+'STA ANA'!N49+BOA!N49+'STA MARIA'!N49+'CB I'!N49+IG!N49+PN!N49+MJ!N49+'RB I'!N49+'SF I'!N49</f>
        <v>9794.7870858333354</v>
      </c>
      <c r="O49" s="218">
        <f>SLP!O49+ROSA!O49+'STA ANA'!O49+BOA!O49+'STA MARIA'!O49+'CB I'!O49+IG!O49+PN!O49+MJ!O49+'RB I'!O49+'SF I'!O49</f>
        <v>154239.81913388328</v>
      </c>
      <c r="P49" s="218">
        <f>SLP!P49+ROSA!P49+'STA ANA'!P49+BOA!P49+'STA MARIA'!P49+'CB I'!P49+IG!P49+PN!P49+MJ!P49+'RB I'!P49+'SF I'!P49</f>
        <v>14649.808714494609</v>
      </c>
      <c r="Q49" s="218">
        <f>SLP!Q49+ROSA!Q49+'STA ANA'!Q49+BOA!Q49+'STA MARIA'!Q49+'CB I'!Q49+IG!Q49+PN!Q49+MJ!Q49+'RB I'!Q49+'SF I'!Q49</f>
        <v>168889.62784837789</v>
      </c>
      <c r="R49" s="221">
        <f t="shared" si="3"/>
        <v>0.68531440442878022</v>
      </c>
      <c r="S49" s="218">
        <f>SLP!S49+ROSA!S49+'STA ANA'!S49+BOA!S49+'STA MARIA'!S49+'CB I'!S49+IG!S49+PN!S49+MJ!S49+'RB I'!S49+'SF I'!S49</f>
        <v>100212.53447105098</v>
      </c>
      <c r="T49" s="218">
        <f>SLP!T49+ROSA!T49+'STA ANA'!T49+BOA!T49+'STA MARIA'!T49+'CB I'!T49+IG!T49+PN!T49+MJ!T49+'RB I'!T49+'SF I'!T49</f>
        <v>90417.747385217634</v>
      </c>
      <c r="U49" s="218">
        <f>SLP!U49+ROSA!U49+'STA ANA'!U49+BOA!U49+'STA MARIA'!U49+'CB I'!U49+IG!U49+PN!U49+MJ!U49+'RB I'!U49+'SF I'!U49</f>
        <v>9794.7870858333354</v>
      </c>
      <c r="V49" s="218">
        <f>SLP!V49+ROSA!V49+'STA ANA'!V49+BOA!V49+'STA MARIA'!V49+'CB I'!V49+IG!V49+PN!V49+MJ!V49+'RB I'!V49+'SF I'!V49</f>
        <v>118742.48781604297</v>
      </c>
      <c r="W49" s="218">
        <f>SLP!W49+ROSA!W49+'STA ANA'!W49+BOA!W49+'STA MARIA'!W49+'CB I'!W49+IG!W49+PN!W49+MJ!W49+'RB I'!W49+'SF I'!W49</f>
        <v>11466.821220327021</v>
      </c>
      <c r="X49" s="218">
        <f>SLP!X49+ROSA!X49+'STA ANA'!X49+BOA!X49+'STA MARIA'!X49+'CB I'!X49+IG!X49+PN!X49+MJ!X49+'RB I'!X49+'SF I'!X49</f>
        <v>130209.30903636999</v>
      </c>
      <c r="Y49" s="221">
        <f t="shared" si="4"/>
        <v>0.29933156289929341</v>
      </c>
      <c r="Z49" s="218">
        <f>SLP!Z49+ROSA!Z49+'STA ANA'!Z49+BOA!Z49+'STA MARIA'!Z49+'CB I'!Z49+IG!Z49+PN!Z49+MJ!Z49+'RB I'!Z49+'SF I'!Z49</f>
        <v>100212.53447105098</v>
      </c>
      <c r="AA49" s="218">
        <f>SLP!AA49+ROSA!AA49+'STA ANA'!AA49+BOA!AA49+'STA MARIA'!AA49+'CB I'!AA49+IG!AA49+PN!AA49+MJ!AA49+'RB I'!AA49+'SF I'!AA49</f>
        <v>90417.747385217634</v>
      </c>
      <c r="AB49" s="218">
        <f>SLP!AB49+ROSA!AB49+'STA ANA'!AB49+BOA!AB49+'STA MARIA'!AB49+'CB I'!AB49+IG!AB49+PN!AB49+MJ!AB49+'RB I'!AB49+'SF I'!AB49</f>
        <v>9794.7870858333354</v>
      </c>
      <c r="AC49" s="218">
        <f>SLP!AC49+ROSA!AC49+'STA ANA'!AC49+BOA!AC49+'STA MARIA'!AC49+'CB I'!AC49+IG!AC49+PN!AC49+MJ!AC49+'RB I'!AC49+'SF I'!AC49</f>
        <v>98825.996718084236</v>
      </c>
      <c r="AD49" s="218">
        <f>SLP!AD49+ROSA!AD49+'STA ANA'!AD49+BOA!AD49+'STA MARIA'!AD49+'CB I'!AD49+IG!AD49+PN!AD49+MJ!AD49+'RB I'!AD49+'SF I'!AD49</f>
        <v>10599.686200987464</v>
      </c>
      <c r="AE49" s="218">
        <f>SLP!AE49+ROSA!AE49+'STA ANA'!AE49+BOA!AE49+'STA MARIA'!AE49+'CB I'!AE49+IG!AE49+PN!AE49+MJ!AE49+'RB I'!AE49+'SF I'!AE49</f>
        <v>109425.6829190717</v>
      </c>
      <c r="AF49" s="221">
        <f t="shared" si="5"/>
        <v>9.1936088600594879E-2</v>
      </c>
      <c r="AG49" s="218">
        <f>SLP!AG49+ROSA!AG49+'STA ANA'!AG49+BOA!AG49+'STA MARIA'!AG49+'CB I'!AG49+IG!AG49+PN!AG49+MJ!AG49+'RB I'!AG49+'SF I'!AG49</f>
        <v>100212.53447105098</v>
      </c>
      <c r="AH49" s="218">
        <f>SLP!AH49+ROSA!AH49+'STA ANA'!AH49+BOA!AH49+'STA MARIA'!AH49+'CB I'!AH49+IG!AH49+PN!AH49+MJ!AH49+'RB I'!AH49+'SF I'!AH49</f>
        <v>90417.747385217634</v>
      </c>
      <c r="AI49" s="218">
        <f>SLP!AI49+ROSA!AI49+'STA ANA'!AI49+BOA!AI49+'STA MARIA'!AI49+'CB I'!AI49+IG!AI49+PN!AI49+MJ!AI49+'RB I'!AI49+'SF I'!AI49</f>
        <v>9794.7870858333354</v>
      </c>
      <c r="AJ49" s="218">
        <f>SLP!AJ49+ROSA!AJ49+'STA ANA'!AJ49+BOA!AJ49+'STA MARIA'!AJ49+'CB I'!AJ49+IG!AJ49+PN!AJ49+MJ!AJ49+'RB I'!AJ49+'SF I'!AJ49</f>
        <v>114152.67992125939</v>
      </c>
      <c r="AK49" s="218">
        <f>SLP!AK49+ROSA!AK49+'STA ANA'!AK49+BOA!AK49+'STA MARIA'!AK49+'CB I'!AK49+IG!AK49+PN!AK49+MJ!AK49+'RB I'!AK49+'SF I'!AK49</f>
        <v>10611.168063353451</v>
      </c>
      <c r="AL49" s="218">
        <f>SLP!AL49+ROSA!AL49+'STA ANA'!AL49+BOA!AL49+'STA MARIA'!AL49+'CB I'!AL49+IG!AL49+PN!AL49+MJ!AL49+'RB I'!AL49+'SF I'!AL49</f>
        <v>124763.84798461286</v>
      </c>
      <c r="AM49" s="221">
        <f t="shared" si="6"/>
        <v>0.24499244174544033</v>
      </c>
      <c r="AN49" s="218">
        <f>SLP!AN49+ROSA!AN49+'STA ANA'!AN49+BOA!AN49+'STA MARIA'!AN49+'CB I'!AN49+IG!AN49+PN!AN49+MJ!AN49+'RB I'!AN49+'SF I'!AN49</f>
        <v>100212.53447105098</v>
      </c>
      <c r="AO49" s="218">
        <f>SLP!AO49+ROSA!AO49+'STA ANA'!AO49+BOA!AO49+'STA MARIA'!AO49+'CB I'!AO49+IG!AO49+PN!AO49+MJ!AO49+'RB I'!AO49+'SF I'!AO49</f>
        <v>90417.747385217634</v>
      </c>
      <c r="AP49" s="218">
        <f>SLP!AP49+ROSA!AP49+'STA ANA'!AP49+BOA!AP49+'STA MARIA'!AP49+'CB I'!AP49+IG!AP49+PN!AP49+MJ!AP49+'RB I'!AP49+'SF I'!AP49</f>
        <v>9794.7870858333354</v>
      </c>
      <c r="AQ49" s="218">
        <f>SLP!AQ49+ROSA!AQ49+'STA ANA'!AQ49+BOA!AQ49+'STA MARIA'!AQ49+'CB I'!AQ49+IG!AQ49+PN!AQ49+MJ!AQ49+'RB I'!AQ49+'SF I'!AQ49</f>
        <v>127192.9158036913</v>
      </c>
      <c r="AR49" s="218">
        <f>SLP!AR49+ROSA!AR49+'STA ANA'!AR49+BOA!AR49+'STA MARIA'!AR49+'CB I'!AR49+IG!AR49+PN!AR49+MJ!AR49+'RB I'!AR49+'SF I'!AR49</f>
        <v>13187.612812759748</v>
      </c>
      <c r="AS49" s="218">
        <f>SLP!AS49+ROSA!AS49+'STA ANA'!AS49+BOA!AS49+'STA MARIA'!AS49+'CB I'!AS49+IG!AS49+PN!AS49+MJ!AS49+'RB I'!AS49+'SF I'!AS49</f>
        <v>140380.52861645105</v>
      </c>
      <c r="AT49" s="221">
        <f t="shared" si="7"/>
        <v>0.40082804369151681</v>
      </c>
      <c r="AU49" s="218">
        <f>SLP!AU49+ROSA!AU49+'STA ANA'!AU49+BOA!AU49+'STA MARIA'!AU49+'CB I'!AU49+IG!AU49+PN!AU49+MJ!AU49+'RB I'!AU49+'SF I'!AU49</f>
        <v>100212.53447105098</v>
      </c>
      <c r="AV49" s="218">
        <f>SLP!AV49+ROSA!AV49+'STA ANA'!AV49+BOA!AV49+'STA MARIA'!AV49+'CB I'!AV49+IG!AV49+PN!AV49+MJ!AV49+'RB I'!AV49+'SF I'!AV49</f>
        <v>90417.747385217634</v>
      </c>
      <c r="AW49" s="218">
        <f>SLP!AW49+ROSA!AW49+'STA ANA'!AW49+BOA!AW49+'STA MARIA'!AW49+'CB I'!AW49+IG!AW49+PN!AW49+MJ!AW49+'RB I'!AW49+'SF I'!AW49</f>
        <v>9794.7870858333354</v>
      </c>
      <c r="AX49" s="218">
        <f>SLP!AX49+ROSA!AX49+'STA ANA'!AX49+BOA!AX49+'STA MARIA'!AX49+'CB I'!AX49+IG!AX49+PN!AX49+MJ!AX49+'RB I'!AX49+'SF I'!AX49</f>
        <v>123522.92085116016</v>
      </c>
      <c r="AY49" s="218">
        <f>SLP!AY49+ROSA!AY49+'STA ANA'!AY49+BOA!AY49+'STA MARIA'!AY49+'CB I'!AY49+IG!AY49+PN!AY49+MJ!AY49+'RB I'!AY49+'SF I'!AY49</f>
        <v>11481.867284989192</v>
      </c>
      <c r="AZ49" s="218">
        <f>SLP!AZ49+ROSA!AZ49+'STA ANA'!AZ49+BOA!AZ49+'STA MARIA'!AZ49+'CB I'!AZ49+IG!AZ49+PN!AZ49+MJ!AZ49+'RB I'!AZ49+'SF I'!AZ49</f>
        <v>135004.78813614935</v>
      </c>
      <c r="BA49" s="221">
        <f t="shared" si="8"/>
        <v>0.34718464959240225</v>
      </c>
      <c r="BB49" s="218">
        <f>SLP!BB49+ROSA!BB49+'STA ANA'!BB49+BOA!BB49+'STA MARIA'!BB49+'CB I'!BB49+IG!BB49+PN!BB49+MJ!BB49+'RB I'!BB49+'SF I'!BB49</f>
        <v>100212.53447105098</v>
      </c>
      <c r="BC49" s="218">
        <f>SLP!BC49+ROSA!BC49+'STA ANA'!BC49+BOA!BC49+'STA MARIA'!BC49+'CB I'!BC49+IG!BC49+PN!BC49+MJ!BC49+'RB I'!BC49+'SF I'!BC49</f>
        <v>90417.747385217634</v>
      </c>
      <c r="BD49" s="218">
        <f>SLP!BD49+ROSA!BD49+'STA ANA'!BD49+BOA!BD49+'STA MARIA'!BD49+'CB I'!BD49+IG!BD49+PN!BD49+MJ!BD49+'RB I'!BD49+'SF I'!BD49</f>
        <v>9794.7870858333354</v>
      </c>
      <c r="BE49" s="218">
        <f>SLP!BE49+ROSA!BE49+'STA ANA'!BE49+BOA!BE49+'STA MARIA'!BE49+'CB I'!BE49+IG!BE49+PN!BE49+MJ!BE49+'RB I'!BE49+'SF I'!BE49</f>
        <v>0</v>
      </c>
      <c r="BF49" s="218">
        <f>SLP!BF49+ROSA!BF49+'STA ANA'!BF49+BOA!BF49+'STA MARIA'!BF49+'CB I'!BF49+IG!BF49+PN!BF49+MJ!BF49+'RB I'!BF49+'SF I'!BF49</f>
        <v>0</v>
      </c>
      <c r="BG49" s="218">
        <f>SLP!BG49+ROSA!BG49+'STA ANA'!BG49+BOA!BG49+'STA MARIA'!BG49+'CB I'!BG49+IG!BG49+PN!BG49+MJ!BG49+'RB I'!BG49+'SF I'!BG49</f>
        <v>0</v>
      </c>
      <c r="BH49" s="221">
        <f t="shared" si="9"/>
        <v>-1</v>
      </c>
      <c r="BI49" s="218">
        <f>SLP!BI49+ROSA!BI49+'STA ANA'!BI49+BOA!BI49+'STA MARIA'!BI49+'CB I'!BI49+IG!BI49+PN!BI49+MJ!BI49+'RB I'!BI49+'SF I'!BI49</f>
        <v>100212.53447105098</v>
      </c>
      <c r="BJ49" s="218">
        <f>SLP!BJ49+ROSA!BJ49+'STA ANA'!BJ49+BOA!BJ49+'STA MARIA'!BJ49+'CB I'!BJ49+IG!BJ49+PN!BJ49+MJ!BJ49+'RB I'!BJ49+'SF I'!BJ49</f>
        <v>90417.747385217634</v>
      </c>
      <c r="BK49" s="218">
        <f>SLP!BK49+ROSA!BK49+'STA ANA'!BK49+BOA!BK49+'STA MARIA'!BK49+'CB I'!BK49+IG!BK49+PN!BK49+MJ!BK49+'RB I'!BK49+'SF I'!BK49</f>
        <v>9794.7870858333354</v>
      </c>
      <c r="BL49" s="218">
        <f>SLP!BL49+ROSA!BL49+'STA ANA'!BL49+BOA!BL49+'STA MARIA'!BL49+'CB I'!BL49+IG!BL49+PN!BL49+MJ!BL49+'RB I'!BL49+'SF I'!BL49</f>
        <v>0</v>
      </c>
      <c r="BM49" s="218">
        <f>SLP!BM49+ROSA!BM49+'STA ANA'!BM49+BOA!BM49+'STA MARIA'!BM49+'CB I'!BM49+IG!BM49+PN!BM49+MJ!BM49+'RB I'!BM49+'SF I'!BM49</f>
        <v>0</v>
      </c>
      <c r="BN49" s="218">
        <f>SLP!BN49+ROSA!BN49+'STA ANA'!BN49+BOA!BN49+'STA MARIA'!BN49+'CB I'!BN49+IG!BN49+PN!BN49+MJ!BN49+'RB I'!BN49+'SF I'!BN49</f>
        <v>0</v>
      </c>
      <c r="BO49" s="221">
        <f t="shared" si="10"/>
        <v>-1</v>
      </c>
      <c r="BP49" s="218">
        <f>SLP!BP49+ROSA!BP49+'STA ANA'!BP49+BOA!BP49+'STA MARIA'!BP49+'CB I'!BP49+IG!BP49+PN!BP49+MJ!BP49+'RB I'!BP49+'SF I'!BP49</f>
        <v>100212.53447105098</v>
      </c>
      <c r="BQ49" s="218">
        <f>SLP!BQ49+ROSA!BQ49+'STA ANA'!BQ49+BOA!BQ49+'STA MARIA'!BQ49+'CB I'!BQ49+IG!BQ49+PN!BQ49+MJ!BQ49+'RB I'!BQ49+'SF I'!BQ49</f>
        <v>90417.747385217634</v>
      </c>
      <c r="BR49" s="218">
        <f>SLP!BR49+ROSA!BR49+'STA ANA'!BR49+BOA!BR49+'STA MARIA'!BR49+'CB I'!BR49+IG!BR49+PN!BR49+MJ!BR49+'RB I'!BR49+'SF I'!BR49</f>
        <v>9794.7870858333354</v>
      </c>
      <c r="BS49" s="218">
        <f>SLP!BS49+ROSA!BS49+'STA ANA'!BS49+BOA!BS49+'STA MARIA'!BS49+'CB I'!BS49+IG!BS49+PN!BS49+MJ!BS49+'RB I'!BS49+'SF I'!BS49</f>
        <v>0</v>
      </c>
      <c r="BT49" s="218">
        <f>SLP!BT49+ROSA!BT49+'STA ANA'!BT49+BOA!BT49+'STA MARIA'!BT49+'CB I'!BT49+IG!BT49+PN!BT49+MJ!BT49+'RB I'!BT49+'SF I'!BT49</f>
        <v>0</v>
      </c>
      <c r="BU49" s="218">
        <f>SLP!BU49+ROSA!BU49+'STA ANA'!BU49+BOA!BU49+'STA MARIA'!BU49+'CB I'!BU49+IG!BU49+PN!BU49+MJ!BU49+'RB I'!BU49+'SF I'!BU49</f>
        <v>0</v>
      </c>
      <c r="BV49" s="221">
        <f t="shared" si="11"/>
        <v>-1</v>
      </c>
      <c r="BW49" s="218">
        <f>SLP!BW49+ROSA!BW49+'STA ANA'!BW49+BOA!BW49+'STA MARIA'!BW49+'CB I'!BW49+IG!BW49+PN!BW49+MJ!BW49+'RB I'!BW49+'SF I'!BW49</f>
        <v>100212.53447105098</v>
      </c>
      <c r="BX49" s="218">
        <f>SLP!BX49+ROSA!BX49+'STA ANA'!BX49+BOA!BX49+'STA MARIA'!BX49+'CB I'!BX49+IG!BX49+PN!BX49+MJ!BX49+'RB I'!BX49+'SF I'!BX49</f>
        <v>90417.747385217634</v>
      </c>
      <c r="BY49" s="218">
        <f>SLP!BY49+ROSA!BY49+'STA ANA'!BY49+BOA!BY49+'STA MARIA'!BY49+'CB I'!BY49+IG!BY49+PN!BY49+MJ!BY49+'RB I'!BY49+'SF I'!BY49</f>
        <v>9794.7870858333354</v>
      </c>
      <c r="BZ49" s="218">
        <f>SLP!BZ49+ROSA!BZ49+'STA ANA'!BZ49+BOA!BZ49+'STA MARIA'!BZ49+'CB I'!BZ49+IG!BZ49+PN!BZ49+MJ!BZ49+'RB I'!BZ49+'SF I'!BZ49</f>
        <v>0</v>
      </c>
      <c r="CA49" s="218">
        <f>SLP!CA49+ROSA!CA49+'STA ANA'!CA49+BOA!CA49+'STA MARIA'!CA49+'CB I'!CA49+IG!CA49+PN!CA49+MJ!CA49+'RB I'!CA49+'SF I'!CA49</f>
        <v>0</v>
      </c>
      <c r="CB49" s="218">
        <f>SLP!CB49+ROSA!CB49+'STA ANA'!CB49+BOA!CB49+'STA MARIA'!CB49+'CB I'!CB49+IG!CB49+PN!CB49+MJ!CB49+'RB I'!CB49+'SF I'!CB49</f>
        <v>0</v>
      </c>
      <c r="CC49" s="221">
        <f t="shared" si="12"/>
        <v>-1</v>
      </c>
      <c r="CD49" s="218">
        <f>SLP!CD49+ROSA!CD49+'STA ANA'!CD49+BOA!CD49+'STA MARIA'!CD49+'CB I'!CD49+IG!CD49+PN!CD49+MJ!CD49+'RB I'!CD49+'SF I'!CD49</f>
        <v>100212.53447105098</v>
      </c>
      <c r="CE49" s="218">
        <f>SLP!CE49+ROSA!CE49+'STA ANA'!CE49+BOA!CE49+'STA MARIA'!CE49+'CB I'!CE49+IG!CE49+PN!CE49+MJ!CE49+'RB I'!CE49+'SF I'!CE49</f>
        <v>90417.747385217634</v>
      </c>
      <c r="CF49" s="218">
        <f>SLP!CF49+ROSA!CF49+'STA ANA'!CF49+BOA!CF49+'STA MARIA'!CF49+'CB I'!CF49+IG!CF49+PN!CF49+MJ!CF49+'RB I'!CF49+'SF I'!CF49</f>
        <v>9794.7870858333354</v>
      </c>
      <c r="CG49" s="218">
        <f>SLP!CG49+ROSA!CG49+'STA ANA'!CG49+BOA!CG49+'STA MARIA'!CG49+'CB I'!CG49+IG!CG49+PN!CG49+MJ!CG49+'RB I'!CG49+'SF I'!CG49</f>
        <v>0</v>
      </c>
      <c r="CH49" s="218">
        <f>SLP!CH49+ROSA!CH49+'STA ANA'!CH49+BOA!CH49+'STA MARIA'!CH49+'CB I'!CH49+IG!CH49+PN!CH49+MJ!CH49+'RB I'!CH49+'SF I'!CH49</f>
        <v>0</v>
      </c>
      <c r="CI49" s="218">
        <f>SLP!CI49+ROSA!CI49+'STA ANA'!CI49+BOA!CI49+'STA MARIA'!CI49+'CB I'!CI49+IG!CI49+PN!CI49+MJ!CI49+'RB I'!CI49+'SF I'!CI49</f>
        <v>0</v>
      </c>
      <c r="CJ49" s="221">
        <f t="shared" si="13"/>
        <v>-1</v>
      </c>
      <c r="CK49" s="218">
        <f>SLP!CK49+ROSA!CK49+'STA ANA'!CK49+BOA!CK49+'STA MARIA'!CK49+'CB I'!CK49+IG!CK49+PN!CK49+MJ!CK49+'RB I'!CK49+'SF I'!CK49</f>
        <v>100212.53447105098</v>
      </c>
      <c r="CL49" s="218">
        <f>SLP!CL49+ROSA!CL49+'STA ANA'!CL49+BOA!CL49+'STA MARIA'!CL49+'CB I'!CL49+IG!CL49+PN!CL49+MJ!CL49+'RB I'!CL49+'SF I'!CL49</f>
        <v>90417.747385217634</v>
      </c>
      <c r="CM49" s="218">
        <f>SLP!CM49+ROSA!CM49+'STA ANA'!CM49+BOA!CM49+'STA MARIA'!CM49+'CB I'!CM49+IG!CM49+PN!CM49+MJ!CM49+'RB I'!CM49+'SF I'!CM49</f>
        <v>9794.7870858333354</v>
      </c>
      <c r="CN49" s="218">
        <f>SLP!CN49+ROSA!CN49+'STA ANA'!CN49+BOA!CN49+'STA MARIA'!CN49+'CB I'!CN49+IG!CN49+PN!CN49+MJ!CN49+'RB I'!CN49+'SF I'!CN49</f>
        <v>0</v>
      </c>
      <c r="CO49" s="218">
        <f>SLP!CO49+ROSA!CO49+'STA ANA'!CO49+BOA!CO49+'STA MARIA'!CO49+'CB I'!CO49+IG!CO49+PN!CO49+MJ!CO49+'RB I'!CO49+'SF I'!CO49</f>
        <v>0</v>
      </c>
      <c r="CP49" s="218">
        <f>SLP!CP49+ROSA!CP49+'STA ANA'!CP49+BOA!CP49+'STA MARIA'!CP49+'CB I'!CP49+IG!CP49+PN!CP49+MJ!CP49+'RB I'!CP49+'SF I'!CP49</f>
        <v>0</v>
      </c>
      <c r="CQ49" s="221">
        <f t="shared" si="14"/>
        <v>-1</v>
      </c>
      <c r="CR49" s="154"/>
      <c r="CS49" s="222" t="e">
        <f t="shared" si="15"/>
        <v>#VALUE!</v>
      </c>
    </row>
    <row r="50" spans="1:101" ht="16" customHeight="1" thickBot="1" x14ac:dyDescent="0.25">
      <c r="A50" s="220" t="s">
        <v>74</v>
      </c>
      <c r="B50" s="30">
        <f t="shared" si="17"/>
        <v>85013.229600000021</v>
      </c>
      <c r="C50" s="31">
        <f t="shared" si="17"/>
        <v>76189.804593275985</v>
      </c>
      <c r="D50" s="32">
        <f t="shared" si="17"/>
        <v>8823.4250067239991</v>
      </c>
      <c r="E50" s="30">
        <f t="shared" si="19"/>
        <v>28337.743200000004</v>
      </c>
      <c r="F50" s="33">
        <f t="shared" si="19"/>
        <v>25396.601531091997</v>
      </c>
      <c r="G50" s="34">
        <f t="shared" si="19"/>
        <v>2941.1416689079997</v>
      </c>
      <c r="H50" s="31">
        <f t="shared" si="18"/>
        <v>37812.415559506349</v>
      </c>
      <c r="I50" s="33">
        <f t="shared" si="18"/>
        <v>4291.7755479944162</v>
      </c>
      <c r="J50" s="33">
        <f t="shared" si="18"/>
        <v>42104.191107500759</v>
      </c>
      <c r="K50" s="221">
        <f t="shared" si="2"/>
        <v>0.48579902112673357</v>
      </c>
      <c r="L50" s="218">
        <f>SLP!L50+ROSA!L50+'STA ANA'!L50+BOA!L50+'STA MARIA'!L50+'CB I'!L50+IG!L50+PN!L50+MJ!L50+'RB I'!L50+'SF I'!L50</f>
        <v>7084.4358000000011</v>
      </c>
      <c r="M50" s="218">
        <f>SLP!M50+ROSA!M50+'STA ANA'!M50+BOA!M50+'STA MARIA'!M50+'CB I'!M50+IG!M50+PN!M50+MJ!M50+'RB I'!M50+'SF I'!M50</f>
        <v>6349.1503827729994</v>
      </c>
      <c r="N50" s="218">
        <f>SLP!N50+ROSA!N50+'STA ANA'!N50+BOA!N50+'STA MARIA'!N50+'CB I'!N50+IG!N50+PN!N50+MJ!N50+'RB I'!N50+'SF I'!N50</f>
        <v>735.28541722699993</v>
      </c>
      <c r="O50" s="218">
        <f>SLP!O50+ROSA!O50+'STA ANA'!O50+BOA!O50+'STA MARIA'!O50+'CB I'!O50+IG!O50+PN!O50+MJ!O50+'RB I'!O50+'SF I'!O50</f>
        <v>5932.9780583788961</v>
      </c>
      <c r="P50" s="218">
        <f>SLP!P50+ROSA!P50+'STA ANA'!P50+BOA!P50+'STA MARIA'!P50+'CB I'!P50+IG!P50+PN!P50+MJ!P50+'RB I'!P50+'SF I'!P50</f>
        <v>687.37174470166804</v>
      </c>
      <c r="Q50" s="218">
        <f>SLP!Q50+ROSA!Q50+'STA ANA'!Q50+BOA!Q50+'STA MARIA'!Q50+'CB I'!Q50+IG!Q50+PN!Q50+MJ!Q50+'RB I'!Q50+'SF I'!Q50</f>
        <v>6620.3498030805631</v>
      </c>
      <c r="R50" s="221">
        <f t="shared" si="3"/>
        <v>-6.550782730213156E-2</v>
      </c>
      <c r="S50" s="218">
        <f>SLP!S50+ROSA!S50+'STA ANA'!S50+BOA!S50+'STA MARIA'!S50+'CB I'!S50+IG!S50+PN!S50+MJ!S50+'RB I'!S50+'SF I'!S50</f>
        <v>7084.4358000000011</v>
      </c>
      <c r="T50" s="218">
        <f>SLP!T50+ROSA!T50+'STA ANA'!T50+BOA!T50+'STA MARIA'!T50+'CB I'!T50+IG!T50+PN!T50+MJ!T50+'RB I'!T50+'SF I'!T50</f>
        <v>6349.1503827729994</v>
      </c>
      <c r="U50" s="218">
        <f>SLP!U50+ROSA!U50+'STA ANA'!U50+BOA!U50+'STA MARIA'!U50+'CB I'!U50+IG!U50+PN!U50+MJ!U50+'RB I'!U50+'SF I'!U50</f>
        <v>735.28541722699993</v>
      </c>
      <c r="V50" s="218">
        <f>SLP!V50+ROSA!V50+'STA ANA'!V50+BOA!V50+'STA MARIA'!V50+'CB I'!V50+IG!V50+PN!V50+MJ!V50+'RB I'!V50+'SF I'!V50</f>
        <v>6844.7413758797156</v>
      </c>
      <c r="W50" s="218">
        <f>SLP!W50+ROSA!W50+'STA ANA'!W50+BOA!W50+'STA MARIA'!W50+'CB I'!W50+IG!W50+PN!W50+MJ!W50+'RB I'!W50+'SF I'!W50</f>
        <v>793.04921309614349</v>
      </c>
      <c r="X50" s="218">
        <f>SLP!X50+ROSA!X50+'STA ANA'!X50+BOA!X50+'STA MARIA'!X50+'CB I'!X50+IG!X50+PN!X50+MJ!X50+'RB I'!X50+'SF I'!X50</f>
        <v>7637.7905889758586</v>
      </c>
      <c r="Y50" s="221">
        <f t="shared" si="4"/>
        <v>7.810851909701233E-2</v>
      </c>
      <c r="Z50" s="218">
        <f>SLP!Z50+ROSA!Z50+'STA ANA'!Z50+BOA!Z50+'STA MARIA'!Z50+'CB I'!Z50+IG!Z50+PN!Z50+MJ!Z50+'RB I'!Z50+'SF I'!Z50</f>
        <v>7084.4358000000011</v>
      </c>
      <c r="AA50" s="218">
        <f>SLP!AA50+ROSA!AA50+'STA ANA'!AA50+BOA!AA50+'STA MARIA'!AA50+'CB I'!AA50+IG!AA50+PN!AA50+MJ!AA50+'RB I'!AA50+'SF I'!AA50</f>
        <v>6349.1503827729994</v>
      </c>
      <c r="AB50" s="218">
        <f>SLP!AB50+ROSA!AB50+'STA ANA'!AB50+BOA!AB50+'STA MARIA'!AB50+'CB I'!AB50+IG!AB50+PN!AB50+MJ!AB50+'RB I'!AB50+'SF I'!AB50</f>
        <v>735.28541722699993</v>
      </c>
      <c r="AC50" s="218">
        <f>SLP!AC50+ROSA!AC50+'STA ANA'!AC50+BOA!AC50+'STA MARIA'!AC50+'CB I'!AC50+IG!AC50+PN!AC50+MJ!AC50+'RB I'!AC50+'SF I'!AC50</f>
        <v>13131.927779148527</v>
      </c>
      <c r="AD50" s="218">
        <f>SLP!AD50+ROSA!AD50+'STA ANA'!AD50+BOA!AD50+'STA MARIA'!AD50+'CB I'!AD50+IG!AD50+PN!AD50+MJ!AD50+'RB I'!AD50+'SF I'!AD50</f>
        <v>1433.7185513438378</v>
      </c>
      <c r="AE50" s="218">
        <f>SLP!AE50+ROSA!AE50+'STA ANA'!AE50+BOA!AE50+'STA MARIA'!AE50+'CB I'!AE50+IG!AE50+PN!AE50+MJ!AE50+'RB I'!AE50+'SF I'!AE50</f>
        <v>14565.646330492367</v>
      </c>
      <c r="AF50" s="221">
        <f t="shared" si="5"/>
        <v>1.0560065390799878</v>
      </c>
      <c r="AG50" s="218">
        <f>SLP!AG50+ROSA!AG50+'STA ANA'!AG50+BOA!AG50+'STA MARIA'!AG50+'CB I'!AG50+IG!AG50+PN!AG50+MJ!AG50+'RB I'!AG50+'SF I'!AG50</f>
        <v>7084.4358000000011</v>
      </c>
      <c r="AH50" s="218">
        <f>SLP!AH50+ROSA!AH50+'STA ANA'!AH50+BOA!AH50+'STA MARIA'!AH50+'CB I'!AH50+IG!AH50+PN!AH50+MJ!AH50+'RB I'!AH50+'SF I'!AH50</f>
        <v>6349.1503827729994</v>
      </c>
      <c r="AI50" s="218">
        <f>SLP!AI50+ROSA!AI50+'STA ANA'!AI50+BOA!AI50+'STA MARIA'!AI50+'CB I'!AI50+IG!AI50+PN!AI50+MJ!AI50+'RB I'!AI50+'SF I'!AI50</f>
        <v>735.28541722699993</v>
      </c>
      <c r="AJ50" s="218">
        <f>SLP!AJ50+ROSA!AJ50+'STA ANA'!AJ50+BOA!AJ50+'STA MARIA'!AJ50+'CB I'!AJ50+IG!AJ50+PN!AJ50+MJ!AJ50+'RB I'!AJ50+'SF I'!AJ50</f>
        <v>5610.8551620327989</v>
      </c>
      <c r="AK50" s="218">
        <f>SLP!AK50+ROSA!AK50+'STA ANA'!AK50+BOA!AK50+'STA MARIA'!AK50+'CB I'!AK50+IG!AK50+PN!AK50+MJ!AK50+'RB I'!AK50+'SF I'!AK50</f>
        <v>650.05037296951298</v>
      </c>
      <c r="AL50" s="218">
        <f>SLP!AL50+ROSA!AL50+'STA ANA'!AL50+BOA!AL50+'STA MARIA'!AL50+'CB I'!AL50+IG!AL50+PN!AL50+MJ!AL50+'RB I'!AL50+'SF I'!AL50</f>
        <v>6260.9055350023118</v>
      </c>
      <c r="AM50" s="221">
        <f t="shared" si="6"/>
        <v>-0.11624500358909162</v>
      </c>
      <c r="AN50" s="218">
        <f>SLP!AN50+ROSA!AN50+'STA ANA'!AN50+BOA!AN50+'STA MARIA'!AN50+'CB I'!AN50+IG!AN50+PN!AN50+MJ!AN50+'RB I'!AN50+'SF I'!AN50</f>
        <v>7084.4358000000011</v>
      </c>
      <c r="AO50" s="218">
        <f>SLP!AO50+ROSA!AO50+'STA ANA'!AO50+BOA!AO50+'STA MARIA'!AO50+'CB I'!AO50+IG!AO50+PN!AO50+MJ!AO50+'RB I'!AO50+'SF I'!AO50</f>
        <v>6349.1503827729994</v>
      </c>
      <c r="AP50" s="218">
        <f>SLP!AP50+ROSA!AP50+'STA ANA'!AP50+BOA!AP50+'STA MARIA'!AP50+'CB I'!AP50+IG!AP50+PN!AP50+MJ!AP50+'RB I'!AP50+'SF I'!AP50</f>
        <v>735.28541722699993</v>
      </c>
      <c r="AQ50" s="218">
        <f>SLP!AQ50+ROSA!AQ50+'STA ANA'!AQ50+BOA!AQ50+'STA MARIA'!AQ50+'CB I'!AQ50+IG!AQ50+PN!AQ50+MJ!AQ50+'RB I'!AQ50+'SF I'!AQ50</f>
        <v>4797.7191220196228</v>
      </c>
      <c r="AR50" s="218">
        <f>SLP!AR50+ROSA!AR50+'STA ANA'!AR50+BOA!AR50+'STA MARIA'!AR50+'CB I'!AR50+IG!AR50+PN!AR50+MJ!AR50+'RB I'!AR50+'SF I'!AR50</f>
        <v>555.00841719847995</v>
      </c>
      <c r="AS50" s="218">
        <f>SLP!AS50+ROSA!AS50+'STA ANA'!AS50+BOA!AS50+'STA MARIA'!AS50+'CB I'!AS50+IG!AS50+PN!AS50+MJ!AS50+'RB I'!AS50+'SF I'!AS50</f>
        <v>5352.7275392181027</v>
      </c>
      <c r="AT50" s="221">
        <f t="shared" si="7"/>
        <v>-0.24443841537556144</v>
      </c>
      <c r="AU50" s="218">
        <f>SLP!AU50+ROSA!AU50+'STA ANA'!AU50+BOA!AU50+'STA MARIA'!AU50+'CB I'!AU50+IG!AU50+PN!AU50+MJ!AU50+'RB I'!AU50+'SF I'!AU50</f>
        <v>7084.4358000000011</v>
      </c>
      <c r="AV50" s="218">
        <f>SLP!AV50+ROSA!AV50+'STA ANA'!AV50+BOA!AV50+'STA MARIA'!AV50+'CB I'!AV50+IG!AV50+PN!AV50+MJ!AV50+'RB I'!AV50+'SF I'!AV50</f>
        <v>6349.1503827729994</v>
      </c>
      <c r="AW50" s="218">
        <f>SLP!AW50+ROSA!AW50+'STA ANA'!AW50+BOA!AW50+'STA MARIA'!AW50+'CB I'!AW50+IG!AW50+PN!AW50+MJ!AW50+'RB I'!AW50+'SF I'!AW50</f>
        <v>735.28541722699993</v>
      </c>
      <c r="AX50" s="218">
        <f>SLP!AX50+ROSA!AX50+'STA ANA'!AX50+BOA!AX50+'STA MARIA'!AX50+'CB I'!AX50+IG!AX50+PN!AX50+MJ!AX50+'RB I'!AX50+'SF I'!AX50</f>
        <v>1494.1940620467867</v>
      </c>
      <c r="AY50" s="218">
        <f>SLP!AY50+ROSA!AY50+'STA ANA'!AY50+BOA!AY50+'STA MARIA'!AY50+'CB I'!AY50+IG!AY50+PN!AY50+MJ!AY50+'RB I'!AY50+'SF I'!AY50</f>
        <v>172.57724868477322</v>
      </c>
      <c r="AZ50" s="218">
        <f>SLP!AZ50+ROSA!AZ50+'STA ANA'!AZ50+BOA!AZ50+'STA MARIA'!AZ50+'CB I'!AZ50+IG!AZ50+PN!AZ50+MJ!AZ50+'RB I'!AZ50+'SF I'!AZ50</f>
        <v>1666.7713107315601</v>
      </c>
      <c r="BA50" s="221">
        <f t="shared" si="8"/>
        <v>-0.76472772740328032</v>
      </c>
      <c r="BB50" s="218">
        <f>SLP!BB50+ROSA!BB50+'STA ANA'!BB50+BOA!BB50+'STA MARIA'!BB50+'CB I'!BB50+IG!BB50+PN!BB50+MJ!BB50+'RB I'!BB50+'SF I'!BB50</f>
        <v>7084.4358000000011</v>
      </c>
      <c r="BC50" s="218">
        <f>SLP!BC50+ROSA!BC50+'STA ANA'!BC50+BOA!BC50+'STA MARIA'!BC50+'CB I'!BC50+IG!BC50+PN!BC50+MJ!BC50+'RB I'!BC50+'SF I'!BC50</f>
        <v>6349.1503827729994</v>
      </c>
      <c r="BD50" s="218">
        <f>SLP!BD50+ROSA!BD50+'STA ANA'!BD50+BOA!BD50+'STA MARIA'!BD50+'CB I'!BD50+IG!BD50+PN!BD50+MJ!BD50+'RB I'!BD50+'SF I'!BD50</f>
        <v>735.28541722699993</v>
      </c>
      <c r="BE50" s="218">
        <f>SLP!BE50+ROSA!BE50+'STA ANA'!BE50+BOA!BE50+'STA MARIA'!BE50+'CB I'!BE50+IG!BE50+PN!BE50+MJ!BE50+'RB I'!BE50+'SF I'!BE50</f>
        <v>0</v>
      </c>
      <c r="BF50" s="218">
        <f>SLP!BF50+ROSA!BF50+'STA ANA'!BF50+BOA!BF50+'STA MARIA'!BF50+'CB I'!BF50+IG!BF50+PN!BF50+MJ!BF50+'RB I'!BF50+'SF I'!BF50</f>
        <v>0</v>
      </c>
      <c r="BG50" s="218">
        <f>SLP!BG50+ROSA!BG50+'STA ANA'!BG50+BOA!BG50+'STA MARIA'!BG50+'CB I'!BG50+IG!BG50+PN!BG50+MJ!BG50+'RB I'!BG50+'SF I'!BG50</f>
        <v>0</v>
      </c>
      <c r="BH50" s="221">
        <f t="shared" si="9"/>
        <v>-1</v>
      </c>
      <c r="BI50" s="218">
        <f>SLP!BI50+ROSA!BI50+'STA ANA'!BI50+BOA!BI50+'STA MARIA'!BI50+'CB I'!BI50+IG!BI50+PN!BI50+MJ!BI50+'RB I'!BI50+'SF I'!BI50</f>
        <v>7084.4358000000011</v>
      </c>
      <c r="BJ50" s="218">
        <f>SLP!BJ50+ROSA!BJ50+'STA ANA'!BJ50+BOA!BJ50+'STA MARIA'!BJ50+'CB I'!BJ50+IG!BJ50+PN!BJ50+MJ!BJ50+'RB I'!BJ50+'SF I'!BJ50</f>
        <v>6349.1503827729994</v>
      </c>
      <c r="BK50" s="218">
        <f>SLP!BK50+ROSA!BK50+'STA ANA'!BK50+BOA!BK50+'STA MARIA'!BK50+'CB I'!BK50+IG!BK50+PN!BK50+MJ!BK50+'RB I'!BK50+'SF I'!BK50</f>
        <v>735.28541722699993</v>
      </c>
      <c r="BL50" s="218">
        <f>SLP!BL50+ROSA!BL50+'STA ANA'!BL50+BOA!BL50+'STA MARIA'!BL50+'CB I'!BL50+IG!BL50+PN!BL50+MJ!BL50+'RB I'!BL50+'SF I'!BL50</f>
        <v>0</v>
      </c>
      <c r="BM50" s="218">
        <f>SLP!BM50+ROSA!BM50+'STA ANA'!BM50+BOA!BM50+'STA MARIA'!BM50+'CB I'!BM50+IG!BM50+PN!BM50+MJ!BM50+'RB I'!BM50+'SF I'!BM50</f>
        <v>0</v>
      </c>
      <c r="BN50" s="218">
        <f>SLP!BN50+ROSA!BN50+'STA ANA'!BN50+BOA!BN50+'STA MARIA'!BN50+'CB I'!BN50+IG!BN50+PN!BN50+MJ!BN50+'RB I'!BN50+'SF I'!BN50</f>
        <v>0</v>
      </c>
      <c r="BO50" s="221">
        <f t="shared" si="10"/>
        <v>-1</v>
      </c>
      <c r="BP50" s="218">
        <f>SLP!BP50+ROSA!BP50+'STA ANA'!BP50+BOA!BP50+'STA MARIA'!BP50+'CB I'!BP50+IG!BP50+PN!BP50+MJ!BP50+'RB I'!BP50+'SF I'!BP50</f>
        <v>7084.4358000000011</v>
      </c>
      <c r="BQ50" s="218">
        <f>SLP!BQ50+ROSA!BQ50+'STA ANA'!BQ50+BOA!BQ50+'STA MARIA'!BQ50+'CB I'!BQ50+IG!BQ50+PN!BQ50+MJ!BQ50+'RB I'!BQ50+'SF I'!BQ50</f>
        <v>6349.1503827729994</v>
      </c>
      <c r="BR50" s="218">
        <f>SLP!BR50+ROSA!BR50+'STA ANA'!BR50+BOA!BR50+'STA MARIA'!BR50+'CB I'!BR50+IG!BR50+PN!BR50+MJ!BR50+'RB I'!BR50+'SF I'!BR50</f>
        <v>735.28541722699993</v>
      </c>
      <c r="BS50" s="218">
        <f>SLP!BS50+ROSA!BS50+'STA ANA'!BS50+BOA!BS50+'STA MARIA'!BS50+'CB I'!BS50+IG!BS50+PN!BS50+MJ!BS50+'RB I'!BS50+'SF I'!BS50</f>
        <v>0</v>
      </c>
      <c r="BT50" s="218">
        <f>SLP!BT50+ROSA!BT50+'STA ANA'!BT50+BOA!BT50+'STA MARIA'!BT50+'CB I'!BT50+IG!BT50+PN!BT50+MJ!BT50+'RB I'!BT50+'SF I'!BT50</f>
        <v>0</v>
      </c>
      <c r="BU50" s="218">
        <f>SLP!BU50+ROSA!BU50+'STA ANA'!BU50+BOA!BU50+'STA MARIA'!BU50+'CB I'!BU50+IG!BU50+PN!BU50+MJ!BU50+'RB I'!BU50+'SF I'!BU50</f>
        <v>0</v>
      </c>
      <c r="BV50" s="221">
        <f t="shared" si="11"/>
        <v>-1</v>
      </c>
      <c r="BW50" s="218">
        <f>SLP!BW50+ROSA!BW50+'STA ANA'!BW50+BOA!BW50+'STA MARIA'!BW50+'CB I'!BW50+IG!BW50+PN!BW50+MJ!BW50+'RB I'!BW50+'SF I'!BW50</f>
        <v>7084.4358000000011</v>
      </c>
      <c r="BX50" s="218">
        <f>SLP!BX50+ROSA!BX50+'STA ANA'!BX50+BOA!BX50+'STA MARIA'!BX50+'CB I'!BX50+IG!BX50+PN!BX50+MJ!BX50+'RB I'!BX50+'SF I'!BX50</f>
        <v>6349.1503827729994</v>
      </c>
      <c r="BY50" s="218">
        <f>SLP!BY50+ROSA!BY50+'STA ANA'!BY50+BOA!BY50+'STA MARIA'!BY50+'CB I'!BY50+IG!BY50+PN!BY50+MJ!BY50+'RB I'!BY50+'SF I'!BY50</f>
        <v>735.28541722699993</v>
      </c>
      <c r="BZ50" s="218">
        <f>SLP!BZ50+ROSA!BZ50+'STA ANA'!BZ50+BOA!BZ50+'STA MARIA'!BZ50+'CB I'!BZ50+IG!BZ50+PN!BZ50+MJ!BZ50+'RB I'!BZ50+'SF I'!BZ50</f>
        <v>0</v>
      </c>
      <c r="CA50" s="218">
        <f>SLP!CA50+ROSA!CA50+'STA ANA'!CA50+BOA!CA50+'STA MARIA'!CA50+'CB I'!CA50+IG!CA50+PN!CA50+MJ!CA50+'RB I'!CA50+'SF I'!CA50</f>
        <v>0</v>
      </c>
      <c r="CB50" s="218">
        <f>SLP!CB50+ROSA!CB50+'STA ANA'!CB50+BOA!CB50+'STA MARIA'!CB50+'CB I'!CB50+IG!CB50+PN!CB50+MJ!CB50+'RB I'!CB50+'SF I'!CB50</f>
        <v>0</v>
      </c>
      <c r="CC50" s="221">
        <f t="shared" si="12"/>
        <v>-1</v>
      </c>
      <c r="CD50" s="218">
        <f>SLP!CD50+ROSA!CD50+'STA ANA'!CD50+BOA!CD50+'STA MARIA'!CD50+'CB I'!CD50+IG!CD50+PN!CD50+MJ!CD50+'RB I'!CD50+'SF I'!CD50</f>
        <v>7084.4358000000011</v>
      </c>
      <c r="CE50" s="218">
        <f>SLP!CE50+ROSA!CE50+'STA ANA'!CE50+BOA!CE50+'STA MARIA'!CE50+'CB I'!CE50+IG!CE50+PN!CE50+MJ!CE50+'RB I'!CE50+'SF I'!CE50</f>
        <v>6349.1503827729994</v>
      </c>
      <c r="CF50" s="218">
        <f>SLP!CF50+ROSA!CF50+'STA ANA'!CF50+BOA!CF50+'STA MARIA'!CF50+'CB I'!CF50+IG!CF50+PN!CF50+MJ!CF50+'RB I'!CF50+'SF I'!CF50</f>
        <v>735.28541722699993</v>
      </c>
      <c r="CG50" s="218">
        <f>SLP!CG50+ROSA!CG50+'STA ANA'!CG50+BOA!CG50+'STA MARIA'!CG50+'CB I'!CG50+IG!CG50+PN!CG50+MJ!CG50+'RB I'!CG50+'SF I'!CG50</f>
        <v>0</v>
      </c>
      <c r="CH50" s="218">
        <f>SLP!CH50+ROSA!CH50+'STA ANA'!CH50+BOA!CH50+'STA MARIA'!CH50+'CB I'!CH50+IG!CH50+PN!CH50+MJ!CH50+'RB I'!CH50+'SF I'!CH50</f>
        <v>0</v>
      </c>
      <c r="CI50" s="218">
        <f>SLP!CI50+ROSA!CI50+'STA ANA'!CI50+BOA!CI50+'STA MARIA'!CI50+'CB I'!CI50+IG!CI50+PN!CI50+MJ!CI50+'RB I'!CI50+'SF I'!CI50</f>
        <v>0</v>
      </c>
      <c r="CJ50" s="221">
        <f t="shared" si="13"/>
        <v>-1</v>
      </c>
      <c r="CK50" s="218">
        <f>SLP!CK50+ROSA!CK50+'STA ANA'!CK50+BOA!CK50+'STA MARIA'!CK50+'CB I'!CK50+IG!CK50+PN!CK50+MJ!CK50+'RB I'!CK50+'SF I'!CK50</f>
        <v>7084.4358000000011</v>
      </c>
      <c r="CL50" s="218">
        <f>SLP!CL50+ROSA!CL50+'STA ANA'!CL50+BOA!CL50+'STA MARIA'!CL50+'CB I'!CL50+IG!CL50+PN!CL50+MJ!CL50+'RB I'!CL50+'SF I'!CL50</f>
        <v>6349.1503827729994</v>
      </c>
      <c r="CM50" s="218">
        <f>SLP!CM50+ROSA!CM50+'STA ANA'!CM50+BOA!CM50+'STA MARIA'!CM50+'CB I'!CM50+IG!CM50+PN!CM50+MJ!CM50+'RB I'!CM50+'SF I'!CM50</f>
        <v>735.28541722699993</v>
      </c>
      <c r="CN50" s="218">
        <f>SLP!CN50+ROSA!CN50+'STA ANA'!CN50+BOA!CN50+'STA MARIA'!CN50+'CB I'!CN50+IG!CN50+PN!CN50+MJ!CN50+'RB I'!CN50+'SF I'!CN50</f>
        <v>0</v>
      </c>
      <c r="CO50" s="218">
        <f>SLP!CO50+ROSA!CO50+'STA ANA'!CO50+BOA!CO50+'STA MARIA'!CO50+'CB I'!CO50+IG!CO50+PN!CO50+MJ!CO50+'RB I'!CO50+'SF I'!CO50</f>
        <v>0</v>
      </c>
      <c r="CP50" s="218">
        <f>SLP!CP50+ROSA!CP50+'STA ANA'!CP50+BOA!CP50+'STA MARIA'!CP50+'CB I'!CP50+IG!CP50+PN!CP50+MJ!CP50+'RB I'!CP50+'SF I'!CP50</f>
        <v>0</v>
      </c>
      <c r="CQ50" s="221">
        <f t="shared" si="14"/>
        <v>-1</v>
      </c>
      <c r="CR50" s="154"/>
      <c r="CS50" s="222" t="e">
        <f t="shared" si="15"/>
        <v>#VALUE!</v>
      </c>
    </row>
    <row r="51" spans="1:101" ht="16" customHeight="1" thickBot="1" x14ac:dyDescent="0.25">
      <c r="A51" s="220" t="s">
        <v>75</v>
      </c>
      <c r="B51" s="30">
        <f t="shared" si="17"/>
        <v>63897.066183599993</v>
      </c>
      <c r="C51" s="31">
        <f t="shared" si="17"/>
        <v>57265.263412744243</v>
      </c>
      <c r="D51" s="32">
        <f t="shared" si="17"/>
        <v>6631.8027708557338</v>
      </c>
      <c r="E51" s="30">
        <f t="shared" si="19"/>
        <v>21299.022061199998</v>
      </c>
      <c r="F51" s="33">
        <f t="shared" si="19"/>
        <v>19088.421137581419</v>
      </c>
      <c r="G51" s="34">
        <f t="shared" si="19"/>
        <v>2210.6009236185778</v>
      </c>
      <c r="H51" s="31">
        <f t="shared" si="18"/>
        <v>28277.040816921926</v>
      </c>
      <c r="I51" s="33">
        <f t="shared" si="18"/>
        <v>3290.9591704017489</v>
      </c>
      <c r="J51" s="33">
        <f t="shared" si="18"/>
        <v>31567.999987323681</v>
      </c>
      <c r="K51" s="221">
        <f t="shared" si="2"/>
        <v>0.482133775748816</v>
      </c>
      <c r="L51" s="218">
        <f>SLP!L51+ROSA!L51+'STA ANA'!L51+BOA!L51+'STA MARIA'!L51+'CB I'!L51+IG!L51+PN!L51+MJ!L51+'RB I'!L51+'SF I'!L51</f>
        <v>5324.7555152999994</v>
      </c>
      <c r="M51" s="218">
        <f>SLP!M51+ROSA!M51+'STA ANA'!M51+BOA!M51+'STA MARIA'!M51+'CB I'!M51+IG!M51+PN!M51+MJ!M51+'RB I'!M51+'SF I'!M51</f>
        <v>4772.1052843953548</v>
      </c>
      <c r="N51" s="218">
        <f>SLP!N51+ROSA!N51+'STA ANA'!N51+BOA!N51+'STA MARIA'!N51+'CB I'!N51+IG!N51+PN!N51+MJ!N51+'RB I'!N51+'SF I'!N51</f>
        <v>552.65023090464445</v>
      </c>
      <c r="O51" s="218">
        <f>SLP!O51+ROSA!O51+'STA ANA'!O51+BOA!O51+'STA MARIA'!O51+'CB I'!O51+IG!O51+PN!O51+MJ!O51+'RB I'!O51+'SF I'!O51</f>
        <v>4780.9271685301856</v>
      </c>
      <c r="P51" s="218">
        <f>SLP!P51+ROSA!P51+'STA ANA'!P51+BOA!P51+'STA MARIA'!P51+'CB I'!P51+IG!P51+PN!P51+MJ!P51+'RB I'!P51+'SF I'!P51</f>
        <v>568.75412735336602</v>
      </c>
      <c r="Q51" s="218">
        <f>SLP!Q51+ROSA!Q51+'STA ANA'!Q51+BOA!Q51+'STA MARIA'!Q51+'CB I'!Q51+IG!Q51+PN!Q51+MJ!Q51+'RB I'!Q51+'SF I'!Q51</f>
        <v>5349.6812958835526</v>
      </c>
      <c r="R51" s="221">
        <f t="shared" si="3"/>
        <v>4.6811126843162576E-3</v>
      </c>
      <c r="S51" s="218">
        <f>SLP!S51+ROSA!S51+'STA ANA'!S51+BOA!S51+'STA MARIA'!S51+'CB I'!S51+IG!S51+PN!S51+MJ!S51+'RB I'!S51+'SF I'!S51</f>
        <v>5324.7555152999994</v>
      </c>
      <c r="T51" s="218">
        <f>SLP!T51+ROSA!T51+'STA ANA'!T51+BOA!T51+'STA MARIA'!T51+'CB I'!T51+IG!T51+PN!T51+MJ!T51+'RB I'!T51+'SF I'!T51</f>
        <v>4772.1052843953548</v>
      </c>
      <c r="U51" s="218">
        <f>SLP!U51+ROSA!U51+'STA ANA'!U51+BOA!U51+'STA MARIA'!U51+'CB I'!U51+IG!U51+PN!U51+MJ!U51+'RB I'!U51+'SF I'!U51</f>
        <v>552.65023090464445</v>
      </c>
      <c r="V51" s="218">
        <f>SLP!V51+ROSA!V51+'STA ANA'!V51+BOA!V51+'STA MARIA'!V51+'CB I'!V51+IG!V51+PN!V51+MJ!V51+'RB I'!V51+'SF I'!V51</f>
        <v>4600.7673980380696</v>
      </c>
      <c r="W51" s="218">
        <f>SLP!W51+ROSA!W51+'STA ANA'!W51+BOA!W51+'STA MARIA'!W51+'CB I'!W51+IG!W51+PN!W51+MJ!W51+'RB I'!W51+'SF I'!W51</f>
        <v>533.03477954650066</v>
      </c>
      <c r="X51" s="218">
        <f>SLP!X51+ROSA!X51+'STA ANA'!X51+BOA!X51+'STA MARIA'!X51+'CB I'!X51+IG!X51+PN!X51+MJ!X51+'RB I'!X51+'SF I'!X51</f>
        <v>5133.80217758457</v>
      </c>
      <c r="Y51" s="221">
        <f t="shared" si="4"/>
        <v>-3.5861428222713654E-2</v>
      </c>
      <c r="Z51" s="218">
        <f>SLP!Z51+ROSA!Z51+'STA ANA'!Z51+BOA!Z51+'STA MARIA'!Z51+'CB I'!Z51+IG!Z51+PN!Z51+MJ!Z51+'RB I'!Z51+'SF I'!Z51</f>
        <v>5324.7555152999994</v>
      </c>
      <c r="AA51" s="218">
        <f>SLP!AA51+ROSA!AA51+'STA ANA'!AA51+BOA!AA51+'STA MARIA'!AA51+'CB I'!AA51+IG!AA51+PN!AA51+MJ!AA51+'RB I'!AA51+'SF I'!AA51</f>
        <v>4772.1052843953548</v>
      </c>
      <c r="AB51" s="218">
        <f>SLP!AB51+ROSA!AB51+'STA ANA'!AB51+BOA!AB51+'STA MARIA'!AB51+'CB I'!AB51+IG!AB51+PN!AB51+MJ!AB51+'RB I'!AB51+'SF I'!AB51</f>
        <v>552.65023090464445</v>
      </c>
      <c r="AC51" s="218">
        <f>SLP!AC51+ROSA!AC51+'STA ANA'!AC51+BOA!AC51+'STA MARIA'!AC51+'CB I'!AC51+IG!AC51+PN!AC51+MJ!AC51+'RB I'!AC51+'SF I'!AC51</f>
        <v>4279.1062776919734</v>
      </c>
      <c r="AD51" s="218">
        <f>SLP!AD51+ROSA!AD51+'STA ANA'!AD51+BOA!AD51+'STA MARIA'!AD51+'CB I'!AD51+IG!AD51+PN!AD51+MJ!AD51+'RB I'!AD51+'SF I'!AD51</f>
        <v>495.76672037368729</v>
      </c>
      <c r="AE51" s="218">
        <f>SLP!AE51+ROSA!AE51+'STA ANA'!AE51+BOA!AE51+'STA MARIA'!AE51+'CB I'!AE51+IG!AE51+PN!AE51+MJ!AE51+'RB I'!AE51+'SF I'!AE51</f>
        <v>4774.8729980656608</v>
      </c>
      <c r="AF51" s="221">
        <f t="shared" si="5"/>
        <v>-0.10326906383857848</v>
      </c>
      <c r="AG51" s="218">
        <f>SLP!AG51+ROSA!AG51+'STA ANA'!AG51+BOA!AG51+'STA MARIA'!AG51+'CB I'!AG51+IG!AG51+PN!AG51+MJ!AG51+'RB I'!AG51+'SF I'!AG51</f>
        <v>5324.7555152999994</v>
      </c>
      <c r="AH51" s="218">
        <f>SLP!AH51+ROSA!AH51+'STA ANA'!AH51+BOA!AH51+'STA MARIA'!AH51+'CB I'!AH51+IG!AH51+PN!AH51+MJ!AH51+'RB I'!AH51+'SF I'!AH51</f>
        <v>4772.1052843953548</v>
      </c>
      <c r="AI51" s="218">
        <f>SLP!AI51+ROSA!AI51+'STA ANA'!AI51+BOA!AI51+'STA MARIA'!AI51+'CB I'!AI51+IG!AI51+PN!AI51+MJ!AI51+'RB I'!AI51+'SF I'!AI51</f>
        <v>552.65023090464445</v>
      </c>
      <c r="AJ51" s="218">
        <f>SLP!AJ51+ROSA!AJ51+'STA ANA'!AJ51+BOA!AJ51+'STA MARIA'!AJ51+'CB I'!AJ51+IG!AJ51+PN!AJ51+MJ!AJ51+'RB I'!AJ51+'SF I'!AJ51</f>
        <v>5706.7060979329726</v>
      </c>
      <c r="AK51" s="218">
        <f>SLP!AK51+ROSA!AK51+'STA ANA'!AK51+BOA!AK51+'STA MARIA'!AK51+'CB I'!AK51+IG!AK51+PN!AK51+MJ!AK51+'RB I'!AK51+'SF I'!AK51</f>
        <v>661.16553930710063</v>
      </c>
      <c r="AL51" s="218">
        <f>SLP!AL51+ROSA!AL51+'STA ANA'!AL51+BOA!AL51+'STA MARIA'!AL51+'CB I'!AL51+IG!AL51+PN!AL51+MJ!AL51+'RB I'!AL51+'SF I'!AL51</f>
        <v>6367.8716372400731</v>
      </c>
      <c r="AM51" s="221">
        <f t="shared" si="6"/>
        <v>0.19589934579020829</v>
      </c>
      <c r="AN51" s="218">
        <f>SLP!AN51+ROSA!AN51+'STA ANA'!AN51+BOA!AN51+'STA MARIA'!AN51+'CB I'!AN51+IG!AN51+PN!AN51+MJ!AN51+'RB I'!AN51+'SF I'!AN51</f>
        <v>5324.7555152999994</v>
      </c>
      <c r="AO51" s="218">
        <f>SLP!AO51+ROSA!AO51+'STA ANA'!AO51+BOA!AO51+'STA MARIA'!AO51+'CB I'!AO51+IG!AO51+PN!AO51+MJ!AO51+'RB I'!AO51+'SF I'!AO51</f>
        <v>4772.1052843953548</v>
      </c>
      <c r="AP51" s="218">
        <f>SLP!AP51+ROSA!AP51+'STA ANA'!AP51+BOA!AP51+'STA MARIA'!AP51+'CB I'!AP51+IG!AP51+PN!AP51+MJ!AP51+'RB I'!AP51+'SF I'!AP51</f>
        <v>552.65023090464445</v>
      </c>
      <c r="AQ51" s="218">
        <f>SLP!AQ51+ROSA!AQ51+'STA ANA'!AQ51+BOA!AQ51+'STA MARIA'!AQ51+'CB I'!AQ51+IG!AQ51+PN!AQ51+MJ!AQ51+'RB I'!AQ51+'SF I'!AQ51</f>
        <v>4686.8868107629596</v>
      </c>
      <c r="AR51" s="218">
        <f>SLP!AR51+ROSA!AR51+'STA ANA'!AR51+BOA!AR51+'STA MARIA'!AR51+'CB I'!AR51+IG!AR51+PN!AR51+MJ!AR51+'RB I'!AR51+'SF I'!AR51</f>
        <v>543.01278146989011</v>
      </c>
      <c r="AS51" s="218">
        <f>SLP!AS51+ROSA!AS51+'STA ANA'!AS51+BOA!AS51+'STA MARIA'!AS51+'CB I'!AS51+IG!AS51+PN!AS51+MJ!AS51+'RB I'!AS51+'SF I'!AS51</f>
        <v>5229.8995922328486</v>
      </c>
      <c r="AT51" s="221">
        <f t="shared" si="7"/>
        <v>-1.7814136779537471E-2</v>
      </c>
      <c r="AU51" s="218">
        <f>SLP!AU51+ROSA!AU51+'STA ANA'!AU51+BOA!AU51+'STA MARIA'!AU51+'CB I'!AU51+IG!AU51+PN!AU51+MJ!AU51+'RB I'!AU51+'SF I'!AU51</f>
        <v>5324.7555152999994</v>
      </c>
      <c r="AV51" s="218">
        <f>SLP!AV51+ROSA!AV51+'STA ANA'!AV51+BOA!AV51+'STA MARIA'!AV51+'CB I'!AV51+IG!AV51+PN!AV51+MJ!AV51+'RB I'!AV51+'SF I'!AV51</f>
        <v>4772.1052843953548</v>
      </c>
      <c r="AW51" s="218">
        <f>SLP!AW51+ROSA!AW51+'STA ANA'!AW51+BOA!AW51+'STA MARIA'!AW51+'CB I'!AW51+IG!AW51+PN!AW51+MJ!AW51+'RB I'!AW51+'SF I'!AW51</f>
        <v>552.65023090464445</v>
      </c>
      <c r="AX51" s="218">
        <f>SLP!AX51+ROSA!AX51+'STA ANA'!AX51+BOA!AX51+'STA MARIA'!AX51+'CB I'!AX51+IG!AX51+PN!AX51+MJ!AX51+'RB I'!AX51+'SF I'!AX51</f>
        <v>4222.6470639657682</v>
      </c>
      <c r="AY51" s="218">
        <f>SLP!AY51+ROSA!AY51+'STA ANA'!AY51+BOA!AY51+'STA MARIA'!AY51+'CB I'!AY51+IG!AY51+PN!AY51+MJ!AY51+'RB I'!AY51+'SF I'!AY51</f>
        <v>489.22522235120465</v>
      </c>
      <c r="AZ51" s="218">
        <f>SLP!AZ51+ROSA!AZ51+'STA ANA'!AZ51+BOA!AZ51+'STA MARIA'!AZ51+'CB I'!AZ51+IG!AZ51+PN!AZ51+MJ!AZ51+'RB I'!AZ51+'SF I'!AZ51</f>
        <v>4711.8722863169733</v>
      </c>
      <c r="BA51" s="221">
        <f t="shared" si="8"/>
        <v>-0.11510072663843163</v>
      </c>
      <c r="BB51" s="218">
        <f>SLP!BB51+ROSA!BB51+'STA ANA'!BB51+BOA!BB51+'STA MARIA'!BB51+'CB I'!BB51+IG!BB51+PN!BB51+MJ!BB51+'RB I'!BB51+'SF I'!BB51</f>
        <v>5324.7555152999994</v>
      </c>
      <c r="BC51" s="218">
        <f>SLP!BC51+ROSA!BC51+'STA ANA'!BC51+BOA!BC51+'STA MARIA'!BC51+'CB I'!BC51+IG!BC51+PN!BC51+MJ!BC51+'RB I'!BC51+'SF I'!BC51</f>
        <v>4772.1052843953548</v>
      </c>
      <c r="BD51" s="218">
        <f>SLP!BD51+ROSA!BD51+'STA ANA'!BD51+BOA!BD51+'STA MARIA'!BD51+'CB I'!BD51+IG!BD51+PN!BD51+MJ!BD51+'RB I'!BD51+'SF I'!BD51</f>
        <v>552.65023090464445</v>
      </c>
      <c r="BE51" s="218">
        <f>SLP!BE51+ROSA!BE51+'STA ANA'!BE51+BOA!BE51+'STA MARIA'!BE51+'CB I'!BE51+IG!BE51+PN!BE51+MJ!BE51+'RB I'!BE51+'SF I'!BE51</f>
        <v>0</v>
      </c>
      <c r="BF51" s="218">
        <f>SLP!BF51+ROSA!BF51+'STA ANA'!BF51+BOA!BF51+'STA MARIA'!BF51+'CB I'!BF51+IG!BF51+PN!BF51+MJ!BF51+'RB I'!BF51+'SF I'!BF51</f>
        <v>0</v>
      </c>
      <c r="BG51" s="218">
        <f>SLP!BG51+ROSA!BG51+'STA ANA'!BG51+BOA!BG51+'STA MARIA'!BG51+'CB I'!BG51+IG!BG51+PN!BG51+MJ!BG51+'RB I'!BG51+'SF I'!BG51</f>
        <v>0</v>
      </c>
      <c r="BH51" s="221">
        <f t="shared" si="9"/>
        <v>-1</v>
      </c>
      <c r="BI51" s="218">
        <f>SLP!BI51+ROSA!BI51+'STA ANA'!BI51+BOA!BI51+'STA MARIA'!BI51+'CB I'!BI51+IG!BI51+PN!BI51+MJ!BI51+'RB I'!BI51+'SF I'!BI51</f>
        <v>5324.7555152999994</v>
      </c>
      <c r="BJ51" s="218">
        <f>SLP!BJ51+ROSA!BJ51+'STA ANA'!BJ51+BOA!BJ51+'STA MARIA'!BJ51+'CB I'!BJ51+IG!BJ51+PN!BJ51+MJ!BJ51+'RB I'!BJ51+'SF I'!BJ51</f>
        <v>4772.1052843953548</v>
      </c>
      <c r="BK51" s="218">
        <f>SLP!BK51+ROSA!BK51+'STA ANA'!BK51+BOA!BK51+'STA MARIA'!BK51+'CB I'!BK51+IG!BK51+PN!BK51+MJ!BK51+'RB I'!BK51+'SF I'!BK51</f>
        <v>552.65023090464445</v>
      </c>
      <c r="BL51" s="218">
        <f>SLP!BL51+ROSA!BL51+'STA ANA'!BL51+BOA!BL51+'STA MARIA'!BL51+'CB I'!BL51+IG!BL51+PN!BL51+MJ!BL51+'RB I'!BL51+'SF I'!BL51</f>
        <v>0</v>
      </c>
      <c r="BM51" s="218">
        <f>SLP!BM51+ROSA!BM51+'STA ANA'!BM51+BOA!BM51+'STA MARIA'!BM51+'CB I'!BM51+IG!BM51+PN!BM51+MJ!BM51+'RB I'!BM51+'SF I'!BM51</f>
        <v>0</v>
      </c>
      <c r="BN51" s="218">
        <f>SLP!BN51+ROSA!BN51+'STA ANA'!BN51+BOA!BN51+'STA MARIA'!BN51+'CB I'!BN51+IG!BN51+PN!BN51+MJ!BN51+'RB I'!BN51+'SF I'!BN51</f>
        <v>0</v>
      </c>
      <c r="BO51" s="221">
        <f t="shared" si="10"/>
        <v>-1</v>
      </c>
      <c r="BP51" s="218">
        <f>SLP!BP51+ROSA!BP51+'STA ANA'!BP51+BOA!BP51+'STA MARIA'!BP51+'CB I'!BP51+IG!BP51+PN!BP51+MJ!BP51+'RB I'!BP51+'SF I'!BP51</f>
        <v>5324.7555152999994</v>
      </c>
      <c r="BQ51" s="218">
        <f>SLP!BQ51+ROSA!BQ51+'STA ANA'!BQ51+BOA!BQ51+'STA MARIA'!BQ51+'CB I'!BQ51+IG!BQ51+PN!BQ51+MJ!BQ51+'RB I'!BQ51+'SF I'!BQ51</f>
        <v>4772.1052843953548</v>
      </c>
      <c r="BR51" s="218">
        <f>SLP!BR51+ROSA!BR51+'STA ANA'!BR51+BOA!BR51+'STA MARIA'!BR51+'CB I'!BR51+IG!BR51+PN!BR51+MJ!BR51+'RB I'!BR51+'SF I'!BR51</f>
        <v>552.65023090464445</v>
      </c>
      <c r="BS51" s="218">
        <f>SLP!BS51+ROSA!BS51+'STA ANA'!BS51+BOA!BS51+'STA MARIA'!BS51+'CB I'!BS51+IG!BS51+PN!BS51+MJ!BS51+'RB I'!BS51+'SF I'!BS51</f>
        <v>0</v>
      </c>
      <c r="BT51" s="218">
        <f>SLP!BT51+ROSA!BT51+'STA ANA'!BT51+BOA!BT51+'STA MARIA'!BT51+'CB I'!BT51+IG!BT51+PN!BT51+MJ!BT51+'RB I'!BT51+'SF I'!BT51</f>
        <v>0</v>
      </c>
      <c r="BU51" s="218">
        <f>SLP!BU51+ROSA!BU51+'STA ANA'!BU51+BOA!BU51+'STA MARIA'!BU51+'CB I'!BU51+IG!BU51+PN!BU51+MJ!BU51+'RB I'!BU51+'SF I'!BU51</f>
        <v>0</v>
      </c>
      <c r="BV51" s="221">
        <f t="shared" si="11"/>
        <v>-1</v>
      </c>
      <c r="BW51" s="218">
        <f>SLP!BW51+ROSA!BW51+'STA ANA'!BW51+BOA!BW51+'STA MARIA'!BW51+'CB I'!BW51+IG!BW51+PN!BW51+MJ!BW51+'RB I'!BW51+'SF I'!BW51</f>
        <v>5324.7555152999994</v>
      </c>
      <c r="BX51" s="218">
        <f>SLP!BX51+ROSA!BX51+'STA ANA'!BX51+BOA!BX51+'STA MARIA'!BX51+'CB I'!BX51+IG!BX51+PN!BX51+MJ!BX51+'RB I'!BX51+'SF I'!BX51</f>
        <v>4772.1052843953548</v>
      </c>
      <c r="BY51" s="218">
        <f>SLP!BY51+ROSA!BY51+'STA ANA'!BY51+BOA!BY51+'STA MARIA'!BY51+'CB I'!BY51+IG!BY51+PN!BY51+MJ!BY51+'RB I'!BY51+'SF I'!BY51</f>
        <v>552.65023090464445</v>
      </c>
      <c r="BZ51" s="218">
        <f>SLP!BZ51+ROSA!BZ51+'STA ANA'!BZ51+BOA!BZ51+'STA MARIA'!BZ51+'CB I'!BZ51+IG!BZ51+PN!BZ51+MJ!BZ51+'RB I'!BZ51+'SF I'!BZ51</f>
        <v>0</v>
      </c>
      <c r="CA51" s="218">
        <f>SLP!CA51+ROSA!CA51+'STA ANA'!CA51+BOA!CA51+'STA MARIA'!CA51+'CB I'!CA51+IG!CA51+PN!CA51+MJ!CA51+'RB I'!CA51+'SF I'!CA51</f>
        <v>0</v>
      </c>
      <c r="CB51" s="218">
        <f>SLP!CB51+ROSA!CB51+'STA ANA'!CB51+BOA!CB51+'STA MARIA'!CB51+'CB I'!CB51+IG!CB51+PN!CB51+MJ!CB51+'RB I'!CB51+'SF I'!CB51</f>
        <v>0</v>
      </c>
      <c r="CC51" s="221">
        <f t="shared" si="12"/>
        <v>-1</v>
      </c>
      <c r="CD51" s="218">
        <f>SLP!CD51+ROSA!CD51+'STA ANA'!CD51+BOA!CD51+'STA MARIA'!CD51+'CB I'!CD51+IG!CD51+PN!CD51+MJ!CD51+'RB I'!CD51+'SF I'!CD51</f>
        <v>5324.7555152999994</v>
      </c>
      <c r="CE51" s="218">
        <f>SLP!CE51+ROSA!CE51+'STA ANA'!CE51+BOA!CE51+'STA MARIA'!CE51+'CB I'!CE51+IG!CE51+PN!CE51+MJ!CE51+'RB I'!CE51+'SF I'!CE51</f>
        <v>4772.1052843953548</v>
      </c>
      <c r="CF51" s="218">
        <f>SLP!CF51+ROSA!CF51+'STA ANA'!CF51+BOA!CF51+'STA MARIA'!CF51+'CB I'!CF51+IG!CF51+PN!CF51+MJ!CF51+'RB I'!CF51+'SF I'!CF51</f>
        <v>552.65023090464445</v>
      </c>
      <c r="CG51" s="218">
        <f>SLP!CG51+ROSA!CG51+'STA ANA'!CG51+BOA!CG51+'STA MARIA'!CG51+'CB I'!CG51+IG!CG51+PN!CG51+MJ!CG51+'RB I'!CG51+'SF I'!CG51</f>
        <v>0</v>
      </c>
      <c r="CH51" s="218">
        <f>SLP!CH51+ROSA!CH51+'STA ANA'!CH51+BOA!CH51+'STA MARIA'!CH51+'CB I'!CH51+IG!CH51+PN!CH51+MJ!CH51+'RB I'!CH51+'SF I'!CH51</f>
        <v>0</v>
      </c>
      <c r="CI51" s="218">
        <f>SLP!CI51+ROSA!CI51+'STA ANA'!CI51+BOA!CI51+'STA MARIA'!CI51+'CB I'!CI51+IG!CI51+PN!CI51+MJ!CI51+'RB I'!CI51+'SF I'!CI51</f>
        <v>0</v>
      </c>
      <c r="CJ51" s="221">
        <f t="shared" si="13"/>
        <v>-1</v>
      </c>
      <c r="CK51" s="218">
        <f>SLP!CK51+ROSA!CK51+'STA ANA'!CK51+BOA!CK51+'STA MARIA'!CK51+'CB I'!CK51+IG!CK51+PN!CK51+MJ!CK51+'RB I'!CK51+'SF I'!CK51</f>
        <v>5324.7555152999994</v>
      </c>
      <c r="CL51" s="218">
        <f>SLP!CL51+ROSA!CL51+'STA ANA'!CL51+BOA!CL51+'STA MARIA'!CL51+'CB I'!CL51+IG!CL51+PN!CL51+MJ!CL51+'RB I'!CL51+'SF I'!CL51</f>
        <v>4772.1052843953548</v>
      </c>
      <c r="CM51" s="218">
        <f>SLP!CM51+ROSA!CM51+'STA ANA'!CM51+BOA!CM51+'STA MARIA'!CM51+'CB I'!CM51+IG!CM51+PN!CM51+MJ!CM51+'RB I'!CM51+'SF I'!CM51</f>
        <v>552.65023090464445</v>
      </c>
      <c r="CN51" s="218">
        <f>SLP!CN51+ROSA!CN51+'STA ANA'!CN51+BOA!CN51+'STA MARIA'!CN51+'CB I'!CN51+IG!CN51+PN!CN51+MJ!CN51+'RB I'!CN51+'SF I'!CN51</f>
        <v>0</v>
      </c>
      <c r="CO51" s="218">
        <f>SLP!CO51+ROSA!CO51+'STA ANA'!CO51+BOA!CO51+'STA MARIA'!CO51+'CB I'!CO51+IG!CO51+PN!CO51+MJ!CO51+'RB I'!CO51+'SF I'!CO51</f>
        <v>0</v>
      </c>
      <c r="CP51" s="218">
        <f>SLP!CP51+ROSA!CP51+'STA ANA'!CP51+BOA!CP51+'STA MARIA'!CP51+'CB I'!CP51+IG!CP51+PN!CP51+MJ!CP51+'RB I'!CP51+'SF I'!CP51</f>
        <v>0</v>
      </c>
      <c r="CQ51" s="221">
        <f t="shared" si="14"/>
        <v>-1</v>
      </c>
      <c r="CR51" s="154"/>
      <c r="CS51" s="222" t="e">
        <f t="shared" si="15"/>
        <v>#VALUE!</v>
      </c>
    </row>
    <row r="52" spans="1:101" ht="16" customHeight="1" thickBot="1" x14ac:dyDescent="0.25">
      <c r="A52" s="220" t="s">
        <v>76</v>
      </c>
      <c r="B52" s="30">
        <f t="shared" si="17"/>
        <v>270905.22473767161</v>
      </c>
      <c r="C52" s="31">
        <f t="shared" si="17"/>
        <v>245964.13073767148</v>
      </c>
      <c r="D52" s="32">
        <f t="shared" si="17"/>
        <v>24941.094000000008</v>
      </c>
      <c r="E52" s="30">
        <f t="shared" si="19"/>
        <v>90301.741579223846</v>
      </c>
      <c r="F52" s="33">
        <f t="shared" si="19"/>
        <v>81988.043579223842</v>
      </c>
      <c r="G52" s="34">
        <f t="shared" si="19"/>
        <v>8313.6980000000003</v>
      </c>
      <c r="H52" s="31">
        <f t="shared" si="18"/>
        <v>316880.32075543783</v>
      </c>
      <c r="I52" s="33">
        <f t="shared" si="18"/>
        <v>48076.140344265565</v>
      </c>
      <c r="J52" s="33">
        <f t="shared" si="18"/>
        <v>364956.46109970339</v>
      </c>
      <c r="K52" s="221">
        <f t="shared" si="2"/>
        <v>3.0415218435130456</v>
      </c>
      <c r="L52" s="218">
        <f>SLP!L52+ROSA!L52+'STA ANA'!L52+BOA!L52+'STA MARIA'!L52+'CB I'!L52+IG!L52+PN!L52+MJ!L52+'RB I'!L52+'SF I'!L52</f>
        <v>22575.435394805962</v>
      </c>
      <c r="M52" s="218">
        <f>SLP!M52+ROSA!M52+'STA ANA'!M52+BOA!M52+'STA MARIA'!M52+'CB I'!M52+IG!M52+PN!M52+MJ!M52+'RB I'!M52+'SF I'!M52</f>
        <v>20497.010894805961</v>
      </c>
      <c r="N52" s="218">
        <f>SLP!N52+ROSA!N52+'STA ANA'!N52+BOA!N52+'STA MARIA'!N52+'CB I'!N52+IG!N52+PN!N52+MJ!N52+'RB I'!N52+'SF I'!N52</f>
        <v>2078.4245000000001</v>
      </c>
      <c r="O52" s="218">
        <f>SLP!O52+ROSA!O52+'STA ANA'!O52+BOA!O52+'STA MARIA'!O52+'CB I'!O52+IG!O52+PN!O52+MJ!O52+'RB I'!O52+'SF I'!O52</f>
        <v>73553.60526744806</v>
      </c>
      <c r="P52" s="218">
        <f>SLP!P52+ROSA!P52+'STA ANA'!P52+BOA!P52+'STA MARIA'!P52+'CB I'!P52+IG!P52+PN!P52+MJ!P52+'RB I'!P52+'SF I'!P52</f>
        <v>8242.4922686713999</v>
      </c>
      <c r="Q52" s="218">
        <f>SLP!Q52+ROSA!Q52+'STA ANA'!Q52+BOA!Q52+'STA MARIA'!Q52+'CB I'!Q52+IG!Q52+PN!Q52+MJ!Q52+'RB I'!Q52+'SF I'!Q52</f>
        <v>81796.097536119458</v>
      </c>
      <c r="R52" s="221">
        <f t="shared" si="3"/>
        <v>2.623234551433665</v>
      </c>
      <c r="S52" s="218">
        <f>SLP!S52+ROSA!S52+'STA ANA'!S52+BOA!S52+'STA MARIA'!S52+'CB I'!S52+IG!S52+PN!S52+MJ!S52+'RB I'!S52+'SF I'!S52</f>
        <v>22575.435394805962</v>
      </c>
      <c r="T52" s="218">
        <f>SLP!T52+ROSA!T52+'STA ANA'!T52+BOA!T52+'STA MARIA'!T52+'CB I'!T52+IG!T52+PN!T52+MJ!T52+'RB I'!T52+'SF I'!T52</f>
        <v>20497.010894805961</v>
      </c>
      <c r="U52" s="218">
        <f>SLP!U52+ROSA!U52+'STA ANA'!U52+BOA!U52+'STA MARIA'!U52+'CB I'!U52+IG!U52+PN!U52+MJ!U52+'RB I'!U52+'SF I'!U52</f>
        <v>2078.4245000000001</v>
      </c>
      <c r="V52" s="218">
        <f>SLP!V52+ROSA!V52+'STA ANA'!V52+BOA!V52+'STA MARIA'!V52+'CB I'!V52+IG!V52+PN!V52+MJ!V52+'RB I'!V52+'SF I'!V52</f>
        <v>54206.095984060565</v>
      </c>
      <c r="W52" s="218">
        <f>SLP!W52+ROSA!W52+'STA ANA'!W52+BOA!W52+'STA MARIA'!W52+'CB I'!W52+IG!W52+PN!W52+MJ!W52+'RB I'!W52+'SF I'!W52</f>
        <v>14582.466977024138</v>
      </c>
      <c r="X52" s="218">
        <f>SLP!X52+ROSA!X52+'STA ANA'!X52+BOA!X52+'STA MARIA'!X52+'CB I'!X52+IG!X52+PN!X52+MJ!X52+'RB I'!X52+'SF I'!X52</f>
        <v>68788.562961084695</v>
      </c>
      <c r="Y52" s="221">
        <f t="shared" si="4"/>
        <v>2.0470536562458155</v>
      </c>
      <c r="Z52" s="218">
        <f>SLP!Z52+ROSA!Z52+'STA ANA'!Z52+BOA!Z52+'STA MARIA'!Z52+'CB I'!Z52+IG!Z52+PN!Z52+MJ!Z52+'RB I'!Z52+'SF I'!Z52</f>
        <v>22575.435394805962</v>
      </c>
      <c r="AA52" s="218">
        <f>SLP!AA52+ROSA!AA52+'STA ANA'!AA52+BOA!AA52+'STA MARIA'!AA52+'CB I'!AA52+IG!AA52+PN!AA52+MJ!AA52+'RB I'!AA52+'SF I'!AA52</f>
        <v>20497.010894805961</v>
      </c>
      <c r="AB52" s="218">
        <f>SLP!AB52+ROSA!AB52+'STA ANA'!AB52+BOA!AB52+'STA MARIA'!AB52+'CB I'!AB52+IG!AB52+PN!AB52+MJ!AB52+'RB I'!AB52+'SF I'!AB52</f>
        <v>2078.4245000000001</v>
      </c>
      <c r="AC52" s="218">
        <f>SLP!AC52+ROSA!AC52+'STA ANA'!AC52+BOA!AC52+'STA MARIA'!AC52+'CB I'!AC52+IG!AC52+PN!AC52+MJ!AC52+'RB I'!AC52+'SF I'!AC52</f>
        <v>68213.52793078676</v>
      </c>
      <c r="AD52" s="218">
        <f>SLP!AD52+ROSA!AD52+'STA ANA'!AD52+BOA!AD52+'STA MARIA'!AD52+'CB I'!AD52+IG!AD52+PN!AD52+MJ!AD52+'RB I'!AD52+'SF I'!AD52</f>
        <v>10819.181624666544</v>
      </c>
      <c r="AE52" s="218">
        <f>SLP!AE52+ROSA!AE52+'STA ANA'!AE52+BOA!AE52+'STA MARIA'!AE52+'CB I'!AE52+IG!AE52+PN!AE52+MJ!AE52+'RB I'!AE52+'SF I'!AE52</f>
        <v>79032.709555453301</v>
      </c>
      <c r="AF52" s="221">
        <f t="shared" si="5"/>
        <v>2.5008276993690557</v>
      </c>
      <c r="AG52" s="218">
        <f>SLP!AG52+ROSA!AG52+'STA ANA'!AG52+BOA!AG52+'STA MARIA'!AG52+'CB I'!AG52+IG!AG52+PN!AG52+MJ!AG52+'RB I'!AG52+'SF I'!AG52</f>
        <v>22575.435394805962</v>
      </c>
      <c r="AH52" s="218">
        <f>SLP!AH52+ROSA!AH52+'STA ANA'!AH52+BOA!AH52+'STA MARIA'!AH52+'CB I'!AH52+IG!AH52+PN!AH52+MJ!AH52+'RB I'!AH52+'SF I'!AH52</f>
        <v>20497.010894805961</v>
      </c>
      <c r="AI52" s="218">
        <f>SLP!AI52+ROSA!AI52+'STA ANA'!AI52+BOA!AI52+'STA MARIA'!AI52+'CB I'!AI52+IG!AI52+PN!AI52+MJ!AI52+'RB I'!AI52+'SF I'!AI52</f>
        <v>2078.4245000000001</v>
      </c>
      <c r="AJ52" s="218">
        <f>SLP!AJ52+ROSA!AJ52+'STA ANA'!AJ52+BOA!AJ52+'STA MARIA'!AJ52+'CB I'!AJ52+IG!AJ52+PN!AJ52+MJ!AJ52+'RB I'!AJ52+'SF I'!AJ52</f>
        <v>39354.357733092518</v>
      </c>
      <c r="AK52" s="218">
        <f>SLP!AK52+ROSA!AK52+'STA ANA'!AK52+BOA!AK52+'STA MARIA'!AK52+'CB I'!AK52+IG!AK52+PN!AK52+MJ!AK52+'RB I'!AK52+'SF I'!AK52</f>
        <v>4925.7231768363035</v>
      </c>
      <c r="AL52" s="218">
        <f>SLP!AL52+ROSA!AL52+'STA ANA'!AL52+BOA!AL52+'STA MARIA'!AL52+'CB I'!AL52+IG!AL52+PN!AL52+MJ!AL52+'RB I'!AL52+'SF I'!AL52</f>
        <v>44280.080909928824</v>
      </c>
      <c r="AM52" s="221">
        <f t="shared" si="6"/>
        <v>0.96142754881779835</v>
      </c>
      <c r="AN52" s="218">
        <f>SLP!AN52+ROSA!AN52+'STA ANA'!AN52+BOA!AN52+'STA MARIA'!AN52+'CB I'!AN52+IG!AN52+PN!AN52+MJ!AN52+'RB I'!AN52+'SF I'!AN52</f>
        <v>22575.435394805962</v>
      </c>
      <c r="AO52" s="218">
        <f>SLP!AO52+ROSA!AO52+'STA ANA'!AO52+BOA!AO52+'STA MARIA'!AO52+'CB I'!AO52+IG!AO52+PN!AO52+MJ!AO52+'RB I'!AO52+'SF I'!AO52</f>
        <v>20497.010894805961</v>
      </c>
      <c r="AP52" s="218">
        <f>SLP!AP52+ROSA!AP52+'STA ANA'!AP52+BOA!AP52+'STA MARIA'!AP52+'CB I'!AP52+IG!AP52+PN!AP52+MJ!AP52+'RB I'!AP52+'SF I'!AP52</f>
        <v>2078.4245000000001</v>
      </c>
      <c r="AQ52" s="218">
        <f>SLP!AQ52+ROSA!AQ52+'STA ANA'!AQ52+BOA!AQ52+'STA MARIA'!AQ52+'CB I'!AQ52+IG!AQ52+PN!AQ52+MJ!AQ52+'RB I'!AQ52+'SF I'!AQ52</f>
        <v>42271.001228878849</v>
      </c>
      <c r="AR52" s="218">
        <f>SLP!AR52+ROSA!AR52+'STA ANA'!AR52+BOA!AR52+'STA MARIA'!AR52+'CB I'!AR52+IG!AR52+PN!AR52+MJ!AR52+'RB I'!AR52+'SF I'!AR52</f>
        <v>4132.1359572475731</v>
      </c>
      <c r="AS52" s="218">
        <f>SLP!AS52+ROSA!AS52+'STA ANA'!AS52+BOA!AS52+'STA MARIA'!AS52+'CB I'!AS52+IG!AS52+PN!AS52+MJ!AS52+'RB I'!AS52+'SF I'!AS52</f>
        <v>46403.13718612642</v>
      </c>
      <c r="AT52" s="221">
        <f t="shared" si="7"/>
        <v>1.055470309857351</v>
      </c>
      <c r="AU52" s="218">
        <f>SLP!AU52+ROSA!AU52+'STA ANA'!AU52+BOA!AU52+'STA MARIA'!AU52+'CB I'!AU52+IG!AU52+PN!AU52+MJ!AU52+'RB I'!AU52+'SF I'!AU52</f>
        <v>22575.435394805962</v>
      </c>
      <c r="AV52" s="218">
        <f>SLP!AV52+ROSA!AV52+'STA ANA'!AV52+BOA!AV52+'STA MARIA'!AV52+'CB I'!AV52+IG!AV52+PN!AV52+MJ!AV52+'RB I'!AV52+'SF I'!AV52</f>
        <v>20497.010894805961</v>
      </c>
      <c r="AW52" s="218">
        <f>SLP!AW52+ROSA!AW52+'STA ANA'!AW52+BOA!AW52+'STA MARIA'!AW52+'CB I'!AW52+IG!AW52+PN!AW52+MJ!AW52+'RB I'!AW52+'SF I'!AW52</f>
        <v>2078.4245000000001</v>
      </c>
      <c r="AX52" s="218">
        <f>SLP!AX52+ROSA!AX52+'STA ANA'!AX52+BOA!AX52+'STA MARIA'!AX52+'CB I'!AX52+IG!AX52+PN!AX52+MJ!AX52+'RB I'!AX52+'SF I'!AX52</f>
        <v>39281.732611171079</v>
      </c>
      <c r="AY52" s="218">
        <f>SLP!AY52+ROSA!AY52+'STA ANA'!AY52+BOA!AY52+'STA MARIA'!AY52+'CB I'!AY52+IG!AY52+PN!AY52+MJ!AY52+'RB I'!AY52+'SF I'!AY52</f>
        <v>5374.1403398196044</v>
      </c>
      <c r="AZ52" s="218">
        <f>SLP!AZ52+ROSA!AZ52+'STA ANA'!AZ52+BOA!AZ52+'STA MARIA'!AZ52+'CB I'!AZ52+IG!AZ52+PN!AZ52+MJ!AZ52+'RB I'!AZ52+'SF I'!AZ52</f>
        <v>44655.872950990684</v>
      </c>
      <c r="BA52" s="221">
        <f t="shared" si="8"/>
        <v>0.97807360832849644</v>
      </c>
      <c r="BB52" s="218">
        <f>SLP!BB52+ROSA!BB52+'STA ANA'!BB52+BOA!BB52+'STA MARIA'!BB52+'CB I'!BB52+IG!BB52+PN!BB52+MJ!BB52+'RB I'!BB52+'SF I'!BB52</f>
        <v>22575.435394805962</v>
      </c>
      <c r="BC52" s="218">
        <f>SLP!BC52+ROSA!BC52+'STA ANA'!BC52+BOA!BC52+'STA MARIA'!BC52+'CB I'!BC52+IG!BC52+PN!BC52+MJ!BC52+'RB I'!BC52+'SF I'!BC52</f>
        <v>20497.010894805961</v>
      </c>
      <c r="BD52" s="218">
        <f>SLP!BD52+ROSA!BD52+'STA ANA'!BD52+BOA!BD52+'STA MARIA'!BD52+'CB I'!BD52+IG!BD52+PN!BD52+MJ!BD52+'RB I'!BD52+'SF I'!BD52</f>
        <v>2078.4245000000001</v>
      </c>
      <c r="BE52" s="218">
        <f>SLP!BE52+ROSA!BE52+'STA ANA'!BE52+BOA!BE52+'STA MARIA'!BE52+'CB I'!BE52+IG!BE52+PN!BE52+MJ!BE52+'RB I'!BE52+'SF I'!BE52</f>
        <v>0</v>
      </c>
      <c r="BF52" s="218">
        <f>SLP!BF52+ROSA!BF52+'STA ANA'!BF52+BOA!BF52+'STA MARIA'!BF52+'CB I'!BF52+IG!BF52+PN!BF52+MJ!BF52+'RB I'!BF52+'SF I'!BF52</f>
        <v>0</v>
      </c>
      <c r="BG52" s="218">
        <f>SLP!BG52+ROSA!BG52+'STA ANA'!BG52+BOA!BG52+'STA MARIA'!BG52+'CB I'!BG52+IG!BG52+PN!BG52+MJ!BG52+'RB I'!BG52+'SF I'!BG52</f>
        <v>0</v>
      </c>
      <c r="BH52" s="221">
        <f t="shared" si="9"/>
        <v>-1</v>
      </c>
      <c r="BI52" s="218">
        <f>SLP!BI52+ROSA!BI52+'STA ANA'!BI52+BOA!BI52+'STA MARIA'!BI52+'CB I'!BI52+IG!BI52+PN!BI52+MJ!BI52+'RB I'!BI52+'SF I'!BI52</f>
        <v>22575.435394805962</v>
      </c>
      <c r="BJ52" s="218">
        <f>SLP!BJ52+ROSA!BJ52+'STA ANA'!BJ52+BOA!BJ52+'STA MARIA'!BJ52+'CB I'!BJ52+IG!BJ52+PN!BJ52+MJ!BJ52+'RB I'!BJ52+'SF I'!BJ52</f>
        <v>20497.010894805961</v>
      </c>
      <c r="BK52" s="218">
        <f>SLP!BK52+ROSA!BK52+'STA ANA'!BK52+BOA!BK52+'STA MARIA'!BK52+'CB I'!BK52+IG!BK52+PN!BK52+MJ!BK52+'RB I'!BK52+'SF I'!BK52</f>
        <v>2078.4245000000001</v>
      </c>
      <c r="BL52" s="218">
        <f>SLP!BL52+ROSA!BL52+'STA ANA'!BL52+BOA!BL52+'STA MARIA'!BL52+'CB I'!BL52+IG!BL52+PN!BL52+MJ!BL52+'RB I'!BL52+'SF I'!BL52</f>
        <v>0</v>
      </c>
      <c r="BM52" s="218">
        <f>SLP!BM52+ROSA!BM52+'STA ANA'!BM52+BOA!BM52+'STA MARIA'!BM52+'CB I'!BM52+IG!BM52+PN!BM52+MJ!BM52+'RB I'!BM52+'SF I'!BM52</f>
        <v>0</v>
      </c>
      <c r="BN52" s="218">
        <f>SLP!BN52+ROSA!BN52+'STA ANA'!BN52+BOA!BN52+'STA MARIA'!BN52+'CB I'!BN52+IG!BN52+PN!BN52+MJ!BN52+'RB I'!BN52+'SF I'!BN52</f>
        <v>0</v>
      </c>
      <c r="BO52" s="221">
        <f t="shared" si="10"/>
        <v>-1</v>
      </c>
      <c r="BP52" s="218">
        <f>SLP!BP52+ROSA!BP52+'STA ANA'!BP52+BOA!BP52+'STA MARIA'!BP52+'CB I'!BP52+IG!BP52+PN!BP52+MJ!BP52+'RB I'!BP52+'SF I'!BP52</f>
        <v>22575.435394805962</v>
      </c>
      <c r="BQ52" s="218">
        <f>SLP!BQ52+ROSA!BQ52+'STA ANA'!BQ52+BOA!BQ52+'STA MARIA'!BQ52+'CB I'!BQ52+IG!BQ52+PN!BQ52+MJ!BQ52+'RB I'!BQ52+'SF I'!BQ52</f>
        <v>20497.010894805961</v>
      </c>
      <c r="BR52" s="218">
        <f>SLP!BR52+ROSA!BR52+'STA ANA'!BR52+BOA!BR52+'STA MARIA'!BR52+'CB I'!BR52+IG!BR52+PN!BR52+MJ!BR52+'RB I'!BR52+'SF I'!BR52</f>
        <v>2078.4245000000001</v>
      </c>
      <c r="BS52" s="218">
        <f>SLP!BS52+ROSA!BS52+'STA ANA'!BS52+BOA!BS52+'STA MARIA'!BS52+'CB I'!BS52+IG!BS52+PN!BS52+MJ!BS52+'RB I'!BS52+'SF I'!BS52</f>
        <v>0</v>
      </c>
      <c r="BT52" s="218">
        <f>SLP!BT52+ROSA!BT52+'STA ANA'!BT52+BOA!BT52+'STA MARIA'!BT52+'CB I'!BT52+IG!BT52+PN!BT52+MJ!BT52+'RB I'!BT52+'SF I'!BT52</f>
        <v>0</v>
      </c>
      <c r="BU52" s="218">
        <f>SLP!BU52+ROSA!BU52+'STA ANA'!BU52+BOA!BU52+'STA MARIA'!BU52+'CB I'!BU52+IG!BU52+PN!BU52+MJ!BU52+'RB I'!BU52+'SF I'!BU52</f>
        <v>0</v>
      </c>
      <c r="BV52" s="221">
        <f t="shared" si="11"/>
        <v>-1</v>
      </c>
      <c r="BW52" s="218">
        <f>SLP!BW52+ROSA!BW52+'STA ANA'!BW52+BOA!BW52+'STA MARIA'!BW52+'CB I'!BW52+IG!BW52+PN!BW52+MJ!BW52+'RB I'!BW52+'SF I'!BW52</f>
        <v>22575.435394805962</v>
      </c>
      <c r="BX52" s="218">
        <f>SLP!BX52+ROSA!BX52+'STA ANA'!BX52+BOA!BX52+'STA MARIA'!BX52+'CB I'!BX52+IG!BX52+PN!BX52+MJ!BX52+'RB I'!BX52+'SF I'!BX52</f>
        <v>20497.010894805961</v>
      </c>
      <c r="BY52" s="218">
        <f>SLP!BY52+ROSA!BY52+'STA ANA'!BY52+BOA!BY52+'STA MARIA'!BY52+'CB I'!BY52+IG!BY52+PN!BY52+MJ!BY52+'RB I'!BY52+'SF I'!BY52</f>
        <v>2078.4245000000001</v>
      </c>
      <c r="BZ52" s="218">
        <f>SLP!BZ52+ROSA!BZ52+'STA ANA'!BZ52+BOA!BZ52+'STA MARIA'!BZ52+'CB I'!BZ52+IG!BZ52+PN!BZ52+MJ!BZ52+'RB I'!BZ52+'SF I'!BZ52</f>
        <v>0</v>
      </c>
      <c r="CA52" s="218">
        <f>SLP!CA52+ROSA!CA52+'STA ANA'!CA52+BOA!CA52+'STA MARIA'!CA52+'CB I'!CA52+IG!CA52+PN!CA52+MJ!CA52+'RB I'!CA52+'SF I'!CA52</f>
        <v>0</v>
      </c>
      <c r="CB52" s="218">
        <f>SLP!CB52+ROSA!CB52+'STA ANA'!CB52+BOA!CB52+'STA MARIA'!CB52+'CB I'!CB52+IG!CB52+PN!CB52+MJ!CB52+'RB I'!CB52+'SF I'!CB52</f>
        <v>0</v>
      </c>
      <c r="CC52" s="221">
        <f t="shared" si="12"/>
        <v>-1</v>
      </c>
      <c r="CD52" s="218">
        <f>SLP!CD52+ROSA!CD52+'STA ANA'!CD52+BOA!CD52+'STA MARIA'!CD52+'CB I'!CD52+IG!CD52+PN!CD52+MJ!CD52+'RB I'!CD52+'SF I'!CD52</f>
        <v>22575.435394805962</v>
      </c>
      <c r="CE52" s="218">
        <f>SLP!CE52+ROSA!CE52+'STA ANA'!CE52+BOA!CE52+'STA MARIA'!CE52+'CB I'!CE52+IG!CE52+PN!CE52+MJ!CE52+'RB I'!CE52+'SF I'!CE52</f>
        <v>20497.010894805961</v>
      </c>
      <c r="CF52" s="218">
        <f>SLP!CF52+ROSA!CF52+'STA ANA'!CF52+BOA!CF52+'STA MARIA'!CF52+'CB I'!CF52+IG!CF52+PN!CF52+MJ!CF52+'RB I'!CF52+'SF I'!CF52</f>
        <v>2078.4245000000001</v>
      </c>
      <c r="CG52" s="218">
        <f>SLP!CG52+ROSA!CG52+'STA ANA'!CG52+BOA!CG52+'STA MARIA'!CG52+'CB I'!CG52+IG!CG52+PN!CG52+MJ!CG52+'RB I'!CG52+'SF I'!CG52</f>
        <v>0</v>
      </c>
      <c r="CH52" s="218">
        <f>SLP!CH52+ROSA!CH52+'STA ANA'!CH52+BOA!CH52+'STA MARIA'!CH52+'CB I'!CH52+IG!CH52+PN!CH52+MJ!CH52+'RB I'!CH52+'SF I'!CH52</f>
        <v>0</v>
      </c>
      <c r="CI52" s="218">
        <f>SLP!CI52+ROSA!CI52+'STA ANA'!CI52+BOA!CI52+'STA MARIA'!CI52+'CB I'!CI52+IG!CI52+PN!CI52+MJ!CI52+'RB I'!CI52+'SF I'!CI52</f>
        <v>0</v>
      </c>
      <c r="CJ52" s="221">
        <f t="shared" si="13"/>
        <v>-1</v>
      </c>
      <c r="CK52" s="218">
        <f>SLP!CK52+ROSA!CK52+'STA ANA'!CK52+BOA!CK52+'STA MARIA'!CK52+'CB I'!CK52+IG!CK52+PN!CK52+MJ!CK52+'RB I'!CK52+'SF I'!CK52</f>
        <v>22575.435394805962</v>
      </c>
      <c r="CL52" s="218">
        <f>SLP!CL52+ROSA!CL52+'STA ANA'!CL52+BOA!CL52+'STA MARIA'!CL52+'CB I'!CL52+IG!CL52+PN!CL52+MJ!CL52+'RB I'!CL52+'SF I'!CL52</f>
        <v>20497.010894805961</v>
      </c>
      <c r="CM52" s="218">
        <f>SLP!CM52+ROSA!CM52+'STA ANA'!CM52+BOA!CM52+'STA MARIA'!CM52+'CB I'!CM52+IG!CM52+PN!CM52+MJ!CM52+'RB I'!CM52+'SF I'!CM52</f>
        <v>2078.4245000000001</v>
      </c>
      <c r="CN52" s="218">
        <f>SLP!CN52+ROSA!CN52+'STA ANA'!CN52+BOA!CN52+'STA MARIA'!CN52+'CB I'!CN52+IG!CN52+PN!CN52+MJ!CN52+'RB I'!CN52+'SF I'!CN52</f>
        <v>0</v>
      </c>
      <c r="CO52" s="218">
        <f>SLP!CO52+ROSA!CO52+'STA ANA'!CO52+BOA!CO52+'STA MARIA'!CO52+'CB I'!CO52+IG!CO52+PN!CO52+MJ!CO52+'RB I'!CO52+'SF I'!CO52</f>
        <v>0</v>
      </c>
      <c r="CP52" s="218">
        <f>SLP!CP52+ROSA!CP52+'STA ANA'!CP52+BOA!CP52+'STA MARIA'!CP52+'CB I'!CP52+IG!CP52+PN!CP52+MJ!CP52+'RB I'!CP52+'SF I'!CP52</f>
        <v>0</v>
      </c>
      <c r="CQ52" s="221">
        <f t="shared" si="14"/>
        <v>-1</v>
      </c>
      <c r="CR52" s="154"/>
      <c r="CS52" s="222" t="e">
        <f t="shared" si="15"/>
        <v>#VALUE!</v>
      </c>
    </row>
    <row r="53" spans="1:101" ht="16" customHeight="1" thickBot="1" x14ac:dyDescent="0.25">
      <c r="A53" s="223" t="s">
        <v>77</v>
      </c>
      <c r="B53" s="30">
        <f t="shared" si="17"/>
        <v>284843.30618441798</v>
      </c>
      <c r="C53" s="31">
        <f t="shared" si="17"/>
        <v>258079.81573441779</v>
      </c>
      <c r="D53" s="32">
        <f t="shared" si="17"/>
        <v>26763.490450000001</v>
      </c>
      <c r="E53" s="30">
        <f t="shared" si="19"/>
        <v>94947.768728139301</v>
      </c>
      <c r="F53" s="33">
        <f t="shared" si="19"/>
        <v>86026.605244805949</v>
      </c>
      <c r="G53" s="34">
        <f t="shared" si="19"/>
        <v>8921.1634833333319</v>
      </c>
      <c r="H53" s="31">
        <f t="shared" si="18"/>
        <v>135892.92929814395</v>
      </c>
      <c r="I53" s="33">
        <f t="shared" si="18"/>
        <v>28223.023141983165</v>
      </c>
      <c r="J53" s="33">
        <f t="shared" si="18"/>
        <v>164115.95244012709</v>
      </c>
      <c r="K53" s="221">
        <f t="shared" si="2"/>
        <v>0.72848666839169951</v>
      </c>
      <c r="L53" s="218">
        <f>SLP!L53+ROSA!L53+'STA ANA'!L53+BOA!L53+'STA MARIA'!L53+'CB I'!L53+IG!L53+PN!L53+MJ!L53+'RB I'!L53+'SF I'!L53</f>
        <v>23736.942182034825</v>
      </c>
      <c r="M53" s="218">
        <f>SLP!M53+ROSA!M53+'STA ANA'!M53+BOA!M53+'STA MARIA'!M53+'CB I'!M53+IG!M53+PN!M53+MJ!M53+'RB I'!M53+'SF I'!M53</f>
        <v>21506.651311201487</v>
      </c>
      <c r="N53" s="218">
        <f>SLP!N53+ROSA!N53+'STA ANA'!N53+BOA!N53+'STA MARIA'!N53+'CB I'!N53+IG!N53+PN!N53+MJ!N53+'RB I'!N53+'SF I'!N53</f>
        <v>2230.290870833333</v>
      </c>
      <c r="O53" s="218">
        <f>SLP!O53+ROSA!O53+'STA ANA'!O53+BOA!O53+'STA MARIA'!O53+'CB I'!O53+IG!O53+PN!O53+MJ!O53+'RB I'!O53+'SF I'!O53</f>
        <v>204.18199999999999</v>
      </c>
      <c r="P53" s="218">
        <f>SLP!P53+ROSA!P53+'STA ANA'!P53+BOA!P53+'STA MARIA'!P53+'CB I'!P53+IG!P53+PN!P53+MJ!P53+'RB I'!P53+'SF I'!P53</f>
        <v>15.818000000000001</v>
      </c>
      <c r="Q53" s="218">
        <f>SLP!Q53+ROSA!Q53+'STA ANA'!Q53+BOA!Q53+'STA MARIA'!Q53+'CB I'!Q53+IG!Q53+PN!Q53+MJ!Q53+'RB I'!Q53+'SF I'!Q53</f>
        <v>220</v>
      </c>
      <c r="R53" s="221">
        <f t="shared" si="3"/>
        <v>-0.99073174639290706</v>
      </c>
      <c r="S53" s="218">
        <f>SLP!S53+ROSA!S53+'STA ANA'!S53+BOA!S53+'STA MARIA'!S53+'CB I'!S53+IG!S53+PN!S53+MJ!S53+'RB I'!S53+'SF I'!S53</f>
        <v>23736.942182034825</v>
      </c>
      <c r="T53" s="218">
        <f>SLP!T53+ROSA!T53+'STA ANA'!T53+BOA!T53+'STA MARIA'!T53+'CB I'!T53+IG!T53+PN!T53+MJ!T53+'RB I'!T53+'SF I'!T53</f>
        <v>21506.651311201487</v>
      </c>
      <c r="U53" s="218">
        <f>SLP!U53+ROSA!U53+'STA ANA'!U53+BOA!U53+'STA MARIA'!U53+'CB I'!U53+IG!U53+PN!U53+MJ!U53+'RB I'!U53+'SF I'!U53</f>
        <v>2230.290870833333</v>
      </c>
      <c r="V53" s="218">
        <f>SLP!V53+ROSA!V53+'STA ANA'!V53+BOA!V53+'STA MARIA'!V53+'CB I'!V53+IG!V53+PN!V53+MJ!V53+'RB I'!V53+'SF I'!V53</f>
        <v>21162.63188728676</v>
      </c>
      <c r="W53" s="218">
        <f>SLP!W53+ROSA!W53+'STA ANA'!W53+BOA!W53+'STA MARIA'!W53+'CB I'!W53+IG!W53+PN!W53+MJ!W53+'RB I'!W53+'SF I'!W53</f>
        <v>7733.1352313110028</v>
      </c>
      <c r="X53" s="218">
        <f>SLP!X53+ROSA!X53+'STA ANA'!X53+BOA!X53+'STA MARIA'!X53+'CB I'!X53+IG!X53+PN!X53+MJ!X53+'RB I'!X53+'SF I'!X53</f>
        <v>28895.767118597763</v>
      </c>
      <c r="Y53" s="221">
        <f t="shared" si="4"/>
        <v>0.21733317193936497</v>
      </c>
      <c r="Z53" s="218">
        <f>SLP!Z53+ROSA!Z53+'STA ANA'!Z53+BOA!Z53+'STA MARIA'!Z53+'CB I'!Z53+IG!Z53+PN!Z53+MJ!Z53+'RB I'!Z53+'SF I'!Z53</f>
        <v>23736.942182034825</v>
      </c>
      <c r="AA53" s="218">
        <f>SLP!AA53+ROSA!AA53+'STA ANA'!AA53+BOA!AA53+'STA MARIA'!AA53+'CB I'!AA53+IG!AA53+PN!AA53+MJ!AA53+'RB I'!AA53+'SF I'!AA53</f>
        <v>21506.651311201487</v>
      </c>
      <c r="AB53" s="218">
        <f>SLP!AB53+ROSA!AB53+'STA ANA'!AB53+BOA!AB53+'STA MARIA'!AB53+'CB I'!AB53+IG!AB53+PN!AB53+MJ!AB53+'RB I'!AB53+'SF I'!AB53</f>
        <v>2230.290870833333</v>
      </c>
      <c r="AC53" s="218">
        <f>SLP!AC53+ROSA!AC53+'STA ANA'!AC53+BOA!AC53+'STA MARIA'!AC53+'CB I'!AC53+IG!AC53+PN!AC53+MJ!AC53+'RB I'!AC53+'SF I'!AC53</f>
        <v>2389.4722048084091</v>
      </c>
      <c r="AD53" s="218">
        <f>SLP!AD53+ROSA!AD53+'STA ANA'!AD53+BOA!AD53+'STA MARIA'!AD53+'CB I'!AD53+IG!AD53+PN!AD53+MJ!AD53+'RB I'!AD53+'SF I'!AD53</f>
        <v>624.14017103200831</v>
      </c>
      <c r="AE53" s="218">
        <f>SLP!AE53+ROSA!AE53+'STA ANA'!AE53+BOA!AE53+'STA MARIA'!AE53+'CB I'!AE53+IG!AE53+PN!AE53+MJ!AE53+'RB I'!AE53+'SF I'!AE53</f>
        <v>3013.6123758404174</v>
      </c>
      <c r="AF53" s="221">
        <f t="shared" si="5"/>
        <v>-0.87304125557835111</v>
      </c>
      <c r="AG53" s="218">
        <f>SLP!AG53+ROSA!AG53+'STA ANA'!AG53+BOA!AG53+'STA MARIA'!AG53+'CB I'!AG53+IG!AG53+PN!AG53+MJ!AG53+'RB I'!AG53+'SF I'!AG53</f>
        <v>23736.942182034825</v>
      </c>
      <c r="AH53" s="218">
        <f>SLP!AH53+ROSA!AH53+'STA ANA'!AH53+BOA!AH53+'STA MARIA'!AH53+'CB I'!AH53+IG!AH53+PN!AH53+MJ!AH53+'RB I'!AH53+'SF I'!AH53</f>
        <v>21506.651311201487</v>
      </c>
      <c r="AI53" s="218">
        <f>SLP!AI53+ROSA!AI53+'STA ANA'!AI53+BOA!AI53+'STA MARIA'!AI53+'CB I'!AI53+IG!AI53+PN!AI53+MJ!AI53+'RB I'!AI53+'SF I'!AI53</f>
        <v>2230.290870833333</v>
      </c>
      <c r="AJ53" s="218">
        <f>SLP!AJ53+ROSA!AJ53+'STA ANA'!AJ53+BOA!AJ53+'STA MARIA'!AJ53+'CB I'!AJ53+IG!AJ53+PN!AJ53+MJ!AJ53+'RB I'!AJ53+'SF I'!AJ53</f>
        <v>380.86425684432055</v>
      </c>
      <c r="AK53" s="218">
        <f>SLP!AK53+ROSA!AK53+'STA ANA'!AK53+BOA!AK53+'STA MARIA'!AK53+'CB I'!AK53+IG!AK53+PN!AK53+MJ!AK53+'RB I'!AK53+'SF I'!AK53</f>
        <v>98.957760000000007</v>
      </c>
      <c r="AL53" s="218">
        <f>SLP!AL53+ROSA!AL53+'STA ANA'!AL53+BOA!AL53+'STA MARIA'!AL53+'CB I'!AL53+IG!AL53+PN!AL53+MJ!AL53+'RB I'!AL53+'SF I'!AL53</f>
        <v>479.82201684432056</v>
      </c>
      <c r="AM53" s="221">
        <f t="shared" si="6"/>
        <v>-0.97978585391645467</v>
      </c>
      <c r="AN53" s="218">
        <f>SLP!AN53+ROSA!AN53+'STA ANA'!AN53+BOA!AN53+'STA MARIA'!AN53+'CB I'!AN53+IG!AN53+PN!AN53+MJ!AN53+'RB I'!AN53+'SF I'!AN53</f>
        <v>23736.942182034825</v>
      </c>
      <c r="AO53" s="218">
        <f>SLP!AO53+ROSA!AO53+'STA ANA'!AO53+BOA!AO53+'STA MARIA'!AO53+'CB I'!AO53+IG!AO53+PN!AO53+MJ!AO53+'RB I'!AO53+'SF I'!AO53</f>
        <v>21506.651311201487</v>
      </c>
      <c r="AP53" s="218">
        <f>SLP!AP53+ROSA!AP53+'STA ANA'!AP53+BOA!AP53+'STA MARIA'!AP53+'CB I'!AP53+IG!AP53+PN!AP53+MJ!AP53+'RB I'!AP53+'SF I'!AP53</f>
        <v>2230.290870833333</v>
      </c>
      <c r="AQ53" s="218">
        <f>SLP!AQ53+ROSA!AQ53+'STA ANA'!AQ53+BOA!AQ53+'STA MARIA'!AQ53+'CB I'!AQ53+IG!AQ53+PN!AQ53+MJ!AQ53+'RB I'!AQ53+'SF I'!AQ53</f>
        <v>102215.70341520445</v>
      </c>
      <c r="AR53" s="218">
        <f>SLP!AR53+ROSA!AR53+'STA ANA'!AR53+BOA!AR53+'STA MARIA'!AR53+'CB I'!AR53+IG!AR53+PN!AR53+MJ!AR53+'RB I'!AR53+'SF I'!AR53</f>
        <v>19112.407513640155</v>
      </c>
      <c r="AS53" s="218">
        <f>SLP!AS53+ROSA!AS53+'STA ANA'!AS53+BOA!AS53+'STA MARIA'!AS53+'CB I'!AS53+IG!AS53+PN!AS53+MJ!AS53+'RB I'!AS53+'SF I'!AS53</f>
        <v>121328.1109288446</v>
      </c>
      <c r="AT53" s="221">
        <f t="shared" si="7"/>
        <v>4.1113622807183274</v>
      </c>
      <c r="AU53" s="218">
        <f>SLP!AU53+ROSA!AU53+'STA ANA'!AU53+BOA!AU53+'STA MARIA'!AU53+'CB I'!AU53+IG!AU53+PN!AU53+MJ!AU53+'RB I'!AU53+'SF I'!AU53</f>
        <v>23736.942182034825</v>
      </c>
      <c r="AV53" s="218">
        <f>SLP!AV53+ROSA!AV53+'STA ANA'!AV53+BOA!AV53+'STA MARIA'!AV53+'CB I'!AV53+IG!AV53+PN!AV53+MJ!AV53+'RB I'!AV53+'SF I'!AV53</f>
        <v>21506.651311201487</v>
      </c>
      <c r="AW53" s="218">
        <f>SLP!AW53+ROSA!AW53+'STA ANA'!AW53+BOA!AW53+'STA MARIA'!AW53+'CB I'!AW53+IG!AW53+PN!AW53+MJ!AW53+'RB I'!AW53+'SF I'!AW53</f>
        <v>2230.290870833333</v>
      </c>
      <c r="AX53" s="218">
        <f>SLP!AX53+ROSA!AX53+'STA ANA'!AX53+BOA!AX53+'STA MARIA'!AX53+'CB I'!AX53+IG!AX53+PN!AX53+MJ!AX53+'RB I'!AX53+'SF I'!AX53</f>
        <v>9540.0755339999996</v>
      </c>
      <c r="AY53" s="218">
        <f>SLP!AY53+ROSA!AY53+'STA ANA'!AY53+BOA!AY53+'STA MARIA'!AY53+'CB I'!AY53+IG!AY53+PN!AY53+MJ!AY53+'RB I'!AY53+'SF I'!AY53</f>
        <v>638.56446600000004</v>
      </c>
      <c r="AZ53" s="218">
        <f>SLP!AZ53+ROSA!AZ53+'STA ANA'!AZ53+BOA!AZ53+'STA MARIA'!AZ53+'CB I'!AZ53+IG!AZ53+PN!AZ53+MJ!AZ53+'RB I'!AZ53+'SF I'!AZ53</f>
        <v>10178.64</v>
      </c>
      <c r="BA53" s="221">
        <f t="shared" si="8"/>
        <v>-0.57118992320318129</v>
      </c>
      <c r="BB53" s="218">
        <f>SLP!BB53+ROSA!BB53+'STA ANA'!BB53+BOA!BB53+'STA MARIA'!BB53+'CB I'!BB53+IG!BB53+PN!BB53+MJ!BB53+'RB I'!BB53+'SF I'!BB53</f>
        <v>23736.942182034825</v>
      </c>
      <c r="BC53" s="218">
        <f>SLP!BC53+ROSA!BC53+'STA ANA'!BC53+BOA!BC53+'STA MARIA'!BC53+'CB I'!BC53+IG!BC53+PN!BC53+MJ!BC53+'RB I'!BC53+'SF I'!BC53</f>
        <v>21506.651311201487</v>
      </c>
      <c r="BD53" s="218">
        <f>SLP!BD53+ROSA!BD53+'STA ANA'!BD53+BOA!BD53+'STA MARIA'!BD53+'CB I'!BD53+IG!BD53+PN!BD53+MJ!BD53+'RB I'!BD53+'SF I'!BD53</f>
        <v>2230.290870833333</v>
      </c>
      <c r="BE53" s="218">
        <f>SLP!BE53+ROSA!BE53+'STA ANA'!BE53+BOA!BE53+'STA MARIA'!BE53+'CB I'!BE53+IG!BE53+PN!BE53+MJ!BE53+'RB I'!BE53+'SF I'!BE53</f>
        <v>0</v>
      </c>
      <c r="BF53" s="218">
        <f>SLP!BF53+ROSA!BF53+'STA ANA'!BF53+BOA!BF53+'STA MARIA'!BF53+'CB I'!BF53+IG!BF53+PN!BF53+MJ!BF53+'RB I'!BF53+'SF I'!BF53</f>
        <v>0</v>
      </c>
      <c r="BG53" s="218">
        <f>SLP!BG53+ROSA!BG53+'STA ANA'!BG53+BOA!BG53+'STA MARIA'!BG53+'CB I'!BG53+IG!BG53+PN!BG53+MJ!BG53+'RB I'!BG53+'SF I'!BG53</f>
        <v>0</v>
      </c>
      <c r="BH53" s="221">
        <f t="shared" si="9"/>
        <v>-1</v>
      </c>
      <c r="BI53" s="218">
        <f>SLP!BI53+ROSA!BI53+'STA ANA'!BI53+BOA!BI53+'STA MARIA'!BI53+'CB I'!BI53+IG!BI53+PN!BI53+MJ!BI53+'RB I'!BI53+'SF I'!BI53</f>
        <v>23736.942182034825</v>
      </c>
      <c r="BJ53" s="218">
        <f>SLP!BJ53+ROSA!BJ53+'STA ANA'!BJ53+BOA!BJ53+'STA MARIA'!BJ53+'CB I'!BJ53+IG!BJ53+PN!BJ53+MJ!BJ53+'RB I'!BJ53+'SF I'!BJ53</f>
        <v>21506.651311201487</v>
      </c>
      <c r="BK53" s="218">
        <f>SLP!BK53+ROSA!BK53+'STA ANA'!BK53+BOA!BK53+'STA MARIA'!BK53+'CB I'!BK53+IG!BK53+PN!BK53+MJ!BK53+'RB I'!BK53+'SF I'!BK53</f>
        <v>2230.290870833333</v>
      </c>
      <c r="BL53" s="218">
        <f>SLP!BL53+ROSA!BL53+'STA ANA'!BL53+BOA!BL53+'STA MARIA'!BL53+'CB I'!BL53+IG!BL53+PN!BL53+MJ!BL53+'RB I'!BL53+'SF I'!BL53</f>
        <v>0</v>
      </c>
      <c r="BM53" s="218">
        <f>SLP!BM53+ROSA!BM53+'STA ANA'!BM53+BOA!BM53+'STA MARIA'!BM53+'CB I'!BM53+IG!BM53+PN!BM53+MJ!BM53+'RB I'!BM53+'SF I'!BM53</f>
        <v>0</v>
      </c>
      <c r="BN53" s="218">
        <f>SLP!BN53+ROSA!BN53+'STA ANA'!BN53+BOA!BN53+'STA MARIA'!BN53+'CB I'!BN53+IG!BN53+PN!BN53+MJ!BN53+'RB I'!BN53+'SF I'!BN53</f>
        <v>0</v>
      </c>
      <c r="BO53" s="221">
        <f t="shared" si="10"/>
        <v>-1</v>
      </c>
      <c r="BP53" s="218">
        <f>SLP!BP53+ROSA!BP53+'STA ANA'!BP53+BOA!BP53+'STA MARIA'!BP53+'CB I'!BP53+IG!BP53+PN!BP53+MJ!BP53+'RB I'!BP53+'SF I'!BP53</f>
        <v>23736.942182034825</v>
      </c>
      <c r="BQ53" s="218">
        <f>SLP!BQ53+ROSA!BQ53+'STA ANA'!BQ53+BOA!BQ53+'STA MARIA'!BQ53+'CB I'!BQ53+IG!BQ53+PN!BQ53+MJ!BQ53+'RB I'!BQ53+'SF I'!BQ53</f>
        <v>21506.651311201487</v>
      </c>
      <c r="BR53" s="218">
        <f>SLP!BR53+ROSA!BR53+'STA ANA'!BR53+BOA!BR53+'STA MARIA'!BR53+'CB I'!BR53+IG!BR53+PN!BR53+MJ!BR53+'RB I'!BR53+'SF I'!BR53</f>
        <v>2230.290870833333</v>
      </c>
      <c r="BS53" s="218">
        <f>SLP!BS53+ROSA!BS53+'STA ANA'!BS53+BOA!BS53+'STA MARIA'!BS53+'CB I'!BS53+IG!BS53+PN!BS53+MJ!BS53+'RB I'!BS53+'SF I'!BS53</f>
        <v>0</v>
      </c>
      <c r="BT53" s="218">
        <f>SLP!BT53+ROSA!BT53+'STA ANA'!BT53+BOA!BT53+'STA MARIA'!BT53+'CB I'!BT53+IG!BT53+PN!BT53+MJ!BT53+'RB I'!BT53+'SF I'!BT53</f>
        <v>0</v>
      </c>
      <c r="BU53" s="218">
        <f>SLP!BU53+ROSA!BU53+'STA ANA'!BU53+BOA!BU53+'STA MARIA'!BU53+'CB I'!BU53+IG!BU53+PN!BU53+MJ!BU53+'RB I'!BU53+'SF I'!BU53</f>
        <v>0</v>
      </c>
      <c r="BV53" s="221">
        <f t="shared" si="11"/>
        <v>-1</v>
      </c>
      <c r="BW53" s="218">
        <f>SLP!BW53+ROSA!BW53+'STA ANA'!BW53+BOA!BW53+'STA MARIA'!BW53+'CB I'!BW53+IG!BW53+PN!BW53+MJ!BW53+'RB I'!BW53+'SF I'!BW53</f>
        <v>23736.942182034825</v>
      </c>
      <c r="BX53" s="218">
        <f>SLP!BX53+ROSA!BX53+'STA ANA'!BX53+BOA!BX53+'STA MARIA'!BX53+'CB I'!BX53+IG!BX53+PN!BX53+MJ!BX53+'RB I'!BX53+'SF I'!BX53</f>
        <v>21506.651311201487</v>
      </c>
      <c r="BY53" s="218">
        <f>SLP!BY53+ROSA!BY53+'STA ANA'!BY53+BOA!BY53+'STA MARIA'!BY53+'CB I'!BY53+IG!BY53+PN!BY53+MJ!BY53+'RB I'!BY53+'SF I'!BY53</f>
        <v>2230.290870833333</v>
      </c>
      <c r="BZ53" s="218">
        <f>SLP!BZ53+ROSA!BZ53+'STA ANA'!BZ53+BOA!BZ53+'STA MARIA'!BZ53+'CB I'!BZ53+IG!BZ53+PN!BZ53+MJ!BZ53+'RB I'!BZ53+'SF I'!BZ53</f>
        <v>0</v>
      </c>
      <c r="CA53" s="218">
        <f>SLP!CA53+ROSA!CA53+'STA ANA'!CA53+BOA!CA53+'STA MARIA'!CA53+'CB I'!CA53+IG!CA53+PN!CA53+MJ!CA53+'RB I'!CA53+'SF I'!CA53</f>
        <v>0</v>
      </c>
      <c r="CB53" s="218">
        <f>SLP!CB53+ROSA!CB53+'STA ANA'!CB53+BOA!CB53+'STA MARIA'!CB53+'CB I'!CB53+IG!CB53+PN!CB53+MJ!CB53+'RB I'!CB53+'SF I'!CB53</f>
        <v>0</v>
      </c>
      <c r="CC53" s="221">
        <f t="shared" si="12"/>
        <v>-1</v>
      </c>
      <c r="CD53" s="218">
        <f>SLP!CD53+ROSA!CD53+'STA ANA'!CD53+BOA!CD53+'STA MARIA'!CD53+'CB I'!CD53+IG!CD53+PN!CD53+MJ!CD53+'RB I'!CD53+'SF I'!CD53</f>
        <v>23736.942182034825</v>
      </c>
      <c r="CE53" s="218">
        <f>SLP!CE53+ROSA!CE53+'STA ANA'!CE53+BOA!CE53+'STA MARIA'!CE53+'CB I'!CE53+IG!CE53+PN!CE53+MJ!CE53+'RB I'!CE53+'SF I'!CE53</f>
        <v>21506.651311201487</v>
      </c>
      <c r="CF53" s="218">
        <f>SLP!CF53+ROSA!CF53+'STA ANA'!CF53+BOA!CF53+'STA MARIA'!CF53+'CB I'!CF53+IG!CF53+PN!CF53+MJ!CF53+'RB I'!CF53+'SF I'!CF53</f>
        <v>2230.290870833333</v>
      </c>
      <c r="CG53" s="218">
        <f>SLP!CG53+ROSA!CG53+'STA ANA'!CG53+BOA!CG53+'STA MARIA'!CG53+'CB I'!CG53+IG!CG53+PN!CG53+MJ!CG53+'RB I'!CG53+'SF I'!CG53</f>
        <v>0</v>
      </c>
      <c r="CH53" s="218">
        <f>SLP!CH53+ROSA!CH53+'STA ANA'!CH53+BOA!CH53+'STA MARIA'!CH53+'CB I'!CH53+IG!CH53+PN!CH53+MJ!CH53+'RB I'!CH53+'SF I'!CH53</f>
        <v>0</v>
      </c>
      <c r="CI53" s="218">
        <f>SLP!CI53+ROSA!CI53+'STA ANA'!CI53+BOA!CI53+'STA MARIA'!CI53+'CB I'!CI53+IG!CI53+PN!CI53+MJ!CI53+'RB I'!CI53+'SF I'!CI53</f>
        <v>0</v>
      </c>
      <c r="CJ53" s="221">
        <f t="shared" si="13"/>
        <v>-1</v>
      </c>
      <c r="CK53" s="218">
        <f>SLP!CK53+ROSA!CK53+'STA ANA'!CK53+BOA!CK53+'STA MARIA'!CK53+'CB I'!CK53+IG!CK53+PN!CK53+MJ!CK53+'RB I'!CK53+'SF I'!CK53</f>
        <v>23736.942182034825</v>
      </c>
      <c r="CL53" s="218">
        <f>SLP!CL53+ROSA!CL53+'STA ANA'!CL53+BOA!CL53+'STA MARIA'!CL53+'CB I'!CL53+IG!CL53+PN!CL53+MJ!CL53+'RB I'!CL53+'SF I'!CL53</f>
        <v>21506.651311201487</v>
      </c>
      <c r="CM53" s="218">
        <f>SLP!CM53+ROSA!CM53+'STA ANA'!CM53+BOA!CM53+'STA MARIA'!CM53+'CB I'!CM53+IG!CM53+PN!CM53+MJ!CM53+'RB I'!CM53+'SF I'!CM53</f>
        <v>2230.290870833333</v>
      </c>
      <c r="CN53" s="218">
        <f>SLP!CN53+ROSA!CN53+'STA ANA'!CN53+BOA!CN53+'STA MARIA'!CN53+'CB I'!CN53+IG!CN53+PN!CN53+MJ!CN53+'RB I'!CN53+'SF I'!CN53</f>
        <v>0</v>
      </c>
      <c r="CO53" s="218">
        <f>SLP!CO53+ROSA!CO53+'STA ANA'!CO53+BOA!CO53+'STA MARIA'!CO53+'CB I'!CO53+IG!CO53+PN!CO53+MJ!CO53+'RB I'!CO53+'SF I'!CO53</f>
        <v>0</v>
      </c>
      <c r="CP53" s="218">
        <f>SLP!CP53+ROSA!CP53+'STA ANA'!CP53+BOA!CP53+'STA MARIA'!CP53+'CB I'!CP53+IG!CP53+PN!CP53+MJ!CP53+'RB I'!CP53+'SF I'!CP53</f>
        <v>0</v>
      </c>
      <c r="CQ53" s="221">
        <f t="shared" si="14"/>
        <v>-1</v>
      </c>
      <c r="CR53" s="154"/>
      <c r="CS53" s="222" t="e">
        <f t="shared" si="15"/>
        <v>#VALUE!</v>
      </c>
    </row>
    <row r="54" spans="1:101" ht="16" customHeight="1" thickBot="1" x14ac:dyDescent="0.25">
      <c r="A54" s="224" t="s">
        <v>78</v>
      </c>
      <c r="B54" s="50">
        <f t="shared" si="17"/>
        <v>2800344.3178545674</v>
      </c>
      <c r="C54" s="40">
        <f t="shared" si="17"/>
        <v>2533295.0824967758</v>
      </c>
      <c r="D54" s="51">
        <f t="shared" si="17"/>
        <v>267049.23535779153</v>
      </c>
      <c r="E54" s="52">
        <f t="shared" si="19"/>
        <v>1600196.753059753</v>
      </c>
      <c r="F54" s="53">
        <f t="shared" si="19"/>
        <v>1447597.1899981576</v>
      </c>
      <c r="G54" s="54">
        <f t="shared" si="19"/>
        <v>152599.56306159514</v>
      </c>
      <c r="H54" s="40">
        <f t="shared" si="18"/>
        <v>1584050.8102015087</v>
      </c>
      <c r="I54" s="53">
        <f t="shared" si="18"/>
        <v>262363.98278378742</v>
      </c>
      <c r="J54" s="53">
        <f t="shared" si="18"/>
        <v>1846414.7929852961</v>
      </c>
      <c r="K54" s="225">
        <f t="shared" si="2"/>
        <v>0.15386735378305638</v>
      </c>
      <c r="L54" s="218">
        <f>SLP!L54+ROSA!L54+'STA ANA'!L54+BOA!L54+'STA MARIA'!L54+'CB I'!L54+IG!L54+PN!L54+MJ!L54+'RB I'!L54+'SF I'!L54</f>
        <v>400049.18826493825</v>
      </c>
      <c r="M54" s="218">
        <f>SLP!M54+ROSA!M54+'STA ANA'!M54+BOA!M54+'STA MARIA'!M54+'CB I'!M54+IG!M54+PN!M54+MJ!M54+'RB I'!M54+'SF I'!M54</f>
        <v>361899.29749953939</v>
      </c>
      <c r="N54" s="218">
        <f>SLP!N54+ROSA!N54+'STA ANA'!N54+BOA!N54+'STA MARIA'!N54+'CB I'!N54+IG!N54+PN!N54+MJ!N54+'RB I'!N54+'SF I'!N54</f>
        <v>38149.890765398784</v>
      </c>
      <c r="O54" s="218">
        <f>SLP!O54+ROSA!O54+'STA ANA'!O54+BOA!O54+'STA MARIA'!O54+'CB I'!O54+IG!O54+PN!O54+MJ!O54+'RB I'!O54+'SF I'!O54</f>
        <v>68729.594167999996</v>
      </c>
      <c r="P54" s="218">
        <f>SLP!P54+ROSA!P54+'STA ANA'!P54+BOA!P54+'STA MARIA'!P54+'CB I'!P54+IG!P54+PN!P54+MJ!P54+'RB I'!P54+'SF I'!P54</f>
        <v>13685.935832000001</v>
      </c>
      <c r="Q54" s="218">
        <f>SLP!Q54+ROSA!Q54+'STA ANA'!Q54+BOA!Q54+'STA MARIA'!Q54+'CB I'!Q54+IG!Q54+PN!Q54+MJ!Q54+'RB I'!Q54+'SF I'!Q54</f>
        <v>82415.53</v>
      </c>
      <c r="R54" s="225">
        <f t="shared" si="3"/>
        <v>-0.7939865086154877</v>
      </c>
      <c r="S54" s="218">
        <f>SLP!S54+ROSA!S54+'STA ANA'!S54+BOA!S54+'STA MARIA'!S54+'CB I'!S54+IG!S54+PN!S54+MJ!S54+'RB I'!S54+'SF I'!S54</f>
        <v>400049.18826493825</v>
      </c>
      <c r="T54" s="218">
        <f>SLP!T54+ROSA!T54+'STA ANA'!T54+BOA!T54+'STA MARIA'!T54+'CB I'!T54+IG!T54+PN!T54+MJ!T54+'RB I'!T54+'SF I'!T54</f>
        <v>361899.29749953939</v>
      </c>
      <c r="U54" s="218">
        <f>SLP!U54+ROSA!U54+'STA ANA'!U54+BOA!U54+'STA MARIA'!U54+'CB I'!U54+IG!U54+PN!U54+MJ!U54+'RB I'!U54+'SF I'!U54</f>
        <v>38149.890765398784</v>
      </c>
      <c r="V54" s="218">
        <f>SLP!V54+ROSA!V54+'STA ANA'!V54+BOA!V54+'STA MARIA'!V54+'CB I'!V54+IG!V54+PN!V54+MJ!V54+'RB I'!V54+'SF I'!V54</f>
        <v>493923.81733275414</v>
      </c>
      <c r="W54" s="218">
        <f>SLP!W54+ROSA!W54+'STA ANA'!W54+BOA!W54+'STA MARIA'!W54+'CB I'!W54+IG!W54+PN!W54+MJ!W54+'RB I'!W54+'SF I'!W54</f>
        <v>52964.614298175984</v>
      </c>
      <c r="X54" s="218">
        <f>SLP!X54+ROSA!X54+'STA ANA'!X54+BOA!X54+'STA MARIA'!X54+'CB I'!X54+IG!X54+PN!X54+MJ!X54+'RB I'!X54+'SF I'!X54</f>
        <v>546888.43163093005</v>
      </c>
      <c r="Y54" s="225">
        <f t="shared" si="4"/>
        <v>0.3670529716679376</v>
      </c>
      <c r="Z54" s="218">
        <f>SLP!Z54+ROSA!Z54+'STA ANA'!Z54+BOA!Z54+'STA MARIA'!Z54+'CB I'!Z54+IG!Z54+PN!Z54+MJ!Z54+'RB I'!Z54+'SF I'!Z54</f>
        <v>400049.18826493825</v>
      </c>
      <c r="AA54" s="218">
        <f>SLP!AA54+ROSA!AA54+'STA ANA'!AA54+BOA!AA54+'STA MARIA'!AA54+'CB I'!AA54+IG!AA54+PN!AA54+MJ!AA54+'RB I'!AA54+'SF I'!AA54</f>
        <v>361899.29749953939</v>
      </c>
      <c r="AB54" s="218">
        <f>SLP!AB54+ROSA!AB54+'STA ANA'!AB54+BOA!AB54+'STA MARIA'!AB54+'CB I'!AB54+IG!AB54+PN!AB54+MJ!AB54+'RB I'!AB54+'SF I'!AB54</f>
        <v>38149.890765398784</v>
      </c>
      <c r="AC54" s="218">
        <f>SLP!AC54+ROSA!AC54+'STA ANA'!AC54+BOA!AC54+'STA MARIA'!AC54+'CB I'!AC54+IG!AC54+PN!AC54+MJ!AC54+'RB I'!AC54+'SF I'!AC54</f>
        <v>472630.23221507907</v>
      </c>
      <c r="AD54" s="218">
        <f>SLP!AD54+ROSA!AD54+'STA ANA'!AD54+BOA!AD54+'STA MARIA'!AD54+'CB I'!AD54+IG!AD54+PN!AD54+MJ!AD54+'RB I'!AD54+'SF I'!AD54</f>
        <v>58512.884216957122</v>
      </c>
      <c r="AE54" s="218">
        <f>SLP!AE54+ROSA!AE54+'STA ANA'!AE54+BOA!AE54+'STA MARIA'!AE54+'CB I'!AE54+IG!AE54+PN!AE54+MJ!AE54+'RB I'!AE54+'SF I'!AE54</f>
        <v>531143.11643203627</v>
      </c>
      <c r="AF54" s="225">
        <f t="shared" si="5"/>
        <v>0.32769452360513029</v>
      </c>
      <c r="AG54" s="218">
        <f>SLP!AG54+ROSA!AG54+'STA ANA'!AG54+BOA!AG54+'STA MARIA'!AG54+'CB I'!AG54+IG!AG54+PN!AG54+MJ!AG54+'RB I'!AG54+'SF I'!AG54</f>
        <v>400049.18826493825</v>
      </c>
      <c r="AH54" s="218">
        <f>SLP!AH54+ROSA!AH54+'STA ANA'!AH54+BOA!AH54+'STA MARIA'!AH54+'CB I'!AH54+IG!AH54+PN!AH54+MJ!AH54+'RB I'!AH54+'SF I'!AH54</f>
        <v>361899.29749953939</v>
      </c>
      <c r="AI54" s="218">
        <f>SLP!AI54+ROSA!AI54+'STA ANA'!AI54+BOA!AI54+'STA MARIA'!AI54+'CB I'!AI54+IG!AI54+PN!AI54+MJ!AI54+'RB I'!AI54+'SF I'!AI54</f>
        <v>38149.890765398784</v>
      </c>
      <c r="AJ54" s="218">
        <f>SLP!AJ54+ROSA!AJ54+'STA ANA'!AJ54+BOA!AJ54+'STA MARIA'!AJ54+'CB I'!AJ54+IG!AJ54+PN!AJ54+MJ!AJ54+'RB I'!AJ54+'SF I'!AJ54</f>
        <v>358530.20937600028</v>
      </c>
      <c r="AK54" s="218">
        <f>SLP!AK54+ROSA!AK54+'STA ANA'!AK54+BOA!AK54+'STA MARIA'!AK54+'CB I'!AK54+IG!AK54+PN!AK54+MJ!AK54+'RB I'!AK54+'SF I'!AK54</f>
        <v>76504.490624000027</v>
      </c>
      <c r="AL54" s="218">
        <f>SLP!AL54+ROSA!AL54+'STA ANA'!AL54+BOA!AL54+'STA MARIA'!AL54+'CB I'!AL54+IG!AL54+PN!AL54+MJ!AL54+'RB I'!AL54+'SF I'!AL54</f>
        <v>435034.70000000024</v>
      </c>
      <c r="AM54" s="225">
        <f t="shared" si="6"/>
        <v>8.7453025181224442E-2</v>
      </c>
      <c r="AN54" s="218">
        <f>SLP!AN54+ROSA!AN54+'STA ANA'!AN54+BOA!AN54+'STA MARIA'!AN54+'CB I'!AN54+IG!AN54+PN!AN54+MJ!AN54+'RB I'!AN54+'SF I'!AN54</f>
        <v>400049.18826493825</v>
      </c>
      <c r="AO54" s="218">
        <f>SLP!AO54+ROSA!AO54+'STA ANA'!AO54+BOA!AO54+'STA MARIA'!AO54+'CB I'!AO54+IG!AO54+PN!AO54+MJ!AO54+'RB I'!AO54+'SF I'!AO54</f>
        <v>361899.29749953939</v>
      </c>
      <c r="AP54" s="218">
        <f>SLP!AP54+ROSA!AP54+'STA ANA'!AP54+BOA!AP54+'STA MARIA'!AP54+'CB I'!AP54+IG!AP54+PN!AP54+MJ!AP54+'RB I'!AP54+'SF I'!AP54</f>
        <v>38149.890765398784</v>
      </c>
      <c r="AQ54" s="218">
        <f>SLP!AQ54+ROSA!AQ54+'STA ANA'!AQ54+BOA!AQ54+'STA MARIA'!AQ54+'CB I'!AQ54+IG!AQ54+PN!AQ54+MJ!AQ54+'RB I'!AQ54+'SF I'!AQ54</f>
        <v>169801.82806200002</v>
      </c>
      <c r="AR54" s="218">
        <f>SLP!AR54+ROSA!AR54+'STA ANA'!AR54+BOA!AR54+'STA MARIA'!AR54+'CB I'!AR54+IG!AR54+PN!AR54+MJ!AR54+'RB I'!AR54+'SF I'!AR54</f>
        <v>58212.301938000011</v>
      </c>
      <c r="AS54" s="218">
        <f>SLP!AS54+ROSA!AS54+'STA ANA'!AS54+BOA!AS54+'STA MARIA'!AS54+'CB I'!AS54+IG!AS54+PN!AS54+MJ!AS54+'RB I'!AS54+'SF I'!AS54</f>
        <v>228014.13000000003</v>
      </c>
      <c r="AT54" s="225">
        <f t="shared" si="7"/>
        <v>-0.43003476400258445</v>
      </c>
      <c r="AU54" s="218">
        <f>SLP!AU54+ROSA!AU54+'STA ANA'!AU54+BOA!AU54+'STA MARIA'!AU54+'CB I'!AU54+IG!AU54+PN!AU54+MJ!AU54+'RB I'!AU54+'SF I'!AU54</f>
        <v>400049.18826493825</v>
      </c>
      <c r="AV54" s="218">
        <f>SLP!AV54+ROSA!AV54+'STA ANA'!AV54+BOA!AV54+'STA MARIA'!AV54+'CB I'!AV54+IG!AV54+PN!AV54+MJ!AV54+'RB I'!AV54+'SF I'!AV54</f>
        <v>361899.29749953939</v>
      </c>
      <c r="AW54" s="218">
        <f>SLP!AW54+ROSA!AW54+'STA ANA'!AW54+BOA!AW54+'STA MARIA'!AW54+'CB I'!AW54+IG!AW54+PN!AW54+MJ!AW54+'RB I'!AW54+'SF I'!AW54</f>
        <v>38149.890765398784</v>
      </c>
      <c r="AX54" s="218">
        <f>SLP!AX54+ROSA!AX54+'STA ANA'!AX54+BOA!AX54+'STA MARIA'!AX54+'CB I'!AX54+IG!AX54+PN!AX54+MJ!AX54+'RB I'!AX54+'SF I'!AX54</f>
        <v>20435.129047674964</v>
      </c>
      <c r="AY54" s="218">
        <f>SLP!AY54+ROSA!AY54+'STA ANA'!AY54+BOA!AY54+'STA MARIA'!AY54+'CB I'!AY54+IG!AY54+PN!AY54+MJ!AY54+'RB I'!AY54+'SF I'!AY54</f>
        <v>2483.7558746543009</v>
      </c>
      <c r="AZ54" s="218">
        <f>SLP!AZ54+ROSA!AZ54+'STA ANA'!AZ54+BOA!AZ54+'STA MARIA'!AZ54+'CB I'!AZ54+IG!AZ54+PN!AZ54+MJ!AZ54+'RB I'!AZ54+'SF I'!AZ54</f>
        <v>22918.884922329264</v>
      </c>
      <c r="BA54" s="225">
        <f t="shared" si="8"/>
        <v>-0.94270983270399511</v>
      </c>
      <c r="BB54" s="218">
        <f>SLP!BB54+ROSA!BB54+'STA ANA'!BB54+BOA!BB54+'STA MARIA'!BB54+'CB I'!BB54+IG!BB54+PN!BB54+MJ!BB54+'RB I'!BB54+'SF I'!BB54</f>
        <v>400049.18826493825</v>
      </c>
      <c r="BC54" s="218">
        <f>SLP!BC54+ROSA!BC54+'STA ANA'!BC54+BOA!BC54+'STA MARIA'!BC54+'CB I'!BC54+IG!BC54+PN!BC54+MJ!BC54+'RB I'!BC54+'SF I'!BC54</f>
        <v>361899.29749953939</v>
      </c>
      <c r="BD54" s="218">
        <f>SLP!BD54+ROSA!BD54+'STA ANA'!BD54+BOA!BD54+'STA MARIA'!BD54+'CB I'!BD54+IG!BD54+PN!BD54+MJ!BD54+'RB I'!BD54+'SF I'!BD54</f>
        <v>38149.890765398784</v>
      </c>
      <c r="BE54" s="218">
        <f>SLP!BE54+ROSA!BE54+'STA ANA'!BE54+BOA!BE54+'STA MARIA'!BE54+'CB I'!BE54+IG!BE54+PN!BE54+MJ!BE54+'RB I'!BE54+'SF I'!BE54</f>
        <v>0</v>
      </c>
      <c r="BF54" s="218">
        <f>SLP!BF54+ROSA!BF54+'STA ANA'!BF54+BOA!BF54+'STA MARIA'!BF54+'CB I'!BF54+IG!BF54+PN!BF54+MJ!BF54+'RB I'!BF54+'SF I'!BF54</f>
        <v>0</v>
      </c>
      <c r="BG54" s="218">
        <f>SLP!BG54+ROSA!BG54+'STA ANA'!BG54+BOA!BG54+'STA MARIA'!BG54+'CB I'!BG54+IG!BG54+PN!BG54+MJ!BG54+'RB I'!BG54+'SF I'!BG54</f>
        <v>0</v>
      </c>
      <c r="BH54" s="225">
        <f t="shared" si="9"/>
        <v>-1</v>
      </c>
      <c r="BI54" s="218">
        <f>SLP!BI54+ROSA!BI54+'STA ANA'!BI54+BOA!BI54+'STA MARIA'!BI54+'CB I'!BI54+IG!BI54+PN!BI54+MJ!BI54+'RB I'!BI54+'SF I'!BI54</f>
        <v>0</v>
      </c>
      <c r="BJ54" s="218">
        <f>SLP!BJ54+ROSA!BJ54+'STA ANA'!BJ54+BOA!BJ54+'STA MARIA'!BJ54+'CB I'!BJ54+IG!BJ54+PN!BJ54+MJ!BJ54+'RB I'!BJ54+'SF I'!BJ54</f>
        <v>0</v>
      </c>
      <c r="BK54" s="218">
        <f>SLP!BK54+ROSA!BK54+'STA ANA'!BK54+BOA!BK54+'STA MARIA'!BK54+'CB I'!BK54+IG!BK54+PN!BK54+MJ!BK54+'RB I'!BK54+'SF I'!BK54</f>
        <v>0</v>
      </c>
      <c r="BL54" s="218">
        <f>SLP!BL54+ROSA!BL54+'STA ANA'!BL54+BOA!BL54+'STA MARIA'!BL54+'CB I'!BL54+IG!BL54+PN!BL54+MJ!BL54+'RB I'!BL54+'SF I'!BL54</f>
        <v>0</v>
      </c>
      <c r="BM54" s="218">
        <f>SLP!BM54+ROSA!BM54+'STA ANA'!BM54+BOA!BM54+'STA MARIA'!BM54+'CB I'!BM54+IG!BM54+PN!BM54+MJ!BM54+'RB I'!BM54+'SF I'!BM54</f>
        <v>0</v>
      </c>
      <c r="BN54" s="218">
        <f>SLP!BN54+ROSA!BN54+'STA ANA'!BN54+BOA!BN54+'STA MARIA'!BN54+'CB I'!BN54+IG!BN54+PN!BN54+MJ!BN54+'RB I'!BN54+'SF I'!BN54</f>
        <v>0</v>
      </c>
      <c r="BO54" s="225" t="str">
        <f t="shared" si="10"/>
        <v/>
      </c>
      <c r="BP54" s="218">
        <f>SLP!BP54+ROSA!BP54+'STA ANA'!BP54+BOA!BP54+'STA MARIA'!BP54+'CB I'!BP54+IG!BP54+PN!BP54+MJ!BP54+'RB I'!BP54+'SF I'!BP54</f>
        <v>0</v>
      </c>
      <c r="BQ54" s="218">
        <f>SLP!BQ54+ROSA!BQ54+'STA ANA'!BQ54+BOA!BQ54+'STA MARIA'!BQ54+'CB I'!BQ54+IG!BQ54+PN!BQ54+MJ!BQ54+'RB I'!BQ54+'SF I'!BQ54</f>
        <v>0</v>
      </c>
      <c r="BR54" s="218">
        <f>SLP!BR54+ROSA!BR54+'STA ANA'!BR54+BOA!BR54+'STA MARIA'!BR54+'CB I'!BR54+IG!BR54+PN!BR54+MJ!BR54+'RB I'!BR54+'SF I'!BR54</f>
        <v>0</v>
      </c>
      <c r="BS54" s="218">
        <f>SLP!BS54+ROSA!BS54+'STA ANA'!BS54+BOA!BS54+'STA MARIA'!BS54+'CB I'!BS54+IG!BS54+PN!BS54+MJ!BS54+'RB I'!BS54+'SF I'!BS54</f>
        <v>0</v>
      </c>
      <c r="BT54" s="218">
        <f>SLP!BT54+ROSA!BT54+'STA ANA'!BT54+BOA!BT54+'STA MARIA'!BT54+'CB I'!BT54+IG!BT54+PN!BT54+MJ!BT54+'RB I'!BT54+'SF I'!BT54</f>
        <v>0</v>
      </c>
      <c r="BU54" s="218">
        <f>SLP!BU54+ROSA!BU54+'STA ANA'!BU54+BOA!BU54+'STA MARIA'!BU54+'CB I'!BU54+IG!BU54+PN!BU54+MJ!BU54+'RB I'!BU54+'SF I'!BU54</f>
        <v>0</v>
      </c>
      <c r="BV54" s="225" t="str">
        <f t="shared" si="11"/>
        <v/>
      </c>
      <c r="BW54" s="218">
        <f>SLP!BW54+ROSA!BW54+'STA ANA'!BW54+BOA!BW54+'STA MARIA'!BW54+'CB I'!BW54+IG!BW54+PN!BW54+MJ!BW54+'RB I'!BW54+'SF I'!BW54</f>
        <v>0</v>
      </c>
      <c r="BX54" s="218">
        <f>SLP!BX54+ROSA!BX54+'STA ANA'!BX54+BOA!BX54+'STA MARIA'!BX54+'CB I'!BX54+IG!BX54+PN!BX54+MJ!BX54+'RB I'!BX54+'SF I'!BX54</f>
        <v>0</v>
      </c>
      <c r="BY54" s="218">
        <f>SLP!BY54+ROSA!BY54+'STA ANA'!BY54+BOA!BY54+'STA MARIA'!BY54+'CB I'!BY54+IG!BY54+PN!BY54+MJ!BY54+'RB I'!BY54+'SF I'!BY54</f>
        <v>0</v>
      </c>
      <c r="BZ54" s="218">
        <f>SLP!BZ54+ROSA!BZ54+'STA ANA'!BZ54+BOA!BZ54+'STA MARIA'!BZ54+'CB I'!BZ54+IG!BZ54+PN!BZ54+MJ!BZ54+'RB I'!BZ54+'SF I'!BZ54</f>
        <v>0</v>
      </c>
      <c r="CA54" s="218">
        <f>SLP!CA54+ROSA!CA54+'STA ANA'!CA54+BOA!CA54+'STA MARIA'!CA54+'CB I'!CA54+IG!CA54+PN!CA54+MJ!CA54+'RB I'!CA54+'SF I'!CA54</f>
        <v>0</v>
      </c>
      <c r="CB54" s="218">
        <f>SLP!CB54+ROSA!CB54+'STA ANA'!CB54+BOA!CB54+'STA MARIA'!CB54+'CB I'!CB54+IG!CB54+PN!CB54+MJ!CB54+'RB I'!CB54+'SF I'!CB54</f>
        <v>0</v>
      </c>
      <c r="CC54" s="225" t="str">
        <f t="shared" si="12"/>
        <v/>
      </c>
      <c r="CD54" s="218">
        <f>SLP!CD54+ROSA!CD54+'STA ANA'!CD54+BOA!CD54+'STA MARIA'!CD54+'CB I'!CD54+IG!CD54+PN!CD54+MJ!CD54+'RB I'!CD54+'SF I'!CD54</f>
        <v>0</v>
      </c>
      <c r="CE54" s="218">
        <f>SLP!CE54+ROSA!CE54+'STA ANA'!CE54+BOA!CE54+'STA MARIA'!CE54+'CB I'!CE54+IG!CE54+PN!CE54+MJ!CE54+'RB I'!CE54+'SF I'!CE54</f>
        <v>0</v>
      </c>
      <c r="CF54" s="218">
        <f>SLP!CF54+ROSA!CF54+'STA ANA'!CF54+BOA!CF54+'STA MARIA'!CF54+'CB I'!CF54+IG!CF54+PN!CF54+MJ!CF54+'RB I'!CF54+'SF I'!CF54</f>
        <v>0</v>
      </c>
      <c r="CG54" s="218">
        <f>SLP!CG54+ROSA!CG54+'STA ANA'!CG54+BOA!CG54+'STA MARIA'!CG54+'CB I'!CG54+IG!CG54+PN!CG54+MJ!CG54+'RB I'!CG54+'SF I'!CG54</f>
        <v>0</v>
      </c>
      <c r="CH54" s="218">
        <f>SLP!CH54+ROSA!CH54+'STA ANA'!CH54+BOA!CH54+'STA MARIA'!CH54+'CB I'!CH54+IG!CH54+PN!CH54+MJ!CH54+'RB I'!CH54+'SF I'!CH54</f>
        <v>0</v>
      </c>
      <c r="CI54" s="218">
        <f>SLP!CI54+ROSA!CI54+'STA ANA'!CI54+BOA!CI54+'STA MARIA'!CI54+'CB I'!CI54+IG!CI54+PN!CI54+MJ!CI54+'RB I'!CI54+'SF I'!CI54</f>
        <v>0</v>
      </c>
      <c r="CJ54" s="225" t="str">
        <f t="shared" si="13"/>
        <v/>
      </c>
      <c r="CK54" s="218">
        <f>SLP!CK54+ROSA!CK54+'STA ANA'!CK54+BOA!CK54+'STA MARIA'!CK54+'CB I'!CK54+IG!CK54+PN!CK54+MJ!CK54+'RB I'!CK54+'SF I'!CK54</f>
        <v>0</v>
      </c>
      <c r="CL54" s="218">
        <f>SLP!CL54+ROSA!CL54+'STA ANA'!CL54+BOA!CL54+'STA MARIA'!CL54+'CB I'!CL54+IG!CL54+PN!CL54+MJ!CL54+'RB I'!CL54+'SF I'!CL54</f>
        <v>0</v>
      </c>
      <c r="CM54" s="218">
        <f>SLP!CM54+ROSA!CM54+'STA ANA'!CM54+BOA!CM54+'STA MARIA'!CM54+'CB I'!CM54+IG!CM54+PN!CM54+MJ!CM54+'RB I'!CM54+'SF I'!CM54</f>
        <v>0</v>
      </c>
      <c r="CN54" s="218">
        <f>SLP!CN54+ROSA!CN54+'STA ANA'!CN54+BOA!CN54+'STA MARIA'!CN54+'CB I'!CN54+IG!CN54+PN!CN54+MJ!CN54+'RB I'!CN54+'SF I'!CN54</f>
        <v>0</v>
      </c>
      <c r="CO54" s="218">
        <f>SLP!CO54+ROSA!CO54+'STA ANA'!CO54+BOA!CO54+'STA MARIA'!CO54+'CB I'!CO54+IG!CO54+PN!CO54+MJ!CO54+'RB I'!CO54+'SF I'!CO54</f>
        <v>0</v>
      </c>
      <c r="CP54" s="218">
        <f>SLP!CP54+ROSA!CP54+'STA ANA'!CP54+BOA!CP54+'STA MARIA'!CP54+'CB I'!CP54+IG!CP54+PN!CP54+MJ!CP54+'RB I'!CP54+'SF I'!CP54</f>
        <v>0</v>
      </c>
      <c r="CQ54" s="225" t="str">
        <f t="shared" si="14"/>
        <v/>
      </c>
      <c r="CR54" s="154"/>
      <c r="CS54" s="226" t="e">
        <f t="shared" si="15"/>
        <v>#VALUE!</v>
      </c>
    </row>
    <row r="55" spans="1:101" ht="16" customHeight="1" thickBot="1" x14ac:dyDescent="0.25">
      <c r="A55" s="227" t="s">
        <v>79</v>
      </c>
      <c r="B55" s="63">
        <f t="shared" ref="B55:J55" si="20">SUM(B4:B54)</f>
        <v>158727773.95276079</v>
      </c>
      <c r="C55" s="64">
        <f t="shared" si="20"/>
        <v>143619812.09055716</v>
      </c>
      <c r="D55" s="65">
        <f t="shared" si="20"/>
        <v>15107961.862203641</v>
      </c>
      <c r="E55" s="63">
        <f t="shared" si="20"/>
        <v>68076347.887858912</v>
      </c>
      <c r="F55" s="66">
        <f t="shared" si="20"/>
        <v>61538788.922070056</v>
      </c>
      <c r="G55" s="67">
        <f t="shared" si="20"/>
        <v>6537558.9657888403</v>
      </c>
      <c r="H55" s="64">
        <f t="shared" si="20"/>
        <v>85929873.704850093</v>
      </c>
      <c r="I55" s="66">
        <f t="shared" si="20"/>
        <v>9434470.2230634633</v>
      </c>
      <c r="J55" s="66">
        <f t="shared" si="20"/>
        <v>95364343.927913532</v>
      </c>
      <c r="K55" s="228">
        <f>+J55/E55-1</f>
        <v>0.40084400657047148</v>
      </c>
      <c r="L55" s="218">
        <f>SLP!L55+ROSA!L55+'STA ANA'!L55+BOA!L55+'STA MARIA'!L55+'CB I'!L55+IG!L55+PN!L55+MJ!L55+'RB I'!L55+'SF I'!L55</f>
        <v>16867479.574140064</v>
      </c>
      <c r="M55" s="218">
        <f>SLP!M55+ROSA!M55+'STA ANA'!M55+BOA!M55+'STA MARIA'!M55+'CB I'!M55+IG!M55+PN!M55+MJ!M55+'RB I'!M55+'SF I'!M55</f>
        <v>15217612.911578983</v>
      </c>
      <c r="N55" s="218">
        <f>SLP!N55+ROSA!N55+'STA ANA'!N55+BOA!N55+'STA MARIA'!N55+'CB I'!N55+IG!N55+PN!N55+MJ!N55+'RB I'!N55+'SF I'!N55</f>
        <v>1649866.6625610839</v>
      </c>
      <c r="O55" s="218">
        <f>SLP!O55+ROSA!O55+'STA ANA'!O55+BOA!O55+'STA MARIA'!O55+'CB I'!O55+IG!O55+PN!O55+MJ!O55+'RB I'!O55+'SF I'!O55</f>
        <v>15108659.687000986</v>
      </c>
      <c r="P55" s="218">
        <f>SLP!P55+ROSA!P55+'STA ANA'!P55+BOA!P55+'STA MARIA'!P55+'CB I'!P55+IG!P55+PN!P55+MJ!P55+'RB I'!P55+'SF I'!P55</f>
        <v>1770609.0765181233</v>
      </c>
      <c r="Q55" s="218">
        <f>SLP!Q55+ROSA!Q55+'STA ANA'!Q55+BOA!Q55+'STA MARIA'!Q55+'CB I'!Q55+IG!Q55+PN!Q55+MJ!Q55+'RB I'!Q55+'SF I'!Q55</f>
        <v>16879268.763519116</v>
      </c>
      <c r="R55" s="228">
        <f>+Q55/L55-1</f>
        <v>6.9893011147481587E-4</v>
      </c>
      <c r="S55" s="218">
        <f>SLP!S55+ROSA!S55+'STA ANA'!S55+BOA!S55+'STA MARIA'!S55+'CB I'!S55+IG!S55+PN!S55+MJ!S55+'RB I'!S55+'SF I'!S55</f>
        <v>15978508.736911964</v>
      </c>
      <c r="T55" s="218">
        <f>SLP!T55+ROSA!T55+'STA ANA'!T55+BOA!T55+'STA MARIA'!T55+'CB I'!T55+IG!T55+PN!T55+MJ!T55+'RB I'!T55+'SF I'!T55</f>
        <v>14357689.155321054</v>
      </c>
      <c r="U55" s="218">
        <f>SLP!U55+ROSA!U55+'STA ANA'!U55+BOA!U55+'STA MARIA'!U55+'CB I'!U55+IG!U55+PN!U55+MJ!U55+'RB I'!U55+'SF I'!U55</f>
        <v>1620819.5815909111</v>
      </c>
      <c r="V55" s="218">
        <f>SLP!V55+ROSA!V55+'STA ANA'!V55+BOA!V55+'STA MARIA'!V55+'CB I'!V55+IG!V55+PN!V55+MJ!V55+'RB I'!V55+'SF I'!V55</f>
        <v>12696417.15284754</v>
      </c>
      <c r="W55" s="218">
        <f>SLP!W55+ROSA!W55+'STA ANA'!W55+BOA!W55+'STA MARIA'!W55+'CB I'!W55+IG!W55+PN!W55+MJ!W55+'RB I'!W55+'SF I'!W55</f>
        <v>994696.72326937772</v>
      </c>
      <c r="X55" s="218">
        <f>SLP!X55+ROSA!X55+'STA ANA'!X55+BOA!X55+'STA MARIA'!X55+'CB I'!X55+IG!X55+PN!X55+MJ!X55+'RB I'!X55+'SF I'!X55</f>
        <v>12024591.077258252</v>
      </c>
      <c r="Y55" s="228">
        <f>+X55/S55-1</f>
        <v>-0.24745223254281323</v>
      </c>
      <c r="Z55" s="218">
        <f>SLP!Z55+ROSA!Z55+'STA ANA'!Z55+BOA!Z55+'STA MARIA'!Z55+'CB I'!Z55+IG!Z55+PN!Z55+MJ!Z55+'RB I'!Z55+'SF I'!Z55</f>
        <v>19311933.552155804</v>
      </c>
      <c r="AA55" s="218">
        <f>SLP!AA55+ROSA!AA55+'STA ANA'!AA55+BOA!AA55+'STA MARIA'!AA55+'CB I'!AA55+IG!AA55+PN!AA55+MJ!AA55+'RB I'!AA55+'SF I'!AA55</f>
        <v>17533664.329841763</v>
      </c>
      <c r="AB55" s="218">
        <f>SLP!AB55+ROSA!AB55+'STA ANA'!AB55+BOA!AB55+'STA MARIA'!AB55+'CB I'!AB55+IG!AB55+PN!AB55+MJ!AB55+'RB I'!AB55+'SF I'!AB55</f>
        <v>1778269.2223140402</v>
      </c>
      <c r="AC55" s="218">
        <f>SLP!AC55+ROSA!AC55+'STA ANA'!AC55+BOA!AC55+'STA MARIA'!AC55+'CB I'!AC55+IG!AC55+PN!AC55+MJ!AC55+'RB I'!AC55+'SF I'!AC55</f>
        <v>15786301.530006453</v>
      </c>
      <c r="AD55" s="218">
        <f>SLP!AD55+ROSA!AD55+'STA ANA'!AD55+BOA!AD55+'STA MARIA'!AD55+'CB I'!AD55+IG!AD55+PN!AD55+MJ!AD55+'RB I'!AD55+'SF I'!AD55</f>
        <v>1664690.712709212</v>
      </c>
      <c r="AE55" s="218">
        <f>SLP!AE55+ROSA!AE55+'STA ANA'!AE55+BOA!AE55+'STA MARIA'!AE55+'CB I'!AE55+IG!AE55+PN!AE55+MJ!AE55+'RB I'!AE55+'SF I'!AE55</f>
        <v>17450992.242715668</v>
      </c>
      <c r="AF55" s="228">
        <f>+AE55/Z55-1</f>
        <v>-9.6362246919205918E-2</v>
      </c>
      <c r="AG55" s="218">
        <f>SLP!AG55+ROSA!AG55+'STA ANA'!AG55+BOA!AG55+'STA MARIA'!AG55+'CB I'!AG55+IG!AG55+PN!AG55+MJ!AG55+'RB I'!AG55+'SF I'!AG55</f>
        <v>15918426.024651073</v>
      </c>
      <c r="AH55" s="218">
        <f>SLP!AH55+ROSA!AH55+'STA ANA'!AH55+BOA!AH55+'STA MARIA'!AH55+'CB I'!AH55+IG!AH55+PN!AH55+MJ!AH55+'RB I'!AH55+'SF I'!AH55</f>
        <v>14429822.525328267</v>
      </c>
      <c r="AI55" s="218">
        <f>SLP!AI55+ROSA!AI55+'STA ANA'!AI55+BOA!AI55+'STA MARIA'!AI55+'CB I'!AI55+IG!AI55+PN!AI55+MJ!AI55+'RB I'!AI55+'SF I'!AI55</f>
        <v>1488603.4993228042</v>
      </c>
      <c r="AJ55" s="218">
        <f>SLP!AJ55+ROSA!AJ55+'STA ANA'!AJ55+BOA!AJ55+'STA MARIA'!AJ55+'CB I'!AJ55+IG!AJ55+PN!AJ55+MJ!AJ55+'RB I'!AJ55+'SF I'!AJ55</f>
        <v>15085955.677617423</v>
      </c>
      <c r="AK55" s="218">
        <f>SLP!AK55+ROSA!AK55+'STA ANA'!AK55+BOA!AK55+'STA MARIA'!AK55+'CB I'!AK55+IG!AK55+PN!AK55+MJ!AK55+'RB I'!AK55+'SF I'!AK55</f>
        <v>1749052.6046547769</v>
      </c>
      <c r="AL55" s="218">
        <f>SLP!AL55+ROSA!AL55+'STA ANA'!AL55+BOA!AL55+'STA MARIA'!AL55+'CB I'!AL55+IG!AL55+PN!AL55+MJ!AL55+'RB I'!AL55+'SF I'!AL55</f>
        <v>16835008.282272201</v>
      </c>
      <c r="AM55" s="228">
        <f>+AL55/AG55-1</f>
        <v>5.7579955216785939E-2</v>
      </c>
      <c r="AN55" s="218">
        <f>SLP!AN55+ROSA!AN55+'STA ANA'!AN55+BOA!AN55+'STA MARIA'!AN55+'CB I'!AN55+IG!AN55+PN!AN55+MJ!AN55+'RB I'!AN55+'SF I'!AN55</f>
        <v>16371893.597498916</v>
      </c>
      <c r="AO55" s="218">
        <f>SLP!AO55+ROSA!AO55+'STA ANA'!AO55+BOA!AO55+'STA MARIA'!AO55+'CB I'!AO55+IG!AO55+PN!AO55+MJ!AO55+'RB I'!AO55+'SF I'!AO55</f>
        <v>14821537.735224729</v>
      </c>
      <c r="AP55" s="218">
        <f>SLP!AP55+ROSA!AP55+'STA ANA'!AP55+BOA!AP55+'STA MARIA'!AP55+'CB I'!AP55+IG!AP55+PN!AP55+MJ!AP55+'RB I'!AP55+'SF I'!AP55</f>
        <v>1550355.862274186</v>
      </c>
      <c r="AQ55" s="218">
        <f>SLP!AQ55+ROSA!AQ55+'STA ANA'!AQ55+BOA!AQ55+'STA MARIA'!AQ55+'CB I'!AQ55+IG!AQ55+PN!AQ55+MJ!AQ55+'RB I'!AQ55+'SF I'!AQ55</f>
        <v>14264374.906648872</v>
      </c>
      <c r="AR55" s="218">
        <f>SLP!AR55+ROSA!AR55+'STA ANA'!AR55+BOA!AR55+'STA MARIA'!AR55+'CB I'!AR55+IG!AR55+PN!AR55+MJ!AR55+'RB I'!AR55+'SF I'!AR55</f>
        <v>1589921.6579578943</v>
      </c>
      <c r="AS55" s="218">
        <f>SLP!AS55+ROSA!AS55+'STA ANA'!AS55+BOA!AS55+'STA MARIA'!AS55+'CB I'!AS55+IG!AS55+PN!AS55+MJ!AS55+'RB I'!AS55+'SF I'!AS55</f>
        <v>15854296.564606767</v>
      </c>
      <c r="AT55" s="228">
        <f>+AS55/AN55-1</f>
        <v>-3.1614976594474098E-2</v>
      </c>
      <c r="AU55" s="218">
        <f>SLP!AU55+ROSA!AU55+'STA ANA'!AU55+BOA!AU55+'STA MARIA'!AU55+'CB I'!AU55+IG!AU55+PN!AU55+MJ!AU55+'RB I'!AU55+'SF I'!AU55</f>
        <v>16192884.364573477</v>
      </c>
      <c r="AV55" s="218">
        <f>SLP!AV55+ROSA!AV55+'STA ANA'!AV55+BOA!AV55+'STA MARIA'!AV55+'CB I'!AV55+IG!AV55+PN!AV55+MJ!AV55+'RB I'!AV55+'SF I'!AV55</f>
        <v>14661579.927595206</v>
      </c>
      <c r="AW55" s="218">
        <f>SLP!AW55+ROSA!AW55+'STA ANA'!AW55+BOA!AW55+'STA MARIA'!AW55+'CB I'!AW55+IG!AW55+PN!AW55+MJ!AW55+'RB I'!AW55+'SF I'!AW55</f>
        <v>1531304.4369782715</v>
      </c>
      <c r="AX55" s="218">
        <f>SLP!AX55+ROSA!AX55+'STA ANA'!AX55+BOA!AX55+'STA MARIA'!AX55+'CB I'!AX55+IG!AX55+PN!AX55+MJ!AX55+'RB I'!AX55+'SF I'!AX55</f>
        <v>12988164.750728838</v>
      </c>
      <c r="AY55" s="218">
        <f>SLP!AY55+ROSA!AY55+'STA ANA'!AY55+BOA!AY55+'STA MARIA'!AY55+'CB I'!AY55+IG!AY55+PN!AY55+MJ!AY55+'RB I'!AY55+'SF I'!AY55</f>
        <v>1365855.6601460802</v>
      </c>
      <c r="AZ55" s="218">
        <f>SLP!AZ55+ROSA!AZ55+'STA ANA'!AZ55+BOA!AZ55+'STA MARIA'!AZ55+'CB I'!AZ55+IG!AZ55+PN!AZ55+MJ!AZ55+'RB I'!AZ55+'SF I'!AZ55</f>
        <v>14354020.410874918</v>
      </c>
      <c r="BA55" s="228">
        <f>+AZ55/AU55-1</f>
        <v>-0.11356000032468549</v>
      </c>
      <c r="BB55" s="218">
        <f>SLP!BB55+ROSA!BB55+'STA ANA'!BB55+BOA!BB55+'STA MARIA'!BB55+'CB I'!BB55+IG!BB55+PN!BB55+MJ!BB55+'RB I'!BB55+'SF I'!BB55</f>
        <v>16919874.446716063</v>
      </c>
      <c r="BC55" s="218">
        <f>SLP!BC55+ROSA!BC55+'STA ANA'!BC55+BOA!BC55+'STA MARIA'!BC55+'CB I'!BC55+IG!BC55+PN!BC55+MJ!BC55+'RB I'!BC55+'SF I'!BC55</f>
        <v>15413927.901795926</v>
      </c>
      <c r="BD55" s="218">
        <f>SLP!BD55+ROSA!BD55+'STA ANA'!BD55+BOA!BD55+'STA MARIA'!BD55+'CB I'!BD55+IG!BD55+PN!BD55+MJ!BD55+'RB I'!BD55+'SF I'!BD55</f>
        <v>1505946.5449201374</v>
      </c>
      <c r="BE55" s="218">
        <f>SLP!BE55+ROSA!BE55+'STA ANA'!BE55+BOA!BE55+'STA MARIA'!BE55+'CB I'!BE55+IG!BE55+PN!BE55+MJ!BE55+'RB I'!BE55+'SF I'!BE55</f>
        <v>0</v>
      </c>
      <c r="BF55" s="218">
        <f>SLP!BF55+ROSA!BF55+'STA ANA'!BF55+BOA!BF55+'STA MARIA'!BF55+'CB I'!BF55+IG!BF55+PN!BF55+MJ!BF55+'RB I'!BF55+'SF I'!BF55</f>
        <v>0</v>
      </c>
      <c r="BG55" s="218">
        <f>SLP!BG55+ROSA!BG55+'STA ANA'!BG55+BOA!BG55+'STA MARIA'!BG55+'CB I'!BG55+IG!BG55+PN!BG55+MJ!BG55+'RB I'!BG55+'SF I'!BG55</f>
        <v>0</v>
      </c>
      <c r="BH55" s="228">
        <f>+BG55/BB55-1</f>
        <v>-1</v>
      </c>
      <c r="BI55" s="218">
        <f>SLP!BI55+ROSA!BI55+'STA ANA'!BI55+BOA!BI55+'STA MARIA'!BI55+'CB I'!BI55+IG!BI55+PN!BI55+MJ!BI55+'RB I'!BI55+'SF I'!BI55</f>
        <v>9431657.7187969908</v>
      </c>
      <c r="BJ55" s="218">
        <f>SLP!BJ55+ROSA!BJ55+'STA ANA'!BJ55+BOA!BJ55+'STA MARIA'!BJ55+'CB I'!BJ55+IG!BJ55+PN!BJ55+MJ!BJ55+'RB I'!BJ55+'SF I'!BJ55</f>
        <v>8490200.5778124109</v>
      </c>
      <c r="BK55" s="218">
        <f>SLP!BK55+ROSA!BK55+'STA ANA'!BK55+BOA!BK55+'STA MARIA'!BK55+'CB I'!BK55+IG!BK55+PN!BK55+MJ!BK55+'RB I'!BK55+'SF I'!BK55</f>
        <v>941457.1409845798</v>
      </c>
      <c r="BL55" s="218">
        <f>SLP!BL55+ROSA!BL55+'STA ANA'!BL55+BOA!BL55+'STA MARIA'!BL55+'CB I'!BL55+IG!BL55+PN!BL55+MJ!BL55+'RB I'!BL55+'SF I'!BL55</f>
        <v>0</v>
      </c>
      <c r="BM55" s="218">
        <f>SLP!BM55+ROSA!BM55+'STA ANA'!BM55+BOA!BM55+'STA MARIA'!BM55+'CB I'!BM55+IG!BM55+PN!BM55+MJ!BM55+'RB I'!BM55+'SF I'!BM55</f>
        <v>0</v>
      </c>
      <c r="BN55" s="218">
        <f>SLP!BN55+ROSA!BN55+'STA ANA'!BN55+BOA!BN55+'STA MARIA'!BN55+'CB I'!BN55+IG!BN55+PN!BN55+MJ!BN55+'RB I'!BN55+'SF I'!BN55</f>
        <v>0</v>
      </c>
      <c r="BO55" s="228">
        <f>+BN55/BI55-1</f>
        <v>-1</v>
      </c>
      <c r="BP55" s="218">
        <f>SLP!BP55+ROSA!BP55+'STA ANA'!BP55+BOA!BP55+'STA MARIA'!BP55+'CB I'!BP55+IG!BP55+PN!BP55+MJ!BP55+'RB I'!BP55+'SF I'!BP55</f>
        <v>9884956.4006326906</v>
      </c>
      <c r="BQ55" s="218">
        <f>SLP!BQ55+ROSA!BQ55+'STA ANA'!BQ55+BOA!BQ55+'STA MARIA'!BQ55+'CB I'!BQ55+IG!BQ55+PN!BQ55+MJ!BQ55+'RB I'!BQ55+'SF I'!BQ55</f>
        <v>8939735.5520694051</v>
      </c>
      <c r="BR55" s="218">
        <f>SLP!BR55+ROSA!BR55+'STA ANA'!BR55+BOA!BR55+'STA MARIA'!BR55+'CB I'!BR55+IG!BR55+PN!BR55+MJ!BR55+'RB I'!BR55+'SF I'!BR55</f>
        <v>945220.84856328403</v>
      </c>
      <c r="BS55" s="218">
        <f>SLP!BS55+ROSA!BS55+'STA ANA'!BS55+BOA!BS55+'STA MARIA'!BS55+'CB I'!BS55+IG!BS55+PN!BS55+MJ!BS55+'RB I'!BS55+'SF I'!BS55</f>
        <v>0</v>
      </c>
      <c r="BT55" s="218">
        <f>SLP!BT55+ROSA!BT55+'STA ANA'!BT55+BOA!BT55+'STA MARIA'!BT55+'CB I'!BT55+IG!BT55+PN!BT55+MJ!BT55+'RB I'!BT55+'SF I'!BT55</f>
        <v>0</v>
      </c>
      <c r="BU55" s="218">
        <f>SLP!BU55+ROSA!BU55+'STA ANA'!BU55+BOA!BU55+'STA MARIA'!BU55+'CB I'!BU55+IG!BU55+PN!BU55+MJ!BU55+'RB I'!BU55+'SF I'!BU55</f>
        <v>0</v>
      </c>
      <c r="BV55" s="228">
        <f>+BU55/BP55-1</f>
        <v>-1</v>
      </c>
      <c r="BW55" s="218">
        <f>SLP!BW55+ROSA!BW55+'STA ANA'!BW55+BOA!BW55+'STA MARIA'!BW55+'CB I'!BW55+IG!BW55+PN!BW55+MJ!BW55+'RB I'!BW55+'SF I'!BW55</f>
        <v>7839629.4044981301</v>
      </c>
      <c r="BX55" s="218">
        <f>SLP!BX55+ROSA!BX55+'STA ANA'!BX55+BOA!BX55+'STA MARIA'!BX55+'CB I'!BX55+IG!BX55+PN!BX55+MJ!BX55+'RB I'!BX55+'SF I'!BX55</f>
        <v>7089661.0897353347</v>
      </c>
      <c r="BY55" s="218">
        <f>SLP!BY55+ROSA!BY55+'STA ANA'!BY55+BOA!BY55+'STA MARIA'!BY55+'CB I'!BY55+IG!BY55+PN!BY55+MJ!BY55+'RB I'!BY55+'SF I'!BY55</f>
        <v>749968.31476279499</v>
      </c>
      <c r="BZ55" s="218">
        <f>SLP!BZ55+ROSA!BZ55+'STA ANA'!BZ55+BOA!BZ55+'STA MARIA'!BZ55+'CB I'!BZ55+IG!BZ55+PN!BZ55+MJ!BZ55+'RB I'!BZ55+'SF I'!BZ55</f>
        <v>0</v>
      </c>
      <c r="CA55" s="218">
        <f>SLP!CA55+ROSA!CA55+'STA ANA'!CA55+BOA!CA55+'STA MARIA'!CA55+'CB I'!CA55+IG!CA55+PN!CA55+MJ!CA55+'RB I'!CA55+'SF I'!CA55</f>
        <v>0</v>
      </c>
      <c r="CB55" s="218">
        <f>SLP!CB55+ROSA!CB55+'STA ANA'!CB55+BOA!CB55+'STA MARIA'!CB55+'CB I'!CB55+IG!CB55+PN!CB55+MJ!CB55+'RB I'!CB55+'SF I'!CB55</f>
        <v>0</v>
      </c>
      <c r="CC55" s="228">
        <f>+CB55/BW55-1</f>
        <v>-1</v>
      </c>
      <c r="CD55" s="218">
        <f>SLP!CD55+ROSA!CD55+'STA ANA'!CD55+BOA!CD55+'STA MARIA'!CD55+'CB I'!CD55+IG!CD55+PN!CD55+MJ!CD55+'RB I'!CD55+'SF I'!CD55</f>
        <v>7084324.4490775373</v>
      </c>
      <c r="CE55" s="218">
        <f>SLP!CE55+ROSA!CE55+'STA ANA'!CE55+BOA!CE55+'STA MARIA'!CE55+'CB I'!CE55+IG!CE55+PN!CE55+MJ!CE55+'RB I'!CE55+'SF I'!CE55</f>
        <v>6393690.0173814325</v>
      </c>
      <c r="CF55" s="218">
        <f>SLP!CF55+ROSA!CF55+'STA ANA'!CF55+BOA!CF55+'STA MARIA'!CF55+'CB I'!CF55+IG!CF55+PN!CF55+MJ!CF55+'RB I'!CF55+'SF I'!CF55</f>
        <v>690634.43169610621</v>
      </c>
      <c r="CG55" s="218">
        <f>SLP!CG55+ROSA!CG55+'STA ANA'!CG55+BOA!CG55+'STA MARIA'!CG55+'CB I'!CG55+IG!CG55+PN!CG55+MJ!CG55+'RB I'!CG55+'SF I'!CG55</f>
        <v>0</v>
      </c>
      <c r="CH55" s="218">
        <f>SLP!CH55+ROSA!CH55+'STA ANA'!CH55+BOA!CH55+'STA MARIA'!CH55+'CB I'!CH55+IG!CH55+PN!CH55+MJ!CH55+'RB I'!CH55+'SF I'!CH55</f>
        <v>0</v>
      </c>
      <c r="CI55" s="218">
        <f>SLP!CI55+ROSA!CI55+'STA ANA'!CI55+BOA!CI55+'STA MARIA'!CI55+'CB I'!CI55+IG!CI55+PN!CI55+MJ!CI55+'RB I'!CI55+'SF I'!CI55</f>
        <v>0</v>
      </c>
      <c r="CJ55" s="228">
        <f>+CI55/CD55-1</f>
        <v>-1</v>
      </c>
      <c r="CK55" s="218">
        <f>SLP!CK55+ROSA!CK55+'STA ANA'!CK55+BOA!CK55+'STA MARIA'!CK55+'CB I'!CK55+IG!CK55+PN!CK55+MJ!CK55+'RB I'!CK55+'SF I'!CK55</f>
        <v>6926205.6831081063</v>
      </c>
      <c r="CL55" s="218">
        <f>SLP!CL55+ROSA!CL55+'STA ANA'!CL55+BOA!CL55+'STA MARIA'!CL55+'CB I'!CL55+IG!CL55+PN!CL55+MJ!CL55+'RB I'!CL55+'SF I'!CL55</f>
        <v>6270690.3668726655</v>
      </c>
      <c r="CM55" s="218">
        <f>SLP!CM55+ROSA!CM55+'STA ANA'!CM55+BOA!CM55+'STA MARIA'!CM55+'CB I'!CM55+IG!CM55+PN!CM55+MJ!CM55+'RB I'!CM55+'SF I'!CM55</f>
        <v>655515.3162354416</v>
      </c>
      <c r="CN55" s="218">
        <f>SLP!CN55+ROSA!CN55+'STA ANA'!CN55+BOA!CN55+'STA MARIA'!CN55+'CB I'!CN55+IG!CN55+PN!CN55+MJ!CN55+'RB I'!CN55+'SF I'!CN55</f>
        <v>0</v>
      </c>
      <c r="CO55" s="218">
        <f>SLP!CO55+ROSA!CO55+'STA ANA'!CO55+BOA!CO55+'STA MARIA'!CO55+'CB I'!CO55+IG!CO55+PN!CO55+MJ!CO55+'RB I'!CO55+'SF I'!CO55</f>
        <v>0</v>
      </c>
      <c r="CP55" s="218">
        <f>SLP!CP55+ROSA!CP55+'STA ANA'!CP55+BOA!CP55+'STA MARIA'!CP55+'CB I'!CP55+IG!CP55+PN!CP55+MJ!CP55+'RB I'!CP55+'SF I'!CP55</f>
        <v>0</v>
      </c>
      <c r="CQ55" s="228">
        <f>+CP55/CK55-1</f>
        <v>-1</v>
      </c>
      <c r="CR55" s="229"/>
      <c r="CS55" s="230" t="e">
        <f t="shared" si="15"/>
        <v>#VALUE!</v>
      </c>
      <c r="CT55" s="231"/>
      <c r="CU55" s="231"/>
      <c r="CV55" s="231"/>
      <c r="CW55" s="231"/>
    </row>
    <row r="56" spans="1:101" ht="16" customHeight="1" thickBot="1" x14ac:dyDescent="0.25">
      <c r="A56" s="232" t="s">
        <v>80</v>
      </c>
      <c r="B56" s="75">
        <f>+L56+S56+Z56+AG56+AN56+AU56+BB56+BI56+BP56+BW56+CD56+CK56</f>
        <v>-2666232.8112443425</v>
      </c>
      <c r="C56" s="76">
        <f t="shared" ref="C56:D57" si="21">+M56+T56+AA56+AH56+AO56+AV56+BC56+BJ56+BQ56+BX56+CE56+CL56</f>
        <v>-2401574.6379901459</v>
      </c>
      <c r="D56" s="77">
        <f t="shared" si="21"/>
        <v>-264658.17325419548</v>
      </c>
      <c r="E56" s="75">
        <f>+L56+S56+Z56+AG56</f>
        <v>-888744.27041478083</v>
      </c>
      <c r="F56" s="78">
        <f t="shared" ref="F56:G57" si="22">+M56+T56+AA56+AH56</f>
        <v>-800524.8793300488</v>
      </c>
      <c r="G56" s="79">
        <f t="shared" si="22"/>
        <v>-88219.391084731848</v>
      </c>
      <c r="H56" s="76">
        <f t="shared" ref="H56:J57" si="23">+O56+V56+AC56+AJ56+AQ56+AX56+BE56+BL56+BS56+BZ56+CG56+CN56</f>
        <v>-1608660.6294545606</v>
      </c>
      <c r="I56" s="78">
        <f t="shared" si="23"/>
        <v>-165973.08629573227</v>
      </c>
      <c r="J56" s="78">
        <f t="shared" si="23"/>
        <v>-1774633.7157502929</v>
      </c>
      <c r="K56" s="217">
        <f t="shared" ref="K56:K57" si="24">IF(E56=0,"",(+J56/E56-1))</f>
        <v>0.99678779917429283</v>
      </c>
      <c r="L56" s="218">
        <f>SLP!L56+ROSA!L56+'STA ANA'!L56+BOA!L56+'STA MARIA'!L56+'CB I'!L56+IG!L56+PN!L56+MJ!L56+'RB I'!L56+'SF I'!L56</f>
        <v>-222186.06760369521</v>
      </c>
      <c r="M56" s="218">
        <f>SLP!M56+ROSA!M56+'STA ANA'!M56+BOA!M56+'STA MARIA'!M56+'CB I'!M56+IG!M56+PN!M56+MJ!M56+'RB I'!M56+'SF I'!M56</f>
        <v>-200131.2198325122</v>
      </c>
      <c r="N56" s="218">
        <f>SLP!N56+ROSA!N56+'STA ANA'!N56+BOA!N56+'STA MARIA'!N56+'CB I'!N56+IG!N56+PN!N56+MJ!N56+'RB I'!N56+'SF I'!N56</f>
        <v>-22054.847771182962</v>
      </c>
      <c r="O56" s="218">
        <f>SLP!O56+ROSA!O56+'STA ANA'!O56+BOA!O56+'STA MARIA'!O56+'CB I'!O56+IG!O56+PN!O56+MJ!O56+'RB I'!O56+'SF I'!O56</f>
        <v>0</v>
      </c>
      <c r="P56" s="218">
        <f>SLP!P56+ROSA!P56+'STA ANA'!P56+BOA!P56+'STA MARIA'!P56+'CB I'!P56+IG!P56+PN!P56+MJ!P56+'RB I'!P56+'SF I'!P56</f>
        <v>0</v>
      </c>
      <c r="Q56" s="218">
        <f>SLP!Q56+ROSA!Q56+'STA ANA'!Q56+BOA!Q56+'STA MARIA'!Q56+'CB I'!Q56+IG!Q56+PN!Q56+MJ!Q56+'RB I'!Q56+'SF I'!Q56</f>
        <v>0</v>
      </c>
      <c r="R56" s="217">
        <f t="shared" ref="R56:R57" si="25">IF(L56=0,"",(+Q56/L56-1))</f>
        <v>-1</v>
      </c>
      <c r="S56" s="218">
        <f>SLP!S56+ROSA!S56+'STA ANA'!S56+BOA!S56+'STA MARIA'!S56+'CB I'!S56+IG!S56+PN!S56+MJ!S56+'RB I'!S56+'SF I'!S56</f>
        <v>-222186.06760369521</v>
      </c>
      <c r="T56" s="218">
        <f>SLP!T56+ROSA!T56+'STA ANA'!T56+BOA!T56+'STA MARIA'!T56+'CB I'!T56+IG!T56+PN!T56+MJ!T56+'RB I'!T56+'SF I'!T56</f>
        <v>-200131.2198325122</v>
      </c>
      <c r="U56" s="218">
        <f>SLP!U56+ROSA!U56+'STA ANA'!U56+BOA!U56+'STA MARIA'!U56+'CB I'!U56+IG!U56+PN!U56+MJ!U56+'RB I'!U56+'SF I'!U56</f>
        <v>-22054.847771182962</v>
      </c>
      <c r="V56" s="218">
        <f>SLP!V56+ROSA!V56+'STA ANA'!V56+BOA!V56+'STA MARIA'!V56+'CB I'!V56+IG!V56+PN!V56+MJ!V56+'RB I'!V56+'SF I'!V56</f>
        <v>-434447.37981569773</v>
      </c>
      <c r="W56" s="218">
        <f>SLP!W56+ROSA!W56+'STA ANA'!W56+BOA!W56+'STA MARIA'!W56+'CB I'!W56+IG!W56+PN!W56+MJ!W56+'RB I'!W56+'SF I'!W56</f>
        <v>-54921.9123971585</v>
      </c>
      <c r="X56" s="218">
        <f>SLP!X56+ROSA!X56+'STA ANA'!X56+BOA!X56+'STA MARIA'!X56+'CB I'!X56+IG!X56+PN!X56+MJ!X56+'RB I'!X56+'SF I'!X56</f>
        <v>-489369.29221285618</v>
      </c>
      <c r="Y56" s="217">
        <f t="shared" ref="Y56:Y57" si="26">IF(S56=0,"",(+X56/S56-1))</f>
        <v>1.2025201556999763</v>
      </c>
      <c r="Z56" s="218">
        <f>SLP!Z56+ROSA!Z56+'STA ANA'!Z56+BOA!Z56+'STA MARIA'!Z56+'CB I'!Z56+IG!Z56+PN!Z56+MJ!Z56+'RB I'!Z56+'SF I'!Z56</f>
        <v>-222186.06760369521</v>
      </c>
      <c r="AA56" s="218">
        <f>SLP!AA56+ROSA!AA56+'STA ANA'!AA56+BOA!AA56+'STA MARIA'!AA56+'CB I'!AA56+IG!AA56+PN!AA56+MJ!AA56+'RB I'!AA56+'SF I'!AA56</f>
        <v>-200131.2198325122</v>
      </c>
      <c r="AB56" s="218">
        <f>SLP!AB56+ROSA!AB56+'STA ANA'!AB56+BOA!AB56+'STA MARIA'!AB56+'CB I'!AB56+IG!AB56+PN!AB56+MJ!AB56+'RB I'!AB56+'SF I'!AB56</f>
        <v>-22054.847771182962</v>
      </c>
      <c r="AC56" s="218">
        <f>SLP!AC56+ROSA!AC56+'STA ANA'!AC56+BOA!AC56+'STA MARIA'!AC56+'CB I'!AC56+IG!AC56+PN!AC56+MJ!AC56+'RB I'!AC56+'SF I'!AC56</f>
        <v>18913.774553911986</v>
      </c>
      <c r="AD56" s="218">
        <f>SLP!AD56+ROSA!AD56+'STA ANA'!AD56+BOA!AD56+'STA MARIA'!AD56+'CB I'!AD56+IG!AD56+PN!AD56+MJ!AD56+'RB I'!AD56+'SF I'!AD56</f>
        <v>1635.466120205765</v>
      </c>
      <c r="AE56" s="218">
        <f>SLP!AE56+ROSA!AE56+'STA ANA'!AE56+BOA!AE56+'STA MARIA'!AE56+'CB I'!AE56+IG!AE56+PN!AE56+MJ!AE56+'RB I'!AE56+'SF I'!AE56</f>
        <v>20549.240674117751</v>
      </c>
      <c r="AF56" s="217">
        <f t="shared" ref="AF56:AF57" si="27">IF(Z56=0,"",(+AE56/Z56-1))</f>
        <v>-1.0924866302182847</v>
      </c>
      <c r="AG56" s="218">
        <f>SLP!AG56+ROSA!AG56+'STA ANA'!AG56+BOA!AG56+'STA MARIA'!AG56+'CB I'!AG56+IG!AG56+PN!AG56+MJ!AG56+'RB I'!AG56+'SF I'!AG56</f>
        <v>-222186.06760369521</v>
      </c>
      <c r="AH56" s="218">
        <f>SLP!AH56+ROSA!AH56+'STA ANA'!AH56+BOA!AH56+'STA MARIA'!AH56+'CB I'!AH56+IG!AH56+PN!AH56+MJ!AH56+'RB I'!AH56+'SF I'!AH56</f>
        <v>-200131.2198325122</v>
      </c>
      <c r="AI56" s="218">
        <f>SLP!AI56+ROSA!AI56+'STA ANA'!AI56+BOA!AI56+'STA MARIA'!AI56+'CB I'!AI56+IG!AI56+PN!AI56+MJ!AI56+'RB I'!AI56+'SF I'!AI56</f>
        <v>-22054.847771182962</v>
      </c>
      <c r="AJ56" s="218">
        <f>SLP!AJ56+ROSA!AJ56+'STA ANA'!AJ56+BOA!AJ56+'STA MARIA'!AJ56+'CB I'!AJ56+IG!AJ56+PN!AJ56+MJ!AJ56+'RB I'!AJ56+'SF I'!AJ56</f>
        <v>-457383.13735329377</v>
      </c>
      <c r="AK56" s="218">
        <f>SLP!AK56+ROSA!AK56+'STA ANA'!AK56+BOA!AK56+'STA MARIA'!AK56+'CB I'!AK56+IG!AK56+PN!AK56+MJ!AK56+'RB I'!AK56+'SF I'!AK56</f>
        <v>-49670.079709387086</v>
      </c>
      <c r="AL56" s="218">
        <f>SLP!AL56+ROSA!AL56+'STA ANA'!AL56+BOA!AL56+'STA MARIA'!AL56+'CB I'!AL56+IG!AL56+PN!AL56+MJ!AL56+'RB I'!AL56+'SF I'!AL56</f>
        <v>-507053.21706268081</v>
      </c>
      <c r="AM56" s="217">
        <f t="shared" ref="AM56:AM57" si="28">IF(AG56=0,"",(+AL56/AG56-1))</f>
        <v>1.2821107665809732</v>
      </c>
      <c r="AN56" s="218">
        <f>SLP!AN56+ROSA!AN56+'STA ANA'!AN56+BOA!AN56+'STA MARIA'!AN56+'CB I'!AN56+IG!AN56+PN!AN56+MJ!AN56+'RB I'!AN56+'SF I'!AN56</f>
        <v>-222186.06760369521</v>
      </c>
      <c r="AO56" s="218">
        <f>SLP!AO56+ROSA!AO56+'STA ANA'!AO56+BOA!AO56+'STA MARIA'!AO56+'CB I'!AO56+IG!AO56+PN!AO56+MJ!AO56+'RB I'!AO56+'SF I'!AO56</f>
        <v>-200131.2198325122</v>
      </c>
      <c r="AP56" s="218">
        <f>SLP!AP56+ROSA!AP56+'STA ANA'!AP56+BOA!AP56+'STA MARIA'!AP56+'CB I'!AP56+IG!AP56+PN!AP56+MJ!AP56+'RB I'!AP56+'SF I'!AP56</f>
        <v>-22054.847771182962</v>
      </c>
      <c r="AQ56" s="218">
        <f>SLP!AQ56+ROSA!AQ56+'STA ANA'!AQ56+BOA!AQ56+'STA MARIA'!AQ56+'CB I'!AQ56+IG!AQ56+PN!AQ56+MJ!AQ56+'RB I'!AQ56+'SF I'!AQ56</f>
        <v>-609245.68868687155</v>
      </c>
      <c r="AR56" s="218">
        <f>SLP!AR56+ROSA!AR56+'STA ANA'!AR56+BOA!AR56+'STA MARIA'!AR56+'CB I'!AR56+IG!AR56+PN!AR56+MJ!AR56+'RB I'!AR56+'SF I'!AR56</f>
        <v>-52895.548304426833</v>
      </c>
      <c r="AS56" s="218">
        <f>SLP!AS56+ROSA!AS56+'STA ANA'!AS56+BOA!AS56+'STA MARIA'!AS56+'CB I'!AS56+IG!AS56+PN!AS56+MJ!AS56+'RB I'!AS56+'SF I'!AS56</f>
        <v>-662141.2369912985</v>
      </c>
      <c r="AT56" s="217">
        <f t="shared" ref="AT56:AT57" si="29">IF(AN56=0,"",(+AS56/AN56-1))</f>
        <v>1.9801204194870334</v>
      </c>
      <c r="AU56" s="218">
        <f>SLP!AU56+ROSA!AU56+'STA ANA'!AU56+BOA!AU56+'STA MARIA'!AU56+'CB I'!AU56+IG!AU56+PN!AU56+MJ!AU56+'RB I'!AU56+'SF I'!AU56</f>
        <v>-222186.06760369521</v>
      </c>
      <c r="AV56" s="218">
        <f>SLP!AV56+ROSA!AV56+'STA ANA'!AV56+BOA!AV56+'STA MARIA'!AV56+'CB I'!AV56+IG!AV56+PN!AV56+MJ!AV56+'RB I'!AV56+'SF I'!AV56</f>
        <v>-200131.2198325122</v>
      </c>
      <c r="AW56" s="218">
        <f>SLP!AW56+ROSA!AW56+'STA ANA'!AW56+BOA!AW56+'STA MARIA'!AW56+'CB I'!AW56+IG!AW56+PN!AW56+MJ!AW56+'RB I'!AW56+'SF I'!AW56</f>
        <v>-22054.847771182962</v>
      </c>
      <c r="AX56" s="218">
        <f>SLP!AX56+ROSA!AX56+'STA ANA'!AX56+BOA!AX56+'STA MARIA'!AX56+'CB I'!AX56+IG!AX56+PN!AX56+MJ!AX56+'RB I'!AX56+'SF I'!AX56</f>
        <v>-126498.19815260956</v>
      </c>
      <c r="AY56" s="218">
        <f>SLP!AY56+ROSA!AY56+'STA ANA'!AY56+BOA!AY56+'STA MARIA'!AY56+'CB I'!AY56+IG!AY56+PN!AY56+MJ!AY56+'RB I'!AY56+'SF I'!AY56</f>
        <v>-10121.012004965633</v>
      </c>
      <c r="AZ56" s="218">
        <f>SLP!AZ56+ROSA!AZ56+'STA ANA'!AZ56+BOA!AZ56+'STA MARIA'!AZ56+'CB I'!AZ56+IG!AZ56+PN!AZ56+MJ!AZ56+'RB I'!AZ56+'SF I'!AZ56</f>
        <v>-136619.2101575752</v>
      </c>
      <c r="BA56" s="217">
        <f t="shared" ref="BA56:BA57" si="30">IF(AU56=0,"",(+AZ56/AU56-1))</f>
        <v>-0.38511351485252598</v>
      </c>
      <c r="BB56" s="218">
        <f>SLP!BB56+ROSA!BB56+'STA ANA'!BB56+BOA!BB56+'STA MARIA'!BB56+'CB I'!BB56+IG!BB56+PN!BB56+MJ!BB56+'RB I'!BB56+'SF I'!BB56</f>
        <v>-222186.06760369521</v>
      </c>
      <c r="BC56" s="218">
        <f>SLP!BC56+ROSA!BC56+'STA ANA'!BC56+BOA!BC56+'STA MARIA'!BC56+'CB I'!BC56+IG!BC56+PN!BC56+MJ!BC56+'RB I'!BC56+'SF I'!BC56</f>
        <v>-200131.2198325122</v>
      </c>
      <c r="BD56" s="218">
        <f>SLP!BD56+ROSA!BD56+'STA ANA'!BD56+BOA!BD56+'STA MARIA'!BD56+'CB I'!BD56+IG!BD56+PN!BD56+MJ!BD56+'RB I'!BD56+'SF I'!BD56</f>
        <v>-22054.847771182962</v>
      </c>
      <c r="BE56" s="218">
        <f>SLP!BE56+ROSA!BE56+'STA ANA'!BE56+BOA!BE56+'STA MARIA'!BE56+'CB I'!BE56+IG!BE56+PN!BE56+MJ!BE56+'RB I'!BE56+'SF I'!BE56</f>
        <v>0</v>
      </c>
      <c r="BF56" s="218">
        <f>SLP!BF56+ROSA!BF56+'STA ANA'!BF56+BOA!BF56+'STA MARIA'!BF56+'CB I'!BF56+IG!BF56+PN!BF56+MJ!BF56+'RB I'!BF56+'SF I'!BF56</f>
        <v>0</v>
      </c>
      <c r="BG56" s="218">
        <f>SLP!BG56+ROSA!BG56+'STA ANA'!BG56+BOA!BG56+'STA MARIA'!BG56+'CB I'!BG56+IG!BG56+PN!BG56+MJ!BG56+'RB I'!BG56+'SF I'!BG56</f>
        <v>0</v>
      </c>
      <c r="BH56" s="217">
        <f t="shared" ref="BH56:BH57" si="31">IF(BB56=0,"",(+BG56/BB56-1))</f>
        <v>-1</v>
      </c>
      <c r="BI56" s="218">
        <f>SLP!BI56+ROSA!BI56+'STA ANA'!BI56+BOA!BI56+'STA MARIA'!BI56+'CB I'!BI56+IG!BI56+PN!BI56+MJ!BI56+'RB I'!BI56+'SF I'!BI56</f>
        <v>-222186.06760369521</v>
      </c>
      <c r="BJ56" s="218">
        <f>SLP!BJ56+ROSA!BJ56+'STA ANA'!BJ56+BOA!BJ56+'STA MARIA'!BJ56+'CB I'!BJ56+IG!BJ56+PN!BJ56+MJ!BJ56+'RB I'!BJ56+'SF I'!BJ56</f>
        <v>-200131.2198325122</v>
      </c>
      <c r="BK56" s="218">
        <f>SLP!BK56+ROSA!BK56+'STA ANA'!BK56+BOA!BK56+'STA MARIA'!BK56+'CB I'!BK56+IG!BK56+PN!BK56+MJ!BK56+'RB I'!BK56+'SF I'!BK56</f>
        <v>-22054.847771182962</v>
      </c>
      <c r="BL56" s="218">
        <f>SLP!BL56+ROSA!BL56+'STA ANA'!BL56+BOA!BL56+'STA MARIA'!BL56+'CB I'!BL56+IG!BL56+PN!BL56+MJ!BL56+'RB I'!BL56+'SF I'!BL56</f>
        <v>0</v>
      </c>
      <c r="BM56" s="218">
        <f>SLP!BM56+ROSA!BM56+'STA ANA'!BM56+BOA!BM56+'STA MARIA'!BM56+'CB I'!BM56+IG!BM56+PN!BM56+MJ!BM56+'RB I'!BM56+'SF I'!BM56</f>
        <v>0</v>
      </c>
      <c r="BN56" s="218">
        <f>SLP!BN56+ROSA!BN56+'STA ANA'!BN56+BOA!BN56+'STA MARIA'!BN56+'CB I'!BN56+IG!BN56+PN!BN56+MJ!BN56+'RB I'!BN56+'SF I'!BN56</f>
        <v>0</v>
      </c>
      <c r="BO56" s="217">
        <f t="shared" ref="BO56:BO57" si="32">IF(BI56=0,"",(+BN56/BI56-1))</f>
        <v>-1</v>
      </c>
      <c r="BP56" s="218">
        <f>SLP!BP56+ROSA!BP56+'STA ANA'!BP56+BOA!BP56+'STA MARIA'!BP56+'CB I'!BP56+IG!BP56+PN!BP56+MJ!BP56+'RB I'!BP56+'SF I'!BP56</f>
        <v>-222186.06760369521</v>
      </c>
      <c r="BQ56" s="218">
        <f>SLP!BQ56+ROSA!BQ56+'STA ANA'!BQ56+BOA!BQ56+'STA MARIA'!BQ56+'CB I'!BQ56+IG!BQ56+PN!BQ56+MJ!BQ56+'RB I'!BQ56+'SF I'!BQ56</f>
        <v>-200131.2198325122</v>
      </c>
      <c r="BR56" s="218">
        <f>SLP!BR56+ROSA!BR56+'STA ANA'!BR56+BOA!BR56+'STA MARIA'!BR56+'CB I'!BR56+IG!BR56+PN!BR56+MJ!BR56+'RB I'!BR56+'SF I'!BR56</f>
        <v>-22054.847771182962</v>
      </c>
      <c r="BS56" s="218">
        <f>SLP!BS56+ROSA!BS56+'STA ANA'!BS56+BOA!BS56+'STA MARIA'!BS56+'CB I'!BS56+IG!BS56+PN!BS56+MJ!BS56+'RB I'!BS56+'SF I'!BS56</f>
        <v>0</v>
      </c>
      <c r="BT56" s="218">
        <f>SLP!BT56+ROSA!BT56+'STA ANA'!BT56+BOA!BT56+'STA MARIA'!BT56+'CB I'!BT56+IG!BT56+PN!BT56+MJ!BT56+'RB I'!BT56+'SF I'!BT56</f>
        <v>0</v>
      </c>
      <c r="BU56" s="218">
        <f>SLP!BU56+ROSA!BU56+'STA ANA'!BU56+BOA!BU56+'STA MARIA'!BU56+'CB I'!BU56+IG!BU56+PN!BU56+MJ!BU56+'RB I'!BU56+'SF I'!BU56</f>
        <v>0</v>
      </c>
      <c r="BV56" s="217">
        <f t="shared" ref="BV56:BV57" si="33">IF(BP56=0,"",(+BU56/BP56-1))</f>
        <v>-1</v>
      </c>
      <c r="BW56" s="218">
        <f>SLP!BW56+ROSA!BW56+'STA ANA'!BW56+BOA!BW56+'STA MARIA'!BW56+'CB I'!BW56+IG!BW56+PN!BW56+MJ!BW56+'RB I'!BW56+'SF I'!BW56</f>
        <v>-222186.06760369521</v>
      </c>
      <c r="BX56" s="218">
        <f>SLP!BX56+ROSA!BX56+'STA ANA'!BX56+BOA!BX56+'STA MARIA'!BX56+'CB I'!BX56+IG!BX56+PN!BX56+MJ!BX56+'RB I'!BX56+'SF I'!BX56</f>
        <v>-200131.2198325122</v>
      </c>
      <c r="BY56" s="218">
        <f>SLP!BY56+ROSA!BY56+'STA ANA'!BY56+BOA!BY56+'STA MARIA'!BY56+'CB I'!BY56+IG!BY56+PN!BY56+MJ!BY56+'RB I'!BY56+'SF I'!BY56</f>
        <v>-22054.847771182962</v>
      </c>
      <c r="BZ56" s="218">
        <f>SLP!BZ56+ROSA!BZ56+'STA ANA'!BZ56+BOA!BZ56+'STA MARIA'!BZ56+'CB I'!BZ56+IG!BZ56+PN!BZ56+MJ!BZ56+'RB I'!BZ56+'SF I'!BZ56</f>
        <v>0</v>
      </c>
      <c r="CA56" s="218">
        <f>SLP!CA56+ROSA!CA56+'STA ANA'!CA56+BOA!CA56+'STA MARIA'!CA56+'CB I'!CA56+IG!CA56+PN!CA56+MJ!CA56+'RB I'!CA56+'SF I'!CA56</f>
        <v>0</v>
      </c>
      <c r="CB56" s="218">
        <f>SLP!CB56+ROSA!CB56+'STA ANA'!CB56+BOA!CB56+'STA MARIA'!CB56+'CB I'!CB56+IG!CB56+PN!CB56+MJ!CB56+'RB I'!CB56+'SF I'!CB56</f>
        <v>0</v>
      </c>
      <c r="CC56" s="217">
        <f t="shared" ref="CC56:CC57" si="34">IF(BW56=0,"",(+CB56/BW56-1))</f>
        <v>-1</v>
      </c>
      <c r="CD56" s="218">
        <f>SLP!CD56+ROSA!CD56+'STA ANA'!CD56+BOA!CD56+'STA MARIA'!CD56+'CB I'!CD56+IG!CD56+PN!CD56+MJ!CD56+'RB I'!CD56+'SF I'!CD56</f>
        <v>-222186.06760369521</v>
      </c>
      <c r="CE56" s="218">
        <f>SLP!CE56+ROSA!CE56+'STA ANA'!CE56+BOA!CE56+'STA MARIA'!CE56+'CB I'!CE56+IG!CE56+PN!CE56+MJ!CE56+'RB I'!CE56+'SF I'!CE56</f>
        <v>-200131.2198325122</v>
      </c>
      <c r="CF56" s="218">
        <f>SLP!CF56+ROSA!CF56+'STA ANA'!CF56+BOA!CF56+'STA MARIA'!CF56+'CB I'!CF56+IG!CF56+PN!CF56+MJ!CF56+'RB I'!CF56+'SF I'!CF56</f>
        <v>-22054.847771182962</v>
      </c>
      <c r="CG56" s="218">
        <f>SLP!CG56+ROSA!CG56+'STA ANA'!CG56+BOA!CG56+'STA MARIA'!CG56+'CB I'!CG56+IG!CG56+PN!CG56+MJ!CG56+'RB I'!CG56+'SF I'!CG56</f>
        <v>0</v>
      </c>
      <c r="CH56" s="218">
        <f>SLP!CH56+ROSA!CH56+'STA ANA'!CH56+BOA!CH56+'STA MARIA'!CH56+'CB I'!CH56+IG!CH56+PN!CH56+MJ!CH56+'RB I'!CH56+'SF I'!CH56</f>
        <v>0</v>
      </c>
      <c r="CI56" s="218">
        <f>SLP!CI56+ROSA!CI56+'STA ANA'!CI56+BOA!CI56+'STA MARIA'!CI56+'CB I'!CI56+IG!CI56+PN!CI56+MJ!CI56+'RB I'!CI56+'SF I'!CI56</f>
        <v>0</v>
      </c>
      <c r="CJ56" s="217">
        <f t="shared" ref="CJ56:CJ57" si="35">IF(CD56=0,"",(+CI56/CD56-1))</f>
        <v>-1</v>
      </c>
      <c r="CK56" s="218">
        <f>SLP!CK56+ROSA!CK56+'STA ANA'!CK56+BOA!CK56+'STA MARIA'!CK56+'CB I'!CK56+IG!CK56+PN!CK56+MJ!CK56+'RB I'!CK56+'SF I'!CK56</f>
        <v>-222186.06760369521</v>
      </c>
      <c r="CL56" s="218">
        <f>SLP!CL56+ROSA!CL56+'STA ANA'!CL56+BOA!CL56+'STA MARIA'!CL56+'CB I'!CL56+IG!CL56+PN!CL56+MJ!CL56+'RB I'!CL56+'SF I'!CL56</f>
        <v>-200131.2198325122</v>
      </c>
      <c r="CM56" s="218">
        <f>SLP!CM56+ROSA!CM56+'STA ANA'!CM56+BOA!CM56+'STA MARIA'!CM56+'CB I'!CM56+IG!CM56+PN!CM56+MJ!CM56+'RB I'!CM56+'SF I'!CM56</f>
        <v>-22054.847771182962</v>
      </c>
      <c r="CN56" s="218">
        <f>SLP!CN56+ROSA!CN56+'STA ANA'!CN56+BOA!CN56+'STA MARIA'!CN56+'CB I'!CN56+IG!CN56+PN!CN56+MJ!CN56+'RB I'!CN56+'SF I'!CN56</f>
        <v>0</v>
      </c>
      <c r="CO56" s="218">
        <f>SLP!CO56+ROSA!CO56+'STA ANA'!CO56+BOA!CO56+'STA MARIA'!CO56+'CB I'!CO56+IG!CO56+PN!CO56+MJ!CO56+'RB I'!CO56+'SF I'!CO56</f>
        <v>0</v>
      </c>
      <c r="CP56" s="218">
        <f>SLP!CP56+ROSA!CP56+'STA ANA'!CP56+BOA!CP56+'STA MARIA'!CP56+'CB I'!CP56+IG!CP56+PN!CP56+MJ!CP56+'RB I'!CP56+'SF I'!CP56</f>
        <v>0</v>
      </c>
      <c r="CQ56" s="217">
        <f t="shared" ref="CQ56:CQ57" si="36">IF(CK56=0,"",(+CP56/CK56-1))</f>
        <v>-1</v>
      </c>
      <c r="CR56" s="155"/>
      <c r="CS56" s="233" t="e">
        <f t="shared" si="15"/>
        <v>#VALUE!</v>
      </c>
    </row>
    <row r="57" spans="1:101" ht="16" customHeight="1" thickBot="1" x14ac:dyDescent="0.25">
      <c r="A57" s="234" t="s">
        <v>81</v>
      </c>
      <c r="B57" s="52">
        <f>+L57+S57+Z57+AG57+AN57+AU57+BB57+BI57+BP57+BW57+CD57+CK57</f>
        <v>-888744.27041478071</v>
      </c>
      <c r="C57" s="40">
        <f t="shared" si="21"/>
        <v>-800524.87933004892</v>
      </c>
      <c r="D57" s="51">
        <f t="shared" si="21"/>
        <v>-88219.391084731848</v>
      </c>
      <c r="E57" s="50">
        <f>+L57+S57+Z57+AG57</f>
        <v>-296248.09013826022</v>
      </c>
      <c r="F57" s="58">
        <f t="shared" si="22"/>
        <v>-266841.62644334958</v>
      </c>
      <c r="G57" s="85">
        <f t="shared" si="22"/>
        <v>-29406.46369491061</v>
      </c>
      <c r="H57" s="57">
        <f t="shared" si="23"/>
        <v>-406118.01498095668</v>
      </c>
      <c r="I57" s="58">
        <f t="shared" si="23"/>
        <v>-44867.807595381833</v>
      </c>
      <c r="J57" s="58">
        <f t="shared" si="23"/>
        <v>-450985.82257633854</v>
      </c>
      <c r="K57" s="235">
        <f t="shared" si="24"/>
        <v>0.52232482702542171</v>
      </c>
      <c r="L57" s="218">
        <f>SLP!L57+ROSA!L57+'STA ANA'!L57+BOA!L57+'STA MARIA'!L57+'CB I'!L57+IG!L57+PN!L57+MJ!L57+'RB I'!L57+'SF I'!L57</f>
        <v>-74062.022534565054</v>
      </c>
      <c r="M57" s="218">
        <f>SLP!M57+ROSA!M57+'STA ANA'!M57+BOA!M57+'STA MARIA'!M57+'CB I'!M57+IG!M57+PN!M57+MJ!M57+'RB I'!M57+'SF I'!M57</f>
        <v>-66710.406610837395</v>
      </c>
      <c r="N57" s="218">
        <f>SLP!N57+ROSA!N57+'STA ANA'!N57+BOA!N57+'STA MARIA'!N57+'CB I'!N57+IG!N57+PN!N57+MJ!N57+'RB I'!N57+'SF I'!N57</f>
        <v>-7351.6159237276524</v>
      </c>
      <c r="O57" s="218">
        <f>SLP!O57+ROSA!O57+'STA ANA'!O57+BOA!O57+'STA MARIA'!O57+'CB I'!O57+IG!O57+PN!O57+MJ!O57+'RB I'!O57+'SF I'!O57</f>
        <v>-257925.97934303348</v>
      </c>
      <c r="P57" s="218">
        <f>SLP!P57+ROSA!P57+'STA ANA'!P57+BOA!P57+'STA MARIA'!P57+'CB I'!P57+IG!P57+PN!P57+MJ!P57+'RB I'!P57+'SF I'!P57</f>
        <v>-28495.593160097786</v>
      </c>
      <c r="Q57" s="218">
        <f>SLP!Q57+ROSA!Q57+'STA ANA'!Q57+BOA!Q57+'STA MARIA'!Q57+'CB I'!Q57+IG!Q57+PN!Q57+MJ!Q57+'RB I'!Q57+'SF I'!Q57</f>
        <v>-286421.57250313129</v>
      </c>
      <c r="R57" s="235">
        <f t="shared" si="25"/>
        <v>2.8673204255184519</v>
      </c>
      <c r="S57" s="218">
        <f>SLP!S57+ROSA!S57+'STA ANA'!S57+BOA!S57+'STA MARIA'!S57+'CB I'!S57+IG!S57+PN!S57+MJ!S57+'RB I'!S57+'SF I'!S57</f>
        <v>-74062.022534565054</v>
      </c>
      <c r="T57" s="218">
        <f>SLP!T57+ROSA!T57+'STA ANA'!T57+BOA!T57+'STA MARIA'!T57+'CB I'!T57+IG!T57+PN!T57+MJ!T57+'RB I'!T57+'SF I'!T57</f>
        <v>-66710.406610837395</v>
      </c>
      <c r="U57" s="218">
        <f>SLP!U57+ROSA!U57+'STA ANA'!U57+BOA!U57+'STA MARIA'!U57+'CB I'!U57+IG!U57+PN!U57+MJ!U57+'RB I'!U57+'SF I'!U57</f>
        <v>-7351.6159237276524</v>
      </c>
      <c r="V57" s="218">
        <f>SLP!V57+ROSA!V57+'STA ANA'!V57+BOA!V57+'STA MARIA'!V57+'CB I'!V57+IG!V57+PN!V57+MJ!V57+'RB I'!V57+'SF I'!V57</f>
        <v>-38108.831101105483</v>
      </c>
      <c r="W57" s="218">
        <f>SLP!W57+ROSA!W57+'STA ANA'!W57+BOA!W57+'STA MARIA'!W57+'CB I'!W57+IG!W57+PN!W57+MJ!W57+'RB I'!W57+'SF I'!W57</f>
        <v>-4210.2532669937054</v>
      </c>
      <c r="X57" s="218">
        <f>SLP!X57+ROSA!X57+'STA ANA'!X57+BOA!X57+'STA MARIA'!X57+'CB I'!X57+IG!X57+PN!X57+MJ!X57+'RB I'!X57+'SF I'!X57</f>
        <v>-42319.084368099182</v>
      </c>
      <c r="Y57" s="235">
        <f t="shared" si="26"/>
        <v>-0.42859939656186552</v>
      </c>
      <c r="Z57" s="218">
        <f>SLP!Z57+ROSA!Z57+'STA ANA'!Z57+BOA!Z57+'STA MARIA'!Z57+'CB I'!Z57+IG!Z57+PN!Z57+MJ!Z57+'RB I'!Z57+'SF I'!Z57</f>
        <v>-74062.022534565054</v>
      </c>
      <c r="AA57" s="218">
        <f>SLP!AA57+ROSA!AA57+'STA ANA'!AA57+BOA!AA57+'STA MARIA'!AA57+'CB I'!AA57+IG!AA57+PN!AA57+MJ!AA57+'RB I'!AA57+'SF I'!AA57</f>
        <v>-66710.406610837395</v>
      </c>
      <c r="AB57" s="218">
        <f>SLP!AB57+ROSA!AB57+'STA ANA'!AB57+BOA!AB57+'STA MARIA'!AB57+'CB I'!AB57+IG!AB57+PN!AB57+MJ!AB57+'RB I'!AB57+'SF I'!AB57</f>
        <v>-7351.6159237276524</v>
      </c>
      <c r="AC57" s="218">
        <f>SLP!AC57+ROSA!AC57+'STA ANA'!AC57+BOA!AC57+'STA MARIA'!AC57+'CB I'!AC57+IG!AC57+PN!AC57+MJ!AC57+'RB I'!AC57+'SF I'!AC57</f>
        <v>-167552.25853649911</v>
      </c>
      <c r="AD57" s="218">
        <f>SLP!AD57+ROSA!AD57+'STA ANA'!AD57+BOA!AD57+'STA MARIA'!AD57+'CB I'!AD57+IG!AD57+PN!AD57+MJ!AD57+'RB I'!AD57+'SF I'!AD57</f>
        <v>-18511.128741281442</v>
      </c>
      <c r="AE57" s="218">
        <f>SLP!AE57+ROSA!AE57+'STA ANA'!AE57+BOA!AE57+'STA MARIA'!AE57+'CB I'!AE57+IG!AE57+PN!AE57+MJ!AE57+'RB I'!AE57+'SF I'!AE57</f>
        <v>-186063.38727778057</v>
      </c>
      <c r="AF57" s="235">
        <f t="shared" si="27"/>
        <v>1.5122644630848963</v>
      </c>
      <c r="AG57" s="218">
        <f>SLP!AG57+ROSA!AG57+'STA ANA'!AG57+BOA!AG57+'STA MARIA'!AG57+'CB I'!AG57+IG!AG57+PN!AG57+MJ!AG57+'RB I'!AG57+'SF I'!AG57</f>
        <v>-74062.022534565054</v>
      </c>
      <c r="AH57" s="218">
        <f>SLP!AH57+ROSA!AH57+'STA ANA'!AH57+BOA!AH57+'STA MARIA'!AH57+'CB I'!AH57+IG!AH57+PN!AH57+MJ!AH57+'RB I'!AH57+'SF I'!AH57</f>
        <v>-66710.406610837395</v>
      </c>
      <c r="AI57" s="218">
        <f>SLP!AI57+ROSA!AI57+'STA ANA'!AI57+BOA!AI57+'STA MARIA'!AI57+'CB I'!AI57+IG!AI57+PN!AI57+MJ!AI57+'RB I'!AI57+'SF I'!AI57</f>
        <v>-7351.6159237276524</v>
      </c>
      <c r="AJ57" s="218">
        <f>SLP!AJ57+ROSA!AJ57+'STA ANA'!AJ57+BOA!AJ57+'STA MARIA'!AJ57+'CB I'!AJ57+IG!AJ57+PN!AJ57+MJ!AJ57+'RB I'!AJ57+'SF I'!AJ57</f>
        <v>0</v>
      </c>
      <c r="AK57" s="218">
        <f>SLP!AK57+ROSA!AK57+'STA ANA'!AK57+BOA!AK57+'STA MARIA'!AK57+'CB I'!AK57+IG!AK57+PN!AK57+MJ!AK57+'RB I'!AK57+'SF I'!AK57</f>
        <v>0</v>
      </c>
      <c r="AL57" s="218">
        <f>SLP!AL57+ROSA!AL57+'STA ANA'!AL57+BOA!AL57+'STA MARIA'!AL57+'CB I'!AL57+IG!AL57+PN!AL57+MJ!AL57+'RB I'!AL57+'SF I'!AL57</f>
        <v>0</v>
      </c>
      <c r="AM57" s="235">
        <f t="shared" si="28"/>
        <v>-1</v>
      </c>
      <c r="AN57" s="218">
        <f>SLP!AN57+ROSA!AN57+'STA ANA'!AN57+BOA!AN57+'STA MARIA'!AN57+'CB I'!AN57+IG!AN57+PN!AN57+MJ!AN57+'RB I'!AN57+'SF I'!AN57</f>
        <v>-74062.022534565054</v>
      </c>
      <c r="AO57" s="218">
        <f>SLP!AO57+ROSA!AO57+'STA ANA'!AO57+BOA!AO57+'STA MARIA'!AO57+'CB I'!AO57+IG!AO57+PN!AO57+MJ!AO57+'RB I'!AO57+'SF I'!AO57</f>
        <v>-66710.406610837395</v>
      </c>
      <c r="AP57" s="218">
        <f>SLP!AP57+ROSA!AP57+'STA ANA'!AP57+BOA!AP57+'STA MARIA'!AP57+'CB I'!AP57+IG!AP57+PN!AP57+MJ!AP57+'RB I'!AP57+'SF I'!AP57</f>
        <v>-7351.6159237276524</v>
      </c>
      <c r="AQ57" s="218">
        <f>SLP!AQ57+ROSA!AQ57+'STA ANA'!AQ57+BOA!AQ57+'STA MARIA'!AQ57+'CB I'!AQ57+IG!AQ57+PN!AQ57+MJ!AQ57+'RB I'!AQ57+'SF I'!AQ57</f>
        <v>24269.926912318519</v>
      </c>
      <c r="AR57" s="218">
        <f>SLP!AR57+ROSA!AR57+'STA ANA'!AR57+BOA!AR57+'STA MARIA'!AR57+'CB I'!AR57+IG!AR57+PN!AR57+MJ!AR57+'RB I'!AR57+'SF I'!AR57</f>
        <v>2681.3364249089109</v>
      </c>
      <c r="AS57" s="218">
        <f>SLP!AS57+ROSA!AS57+'STA ANA'!AS57+BOA!AS57+'STA MARIA'!AS57+'CB I'!AS57+IG!AS57+PN!AS57+MJ!AS57+'RB I'!AS57+'SF I'!AS57</f>
        <v>26951.263337227429</v>
      </c>
      <c r="AT57" s="235">
        <f t="shared" si="29"/>
        <v>-1.363901260253177</v>
      </c>
      <c r="AU57" s="218">
        <f>SLP!AU57+ROSA!AU57+'STA ANA'!AU57+BOA!AU57+'STA MARIA'!AU57+'CB I'!AU57+IG!AU57+PN!AU57+MJ!AU57+'RB I'!AU57+'SF I'!AU57</f>
        <v>-74062.022534565054</v>
      </c>
      <c r="AV57" s="218">
        <f>SLP!AV57+ROSA!AV57+'STA ANA'!AV57+BOA!AV57+'STA MARIA'!AV57+'CB I'!AV57+IG!AV57+PN!AV57+MJ!AV57+'RB I'!AV57+'SF I'!AV57</f>
        <v>-66710.406610837395</v>
      </c>
      <c r="AW57" s="218">
        <f>SLP!AW57+ROSA!AW57+'STA ANA'!AW57+BOA!AW57+'STA MARIA'!AW57+'CB I'!AW57+IG!AW57+PN!AW57+MJ!AW57+'RB I'!AW57+'SF I'!AW57</f>
        <v>-7351.6159237276524</v>
      </c>
      <c r="AX57" s="218">
        <f>SLP!AX57+ROSA!AX57+'STA ANA'!AX57+BOA!AX57+'STA MARIA'!AX57+'CB I'!AX57+IG!AX57+PN!AX57+MJ!AX57+'RB I'!AX57+'SF I'!AX57</f>
        <v>33199.127087362882</v>
      </c>
      <c r="AY57" s="218">
        <f>SLP!AY57+ROSA!AY57+'STA ANA'!AY57+BOA!AY57+'STA MARIA'!AY57+'CB I'!AY57+IG!AY57+PN!AY57+MJ!AY57+'RB I'!AY57+'SF I'!AY57</f>
        <v>3667.8311480821831</v>
      </c>
      <c r="AZ57" s="218">
        <f>SLP!AZ57+ROSA!AZ57+'STA ANA'!AZ57+BOA!AZ57+'STA MARIA'!AZ57+'CB I'!AZ57+IG!AZ57+PN!AZ57+MJ!AZ57+'RB I'!AZ57+'SF I'!AZ57</f>
        <v>36866.958235445061</v>
      </c>
      <c r="BA57" s="235">
        <f t="shared" si="30"/>
        <v>-1.4977849236866181</v>
      </c>
      <c r="BB57" s="218">
        <f>SLP!BB57+ROSA!BB57+'STA ANA'!BB57+BOA!BB57+'STA MARIA'!BB57+'CB I'!BB57+IG!BB57+PN!BB57+MJ!BB57+'RB I'!BB57+'SF I'!BB57</f>
        <v>-74062.022534565054</v>
      </c>
      <c r="BC57" s="218">
        <f>SLP!BC57+ROSA!BC57+'STA ANA'!BC57+BOA!BC57+'STA MARIA'!BC57+'CB I'!BC57+IG!BC57+PN!BC57+MJ!BC57+'RB I'!BC57+'SF I'!BC57</f>
        <v>-66710.406610837395</v>
      </c>
      <c r="BD57" s="218">
        <f>SLP!BD57+ROSA!BD57+'STA ANA'!BD57+BOA!BD57+'STA MARIA'!BD57+'CB I'!BD57+IG!BD57+PN!BD57+MJ!BD57+'RB I'!BD57+'SF I'!BD57</f>
        <v>-7351.6159237276524</v>
      </c>
      <c r="BE57" s="218">
        <f>SLP!BE57+ROSA!BE57+'STA ANA'!BE57+BOA!BE57+'STA MARIA'!BE57+'CB I'!BE57+IG!BE57+PN!BE57+MJ!BE57+'RB I'!BE57+'SF I'!BE57</f>
        <v>0</v>
      </c>
      <c r="BF57" s="218">
        <f>SLP!BF57+ROSA!BF57+'STA ANA'!BF57+BOA!BF57+'STA MARIA'!BF57+'CB I'!BF57+IG!BF57+PN!BF57+MJ!BF57+'RB I'!BF57+'SF I'!BF57</f>
        <v>0</v>
      </c>
      <c r="BG57" s="218">
        <f>SLP!BG57+ROSA!BG57+'STA ANA'!BG57+BOA!BG57+'STA MARIA'!BG57+'CB I'!BG57+IG!BG57+PN!BG57+MJ!BG57+'RB I'!BG57+'SF I'!BG57</f>
        <v>0</v>
      </c>
      <c r="BH57" s="235">
        <f t="shared" si="31"/>
        <v>-1</v>
      </c>
      <c r="BI57" s="218">
        <f>SLP!BI57+ROSA!BI57+'STA ANA'!BI57+BOA!BI57+'STA MARIA'!BI57+'CB I'!BI57+IG!BI57+PN!BI57+MJ!BI57+'RB I'!BI57+'SF I'!BI57</f>
        <v>-74062.022534565054</v>
      </c>
      <c r="BJ57" s="218">
        <f>SLP!BJ57+ROSA!BJ57+'STA ANA'!BJ57+BOA!BJ57+'STA MARIA'!BJ57+'CB I'!BJ57+IG!BJ57+PN!BJ57+MJ!BJ57+'RB I'!BJ57+'SF I'!BJ57</f>
        <v>-66710.406610837395</v>
      </c>
      <c r="BK57" s="218">
        <f>SLP!BK57+ROSA!BK57+'STA ANA'!BK57+BOA!BK57+'STA MARIA'!BK57+'CB I'!BK57+IG!BK57+PN!BK57+MJ!BK57+'RB I'!BK57+'SF I'!BK57</f>
        <v>-7351.6159237276524</v>
      </c>
      <c r="BL57" s="218">
        <f>SLP!BL57+ROSA!BL57+'STA ANA'!BL57+BOA!BL57+'STA MARIA'!BL57+'CB I'!BL57+IG!BL57+PN!BL57+MJ!BL57+'RB I'!BL57+'SF I'!BL57</f>
        <v>0</v>
      </c>
      <c r="BM57" s="218">
        <f>SLP!BM57+ROSA!BM57+'STA ANA'!BM57+BOA!BM57+'STA MARIA'!BM57+'CB I'!BM57+IG!BM57+PN!BM57+MJ!BM57+'RB I'!BM57+'SF I'!BM57</f>
        <v>0</v>
      </c>
      <c r="BN57" s="218">
        <f>SLP!BN57+ROSA!BN57+'STA ANA'!BN57+BOA!BN57+'STA MARIA'!BN57+'CB I'!BN57+IG!BN57+PN!BN57+MJ!BN57+'RB I'!BN57+'SF I'!BN57</f>
        <v>0</v>
      </c>
      <c r="BO57" s="235">
        <f t="shared" si="32"/>
        <v>-1</v>
      </c>
      <c r="BP57" s="218">
        <f>SLP!BP57+ROSA!BP57+'STA ANA'!BP57+BOA!BP57+'STA MARIA'!BP57+'CB I'!BP57+IG!BP57+PN!BP57+MJ!BP57+'RB I'!BP57+'SF I'!BP57</f>
        <v>-74062.022534565054</v>
      </c>
      <c r="BQ57" s="218">
        <f>SLP!BQ57+ROSA!BQ57+'STA ANA'!BQ57+BOA!BQ57+'STA MARIA'!BQ57+'CB I'!BQ57+IG!BQ57+PN!BQ57+MJ!BQ57+'RB I'!BQ57+'SF I'!BQ57</f>
        <v>-66710.406610837395</v>
      </c>
      <c r="BR57" s="218">
        <f>SLP!BR57+ROSA!BR57+'STA ANA'!BR57+BOA!BR57+'STA MARIA'!BR57+'CB I'!BR57+IG!BR57+PN!BR57+MJ!BR57+'RB I'!BR57+'SF I'!BR57</f>
        <v>-7351.6159237276524</v>
      </c>
      <c r="BS57" s="218">
        <f>SLP!BS57+ROSA!BS57+'STA ANA'!BS57+BOA!BS57+'STA MARIA'!BS57+'CB I'!BS57+IG!BS57+PN!BS57+MJ!BS57+'RB I'!BS57+'SF I'!BS57</f>
        <v>0</v>
      </c>
      <c r="BT57" s="218">
        <f>SLP!BT57+ROSA!BT57+'STA ANA'!BT57+BOA!BT57+'STA MARIA'!BT57+'CB I'!BT57+IG!BT57+PN!BT57+MJ!BT57+'RB I'!BT57+'SF I'!BT57</f>
        <v>0</v>
      </c>
      <c r="BU57" s="218">
        <f>SLP!BU57+ROSA!BU57+'STA ANA'!BU57+BOA!BU57+'STA MARIA'!BU57+'CB I'!BU57+IG!BU57+PN!BU57+MJ!BU57+'RB I'!BU57+'SF I'!BU57</f>
        <v>0</v>
      </c>
      <c r="BV57" s="235">
        <f t="shared" si="33"/>
        <v>-1</v>
      </c>
      <c r="BW57" s="218">
        <f>SLP!BW57+ROSA!BW57+'STA ANA'!BW57+BOA!BW57+'STA MARIA'!BW57+'CB I'!BW57+IG!BW57+PN!BW57+MJ!BW57+'RB I'!BW57+'SF I'!BW57</f>
        <v>-74062.022534565054</v>
      </c>
      <c r="BX57" s="218">
        <f>SLP!BX57+ROSA!BX57+'STA ANA'!BX57+BOA!BX57+'STA MARIA'!BX57+'CB I'!BX57+IG!BX57+PN!BX57+MJ!BX57+'RB I'!BX57+'SF I'!BX57</f>
        <v>-66710.406610837395</v>
      </c>
      <c r="BY57" s="218">
        <f>SLP!BY57+ROSA!BY57+'STA ANA'!BY57+BOA!BY57+'STA MARIA'!BY57+'CB I'!BY57+IG!BY57+PN!BY57+MJ!BY57+'RB I'!BY57+'SF I'!BY57</f>
        <v>-7351.6159237276524</v>
      </c>
      <c r="BZ57" s="218">
        <f>SLP!BZ57+ROSA!BZ57+'STA ANA'!BZ57+BOA!BZ57+'STA MARIA'!BZ57+'CB I'!BZ57+IG!BZ57+PN!BZ57+MJ!BZ57+'RB I'!BZ57+'SF I'!BZ57</f>
        <v>0</v>
      </c>
      <c r="CA57" s="218">
        <f>SLP!CA57+ROSA!CA57+'STA ANA'!CA57+BOA!CA57+'STA MARIA'!CA57+'CB I'!CA57+IG!CA57+PN!CA57+MJ!CA57+'RB I'!CA57+'SF I'!CA57</f>
        <v>0</v>
      </c>
      <c r="CB57" s="218">
        <f>SLP!CB57+ROSA!CB57+'STA ANA'!CB57+BOA!CB57+'STA MARIA'!CB57+'CB I'!CB57+IG!CB57+PN!CB57+MJ!CB57+'RB I'!CB57+'SF I'!CB57</f>
        <v>0</v>
      </c>
      <c r="CC57" s="235">
        <f t="shared" si="34"/>
        <v>-1</v>
      </c>
      <c r="CD57" s="218">
        <f>SLP!CD57+ROSA!CD57+'STA ANA'!CD57+BOA!CD57+'STA MARIA'!CD57+'CB I'!CD57+IG!CD57+PN!CD57+MJ!CD57+'RB I'!CD57+'SF I'!CD57</f>
        <v>-74062.022534565054</v>
      </c>
      <c r="CE57" s="218">
        <f>SLP!CE57+ROSA!CE57+'STA ANA'!CE57+BOA!CE57+'STA MARIA'!CE57+'CB I'!CE57+IG!CE57+PN!CE57+MJ!CE57+'RB I'!CE57+'SF I'!CE57</f>
        <v>-66710.406610837395</v>
      </c>
      <c r="CF57" s="218">
        <f>SLP!CF57+ROSA!CF57+'STA ANA'!CF57+BOA!CF57+'STA MARIA'!CF57+'CB I'!CF57+IG!CF57+PN!CF57+MJ!CF57+'RB I'!CF57+'SF I'!CF57</f>
        <v>-7351.6159237276524</v>
      </c>
      <c r="CG57" s="218">
        <f>SLP!CG57+ROSA!CG57+'STA ANA'!CG57+BOA!CG57+'STA MARIA'!CG57+'CB I'!CG57+IG!CG57+PN!CG57+MJ!CG57+'RB I'!CG57+'SF I'!CG57</f>
        <v>0</v>
      </c>
      <c r="CH57" s="218">
        <f>SLP!CH57+ROSA!CH57+'STA ANA'!CH57+BOA!CH57+'STA MARIA'!CH57+'CB I'!CH57+IG!CH57+PN!CH57+MJ!CH57+'RB I'!CH57+'SF I'!CH57</f>
        <v>0</v>
      </c>
      <c r="CI57" s="218">
        <f>SLP!CI57+ROSA!CI57+'STA ANA'!CI57+BOA!CI57+'STA MARIA'!CI57+'CB I'!CI57+IG!CI57+PN!CI57+MJ!CI57+'RB I'!CI57+'SF I'!CI57</f>
        <v>0</v>
      </c>
      <c r="CJ57" s="235">
        <f t="shared" si="35"/>
        <v>-1</v>
      </c>
      <c r="CK57" s="218">
        <f>SLP!CK57+ROSA!CK57+'STA ANA'!CK57+BOA!CK57+'STA MARIA'!CK57+'CB I'!CK57+IG!CK57+PN!CK57+MJ!CK57+'RB I'!CK57+'SF I'!CK57</f>
        <v>-74062.022534565054</v>
      </c>
      <c r="CL57" s="218">
        <f>SLP!CL57+ROSA!CL57+'STA ANA'!CL57+BOA!CL57+'STA MARIA'!CL57+'CB I'!CL57+IG!CL57+PN!CL57+MJ!CL57+'RB I'!CL57+'SF I'!CL57</f>
        <v>-66710.406610837395</v>
      </c>
      <c r="CM57" s="218">
        <f>SLP!CM57+ROSA!CM57+'STA ANA'!CM57+BOA!CM57+'STA MARIA'!CM57+'CB I'!CM57+IG!CM57+PN!CM57+MJ!CM57+'RB I'!CM57+'SF I'!CM57</f>
        <v>-7351.6159237276524</v>
      </c>
      <c r="CN57" s="218">
        <f>SLP!CN57+ROSA!CN57+'STA ANA'!CN57+BOA!CN57+'STA MARIA'!CN57+'CB I'!CN57+IG!CN57+PN!CN57+MJ!CN57+'RB I'!CN57+'SF I'!CN57</f>
        <v>0</v>
      </c>
      <c r="CO57" s="218">
        <f>SLP!CO57+ROSA!CO57+'STA ANA'!CO57+BOA!CO57+'STA MARIA'!CO57+'CB I'!CO57+IG!CO57+PN!CO57+MJ!CO57+'RB I'!CO57+'SF I'!CO57</f>
        <v>0</v>
      </c>
      <c r="CP57" s="218">
        <f>SLP!CP57+ROSA!CP57+'STA ANA'!CP57+BOA!CP57+'STA MARIA'!CP57+'CB I'!CP57+IG!CP57+PN!CP57+MJ!CP57+'RB I'!CP57+'SF I'!CP57</f>
        <v>0</v>
      </c>
      <c r="CQ57" s="235">
        <f t="shared" si="36"/>
        <v>-1</v>
      </c>
      <c r="CR57" s="154"/>
      <c r="CS57" s="233" t="e">
        <f t="shared" si="15"/>
        <v>#VALUE!</v>
      </c>
    </row>
    <row r="58" spans="1:101" ht="16" customHeight="1" thickBot="1" x14ac:dyDescent="0.25">
      <c r="A58" s="236" t="s">
        <v>82</v>
      </c>
      <c r="B58" s="89">
        <f>+B55+B56+B57</f>
        <v>155172796.87110168</v>
      </c>
      <c r="C58" s="90">
        <f t="shared" ref="C58:D58" si="37">+C55+C56+C57</f>
        <v>140417712.57323697</v>
      </c>
      <c r="D58" s="91">
        <f t="shared" si="37"/>
        <v>14755084.297864713</v>
      </c>
      <c r="E58" s="92">
        <f t="shared" ref="E58:J58" si="38">SUM(E55:E57)</f>
        <v>66891355.527305871</v>
      </c>
      <c r="F58" s="93">
        <f t="shared" si="38"/>
        <v>60471422.416296661</v>
      </c>
      <c r="G58" s="94">
        <f t="shared" si="38"/>
        <v>6419933.1110091982</v>
      </c>
      <c r="H58" s="95">
        <f t="shared" si="38"/>
        <v>83915095.060414568</v>
      </c>
      <c r="I58" s="96">
        <f t="shared" si="38"/>
        <v>9223629.3291723505</v>
      </c>
      <c r="J58" s="96">
        <f t="shared" si="38"/>
        <v>93138724.389586896</v>
      </c>
      <c r="K58" s="237">
        <f>+J58/E55-1</f>
        <v>0.36815101396174832</v>
      </c>
      <c r="L58" s="218">
        <f>SLP!L58+ROSA!L58+'STA ANA'!L58+BOA!L58+'STA MARIA'!L58+'CB I'!L58+IG!L58+PN!L58+MJ!L58+'RB I'!L58+'SF I'!L58</f>
        <v>16571231.484001804</v>
      </c>
      <c r="M58" s="218">
        <f>SLP!M58+ROSA!M58+'STA ANA'!M58+BOA!M58+'STA MARIA'!M58+'CB I'!M58+IG!M58+PN!M58+MJ!M58+'RB I'!M58+'SF I'!M58</f>
        <v>14950771.285135636</v>
      </c>
      <c r="N58" s="218">
        <f>SLP!N58+ROSA!N58+'STA ANA'!N58+BOA!N58+'STA MARIA'!N58+'CB I'!N58+IG!N58+PN!N58+MJ!N58+'RB I'!N58+'SF I'!N58</f>
        <v>1620460.1988661734</v>
      </c>
      <c r="O58" s="218">
        <f>SLP!O58+ROSA!O58+'STA ANA'!O58+BOA!O58+'STA MARIA'!O58+'CB I'!O58+IG!O58+PN!O58+MJ!O58+'RB I'!O58+'SF I'!O58</f>
        <v>14850733.707657954</v>
      </c>
      <c r="P58" s="218">
        <f>SLP!P58+ROSA!P58+'STA ANA'!P58+BOA!P58+'STA MARIA'!P58+'CB I'!P58+IG!P58+PN!P58+MJ!P58+'RB I'!P58+'SF I'!P58</f>
        <v>1742113.4833580251</v>
      </c>
      <c r="Q58" s="218">
        <f>SLP!Q58+ROSA!Q58+'STA ANA'!Q58+BOA!Q58+'STA MARIA'!Q58+'CB I'!Q58+IG!Q58+PN!Q58+MJ!Q58+'RB I'!Q58+'SF I'!Q58</f>
        <v>16592847.191015981</v>
      </c>
      <c r="R58" s="237">
        <f>+Q58/L55-1</f>
        <v>-1.6281767641511125E-2</v>
      </c>
      <c r="S58" s="218">
        <f>SLP!S58+ROSA!S58+'STA ANA'!S58+BOA!S58+'STA MARIA'!S58+'CB I'!S58+IG!S58+PN!S58+MJ!S58+'RB I'!S58+'SF I'!S58</f>
        <v>15682260.646773703</v>
      </c>
      <c r="T58" s="218">
        <f>SLP!T58+ROSA!T58+'STA ANA'!T58+BOA!T58+'STA MARIA'!T58+'CB I'!T58+IG!T58+PN!T58+MJ!T58+'RB I'!T58+'SF I'!T58</f>
        <v>14090847.528877702</v>
      </c>
      <c r="U58" s="218">
        <f>SLP!U58+ROSA!U58+'STA ANA'!U58+BOA!U58+'STA MARIA'!U58+'CB I'!U58+IG!U58+PN!U58+MJ!U58+'RB I'!U58+'SF I'!U58</f>
        <v>1591413.1178960006</v>
      </c>
      <c r="V58" s="218">
        <f>SLP!V58+ROSA!V58+'STA ANA'!V58+BOA!V58+'STA MARIA'!V58+'CB I'!V58+IG!V58+PN!V58+MJ!V58+'RB I'!V58+'SF I'!V58</f>
        <v>12223860.941930735</v>
      </c>
      <c r="W58" s="218">
        <f>SLP!W58+ROSA!W58+'STA ANA'!W58+BOA!W58+'STA MARIA'!W58+'CB I'!W58+IG!W58+PN!W58+MJ!W58+'RB I'!W58+'SF I'!W58</f>
        <v>935564.55760522559</v>
      </c>
      <c r="X58" s="218">
        <f>SLP!X58+ROSA!X58+'STA ANA'!X58+BOA!X58+'STA MARIA'!X58+'CB I'!X58+IG!X58+PN!X58+MJ!X58+'RB I'!X58+'SF I'!X58</f>
        <v>11492902.700677298</v>
      </c>
      <c r="Y58" s="237">
        <f>+X58/S55-1</f>
        <v>-0.28072745148440947</v>
      </c>
      <c r="Z58" s="218">
        <f>SLP!Z58+ROSA!Z58+'STA ANA'!Z58+BOA!Z58+'STA MARIA'!Z58+'CB I'!Z58+IG!Z58+PN!Z58+MJ!Z58+'RB I'!Z58+'SF I'!Z58</f>
        <v>19015685.462017544</v>
      </c>
      <c r="AA58" s="218">
        <f>SLP!AA58+ROSA!AA58+'STA ANA'!AA58+BOA!AA58+'STA MARIA'!AA58+'CB I'!AA58+IG!AA58+PN!AA58+MJ!AA58+'RB I'!AA58+'SF I'!AA58</f>
        <v>17266822.703398414</v>
      </c>
      <c r="AB58" s="218">
        <f>SLP!AB58+ROSA!AB58+'STA ANA'!AB58+BOA!AB58+'STA MARIA'!AB58+'CB I'!AB58+IG!AB58+PN!AB58+MJ!AB58+'RB I'!AB58+'SF I'!AB58</f>
        <v>1748862.7586191292</v>
      </c>
      <c r="AC58" s="218">
        <f>SLP!AC58+ROSA!AC58+'STA ANA'!AC58+BOA!AC58+'STA MARIA'!AC58+'CB I'!AC58+IG!AC58+PN!AC58+MJ!AC58+'RB I'!AC58+'SF I'!AC58</f>
        <v>15637663.046023868</v>
      </c>
      <c r="AD58" s="218">
        <f>SLP!AD58+ROSA!AD58+'STA ANA'!AD58+BOA!AD58+'STA MARIA'!AD58+'CB I'!AD58+IG!AD58+PN!AD58+MJ!AD58+'RB I'!AD58+'SF I'!AD58</f>
        <v>1647815.0500881362</v>
      </c>
      <c r="AE58" s="218">
        <f>SLP!AE58+ROSA!AE58+'STA ANA'!AE58+BOA!AE58+'STA MARIA'!AE58+'CB I'!AE58+IG!AE58+PN!AE58+MJ!AE58+'RB I'!AE58+'SF I'!AE58</f>
        <v>17285478.096112005</v>
      </c>
      <c r="AF58" s="237">
        <f>+AE58/Z55-1</f>
        <v>-0.10493281009749456</v>
      </c>
      <c r="AG58" s="218">
        <f>SLP!AG58+ROSA!AG58+'STA ANA'!AG58+BOA!AG58+'STA MARIA'!AG58+'CB I'!AG58+IG!AG58+PN!AG58+MJ!AG58+'RB I'!AG58+'SF I'!AG58</f>
        <v>15622177.934512813</v>
      </c>
      <c r="AH58" s="218">
        <f>SLP!AH58+ROSA!AH58+'STA ANA'!AH58+BOA!AH58+'STA MARIA'!AH58+'CB I'!AH58+IG!AH58+PN!AH58+MJ!AH58+'RB I'!AH58+'SF I'!AH58</f>
        <v>14162980.898884917</v>
      </c>
      <c r="AI58" s="218">
        <f>SLP!AI58+ROSA!AI58+'STA ANA'!AI58+BOA!AI58+'STA MARIA'!AI58+'CB I'!AI58+IG!AI58+PN!AI58+MJ!AI58+'RB I'!AI58+'SF I'!AI58</f>
        <v>1459197.0356278934</v>
      </c>
      <c r="AJ58" s="218">
        <f>SLP!AJ58+ROSA!AJ58+'STA ANA'!AJ58+BOA!AJ58+'STA MARIA'!AJ58+'CB I'!AJ58+IG!AJ58+PN!AJ58+MJ!AJ58+'RB I'!AJ58+'SF I'!AJ58</f>
        <v>14628572.54026413</v>
      </c>
      <c r="AK58" s="218">
        <f>SLP!AK58+ROSA!AK58+'STA ANA'!AK58+BOA!AK58+'STA MARIA'!AK58+'CB I'!AK58+IG!AK58+PN!AK58+MJ!AK58+'RB I'!AK58+'SF I'!AK58</f>
        <v>1699382.5249453895</v>
      </c>
      <c r="AL58" s="218">
        <f>SLP!AL58+ROSA!AL58+'STA ANA'!AL58+BOA!AL58+'STA MARIA'!AL58+'CB I'!AL58+IG!AL58+PN!AL58+MJ!AL58+'RB I'!AL58+'SF I'!AL58</f>
        <v>16327955.065209523</v>
      </c>
      <c r="AM58" s="237">
        <f>+AL58/AG55-1</f>
        <v>2.5726729509830903E-2</v>
      </c>
      <c r="AN58" s="218">
        <f>SLP!AN58+ROSA!AN58+'STA ANA'!AN58+BOA!AN58+'STA MARIA'!AN58+'CB I'!AN58+IG!AN58+PN!AN58+MJ!AN58+'RB I'!AN58+'SF I'!AN58</f>
        <v>16075645.507360656</v>
      </c>
      <c r="AO58" s="218">
        <f>SLP!AO58+ROSA!AO58+'STA ANA'!AO58+BOA!AO58+'STA MARIA'!AO58+'CB I'!AO58+IG!AO58+PN!AO58+MJ!AO58+'RB I'!AO58+'SF I'!AO58</f>
        <v>14554696.108781379</v>
      </c>
      <c r="AP58" s="218">
        <f>SLP!AP58+ROSA!AP58+'STA ANA'!AP58+BOA!AP58+'STA MARIA'!AP58+'CB I'!AP58+IG!AP58+PN!AP58+MJ!AP58+'RB I'!AP58+'SF I'!AP58</f>
        <v>1520949.3985792755</v>
      </c>
      <c r="AQ58" s="218">
        <f>SLP!AQ58+ROSA!AQ58+'STA ANA'!AQ58+BOA!AQ58+'STA MARIA'!AQ58+'CB I'!AQ58+IG!AQ58+PN!AQ58+MJ!AQ58+'RB I'!AQ58+'SF I'!AQ58</f>
        <v>13679399.144874321</v>
      </c>
      <c r="AR58" s="218">
        <f>SLP!AR58+ROSA!AR58+'STA ANA'!AR58+BOA!AR58+'STA MARIA'!AR58+'CB I'!AR58+IG!AR58+PN!AR58+MJ!AR58+'RB I'!AR58+'SF I'!AR58</f>
        <v>1539707.4460783764</v>
      </c>
      <c r="AS58" s="218">
        <f>SLP!AS58+ROSA!AS58+'STA ANA'!AS58+BOA!AS58+'STA MARIA'!AS58+'CB I'!AS58+IG!AS58+PN!AS58+MJ!AS58+'RB I'!AS58+'SF I'!AS58</f>
        <v>15219106.5909527</v>
      </c>
      <c r="AT58" s="237">
        <f>+AS58/AN55-1</f>
        <v>-7.0412564049544213E-2</v>
      </c>
      <c r="AU58" s="218">
        <f>SLP!AU58+ROSA!AU58+'STA ANA'!AU58+BOA!AU58+'STA MARIA'!AU58+'CB I'!AU58+IG!AU58+PN!AU58+MJ!AU58+'RB I'!AU58+'SF I'!AU58</f>
        <v>15896636.274435217</v>
      </c>
      <c r="AV58" s="218">
        <f>SLP!AV58+ROSA!AV58+'STA ANA'!AV58+BOA!AV58+'STA MARIA'!AV58+'CB I'!AV58+IG!AV58+PN!AV58+MJ!AV58+'RB I'!AV58+'SF I'!AV58</f>
        <v>14394738.301151857</v>
      </c>
      <c r="AW58" s="218">
        <f>SLP!AW58+ROSA!AW58+'STA ANA'!AW58+BOA!AW58+'STA MARIA'!AW58+'CB I'!AW58+IG!AW58+PN!AW58+MJ!AW58+'RB I'!AW58+'SF I'!AW58</f>
        <v>1501897.9732833607</v>
      </c>
      <c r="AX58" s="218">
        <f>SLP!AX58+ROSA!AX58+'STA ANA'!AX58+BOA!AX58+'STA MARIA'!AX58+'CB I'!AX58+IG!AX58+PN!AX58+MJ!AX58+'RB I'!AX58+'SF I'!AX58</f>
        <v>12894865.679663591</v>
      </c>
      <c r="AY58" s="218">
        <f>SLP!AY58+ROSA!AY58+'STA ANA'!AY58+BOA!AY58+'STA MARIA'!AY58+'CB I'!AY58+IG!AY58+PN!AY58+MJ!AY58+'RB I'!AY58+'SF I'!AY58</f>
        <v>1359402.4792891967</v>
      </c>
      <c r="AZ58" s="218">
        <f>SLP!AZ58+ROSA!AZ58+'STA ANA'!AZ58+BOA!AZ58+'STA MARIA'!AZ58+'CB I'!AZ58+IG!AZ58+PN!AZ58+MJ!AZ58+'RB I'!AZ58+'SF I'!AZ58</f>
        <v>14254268.158952789</v>
      </c>
      <c r="BA58" s="237">
        <f>+AZ58/AU55-1</f>
        <v>-0.1197202525488269</v>
      </c>
      <c r="BB58" s="218">
        <f>SLP!BB58+ROSA!BB58+'STA ANA'!BB58+BOA!BB58+'STA MARIA'!BB58+'CB I'!BB58+IG!BB58+PN!BB58+MJ!BB58+'RB I'!BB58+'SF I'!BB58</f>
        <v>16623626.356577801</v>
      </c>
      <c r="BC58" s="218">
        <f>SLP!BC58+ROSA!BC58+'STA ANA'!BC58+BOA!BC58+'STA MARIA'!BC58+'CB I'!BC58+IG!BC58+PN!BC58+MJ!BC58+'RB I'!BC58+'SF I'!BC58</f>
        <v>15147086.275352577</v>
      </c>
      <c r="BD58" s="218">
        <f>SLP!BD58+ROSA!BD58+'STA ANA'!BD58+BOA!BD58+'STA MARIA'!BD58+'CB I'!BD58+IG!BD58+PN!BD58+MJ!BD58+'RB I'!BD58+'SF I'!BD58</f>
        <v>1476540.0812252269</v>
      </c>
      <c r="BE58" s="218">
        <f>SLP!BE58+ROSA!BE58+'STA ANA'!BE58+BOA!BE58+'STA MARIA'!BE58+'CB I'!BE58+IG!BE58+PN!BE58+MJ!BE58+'RB I'!BE58+'SF I'!BE58</f>
        <v>0</v>
      </c>
      <c r="BF58" s="218">
        <f>SLP!BF58+ROSA!BF58+'STA ANA'!BF58+BOA!BF58+'STA MARIA'!BF58+'CB I'!BF58+IG!BF58+PN!BF58+MJ!BF58+'RB I'!BF58+'SF I'!BF58</f>
        <v>0</v>
      </c>
      <c r="BG58" s="218">
        <f>SLP!BG58+ROSA!BG58+'STA ANA'!BG58+BOA!BG58+'STA MARIA'!BG58+'CB I'!BG58+IG!BG58+PN!BG58+MJ!BG58+'RB I'!BG58+'SF I'!BG58</f>
        <v>0</v>
      </c>
      <c r="BH58" s="237">
        <f>+BG58/BB55-1</f>
        <v>-1</v>
      </c>
      <c r="BI58" s="218">
        <f>SLP!BI58+ROSA!BI58+'STA ANA'!BI58+BOA!BI58+'STA MARIA'!BI58+'CB I'!BI58+IG!BI58+PN!BI58+MJ!BI58+'RB I'!BI58+'SF I'!BI58</f>
        <v>9135409.6286587305</v>
      </c>
      <c r="BJ58" s="218">
        <f>SLP!BJ58+ROSA!BJ58+'STA ANA'!BJ58+BOA!BJ58+'STA MARIA'!BJ58+'CB I'!BJ58+IG!BJ58+PN!BJ58+MJ!BJ58+'RB I'!BJ58+'SF I'!BJ58</f>
        <v>8223358.9513690602</v>
      </c>
      <c r="BK58" s="218">
        <f>SLP!BK58+ROSA!BK58+'STA ANA'!BK58+BOA!BK58+'STA MARIA'!BK58+'CB I'!BK58+IG!BK58+PN!BK58+MJ!BK58+'RB I'!BK58+'SF I'!BK58</f>
        <v>912050.67728966905</v>
      </c>
      <c r="BL58" s="218">
        <f>SLP!BL58+ROSA!BL58+'STA ANA'!BL58+BOA!BL58+'STA MARIA'!BL58+'CB I'!BL58+IG!BL58+PN!BL58+MJ!BL58+'RB I'!BL58+'SF I'!BL58</f>
        <v>0</v>
      </c>
      <c r="BM58" s="218">
        <f>SLP!BM58+ROSA!BM58+'STA ANA'!BM58+BOA!BM58+'STA MARIA'!BM58+'CB I'!BM58+IG!BM58+PN!BM58+MJ!BM58+'RB I'!BM58+'SF I'!BM58</f>
        <v>0</v>
      </c>
      <c r="BN58" s="218">
        <f>SLP!BN58+ROSA!BN58+'STA ANA'!BN58+BOA!BN58+'STA MARIA'!BN58+'CB I'!BN58+IG!BN58+PN!BN58+MJ!BN58+'RB I'!BN58+'SF I'!BN58</f>
        <v>0</v>
      </c>
      <c r="BO58" s="237">
        <f>+BN58/BI55-1</f>
        <v>-1</v>
      </c>
      <c r="BP58" s="218">
        <f>SLP!BP58+ROSA!BP58+'STA ANA'!BP58+BOA!BP58+'STA MARIA'!BP58+'CB I'!BP58+IG!BP58+PN!BP58+MJ!BP58+'RB I'!BP58+'SF I'!BP58</f>
        <v>9588708.3104944285</v>
      </c>
      <c r="BQ58" s="218">
        <f>SLP!BQ58+ROSA!BQ58+'STA ANA'!BQ58+BOA!BQ58+'STA MARIA'!BQ58+'CB I'!BQ58+IG!BQ58+PN!BQ58+MJ!BQ58+'RB I'!BQ58+'SF I'!BQ58</f>
        <v>8672893.9256260544</v>
      </c>
      <c r="BR58" s="218">
        <f>SLP!BR58+ROSA!BR58+'STA ANA'!BR58+BOA!BR58+'STA MARIA'!BR58+'CB I'!BR58+IG!BR58+PN!BR58+MJ!BR58+'RB I'!BR58+'SF I'!BR58</f>
        <v>915814.38486837328</v>
      </c>
      <c r="BS58" s="218">
        <f>SLP!BS58+ROSA!BS58+'STA ANA'!BS58+BOA!BS58+'STA MARIA'!BS58+'CB I'!BS58+IG!BS58+PN!BS58+MJ!BS58+'RB I'!BS58+'SF I'!BS58</f>
        <v>0</v>
      </c>
      <c r="BT58" s="218">
        <f>SLP!BT58+ROSA!BT58+'STA ANA'!BT58+BOA!BT58+'STA MARIA'!BT58+'CB I'!BT58+IG!BT58+PN!BT58+MJ!BT58+'RB I'!BT58+'SF I'!BT58</f>
        <v>0</v>
      </c>
      <c r="BU58" s="218">
        <f>SLP!BU58+ROSA!BU58+'STA ANA'!BU58+BOA!BU58+'STA MARIA'!BU58+'CB I'!BU58+IG!BU58+PN!BU58+MJ!BU58+'RB I'!BU58+'SF I'!BU58</f>
        <v>0</v>
      </c>
      <c r="BV58" s="237">
        <f>+BU58/BP55-1</f>
        <v>-1</v>
      </c>
      <c r="BW58" s="218">
        <f>SLP!BW58+ROSA!BW58+'STA ANA'!BW58+BOA!BW58+'STA MARIA'!BW58+'CB I'!BW58+IG!BW58+PN!BW58+MJ!BW58+'RB I'!BW58+'SF I'!BW58</f>
        <v>7543381.3143598698</v>
      </c>
      <c r="BX58" s="218">
        <f>SLP!BX58+ROSA!BX58+'STA ANA'!BX58+BOA!BX58+'STA MARIA'!BX58+'CB I'!BX58+IG!BX58+PN!BX58+MJ!BX58+'RB I'!BX58+'SF I'!BX58</f>
        <v>6822819.4632919831</v>
      </c>
      <c r="BY58" s="218">
        <f>SLP!BY58+ROSA!BY58+'STA ANA'!BY58+BOA!BY58+'STA MARIA'!BY58+'CB I'!BY58+IG!BY58+PN!BY58+MJ!BY58+'RB I'!BY58+'SF I'!BY58</f>
        <v>720561.85106788459</v>
      </c>
      <c r="BZ58" s="218">
        <f>SLP!BZ58+ROSA!BZ58+'STA ANA'!BZ58+BOA!BZ58+'STA MARIA'!BZ58+'CB I'!BZ58+IG!BZ58+PN!BZ58+MJ!BZ58+'RB I'!BZ58+'SF I'!BZ58</f>
        <v>0</v>
      </c>
      <c r="CA58" s="218">
        <f>SLP!CA58+ROSA!CA58+'STA ANA'!CA58+BOA!CA58+'STA MARIA'!CA58+'CB I'!CA58+IG!CA58+PN!CA58+MJ!CA58+'RB I'!CA58+'SF I'!CA58</f>
        <v>0</v>
      </c>
      <c r="CB58" s="218">
        <f>SLP!CB58+ROSA!CB58+'STA ANA'!CB58+BOA!CB58+'STA MARIA'!CB58+'CB I'!CB58+IG!CB58+PN!CB58+MJ!CB58+'RB I'!CB58+'SF I'!CB58</f>
        <v>0</v>
      </c>
      <c r="CC58" s="237">
        <f>+CB58/BW55-1</f>
        <v>-1</v>
      </c>
      <c r="CD58" s="218">
        <f>SLP!CD58+ROSA!CD58+'STA ANA'!CD58+BOA!CD58+'STA MARIA'!CD58+'CB I'!CD58+IG!CD58+PN!CD58+MJ!CD58+'RB I'!CD58+'SF I'!CD58</f>
        <v>6788076.3589392779</v>
      </c>
      <c r="CE58" s="218">
        <f>SLP!CE58+ROSA!CE58+'STA ANA'!CE58+BOA!CE58+'STA MARIA'!CE58+'CB I'!CE58+IG!CE58+PN!CE58+MJ!CE58+'RB I'!CE58+'SF I'!CE58</f>
        <v>6126848.3909380818</v>
      </c>
      <c r="CF58" s="218">
        <f>SLP!CF58+ROSA!CF58+'STA ANA'!CF58+BOA!CF58+'STA MARIA'!CF58+'CB I'!CF58+IG!CF58+PN!CF58+MJ!CF58+'RB I'!CF58+'SF I'!CF58</f>
        <v>661227.9680011957</v>
      </c>
      <c r="CG58" s="218">
        <f>SLP!CG58+ROSA!CG58+'STA ANA'!CG58+BOA!CG58+'STA MARIA'!CG58+'CB I'!CG58+IG!CG58+PN!CG58+MJ!CG58+'RB I'!CG58+'SF I'!CG58</f>
        <v>0</v>
      </c>
      <c r="CH58" s="218">
        <f>SLP!CH58+ROSA!CH58+'STA ANA'!CH58+BOA!CH58+'STA MARIA'!CH58+'CB I'!CH58+IG!CH58+PN!CH58+MJ!CH58+'RB I'!CH58+'SF I'!CH58</f>
        <v>0</v>
      </c>
      <c r="CI58" s="218">
        <f>SLP!CI58+ROSA!CI58+'STA ANA'!CI58+BOA!CI58+'STA MARIA'!CI58+'CB I'!CI58+IG!CI58+PN!CI58+MJ!CI58+'RB I'!CI58+'SF I'!CI58</f>
        <v>0</v>
      </c>
      <c r="CJ58" s="237">
        <f>+CI58/CD55-1</f>
        <v>-1</v>
      </c>
      <c r="CK58" s="218">
        <f>SLP!CK58+ROSA!CK58+'STA ANA'!CK58+BOA!CK58+'STA MARIA'!CK58+'CB I'!CK58+IG!CK58+PN!CK58+MJ!CK58+'RB I'!CK58+'SF I'!CK58</f>
        <v>6629957.5929698478</v>
      </c>
      <c r="CL58" s="218">
        <f>SLP!CL58+ROSA!CL58+'STA ANA'!CL58+BOA!CL58+'STA MARIA'!CL58+'CB I'!CL58+IG!CL58+PN!CL58+MJ!CL58+'RB I'!CL58+'SF I'!CL58</f>
        <v>6003848.7404293176</v>
      </c>
      <c r="CM58" s="218">
        <f>SLP!CM58+ROSA!CM58+'STA ANA'!CM58+BOA!CM58+'STA MARIA'!CM58+'CB I'!CM58+IG!CM58+PN!CM58+MJ!CM58+'RB I'!CM58+'SF I'!CM58</f>
        <v>626108.85254053096</v>
      </c>
      <c r="CN58" s="218">
        <f>SLP!CN58+ROSA!CN58+'STA ANA'!CN58+BOA!CN58+'STA MARIA'!CN58+'CB I'!CN58+IG!CN58+PN!CN58+MJ!CN58+'RB I'!CN58+'SF I'!CN58</f>
        <v>0</v>
      </c>
      <c r="CO58" s="218">
        <f>SLP!CO58+ROSA!CO58+'STA ANA'!CO58+BOA!CO58+'STA MARIA'!CO58+'CB I'!CO58+IG!CO58+PN!CO58+MJ!CO58+'RB I'!CO58+'SF I'!CO58</f>
        <v>0</v>
      </c>
      <c r="CP58" s="218">
        <f>SLP!CP58+ROSA!CP58+'STA ANA'!CP58+BOA!CP58+'STA MARIA'!CP58+'CB I'!CP58+IG!CP58+PN!CP58+MJ!CP58+'RB I'!CP58+'SF I'!CP58</f>
        <v>0</v>
      </c>
      <c r="CQ58" s="237">
        <f>+CP58/CK55-1</f>
        <v>-1</v>
      </c>
      <c r="CR58" s="154"/>
      <c r="CS58" s="238" t="e">
        <f t="shared" si="15"/>
        <v>#VALUE!</v>
      </c>
    </row>
    <row r="59" spans="1:101" s="105" customFormat="1" ht="14.25" customHeight="1" x14ac:dyDescent="0.2">
      <c r="B59" s="104"/>
      <c r="C59" s="104"/>
      <c r="D59" s="104"/>
      <c r="J59" s="104">
        <f>J58-'[2]RESUMO - ATUAL'!$P$14</f>
        <v>28241571.572019883</v>
      </c>
      <c r="Q59" s="105">
        <f>Q58-'[3]RESUMO - ATUAL'!$P$78</f>
        <v>-480073.20091112331</v>
      </c>
      <c r="X59" s="105">
        <f>X58-'[3]RESUMO - ATUAL'!$P$142</f>
        <v>-2154651.3812691253</v>
      </c>
      <c r="AE59" s="105">
        <f>AE58-'[2]RESUMO - ATUAL'!$P$182</f>
        <v>-283059.95301715657</v>
      </c>
      <c r="AL59" s="105">
        <f>AL58-'[2]RESUMO - ATUAL'!$P$238</f>
        <v>-280185.22935480438</v>
      </c>
      <c r="AS59" s="104">
        <f>AS58-'[3]RESUMO - ATUAL'!$P$334</f>
        <v>15219106.5909527</v>
      </c>
      <c r="AZ59" s="105">
        <f>AZ58-'[3]RESUMO - ATUAL'!$P$398</f>
        <v>14254268.158952789</v>
      </c>
      <c r="BG59" s="105">
        <f>BG58-'[3]RESUMO - ATUAL'!$P$462</f>
        <v>0</v>
      </c>
      <c r="BN59" s="105">
        <f>BN58-'[3]RESUMO - ATUAL'!$P$526</f>
        <v>0</v>
      </c>
      <c r="BU59" s="105">
        <f>BU58-'[3]RESUMO - ATUAL'!$P$590</f>
        <v>0</v>
      </c>
      <c r="CB59" s="105">
        <f>CB58-'[3]RESUMO - ATUAL'!$P$654</f>
        <v>0</v>
      </c>
      <c r="CI59" s="105">
        <f>CI58-'[3]RESUMO - ATUAL'!$P$718</f>
        <v>0</v>
      </c>
      <c r="CP59" s="104">
        <f>CP58-'[3]RESUMO - ATUAL'!$P$782</f>
        <v>0</v>
      </c>
      <c r="CR59" s="104"/>
    </row>
    <row r="60" spans="1:101" ht="14.25" customHeight="1" x14ac:dyDescent="0.2">
      <c r="B60" s="155"/>
      <c r="C60" s="155"/>
      <c r="D60" s="239"/>
      <c r="CR60" s="154"/>
    </row>
    <row r="61" spans="1:101" ht="14.25" customHeight="1" x14ac:dyDescent="0.2">
      <c r="CR61" s="154"/>
    </row>
    <row r="62" spans="1:101" ht="14.25" customHeight="1" x14ac:dyDescent="0.2">
      <c r="B62" s="155"/>
      <c r="C62" s="155"/>
      <c r="D62" s="240"/>
      <c r="E62" s="155"/>
      <c r="F62" s="155"/>
      <c r="G62" s="155"/>
      <c r="H62" s="155"/>
      <c r="I62" s="155"/>
      <c r="J62" s="155"/>
      <c r="K62" s="155"/>
      <c r="CR62" s="154"/>
    </row>
    <row r="63" spans="1:101" ht="14.25" customHeight="1" x14ac:dyDescent="0.2">
      <c r="B63" s="139"/>
      <c r="C63" s="139"/>
      <c r="D63" s="139"/>
      <c r="E63" s="139"/>
      <c r="F63" s="139"/>
      <c r="G63" s="139"/>
      <c r="H63" s="139"/>
      <c r="I63" s="139"/>
      <c r="J63" s="139"/>
      <c r="K63" s="139"/>
      <c r="CR63" s="154"/>
    </row>
    <row r="64" spans="1:101" ht="14.25" customHeight="1" x14ac:dyDescent="0.2">
      <c r="B64" s="139"/>
      <c r="C64" s="139"/>
      <c r="D64" s="139"/>
      <c r="E64" s="139"/>
      <c r="F64" s="139"/>
      <c r="G64" s="139"/>
      <c r="H64" s="139"/>
      <c r="I64" s="139"/>
      <c r="J64" s="139"/>
      <c r="K64" s="139"/>
      <c r="L64" s="195"/>
      <c r="M64" s="195"/>
      <c r="N64" s="195"/>
      <c r="O64" s="195"/>
      <c r="P64" s="195"/>
      <c r="CR64" s="154"/>
    </row>
    <row r="65" spans="2:96" ht="14.25" customHeight="1" x14ac:dyDescent="0.2">
      <c r="B65" s="139"/>
      <c r="C65" s="139"/>
      <c r="D65" s="139"/>
      <c r="E65" s="139"/>
      <c r="F65" s="139"/>
      <c r="G65" s="139"/>
      <c r="H65" s="139"/>
      <c r="I65" s="139"/>
      <c r="J65" s="139"/>
      <c r="K65" s="139"/>
      <c r="CR65" s="154"/>
    </row>
    <row r="66" spans="2:96" ht="14.25" customHeight="1" x14ac:dyDescent="0.2">
      <c r="B66" s="139"/>
      <c r="C66" s="139"/>
      <c r="D66" s="139"/>
      <c r="E66" s="139"/>
      <c r="F66" s="139"/>
      <c r="G66" s="139"/>
      <c r="H66" s="139"/>
      <c r="I66" s="139"/>
      <c r="J66" s="139"/>
      <c r="K66" s="139"/>
      <c r="CR66" s="154"/>
    </row>
    <row r="67" spans="2:96" ht="14.25" customHeight="1" x14ac:dyDescent="0.2">
      <c r="B67" s="139"/>
      <c r="C67" s="139"/>
      <c r="D67" s="139"/>
      <c r="E67" s="139"/>
      <c r="F67" s="139"/>
      <c r="G67" s="139"/>
      <c r="H67" s="139"/>
      <c r="I67" s="139"/>
      <c r="J67" s="139"/>
      <c r="K67" s="139"/>
      <c r="CR67" s="154"/>
    </row>
    <row r="68" spans="2:96" ht="14.25" customHeight="1" x14ac:dyDescent="0.2">
      <c r="B68" s="139"/>
      <c r="C68" s="139"/>
      <c r="D68" s="139"/>
      <c r="E68" s="139"/>
      <c r="F68" s="139"/>
      <c r="G68" s="139"/>
      <c r="H68" s="139"/>
      <c r="I68" s="139"/>
      <c r="J68" s="139"/>
      <c r="K68" s="139"/>
      <c r="CR68" s="154"/>
    </row>
    <row r="69" spans="2:96" ht="14.25" customHeight="1" x14ac:dyDescent="0.2">
      <c r="B69" s="139" t="e">
        <f>+'[4]SLP+ROSA'!#REF!+'[4]STA MARIA'!B76+'[4]CB I'!B82+'[4]CB II'!B61+[4]IG!B88+[4]MJ!B74</f>
        <v>#REF!</v>
      </c>
      <c r="C69" s="139"/>
      <c r="D69" s="139"/>
      <c r="E69" s="139"/>
      <c r="F69" s="139"/>
      <c r="G69" s="139"/>
      <c r="H69" s="139"/>
      <c r="I69" s="139"/>
      <c r="J69" s="139"/>
      <c r="K69" s="139"/>
      <c r="L69" s="195" t="s">
        <v>209</v>
      </c>
      <c r="M69" s="195"/>
      <c r="N69" s="195"/>
      <c r="O69" s="195"/>
      <c r="P69" s="195"/>
      <c r="CR69" s="154"/>
    </row>
    <row r="70" spans="2:96" ht="14.25" customHeight="1" x14ac:dyDescent="0.2">
      <c r="B70" s="139" t="e">
        <f>+'[4]SLP+ROSA'!#REF!+'[4]STA ANA'!#REF!+[4]BOA!B75+'[4]CB I'!B83+[4]IG!B89+[4]PN!B84+[4]MJ!B75+'[4]RB I'!B86</f>
        <v>#REF!</v>
      </c>
      <c r="C70" s="139"/>
      <c r="D70" s="139"/>
      <c r="E70" s="139"/>
      <c r="F70" s="139"/>
      <c r="G70" s="139"/>
      <c r="H70" s="139"/>
      <c r="I70" s="139"/>
      <c r="J70" s="139"/>
      <c r="K70" s="139"/>
      <c r="L70" s="195" t="s">
        <v>210</v>
      </c>
      <c r="M70" s="195"/>
      <c r="N70" s="195"/>
      <c r="O70" s="195"/>
      <c r="P70" s="195"/>
      <c r="CR70" s="154"/>
    </row>
    <row r="71" spans="2:96" ht="14.25" customHeight="1" x14ac:dyDescent="0.2">
      <c r="B71" s="155" t="e">
        <f>B62-B65-B64-B66-B67-B69-B68-B70-B63</f>
        <v>#REF!</v>
      </c>
      <c r="C71" s="155"/>
      <c r="D71" s="155"/>
      <c r="E71" s="155"/>
      <c r="F71" s="155"/>
      <c r="G71" s="155"/>
      <c r="H71" s="155"/>
      <c r="I71" s="155"/>
      <c r="J71" s="155"/>
      <c r="K71" s="155"/>
      <c r="CR71" s="154"/>
    </row>
    <row r="72" spans="2:96" ht="14.25" customHeight="1" x14ac:dyDescent="0.2">
      <c r="B72" s="155" t="e">
        <f>+'[4]SLP+ROSA'!#REF!+'[4]STA ANA'!#REF!+[4]BOA!B78+'[4]STA MARIA'!B80+'[4]CB I'!#REF!+'[4]CB II'!B65+[4]IG!B92+[4]PN!B87+[4]MJ!B78+'[4]RB I'!B89</f>
        <v>#REF!</v>
      </c>
      <c r="C72" s="155"/>
      <c r="D72" s="155"/>
      <c r="E72" s="155"/>
      <c r="F72" s="155"/>
      <c r="G72" s="155"/>
      <c r="H72" s="155"/>
      <c r="I72" s="155"/>
      <c r="J72" s="155"/>
      <c r="K72" s="155"/>
      <c r="L72" s="195" t="s">
        <v>211</v>
      </c>
      <c r="M72" s="195"/>
      <c r="N72" s="195"/>
      <c r="O72" s="195"/>
      <c r="P72" s="195"/>
      <c r="CR72" s="154"/>
    </row>
    <row r="73" spans="2:96" ht="14.25" customHeight="1" x14ac:dyDescent="0.2">
      <c r="B73" s="104" t="e">
        <f>+B71/B72</f>
        <v>#REF!</v>
      </c>
      <c r="C73" s="104"/>
      <c r="D73" s="104"/>
      <c r="E73" s="104"/>
      <c r="F73" s="104"/>
      <c r="G73" s="104"/>
      <c r="H73" s="104"/>
      <c r="I73" s="104"/>
      <c r="J73" s="104"/>
      <c r="K73" s="104"/>
      <c r="L73" s="195" t="s">
        <v>212</v>
      </c>
      <c r="M73" s="195"/>
      <c r="N73" s="195"/>
      <c r="O73" s="195"/>
      <c r="P73" s="195"/>
      <c r="CR73" s="154"/>
    </row>
    <row r="74" spans="2:96" ht="14.25" customHeight="1" x14ac:dyDescent="0.2">
      <c r="CR74" s="154"/>
    </row>
    <row r="75" spans="2:96" ht="14.25" customHeight="1" x14ac:dyDescent="0.2">
      <c r="CR75" s="154"/>
    </row>
    <row r="76" spans="2:96" ht="14.25" customHeight="1" x14ac:dyDescent="0.2">
      <c r="CR76" s="154"/>
    </row>
    <row r="77" spans="2:96" ht="14.25" customHeight="1" x14ac:dyDescent="0.2">
      <c r="CR77" s="154"/>
    </row>
    <row r="78" spans="2:96" ht="14.25" customHeight="1" x14ac:dyDescent="0.2">
      <c r="CR78" s="154"/>
    </row>
    <row r="79" spans="2:96" ht="14.25" customHeight="1" x14ac:dyDescent="0.2">
      <c r="CR79" s="154"/>
    </row>
    <row r="80" spans="2:96" ht="14.25" customHeight="1" x14ac:dyDescent="0.2">
      <c r="CR80" s="154"/>
    </row>
    <row r="81" spans="96:96" ht="14.25" customHeight="1" x14ac:dyDescent="0.2">
      <c r="CR81" s="154"/>
    </row>
    <row r="82" spans="96:96" ht="14.25" customHeight="1" x14ac:dyDescent="0.2">
      <c r="CR82" s="154"/>
    </row>
    <row r="83" spans="96:96" ht="14.25" customHeight="1" x14ac:dyDescent="0.2">
      <c r="CR83" s="154"/>
    </row>
    <row r="84" spans="96:96" ht="14.25" customHeight="1" x14ac:dyDescent="0.2">
      <c r="CR84" s="154"/>
    </row>
    <row r="85" spans="96:96" ht="14.25" customHeight="1" x14ac:dyDescent="0.2">
      <c r="CR85" s="154"/>
    </row>
    <row r="86" spans="96:96" ht="14.25" customHeight="1" x14ac:dyDescent="0.2">
      <c r="CR86" s="154"/>
    </row>
    <row r="87" spans="96:96" ht="14.25" customHeight="1" x14ac:dyDescent="0.2">
      <c r="CR87" s="154"/>
    </row>
    <row r="88" spans="96:96" ht="14.25" customHeight="1" x14ac:dyDescent="0.2">
      <c r="CR88" s="154"/>
    </row>
    <row r="89" spans="96:96" ht="14.25" customHeight="1" x14ac:dyDescent="0.2">
      <c r="CR89" s="154"/>
    </row>
    <row r="90" spans="96:96" ht="14.25" customHeight="1" x14ac:dyDescent="0.2">
      <c r="CR90" s="154"/>
    </row>
    <row r="91" spans="96:96" ht="14.25" customHeight="1" x14ac:dyDescent="0.2">
      <c r="CR91" s="154"/>
    </row>
    <row r="92" spans="96:96" ht="14.25" customHeight="1" x14ac:dyDescent="0.2">
      <c r="CR92" s="154"/>
    </row>
    <row r="93" spans="96:96" ht="14.25" customHeight="1" x14ac:dyDescent="0.2">
      <c r="CR93" s="154"/>
    </row>
    <row r="94" spans="96:96" ht="14.25" customHeight="1" x14ac:dyDescent="0.2">
      <c r="CR94" s="154"/>
    </row>
    <row r="95" spans="96:96" ht="14.25" customHeight="1" x14ac:dyDescent="0.2">
      <c r="CR95" s="154"/>
    </row>
    <row r="96" spans="96:96" ht="14.25" customHeight="1" x14ac:dyDescent="0.2">
      <c r="CR96" s="154"/>
    </row>
    <row r="97" spans="96:96" ht="14.25" customHeight="1" x14ac:dyDescent="0.2">
      <c r="CR97" s="154"/>
    </row>
    <row r="98" spans="96:96" ht="14.25" customHeight="1" x14ac:dyDescent="0.2">
      <c r="CR98" s="154"/>
    </row>
    <row r="99" spans="96:96" ht="14.25" customHeight="1" x14ac:dyDescent="0.2">
      <c r="CR99" s="154"/>
    </row>
    <row r="100" spans="96:96" ht="14.25" customHeight="1" x14ac:dyDescent="0.2">
      <c r="CR100" s="154"/>
    </row>
    <row r="101" spans="96:96" ht="14.25" customHeight="1" x14ac:dyDescent="0.2">
      <c r="CR101" s="154"/>
    </row>
    <row r="102" spans="96:96" ht="14.25" customHeight="1" x14ac:dyDescent="0.2">
      <c r="CR102" s="154"/>
    </row>
    <row r="103" spans="96:96" ht="14.25" customHeight="1" x14ac:dyDescent="0.2">
      <c r="CR103" s="154"/>
    </row>
    <row r="104" spans="96:96" ht="14.25" customHeight="1" x14ac:dyDescent="0.2">
      <c r="CR104" s="154"/>
    </row>
    <row r="105" spans="96:96" ht="14.25" customHeight="1" x14ac:dyDescent="0.2">
      <c r="CR105" s="154"/>
    </row>
    <row r="106" spans="96:96" ht="14.25" customHeight="1" x14ac:dyDescent="0.2">
      <c r="CR106" s="154"/>
    </row>
    <row r="107" spans="96:96" ht="14.25" customHeight="1" x14ac:dyDescent="0.2">
      <c r="CR107" s="154"/>
    </row>
    <row r="108" spans="96:96" ht="14.25" customHeight="1" x14ac:dyDescent="0.2">
      <c r="CR108" s="154"/>
    </row>
    <row r="109" spans="96:96" ht="14.25" customHeight="1" x14ac:dyDescent="0.2">
      <c r="CR109" s="154"/>
    </row>
    <row r="110" spans="96:96" ht="14.25" customHeight="1" x14ac:dyDescent="0.2">
      <c r="CR110" s="154"/>
    </row>
    <row r="111" spans="96:96" ht="14.25" customHeight="1" x14ac:dyDescent="0.2">
      <c r="CR111" s="154"/>
    </row>
    <row r="112" spans="96:96" ht="14.25" customHeight="1" x14ac:dyDescent="0.2">
      <c r="CR112" s="154"/>
    </row>
    <row r="113" spans="96:96" ht="14.25" customHeight="1" x14ac:dyDescent="0.2">
      <c r="CR113" s="154"/>
    </row>
    <row r="114" spans="96:96" ht="14.25" customHeight="1" x14ac:dyDescent="0.2">
      <c r="CR114" s="154"/>
    </row>
    <row r="115" spans="96:96" ht="14.25" customHeight="1" x14ac:dyDescent="0.2">
      <c r="CR115" s="154"/>
    </row>
    <row r="116" spans="96:96" ht="14.25" customHeight="1" x14ac:dyDescent="0.2">
      <c r="CR116" s="154"/>
    </row>
    <row r="117" spans="96:96" ht="14.25" customHeight="1" x14ac:dyDescent="0.2">
      <c r="CR117" s="154"/>
    </row>
    <row r="118" spans="96:96" ht="14.25" customHeight="1" x14ac:dyDescent="0.2">
      <c r="CR118" s="154"/>
    </row>
    <row r="119" spans="96:96" ht="14.25" customHeight="1" x14ac:dyDescent="0.2">
      <c r="CR119" s="154"/>
    </row>
    <row r="120" spans="96:96" ht="14.25" customHeight="1" x14ac:dyDescent="0.2">
      <c r="CR120" s="154"/>
    </row>
    <row r="121" spans="96:96" ht="14.25" customHeight="1" x14ac:dyDescent="0.2">
      <c r="CR121" s="154"/>
    </row>
    <row r="122" spans="96:96" ht="14.25" customHeight="1" x14ac:dyDescent="0.2">
      <c r="CR122" s="154"/>
    </row>
    <row r="123" spans="96:96" ht="14.25" customHeight="1" x14ac:dyDescent="0.2">
      <c r="CR123" s="154"/>
    </row>
    <row r="124" spans="96:96" ht="14.25" customHeight="1" x14ac:dyDescent="0.2">
      <c r="CR124" s="154"/>
    </row>
    <row r="125" spans="96:96" ht="14.25" customHeight="1" x14ac:dyDescent="0.2">
      <c r="CR125" s="154"/>
    </row>
    <row r="126" spans="96:96" ht="14.25" customHeight="1" x14ac:dyDescent="0.2">
      <c r="CR126" s="154"/>
    </row>
    <row r="127" spans="96:96" ht="14.25" customHeight="1" x14ac:dyDescent="0.2">
      <c r="CR127" s="154"/>
    </row>
    <row r="128" spans="96:96" ht="14.25" customHeight="1" x14ac:dyDescent="0.2">
      <c r="CR128" s="154"/>
    </row>
    <row r="129" spans="96:96" ht="14.25" customHeight="1" x14ac:dyDescent="0.2">
      <c r="CR129" s="154"/>
    </row>
    <row r="130" spans="96:96" ht="14.25" customHeight="1" x14ac:dyDescent="0.2">
      <c r="CR130" s="154"/>
    </row>
    <row r="131" spans="96:96" ht="14.25" customHeight="1" x14ac:dyDescent="0.2">
      <c r="CR131" s="154"/>
    </row>
    <row r="132" spans="96:96" ht="14.25" customHeight="1" x14ac:dyDescent="0.2">
      <c r="CR132" s="154"/>
    </row>
    <row r="133" spans="96:96" ht="14.25" customHeight="1" x14ac:dyDescent="0.2">
      <c r="CR133" s="154"/>
    </row>
    <row r="134" spans="96:96" ht="14.25" customHeight="1" x14ac:dyDescent="0.2">
      <c r="CR134" s="154"/>
    </row>
    <row r="135" spans="96:96" ht="14.25" customHeight="1" x14ac:dyDescent="0.2">
      <c r="CR135" s="154"/>
    </row>
    <row r="136" spans="96:96" ht="14.25" customHeight="1" x14ac:dyDescent="0.2">
      <c r="CR136" s="154"/>
    </row>
    <row r="137" spans="96:96" ht="14.25" customHeight="1" x14ac:dyDescent="0.2">
      <c r="CR137" s="154"/>
    </row>
    <row r="138" spans="96:96" ht="14.25" customHeight="1" x14ac:dyDescent="0.2">
      <c r="CR138" s="154"/>
    </row>
    <row r="139" spans="96:96" ht="14.25" customHeight="1" x14ac:dyDescent="0.2">
      <c r="CR139" s="154"/>
    </row>
    <row r="140" spans="96:96" ht="14.25" customHeight="1" x14ac:dyDescent="0.2">
      <c r="CR140" s="154"/>
    </row>
    <row r="141" spans="96:96" ht="14.25" customHeight="1" x14ac:dyDescent="0.2">
      <c r="CR141" s="154"/>
    </row>
    <row r="142" spans="96:96" ht="14.25" customHeight="1" x14ac:dyDescent="0.2">
      <c r="CR142" s="154"/>
    </row>
    <row r="143" spans="96:96" ht="14.25" customHeight="1" x14ac:dyDescent="0.2">
      <c r="CR143" s="154"/>
    </row>
    <row r="144" spans="96:96" ht="14.25" customHeight="1" x14ac:dyDescent="0.2">
      <c r="CR144" s="154"/>
    </row>
    <row r="145" spans="96:96" ht="14.25" customHeight="1" x14ac:dyDescent="0.2">
      <c r="CR145" s="154"/>
    </row>
    <row r="146" spans="96:96" ht="14.25" customHeight="1" x14ac:dyDescent="0.2">
      <c r="CR146" s="154"/>
    </row>
    <row r="147" spans="96:96" ht="14.25" customHeight="1" x14ac:dyDescent="0.2">
      <c r="CR147" s="154"/>
    </row>
    <row r="148" spans="96:96" ht="14.25" customHeight="1" x14ac:dyDescent="0.2">
      <c r="CR148" s="154"/>
    </row>
    <row r="149" spans="96:96" ht="14.25" customHeight="1" x14ac:dyDescent="0.2">
      <c r="CR149" s="154"/>
    </row>
    <row r="150" spans="96:96" ht="14.25" customHeight="1" x14ac:dyDescent="0.2">
      <c r="CR150" s="154"/>
    </row>
    <row r="151" spans="96:96" ht="14.25" customHeight="1" x14ac:dyDescent="0.2">
      <c r="CR151" s="154"/>
    </row>
    <row r="152" spans="96:96" ht="14.25" customHeight="1" x14ac:dyDescent="0.2">
      <c r="CR152" s="154"/>
    </row>
    <row r="153" spans="96:96" ht="14.25" customHeight="1" x14ac:dyDescent="0.2">
      <c r="CR153" s="154"/>
    </row>
    <row r="154" spans="96:96" ht="14.25" customHeight="1" x14ac:dyDescent="0.2">
      <c r="CR154" s="154"/>
    </row>
    <row r="155" spans="96:96" ht="14.25" customHeight="1" x14ac:dyDescent="0.2">
      <c r="CR155" s="154"/>
    </row>
    <row r="156" spans="96:96" ht="14.25" customHeight="1" x14ac:dyDescent="0.2">
      <c r="CR156" s="154"/>
    </row>
    <row r="157" spans="96:96" ht="14.25" customHeight="1" x14ac:dyDescent="0.2">
      <c r="CR157" s="154"/>
    </row>
    <row r="158" spans="96:96" ht="14.25" customHeight="1" x14ac:dyDescent="0.2">
      <c r="CR158" s="154"/>
    </row>
    <row r="159" spans="96:96" ht="14.25" customHeight="1" x14ac:dyDescent="0.2">
      <c r="CR159" s="154"/>
    </row>
    <row r="160" spans="96:96" ht="14.25" customHeight="1" x14ac:dyDescent="0.2">
      <c r="CR160" s="154"/>
    </row>
    <row r="161" spans="96:96" ht="14.25" customHeight="1" x14ac:dyDescent="0.2">
      <c r="CR161" s="154"/>
    </row>
    <row r="162" spans="96:96" ht="14.25" customHeight="1" x14ac:dyDescent="0.2">
      <c r="CR162" s="154"/>
    </row>
    <row r="163" spans="96:96" ht="14.25" customHeight="1" x14ac:dyDescent="0.2">
      <c r="CR163" s="154"/>
    </row>
    <row r="164" spans="96:96" ht="14.25" customHeight="1" x14ac:dyDescent="0.2">
      <c r="CR164" s="154"/>
    </row>
    <row r="165" spans="96:96" ht="14.25" customHeight="1" x14ac:dyDescent="0.2">
      <c r="CR165" s="154"/>
    </row>
    <row r="166" spans="96:96" ht="14.25" customHeight="1" x14ac:dyDescent="0.2">
      <c r="CR166" s="154"/>
    </row>
    <row r="167" spans="96:96" ht="14.25" customHeight="1" x14ac:dyDescent="0.2">
      <c r="CR167" s="154"/>
    </row>
    <row r="168" spans="96:96" ht="14.25" customHeight="1" x14ac:dyDescent="0.2">
      <c r="CR168" s="154"/>
    </row>
    <row r="169" spans="96:96" ht="14.25" customHeight="1" x14ac:dyDescent="0.2">
      <c r="CR169" s="154"/>
    </row>
    <row r="170" spans="96:96" ht="14.25" customHeight="1" x14ac:dyDescent="0.2">
      <c r="CR170" s="154"/>
    </row>
    <row r="171" spans="96:96" ht="14.25" customHeight="1" x14ac:dyDescent="0.2">
      <c r="CR171" s="154"/>
    </row>
    <row r="172" spans="96:96" ht="14.25" customHeight="1" x14ac:dyDescent="0.2">
      <c r="CR172" s="154"/>
    </row>
    <row r="173" spans="96:96" ht="14.25" customHeight="1" x14ac:dyDescent="0.2">
      <c r="CR173" s="154"/>
    </row>
    <row r="174" spans="96:96" ht="14.25" customHeight="1" x14ac:dyDescent="0.2">
      <c r="CR174" s="154"/>
    </row>
    <row r="175" spans="96:96" ht="14.25" customHeight="1" x14ac:dyDescent="0.2">
      <c r="CR175" s="154"/>
    </row>
    <row r="176" spans="96:96" ht="14.25" customHeight="1" x14ac:dyDescent="0.2">
      <c r="CR176" s="154"/>
    </row>
    <row r="177" spans="96:96" ht="14.25" customHeight="1" x14ac:dyDescent="0.2">
      <c r="CR177" s="154"/>
    </row>
    <row r="178" spans="96:96" ht="14.25" customHeight="1" x14ac:dyDescent="0.2">
      <c r="CR178" s="154"/>
    </row>
    <row r="179" spans="96:96" ht="14.25" customHeight="1" x14ac:dyDescent="0.2">
      <c r="CR179" s="154"/>
    </row>
    <row r="180" spans="96:96" ht="14.25" customHeight="1" x14ac:dyDescent="0.2">
      <c r="CR180" s="154"/>
    </row>
    <row r="181" spans="96:96" ht="14.25" customHeight="1" x14ac:dyDescent="0.2">
      <c r="CR181" s="154"/>
    </row>
    <row r="182" spans="96:96" ht="14.25" customHeight="1" x14ac:dyDescent="0.2">
      <c r="CR182" s="154"/>
    </row>
    <row r="183" spans="96:96" ht="14.25" customHeight="1" x14ac:dyDescent="0.2">
      <c r="CR183" s="154"/>
    </row>
    <row r="184" spans="96:96" ht="14.25" customHeight="1" x14ac:dyDescent="0.2">
      <c r="CR184" s="154"/>
    </row>
    <row r="185" spans="96:96" ht="14.25" customHeight="1" x14ac:dyDescent="0.2">
      <c r="CR185" s="154"/>
    </row>
    <row r="186" spans="96:96" ht="14.25" customHeight="1" x14ac:dyDescent="0.2">
      <c r="CR186" s="154"/>
    </row>
    <row r="187" spans="96:96" ht="14.25" customHeight="1" x14ac:dyDescent="0.2">
      <c r="CR187" s="154"/>
    </row>
    <row r="188" spans="96:96" ht="14.25" customHeight="1" x14ac:dyDescent="0.2">
      <c r="CR188" s="154"/>
    </row>
    <row r="189" spans="96:96" ht="14.25" customHeight="1" x14ac:dyDescent="0.2">
      <c r="CR189" s="154"/>
    </row>
    <row r="190" spans="96:96" ht="14.25" customHeight="1" x14ac:dyDescent="0.2">
      <c r="CR190" s="154"/>
    </row>
    <row r="191" spans="96:96" ht="14.25" customHeight="1" x14ac:dyDescent="0.2">
      <c r="CR191" s="154"/>
    </row>
    <row r="192" spans="96:96" ht="14.25" customHeight="1" x14ac:dyDescent="0.2">
      <c r="CR192" s="154"/>
    </row>
    <row r="193" spans="96:96" ht="14.25" customHeight="1" x14ac:dyDescent="0.2">
      <c r="CR193" s="154"/>
    </row>
    <row r="194" spans="96:96" ht="14.25" customHeight="1" x14ac:dyDescent="0.2">
      <c r="CR194" s="154"/>
    </row>
    <row r="195" spans="96:96" ht="14.25" customHeight="1" x14ac:dyDescent="0.2">
      <c r="CR195" s="154"/>
    </row>
    <row r="196" spans="96:96" ht="14.25" customHeight="1" x14ac:dyDescent="0.2">
      <c r="CR196" s="154"/>
    </row>
    <row r="197" spans="96:96" ht="14.25" customHeight="1" x14ac:dyDescent="0.2">
      <c r="CR197" s="154"/>
    </row>
    <row r="198" spans="96:96" ht="14.25" customHeight="1" x14ac:dyDescent="0.2">
      <c r="CR198" s="154"/>
    </row>
    <row r="199" spans="96:96" ht="14.25" customHeight="1" x14ac:dyDescent="0.2">
      <c r="CR199" s="154"/>
    </row>
    <row r="200" spans="96:96" ht="14.25" customHeight="1" x14ac:dyDescent="0.2">
      <c r="CR200" s="154"/>
    </row>
    <row r="201" spans="96:96" ht="14.25" customHeight="1" x14ac:dyDescent="0.2">
      <c r="CR201" s="154"/>
    </row>
    <row r="202" spans="96:96" ht="14.25" customHeight="1" x14ac:dyDescent="0.2">
      <c r="CR202" s="154"/>
    </row>
    <row r="203" spans="96:96" ht="14.25" customHeight="1" x14ac:dyDescent="0.2">
      <c r="CR203" s="154"/>
    </row>
    <row r="204" spans="96:96" ht="14.25" customHeight="1" x14ac:dyDescent="0.2">
      <c r="CR204" s="154"/>
    </row>
    <row r="205" spans="96:96" ht="14.25" customHeight="1" x14ac:dyDescent="0.2">
      <c r="CR205" s="154"/>
    </row>
    <row r="206" spans="96:96" ht="14.25" customHeight="1" x14ac:dyDescent="0.2">
      <c r="CR206" s="154"/>
    </row>
    <row r="207" spans="96:96" ht="14.25" customHeight="1" x14ac:dyDescent="0.2">
      <c r="CR207" s="154"/>
    </row>
    <row r="208" spans="96:96" ht="14.25" customHeight="1" x14ac:dyDescent="0.2">
      <c r="CR208" s="154"/>
    </row>
    <row r="209" spans="96:96" ht="14.25" customHeight="1" x14ac:dyDescent="0.2">
      <c r="CR209" s="154"/>
    </row>
    <row r="210" spans="96:96" ht="14.25" customHeight="1" x14ac:dyDescent="0.2">
      <c r="CR210" s="154"/>
    </row>
    <row r="211" spans="96:96" ht="14.25" customHeight="1" x14ac:dyDescent="0.2">
      <c r="CR211" s="154"/>
    </row>
    <row r="212" spans="96:96" ht="14.25" customHeight="1" x14ac:dyDescent="0.2">
      <c r="CR212" s="154"/>
    </row>
    <row r="213" spans="96:96" ht="14.25" customHeight="1" x14ac:dyDescent="0.2">
      <c r="CR213" s="154"/>
    </row>
    <row r="214" spans="96:96" ht="14.25" customHeight="1" x14ac:dyDescent="0.2">
      <c r="CR214" s="154"/>
    </row>
    <row r="215" spans="96:96" ht="14.25" customHeight="1" x14ac:dyDescent="0.2">
      <c r="CR215" s="154"/>
    </row>
    <row r="216" spans="96:96" ht="14.25" customHeight="1" x14ac:dyDescent="0.2">
      <c r="CR216" s="154"/>
    </row>
    <row r="217" spans="96:96" ht="14.25" customHeight="1" x14ac:dyDescent="0.2">
      <c r="CR217" s="154"/>
    </row>
    <row r="218" spans="96:96" ht="14.25" customHeight="1" x14ac:dyDescent="0.2">
      <c r="CR218" s="154"/>
    </row>
    <row r="219" spans="96:96" ht="14.25" customHeight="1" x14ac:dyDescent="0.2">
      <c r="CR219" s="154"/>
    </row>
    <row r="220" spans="96:96" ht="14.25" customHeight="1" x14ac:dyDescent="0.2">
      <c r="CR220" s="154"/>
    </row>
    <row r="221" spans="96:96" ht="14.25" customHeight="1" x14ac:dyDescent="0.2">
      <c r="CR221" s="154"/>
    </row>
    <row r="222" spans="96:96" ht="14.25" customHeight="1" x14ac:dyDescent="0.2">
      <c r="CR222" s="154"/>
    </row>
    <row r="223" spans="96:96" ht="14.25" customHeight="1" x14ac:dyDescent="0.2">
      <c r="CR223" s="154"/>
    </row>
    <row r="224" spans="96:96" ht="14.25" customHeight="1" x14ac:dyDescent="0.2">
      <c r="CR224" s="154"/>
    </row>
    <row r="225" spans="96:96" ht="14.25" customHeight="1" x14ac:dyDescent="0.2">
      <c r="CR225" s="154"/>
    </row>
    <row r="226" spans="96:96" ht="14.25" customHeight="1" x14ac:dyDescent="0.2">
      <c r="CR226" s="154"/>
    </row>
    <row r="227" spans="96:96" ht="14.25" customHeight="1" x14ac:dyDescent="0.2">
      <c r="CR227" s="154"/>
    </row>
    <row r="228" spans="96:96" ht="14.25" customHeight="1" x14ac:dyDescent="0.2">
      <c r="CR228" s="154"/>
    </row>
    <row r="229" spans="96:96" ht="14.25" customHeight="1" x14ac:dyDescent="0.2">
      <c r="CR229" s="154"/>
    </row>
    <row r="230" spans="96:96" ht="14.25" customHeight="1" x14ac:dyDescent="0.2">
      <c r="CR230" s="154"/>
    </row>
    <row r="231" spans="96:96" ht="14.25" customHeight="1" x14ac:dyDescent="0.2">
      <c r="CR231" s="154"/>
    </row>
    <row r="232" spans="96:96" ht="14.25" customHeight="1" x14ac:dyDescent="0.2">
      <c r="CR232" s="154"/>
    </row>
    <row r="233" spans="96:96" ht="14.25" customHeight="1" x14ac:dyDescent="0.2">
      <c r="CR233" s="154"/>
    </row>
    <row r="234" spans="96:96" ht="14.25" customHeight="1" x14ac:dyDescent="0.2">
      <c r="CR234" s="154"/>
    </row>
    <row r="235" spans="96:96" ht="14.25" customHeight="1" x14ac:dyDescent="0.2">
      <c r="CR235" s="154"/>
    </row>
    <row r="236" spans="96:96" ht="14.25" customHeight="1" x14ac:dyDescent="0.2">
      <c r="CR236" s="154"/>
    </row>
    <row r="237" spans="96:96" ht="14.25" customHeight="1" x14ac:dyDescent="0.2">
      <c r="CR237" s="154"/>
    </row>
    <row r="238" spans="96:96" ht="14.25" customHeight="1" x14ac:dyDescent="0.2">
      <c r="CR238" s="154"/>
    </row>
    <row r="239" spans="96:96" ht="14.25" customHeight="1" x14ac:dyDescent="0.2">
      <c r="CR239" s="154"/>
    </row>
    <row r="240" spans="96:96" ht="14.25" customHeight="1" x14ac:dyDescent="0.2">
      <c r="CR240" s="154"/>
    </row>
    <row r="241" spans="96:96" ht="14.25" customHeight="1" x14ac:dyDescent="0.2">
      <c r="CR241" s="154"/>
    </row>
    <row r="242" spans="96:96" ht="14.25" customHeight="1" x14ac:dyDescent="0.2">
      <c r="CR242" s="154"/>
    </row>
    <row r="243" spans="96:96" ht="14.25" customHeight="1" x14ac:dyDescent="0.2">
      <c r="CR243" s="154"/>
    </row>
    <row r="244" spans="96:96" ht="14.25" customHeight="1" x14ac:dyDescent="0.2">
      <c r="CR244" s="154"/>
    </row>
    <row r="245" spans="96:96" ht="14.25" customHeight="1" x14ac:dyDescent="0.2">
      <c r="CR245" s="154"/>
    </row>
    <row r="246" spans="96:96" ht="14.25" customHeight="1" x14ac:dyDescent="0.2">
      <c r="CR246" s="154"/>
    </row>
    <row r="247" spans="96:96" ht="14.25" customHeight="1" x14ac:dyDescent="0.2">
      <c r="CR247" s="154"/>
    </row>
    <row r="248" spans="96:96" ht="14.25" customHeight="1" x14ac:dyDescent="0.2">
      <c r="CR248" s="154"/>
    </row>
    <row r="249" spans="96:96" ht="14.25" customHeight="1" x14ac:dyDescent="0.2">
      <c r="CR249" s="154"/>
    </row>
    <row r="250" spans="96:96" ht="14.25" customHeight="1" x14ac:dyDescent="0.2">
      <c r="CR250" s="154"/>
    </row>
    <row r="251" spans="96:96" ht="14.25" customHeight="1" x14ac:dyDescent="0.2">
      <c r="CR251" s="154"/>
    </row>
    <row r="252" spans="96:96" ht="14.25" customHeight="1" x14ac:dyDescent="0.2">
      <c r="CR252" s="154"/>
    </row>
    <row r="253" spans="96:96" ht="14.25" customHeight="1" x14ac:dyDescent="0.2">
      <c r="CR253" s="154"/>
    </row>
    <row r="254" spans="96:96" ht="14.25" customHeight="1" x14ac:dyDescent="0.2">
      <c r="CR254" s="154"/>
    </row>
    <row r="255" spans="96:96" ht="14.25" customHeight="1" x14ac:dyDescent="0.2">
      <c r="CR255" s="154"/>
    </row>
    <row r="256" spans="96:96" ht="14.25" customHeight="1" x14ac:dyDescent="0.2">
      <c r="CR256" s="154"/>
    </row>
    <row r="257" spans="96:96" ht="14.25" customHeight="1" x14ac:dyDescent="0.2">
      <c r="CR257" s="154"/>
    </row>
    <row r="258" spans="96:96" ht="14.25" customHeight="1" x14ac:dyDescent="0.2">
      <c r="CR258" s="154"/>
    </row>
    <row r="259" spans="96:96" ht="14.25" customHeight="1" x14ac:dyDescent="0.2">
      <c r="CR259" s="154"/>
    </row>
    <row r="260" spans="96:96" ht="14.25" customHeight="1" x14ac:dyDescent="0.2">
      <c r="CR260" s="154"/>
    </row>
    <row r="261" spans="96:96" ht="14.25" customHeight="1" x14ac:dyDescent="0.2">
      <c r="CR261" s="154"/>
    </row>
    <row r="262" spans="96:96" ht="14.25" customHeight="1" x14ac:dyDescent="0.2">
      <c r="CR262" s="154"/>
    </row>
    <row r="263" spans="96:96" ht="14.25" customHeight="1" x14ac:dyDescent="0.2">
      <c r="CR263" s="154"/>
    </row>
    <row r="264" spans="96:96" ht="14.25" customHeight="1" x14ac:dyDescent="0.2">
      <c r="CR264" s="154"/>
    </row>
    <row r="265" spans="96:96" ht="14.25" customHeight="1" x14ac:dyDescent="0.2">
      <c r="CR265" s="154"/>
    </row>
    <row r="266" spans="96:96" ht="14.25" customHeight="1" x14ac:dyDescent="0.2">
      <c r="CR266" s="154"/>
    </row>
    <row r="267" spans="96:96" ht="14.25" customHeight="1" x14ac:dyDescent="0.2">
      <c r="CR267" s="154"/>
    </row>
    <row r="268" spans="96:96" ht="14.25" customHeight="1" x14ac:dyDescent="0.2">
      <c r="CR268" s="154"/>
    </row>
    <row r="269" spans="96:96" ht="14.25" customHeight="1" x14ac:dyDescent="0.2">
      <c r="CR269" s="154"/>
    </row>
    <row r="270" spans="96:96" ht="14.25" customHeight="1" x14ac:dyDescent="0.2">
      <c r="CR270" s="154"/>
    </row>
    <row r="271" spans="96:96" ht="14.25" customHeight="1" x14ac:dyDescent="0.2">
      <c r="CR271" s="154"/>
    </row>
    <row r="272" spans="96:96" ht="14.25" customHeight="1" x14ac:dyDescent="0.2">
      <c r="CR272" s="154"/>
    </row>
    <row r="273" spans="96:96" ht="14.25" customHeight="1" x14ac:dyDescent="0.2">
      <c r="CR273" s="154"/>
    </row>
    <row r="274" spans="96:96" ht="14.25" customHeight="1" x14ac:dyDescent="0.2">
      <c r="CR274" s="154"/>
    </row>
    <row r="275" spans="96:96" ht="14.25" customHeight="1" x14ac:dyDescent="0.2">
      <c r="CR275" s="154"/>
    </row>
    <row r="276" spans="96:96" ht="14.25" customHeight="1" x14ac:dyDescent="0.2">
      <c r="CR276" s="154"/>
    </row>
    <row r="277" spans="96:96" ht="14.25" customHeight="1" x14ac:dyDescent="0.2">
      <c r="CR277" s="154"/>
    </row>
    <row r="278" spans="96:96" ht="14.25" customHeight="1" x14ac:dyDescent="0.2">
      <c r="CR278" s="154"/>
    </row>
    <row r="279" spans="96:96" ht="14.25" customHeight="1" x14ac:dyDescent="0.2">
      <c r="CR279" s="154"/>
    </row>
    <row r="280" spans="96:96" ht="14.25" customHeight="1" x14ac:dyDescent="0.2">
      <c r="CR280" s="154"/>
    </row>
    <row r="281" spans="96:96" ht="14.25" customHeight="1" x14ac:dyDescent="0.2">
      <c r="CR281" s="154"/>
    </row>
    <row r="282" spans="96:96" ht="14.25" customHeight="1" x14ac:dyDescent="0.2">
      <c r="CR282" s="154"/>
    </row>
    <row r="283" spans="96:96" ht="14.25" customHeight="1" x14ac:dyDescent="0.2">
      <c r="CR283" s="154"/>
    </row>
    <row r="284" spans="96:96" ht="14.25" customHeight="1" x14ac:dyDescent="0.2">
      <c r="CR284" s="154"/>
    </row>
    <row r="285" spans="96:96" ht="14.25" customHeight="1" x14ac:dyDescent="0.2">
      <c r="CR285" s="154"/>
    </row>
    <row r="286" spans="96:96" ht="14.25" customHeight="1" x14ac:dyDescent="0.2">
      <c r="CR286" s="154"/>
    </row>
    <row r="287" spans="96:96" ht="14.25" customHeight="1" x14ac:dyDescent="0.2">
      <c r="CR287" s="154"/>
    </row>
    <row r="288" spans="96:96" ht="14.25" customHeight="1" x14ac:dyDescent="0.2">
      <c r="CR288" s="154"/>
    </row>
    <row r="289" spans="96:96" ht="14.25" customHeight="1" x14ac:dyDescent="0.2">
      <c r="CR289" s="154"/>
    </row>
    <row r="290" spans="96:96" ht="14.25" customHeight="1" x14ac:dyDescent="0.2">
      <c r="CR290" s="154"/>
    </row>
    <row r="291" spans="96:96" ht="14.25" customHeight="1" x14ac:dyDescent="0.2">
      <c r="CR291" s="154"/>
    </row>
    <row r="292" spans="96:96" ht="14.25" customHeight="1" x14ac:dyDescent="0.2">
      <c r="CR292" s="154"/>
    </row>
    <row r="293" spans="96:96" ht="14.25" customHeight="1" x14ac:dyDescent="0.2">
      <c r="CR293" s="154"/>
    </row>
    <row r="294" spans="96:96" ht="14.25" customHeight="1" x14ac:dyDescent="0.2">
      <c r="CR294" s="154"/>
    </row>
    <row r="295" spans="96:96" ht="14.25" customHeight="1" x14ac:dyDescent="0.2">
      <c r="CR295" s="154"/>
    </row>
    <row r="296" spans="96:96" ht="14.25" customHeight="1" x14ac:dyDescent="0.2">
      <c r="CR296" s="154"/>
    </row>
    <row r="297" spans="96:96" ht="14.25" customHeight="1" x14ac:dyDescent="0.2">
      <c r="CR297" s="154"/>
    </row>
    <row r="298" spans="96:96" ht="14.25" customHeight="1" x14ac:dyDescent="0.2">
      <c r="CR298" s="154"/>
    </row>
    <row r="299" spans="96:96" ht="14.25" customHeight="1" x14ac:dyDescent="0.2">
      <c r="CR299" s="154"/>
    </row>
    <row r="300" spans="96:96" ht="14.25" customHeight="1" x14ac:dyDescent="0.2">
      <c r="CR300" s="154"/>
    </row>
    <row r="301" spans="96:96" ht="14.25" customHeight="1" x14ac:dyDescent="0.2">
      <c r="CR301" s="154"/>
    </row>
    <row r="302" spans="96:96" ht="14.25" customHeight="1" x14ac:dyDescent="0.2">
      <c r="CR302" s="154"/>
    </row>
    <row r="303" spans="96:96" ht="14.25" customHeight="1" x14ac:dyDescent="0.2">
      <c r="CR303" s="154"/>
    </row>
    <row r="304" spans="96:96" ht="14.25" customHeight="1" x14ac:dyDescent="0.2">
      <c r="CR304" s="154"/>
    </row>
    <row r="305" spans="96:96" ht="14.25" customHeight="1" x14ac:dyDescent="0.2">
      <c r="CR305" s="154"/>
    </row>
    <row r="306" spans="96:96" ht="14.25" customHeight="1" x14ac:dyDescent="0.2">
      <c r="CR306" s="154"/>
    </row>
    <row r="307" spans="96:96" ht="14.25" customHeight="1" x14ac:dyDescent="0.2">
      <c r="CR307" s="154"/>
    </row>
    <row r="308" spans="96:96" ht="14.25" customHeight="1" x14ac:dyDescent="0.2">
      <c r="CR308" s="154"/>
    </row>
    <row r="309" spans="96:96" ht="14.25" customHeight="1" x14ac:dyDescent="0.2">
      <c r="CR309" s="154"/>
    </row>
    <row r="310" spans="96:96" ht="14.25" customHeight="1" x14ac:dyDescent="0.2">
      <c r="CR310" s="154"/>
    </row>
    <row r="311" spans="96:96" ht="14.25" customHeight="1" x14ac:dyDescent="0.2">
      <c r="CR311" s="154"/>
    </row>
    <row r="312" spans="96:96" ht="14.25" customHeight="1" x14ac:dyDescent="0.2">
      <c r="CR312" s="154"/>
    </row>
    <row r="313" spans="96:96" ht="14.25" customHeight="1" x14ac:dyDescent="0.2">
      <c r="CR313" s="154"/>
    </row>
    <row r="314" spans="96:96" ht="14.25" customHeight="1" x14ac:dyDescent="0.2">
      <c r="CR314" s="154"/>
    </row>
    <row r="315" spans="96:96" ht="14.25" customHeight="1" x14ac:dyDescent="0.2">
      <c r="CR315" s="154"/>
    </row>
    <row r="316" spans="96:96" ht="14.25" customHeight="1" x14ac:dyDescent="0.2">
      <c r="CR316" s="154"/>
    </row>
    <row r="317" spans="96:96" ht="14.25" customHeight="1" x14ac:dyDescent="0.2">
      <c r="CR317" s="154"/>
    </row>
    <row r="318" spans="96:96" ht="14.25" customHeight="1" x14ac:dyDescent="0.2">
      <c r="CR318" s="154"/>
    </row>
    <row r="319" spans="96:96" ht="14.25" customHeight="1" x14ac:dyDescent="0.2">
      <c r="CR319" s="154"/>
    </row>
    <row r="320" spans="96:96" ht="14.25" customHeight="1" x14ac:dyDescent="0.2">
      <c r="CR320" s="154"/>
    </row>
    <row r="321" spans="96:96" ht="14.25" customHeight="1" x14ac:dyDescent="0.2">
      <c r="CR321" s="154"/>
    </row>
    <row r="322" spans="96:96" ht="14.25" customHeight="1" x14ac:dyDescent="0.2">
      <c r="CR322" s="154"/>
    </row>
    <row r="323" spans="96:96" ht="14.25" customHeight="1" x14ac:dyDescent="0.2">
      <c r="CR323" s="154"/>
    </row>
    <row r="324" spans="96:96" ht="14.25" customHeight="1" x14ac:dyDescent="0.2">
      <c r="CR324" s="154"/>
    </row>
    <row r="325" spans="96:96" ht="14.25" customHeight="1" x14ac:dyDescent="0.2">
      <c r="CR325" s="154"/>
    </row>
    <row r="326" spans="96:96" ht="14.25" customHeight="1" x14ac:dyDescent="0.2">
      <c r="CR326" s="154"/>
    </row>
    <row r="327" spans="96:96" ht="14.25" customHeight="1" x14ac:dyDescent="0.2">
      <c r="CR327" s="154"/>
    </row>
    <row r="328" spans="96:96" ht="14.25" customHeight="1" x14ac:dyDescent="0.2">
      <c r="CR328" s="154"/>
    </row>
    <row r="329" spans="96:96" ht="14.25" customHeight="1" x14ac:dyDescent="0.2">
      <c r="CR329" s="154"/>
    </row>
    <row r="330" spans="96:96" ht="14.25" customHeight="1" x14ac:dyDescent="0.2">
      <c r="CR330" s="154"/>
    </row>
    <row r="331" spans="96:96" ht="14.25" customHeight="1" x14ac:dyDescent="0.2">
      <c r="CR331" s="154"/>
    </row>
    <row r="332" spans="96:96" ht="14.25" customHeight="1" x14ac:dyDescent="0.2">
      <c r="CR332" s="154"/>
    </row>
    <row r="333" spans="96:96" ht="14.25" customHeight="1" x14ac:dyDescent="0.2">
      <c r="CR333" s="154"/>
    </row>
    <row r="334" spans="96:96" ht="14.25" customHeight="1" x14ac:dyDescent="0.2">
      <c r="CR334" s="154"/>
    </row>
    <row r="335" spans="96:96" ht="14.25" customHeight="1" x14ac:dyDescent="0.2">
      <c r="CR335" s="154"/>
    </row>
    <row r="336" spans="96:96" ht="14.25" customHeight="1" x14ac:dyDescent="0.2">
      <c r="CR336" s="154"/>
    </row>
    <row r="337" spans="96:96" ht="14.25" customHeight="1" x14ac:dyDescent="0.2">
      <c r="CR337" s="154"/>
    </row>
    <row r="338" spans="96:96" ht="14.25" customHeight="1" x14ac:dyDescent="0.2">
      <c r="CR338" s="154"/>
    </row>
    <row r="339" spans="96:96" ht="14.25" customHeight="1" x14ac:dyDescent="0.2">
      <c r="CR339" s="154"/>
    </row>
    <row r="340" spans="96:96" ht="14.25" customHeight="1" x14ac:dyDescent="0.2">
      <c r="CR340" s="154"/>
    </row>
    <row r="341" spans="96:96" ht="14.25" customHeight="1" x14ac:dyDescent="0.2">
      <c r="CR341" s="154"/>
    </row>
    <row r="342" spans="96:96" ht="14.25" customHeight="1" x14ac:dyDescent="0.2">
      <c r="CR342" s="154"/>
    </row>
    <row r="343" spans="96:96" ht="14.25" customHeight="1" x14ac:dyDescent="0.2">
      <c r="CR343" s="154"/>
    </row>
    <row r="344" spans="96:96" ht="14.25" customHeight="1" x14ac:dyDescent="0.2">
      <c r="CR344" s="154"/>
    </row>
    <row r="345" spans="96:96" ht="14.25" customHeight="1" x14ac:dyDescent="0.2">
      <c r="CR345" s="154"/>
    </row>
    <row r="346" spans="96:96" ht="14.25" customHeight="1" x14ac:dyDescent="0.2">
      <c r="CR346" s="154"/>
    </row>
    <row r="347" spans="96:96" ht="14.25" customHeight="1" x14ac:dyDescent="0.2">
      <c r="CR347" s="154"/>
    </row>
    <row r="348" spans="96:96" ht="14.25" customHeight="1" x14ac:dyDescent="0.2">
      <c r="CR348" s="154"/>
    </row>
    <row r="349" spans="96:96" ht="14.25" customHeight="1" x14ac:dyDescent="0.2">
      <c r="CR349" s="154"/>
    </row>
    <row r="350" spans="96:96" ht="14.25" customHeight="1" x14ac:dyDescent="0.2">
      <c r="CR350" s="154"/>
    </row>
    <row r="351" spans="96:96" ht="14.25" customHeight="1" x14ac:dyDescent="0.2">
      <c r="CR351" s="154"/>
    </row>
    <row r="352" spans="96:96" ht="14.25" customHeight="1" x14ac:dyDescent="0.2">
      <c r="CR352" s="154"/>
    </row>
    <row r="353" spans="96:96" ht="14.25" customHeight="1" x14ac:dyDescent="0.2">
      <c r="CR353" s="154"/>
    </row>
    <row r="354" spans="96:96" ht="14.25" customHeight="1" x14ac:dyDescent="0.2">
      <c r="CR354" s="154"/>
    </row>
    <row r="355" spans="96:96" ht="14.25" customHeight="1" x14ac:dyDescent="0.2">
      <c r="CR355" s="154"/>
    </row>
    <row r="356" spans="96:96" ht="14.25" customHeight="1" x14ac:dyDescent="0.2">
      <c r="CR356" s="154"/>
    </row>
    <row r="357" spans="96:96" ht="14.25" customHeight="1" x14ac:dyDescent="0.2">
      <c r="CR357" s="154"/>
    </row>
    <row r="358" spans="96:96" ht="14.25" customHeight="1" x14ac:dyDescent="0.2">
      <c r="CR358" s="154"/>
    </row>
    <row r="359" spans="96:96" ht="14.25" customHeight="1" x14ac:dyDescent="0.2">
      <c r="CR359" s="154"/>
    </row>
    <row r="360" spans="96:96" ht="14.25" customHeight="1" x14ac:dyDescent="0.2">
      <c r="CR360" s="154"/>
    </row>
    <row r="361" spans="96:96" ht="14.25" customHeight="1" x14ac:dyDescent="0.2">
      <c r="CR361" s="154"/>
    </row>
    <row r="362" spans="96:96" ht="14.25" customHeight="1" x14ac:dyDescent="0.2">
      <c r="CR362" s="154"/>
    </row>
    <row r="363" spans="96:96" ht="14.25" customHeight="1" x14ac:dyDescent="0.2">
      <c r="CR363" s="154"/>
    </row>
    <row r="364" spans="96:96" ht="14.25" customHeight="1" x14ac:dyDescent="0.2">
      <c r="CR364" s="154"/>
    </row>
    <row r="365" spans="96:96" ht="14.25" customHeight="1" x14ac:dyDescent="0.2">
      <c r="CR365" s="154"/>
    </row>
    <row r="366" spans="96:96" ht="14.25" customHeight="1" x14ac:dyDescent="0.2">
      <c r="CR366" s="154"/>
    </row>
    <row r="367" spans="96:96" ht="14.25" customHeight="1" x14ac:dyDescent="0.2">
      <c r="CR367" s="154"/>
    </row>
    <row r="368" spans="96:96" ht="14.25" customHeight="1" x14ac:dyDescent="0.2">
      <c r="CR368" s="154"/>
    </row>
    <row r="369" spans="96:96" ht="14.25" customHeight="1" x14ac:dyDescent="0.2">
      <c r="CR369" s="154"/>
    </row>
    <row r="370" spans="96:96" ht="14.25" customHeight="1" x14ac:dyDescent="0.2">
      <c r="CR370" s="154"/>
    </row>
    <row r="371" spans="96:96" ht="14.25" customHeight="1" x14ac:dyDescent="0.2">
      <c r="CR371" s="154"/>
    </row>
    <row r="372" spans="96:96" ht="14.25" customHeight="1" x14ac:dyDescent="0.2">
      <c r="CR372" s="154"/>
    </row>
    <row r="373" spans="96:96" ht="14.25" customHeight="1" x14ac:dyDescent="0.2">
      <c r="CR373" s="154"/>
    </row>
    <row r="374" spans="96:96" ht="14.25" customHeight="1" x14ac:dyDescent="0.2">
      <c r="CR374" s="154"/>
    </row>
    <row r="375" spans="96:96" ht="14.25" customHeight="1" x14ac:dyDescent="0.2">
      <c r="CR375" s="154"/>
    </row>
    <row r="376" spans="96:96" ht="14.25" customHeight="1" x14ac:dyDescent="0.2">
      <c r="CR376" s="154"/>
    </row>
    <row r="377" spans="96:96" ht="14.25" customHeight="1" x14ac:dyDescent="0.2">
      <c r="CR377" s="154"/>
    </row>
    <row r="378" spans="96:96" ht="14.25" customHeight="1" x14ac:dyDescent="0.2">
      <c r="CR378" s="154"/>
    </row>
    <row r="379" spans="96:96" ht="14.25" customHeight="1" x14ac:dyDescent="0.2">
      <c r="CR379" s="154"/>
    </row>
    <row r="380" spans="96:96" ht="14.25" customHeight="1" x14ac:dyDescent="0.2">
      <c r="CR380" s="154"/>
    </row>
    <row r="381" spans="96:96" ht="14.25" customHeight="1" x14ac:dyDescent="0.2">
      <c r="CR381" s="154"/>
    </row>
    <row r="382" spans="96:96" ht="14.25" customHeight="1" x14ac:dyDescent="0.2">
      <c r="CR382" s="154"/>
    </row>
    <row r="383" spans="96:96" ht="14.25" customHeight="1" x14ac:dyDescent="0.2">
      <c r="CR383" s="154"/>
    </row>
    <row r="384" spans="96:96" ht="14.25" customHeight="1" x14ac:dyDescent="0.2">
      <c r="CR384" s="154"/>
    </row>
    <row r="385" spans="96:96" ht="14.25" customHeight="1" x14ac:dyDescent="0.2">
      <c r="CR385" s="154"/>
    </row>
    <row r="386" spans="96:96" ht="14.25" customHeight="1" x14ac:dyDescent="0.2">
      <c r="CR386" s="154"/>
    </row>
    <row r="387" spans="96:96" ht="14.25" customHeight="1" x14ac:dyDescent="0.2">
      <c r="CR387" s="154"/>
    </row>
    <row r="388" spans="96:96" ht="14.25" customHeight="1" x14ac:dyDescent="0.2">
      <c r="CR388" s="154"/>
    </row>
    <row r="389" spans="96:96" ht="14.25" customHeight="1" x14ac:dyDescent="0.2">
      <c r="CR389" s="154"/>
    </row>
    <row r="390" spans="96:96" ht="14.25" customHeight="1" x14ac:dyDescent="0.2">
      <c r="CR390" s="154"/>
    </row>
    <row r="391" spans="96:96" ht="14.25" customHeight="1" x14ac:dyDescent="0.2">
      <c r="CR391" s="154"/>
    </row>
    <row r="392" spans="96:96" ht="14.25" customHeight="1" x14ac:dyDescent="0.2">
      <c r="CR392" s="154"/>
    </row>
    <row r="393" spans="96:96" ht="14.25" customHeight="1" x14ac:dyDescent="0.2">
      <c r="CR393" s="154"/>
    </row>
    <row r="394" spans="96:96" ht="14.25" customHeight="1" x14ac:dyDescent="0.2">
      <c r="CR394" s="154"/>
    </row>
    <row r="395" spans="96:96" ht="14.25" customHeight="1" x14ac:dyDescent="0.2">
      <c r="CR395" s="154"/>
    </row>
    <row r="396" spans="96:96" ht="14.25" customHeight="1" x14ac:dyDescent="0.2">
      <c r="CR396" s="154"/>
    </row>
    <row r="397" spans="96:96" ht="14.25" customHeight="1" x14ac:dyDescent="0.2">
      <c r="CR397" s="154"/>
    </row>
    <row r="398" spans="96:96" ht="14.25" customHeight="1" x14ac:dyDescent="0.2">
      <c r="CR398" s="154"/>
    </row>
    <row r="399" spans="96:96" ht="14.25" customHeight="1" x14ac:dyDescent="0.2">
      <c r="CR399" s="154"/>
    </row>
    <row r="400" spans="96:96" ht="14.25" customHeight="1" x14ac:dyDescent="0.2">
      <c r="CR400" s="154"/>
    </row>
    <row r="401" spans="96:96" ht="14.25" customHeight="1" x14ac:dyDescent="0.2">
      <c r="CR401" s="154"/>
    </row>
    <row r="402" spans="96:96" ht="14.25" customHeight="1" x14ac:dyDescent="0.2">
      <c r="CR402" s="154"/>
    </row>
    <row r="403" spans="96:96" ht="14.25" customHeight="1" x14ac:dyDescent="0.2">
      <c r="CR403" s="154"/>
    </row>
    <row r="404" spans="96:96" ht="14.25" customHeight="1" x14ac:dyDescent="0.2">
      <c r="CR404" s="154"/>
    </row>
    <row r="405" spans="96:96" ht="14.25" customHeight="1" x14ac:dyDescent="0.2">
      <c r="CR405" s="154"/>
    </row>
    <row r="406" spans="96:96" ht="14.25" customHeight="1" x14ac:dyDescent="0.2">
      <c r="CR406" s="154"/>
    </row>
    <row r="407" spans="96:96" ht="14.25" customHeight="1" x14ac:dyDescent="0.2">
      <c r="CR407" s="154"/>
    </row>
    <row r="408" spans="96:96" ht="14.25" customHeight="1" x14ac:dyDescent="0.2">
      <c r="CR408" s="154"/>
    </row>
    <row r="409" spans="96:96" ht="14.25" customHeight="1" x14ac:dyDescent="0.2">
      <c r="CR409" s="154"/>
    </row>
    <row r="410" spans="96:96" ht="14.25" customHeight="1" x14ac:dyDescent="0.2">
      <c r="CR410" s="154"/>
    </row>
    <row r="411" spans="96:96" ht="14.25" customHeight="1" x14ac:dyDescent="0.2">
      <c r="CR411" s="154"/>
    </row>
    <row r="412" spans="96:96" ht="14.25" customHeight="1" x14ac:dyDescent="0.2">
      <c r="CR412" s="154"/>
    </row>
    <row r="413" spans="96:96" ht="14.25" customHeight="1" x14ac:dyDescent="0.2">
      <c r="CR413" s="154"/>
    </row>
    <row r="414" spans="96:96" ht="14.25" customHeight="1" x14ac:dyDescent="0.2">
      <c r="CR414" s="154"/>
    </row>
    <row r="415" spans="96:96" ht="14.25" customHeight="1" x14ac:dyDescent="0.2">
      <c r="CR415" s="154"/>
    </row>
    <row r="416" spans="96:96" ht="14.25" customHeight="1" x14ac:dyDescent="0.2">
      <c r="CR416" s="154"/>
    </row>
    <row r="417" spans="96:96" ht="14.25" customHeight="1" x14ac:dyDescent="0.2">
      <c r="CR417" s="154"/>
    </row>
    <row r="418" spans="96:96" ht="14.25" customHeight="1" x14ac:dyDescent="0.2">
      <c r="CR418" s="154"/>
    </row>
    <row r="419" spans="96:96" ht="14.25" customHeight="1" x14ac:dyDescent="0.2">
      <c r="CR419" s="154"/>
    </row>
    <row r="420" spans="96:96" ht="14.25" customHeight="1" x14ac:dyDescent="0.2">
      <c r="CR420" s="154"/>
    </row>
    <row r="421" spans="96:96" ht="14.25" customHeight="1" x14ac:dyDescent="0.2">
      <c r="CR421" s="154"/>
    </row>
    <row r="422" spans="96:96" ht="14.25" customHeight="1" x14ac:dyDescent="0.2">
      <c r="CR422" s="154"/>
    </row>
    <row r="423" spans="96:96" ht="14.25" customHeight="1" x14ac:dyDescent="0.2">
      <c r="CR423" s="154"/>
    </row>
    <row r="424" spans="96:96" ht="14.25" customHeight="1" x14ac:dyDescent="0.2">
      <c r="CR424" s="154"/>
    </row>
    <row r="425" spans="96:96" ht="14.25" customHeight="1" x14ac:dyDescent="0.2">
      <c r="CR425" s="154"/>
    </row>
    <row r="426" spans="96:96" ht="14.25" customHeight="1" x14ac:dyDescent="0.2">
      <c r="CR426" s="154"/>
    </row>
    <row r="427" spans="96:96" ht="14.25" customHeight="1" x14ac:dyDescent="0.2">
      <c r="CR427" s="154"/>
    </row>
    <row r="428" spans="96:96" ht="14.25" customHeight="1" x14ac:dyDescent="0.2">
      <c r="CR428" s="154"/>
    </row>
    <row r="429" spans="96:96" ht="14.25" customHeight="1" x14ac:dyDescent="0.2">
      <c r="CR429" s="154"/>
    </row>
    <row r="430" spans="96:96" ht="14.25" customHeight="1" x14ac:dyDescent="0.2">
      <c r="CR430" s="154"/>
    </row>
    <row r="431" spans="96:96" ht="14.25" customHeight="1" x14ac:dyDescent="0.2">
      <c r="CR431" s="154"/>
    </row>
    <row r="432" spans="96:96" ht="14.25" customHeight="1" x14ac:dyDescent="0.2">
      <c r="CR432" s="154"/>
    </row>
    <row r="433" spans="96:96" ht="14.25" customHeight="1" x14ac:dyDescent="0.2">
      <c r="CR433" s="154"/>
    </row>
    <row r="434" spans="96:96" ht="14.25" customHeight="1" x14ac:dyDescent="0.2">
      <c r="CR434" s="154"/>
    </row>
    <row r="435" spans="96:96" ht="14.25" customHeight="1" x14ac:dyDescent="0.2">
      <c r="CR435" s="154"/>
    </row>
    <row r="436" spans="96:96" ht="14.25" customHeight="1" x14ac:dyDescent="0.2">
      <c r="CR436" s="154"/>
    </row>
    <row r="437" spans="96:96" ht="14.25" customHeight="1" x14ac:dyDescent="0.2">
      <c r="CR437" s="154"/>
    </row>
    <row r="438" spans="96:96" ht="14.25" customHeight="1" x14ac:dyDescent="0.2">
      <c r="CR438" s="154"/>
    </row>
    <row r="439" spans="96:96" ht="14.25" customHeight="1" x14ac:dyDescent="0.2">
      <c r="CR439" s="154"/>
    </row>
    <row r="440" spans="96:96" ht="14.25" customHeight="1" x14ac:dyDescent="0.2">
      <c r="CR440" s="154"/>
    </row>
    <row r="441" spans="96:96" ht="14.25" customHeight="1" x14ac:dyDescent="0.2">
      <c r="CR441" s="154"/>
    </row>
    <row r="442" spans="96:96" ht="14.25" customHeight="1" x14ac:dyDescent="0.2">
      <c r="CR442" s="154"/>
    </row>
    <row r="443" spans="96:96" ht="14.25" customHeight="1" x14ac:dyDescent="0.2">
      <c r="CR443" s="154"/>
    </row>
    <row r="444" spans="96:96" ht="14.25" customHeight="1" x14ac:dyDescent="0.2">
      <c r="CR444" s="154"/>
    </row>
    <row r="445" spans="96:96" ht="14.25" customHeight="1" x14ac:dyDescent="0.2">
      <c r="CR445" s="154"/>
    </row>
    <row r="446" spans="96:96" ht="14.25" customHeight="1" x14ac:dyDescent="0.2">
      <c r="CR446" s="154"/>
    </row>
    <row r="447" spans="96:96" ht="14.25" customHeight="1" x14ac:dyDescent="0.2">
      <c r="CR447" s="154"/>
    </row>
    <row r="448" spans="96:96" ht="14.25" customHeight="1" x14ac:dyDescent="0.2">
      <c r="CR448" s="154"/>
    </row>
    <row r="449" spans="96:96" ht="14.25" customHeight="1" x14ac:dyDescent="0.2">
      <c r="CR449" s="154"/>
    </row>
    <row r="450" spans="96:96" ht="14.25" customHeight="1" x14ac:dyDescent="0.2">
      <c r="CR450" s="154"/>
    </row>
    <row r="451" spans="96:96" ht="14.25" customHeight="1" x14ac:dyDescent="0.2">
      <c r="CR451" s="154"/>
    </row>
    <row r="452" spans="96:96" ht="14.25" customHeight="1" x14ac:dyDescent="0.2">
      <c r="CR452" s="154"/>
    </row>
    <row r="453" spans="96:96" ht="14.25" customHeight="1" x14ac:dyDescent="0.2">
      <c r="CR453" s="154"/>
    </row>
    <row r="454" spans="96:96" ht="14.25" customHeight="1" x14ac:dyDescent="0.2">
      <c r="CR454" s="154"/>
    </row>
    <row r="455" spans="96:96" ht="14.25" customHeight="1" x14ac:dyDescent="0.2">
      <c r="CR455" s="154"/>
    </row>
    <row r="456" spans="96:96" ht="14.25" customHeight="1" x14ac:dyDescent="0.2">
      <c r="CR456" s="154"/>
    </row>
    <row r="457" spans="96:96" ht="14.25" customHeight="1" x14ac:dyDescent="0.2">
      <c r="CR457" s="154"/>
    </row>
    <row r="458" spans="96:96" ht="14.25" customHeight="1" x14ac:dyDescent="0.2">
      <c r="CR458" s="154"/>
    </row>
    <row r="459" spans="96:96" ht="14.25" customHeight="1" x14ac:dyDescent="0.2">
      <c r="CR459" s="154"/>
    </row>
    <row r="460" spans="96:96" ht="14.25" customHeight="1" x14ac:dyDescent="0.2">
      <c r="CR460" s="154"/>
    </row>
    <row r="461" spans="96:96" ht="14.25" customHeight="1" x14ac:dyDescent="0.2">
      <c r="CR461" s="154"/>
    </row>
    <row r="462" spans="96:96" ht="14.25" customHeight="1" x14ac:dyDescent="0.2">
      <c r="CR462" s="154"/>
    </row>
    <row r="463" spans="96:96" ht="14.25" customHeight="1" x14ac:dyDescent="0.2">
      <c r="CR463" s="154"/>
    </row>
    <row r="464" spans="96:96" ht="14.25" customHeight="1" x14ac:dyDescent="0.2">
      <c r="CR464" s="154"/>
    </row>
    <row r="465" spans="96:96" ht="14.25" customHeight="1" x14ac:dyDescent="0.2">
      <c r="CR465" s="154"/>
    </row>
    <row r="466" spans="96:96" ht="14.25" customHeight="1" x14ac:dyDescent="0.2">
      <c r="CR466" s="154"/>
    </row>
    <row r="467" spans="96:96" ht="14.25" customHeight="1" x14ac:dyDescent="0.2">
      <c r="CR467" s="154"/>
    </row>
    <row r="468" spans="96:96" ht="14.25" customHeight="1" x14ac:dyDescent="0.2">
      <c r="CR468" s="154"/>
    </row>
    <row r="469" spans="96:96" ht="14.25" customHeight="1" x14ac:dyDescent="0.2">
      <c r="CR469" s="154"/>
    </row>
    <row r="470" spans="96:96" ht="14.25" customHeight="1" x14ac:dyDescent="0.2">
      <c r="CR470" s="154"/>
    </row>
    <row r="471" spans="96:96" ht="14.25" customHeight="1" x14ac:dyDescent="0.2">
      <c r="CR471" s="154"/>
    </row>
    <row r="472" spans="96:96" ht="14.25" customHeight="1" x14ac:dyDescent="0.2">
      <c r="CR472" s="154"/>
    </row>
    <row r="473" spans="96:96" ht="14.25" customHeight="1" x14ac:dyDescent="0.2">
      <c r="CR473" s="154"/>
    </row>
    <row r="474" spans="96:96" ht="14.25" customHeight="1" x14ac:dyDescent="0.2">
      <c r="CR474" s="154"/>
    </row>
    <row r="475" spans="96:96" ht="14.25" customHeight="1" x14ac:dyDescent="0.2">
      <c r="CR475" s="154"/>
    </row>
    <row r="476" spans="96:96" ht="14.25" customHeight="1" x14ac:dyDescent="0.2">
      <c r="CR476" s="154"/>
    </row>
    <row r="477" spans="96:96" ht="14.25" customHeight="1" x14ac:dyDescent="0.2">
      <c r="CR477" s="154"/>
    </row>
    <row r="478" spans="96:96" ht="14.25" customHeight="1" x14ac:dyDescent="0.2">
      <c r="CR478" s="154"/>
    </row>
    <row r="479" spans="96:96" ht="14.25" customHeight="1" x14ac:dyDescent="0.2">
      <c r="CR479" s="154"/>
    </row>
    <row r="480" spans="96:96" ht="14.25" customHeight="1" x14ac:dyDescent="0.2">
      <c r="CR480" s="154"/>
    </row>
    <row r="481" spans="96:96" ht="14.25" customHeight="1" x14ac:dyDescent="0.2">
      <c r="CR481" s="154"/>
    </row>
    <row r="482" spans="96:96" ht="14.25" customHeight="1" x14ac:dyDescent="0.2">
      <c r="CR482" s="154"/>
    </row>
    <row r="483" spans="96:96" ht="14.25" customHeight="1" x14ac:dyDescent="0.2">
      <c r="CR483" s="154"/>
    </row>
    <row r="484" spans="96:96" ht="14.25" customHeight="1" x14ac:dyDescent="0.2">
      <c r="CR484" s="154"/>
    </row>
    <row r="485" spans="96:96" ht="14.25" customHeight="1" x14ac:dyDescent="0.2">
      <c r="CR485" s="154"/>
    </row>
    <row r="486" spans="96:96" ht="14.25" customHeight="1" x14ac:dyDescent="0.2">
      <c r="CR486" s="154"/>
    </row>
    <row r="487" spans="96:96" ht="14.25" customHeight="1" x14ac:dyDescent="0.2">
      <c r="CR487" s="154"/>
    </row>
    <row r="488" spans="96:96" ht="14.25" customHeight="1" x14ac:dyDescent="0.2">
      <c r="CR488" s="154"/>
    </row>
    <row r="489" spans="96:96" ht="14.25" customHeight="1" x14ac:dyDescent="0.2">
      <c r="CR489" s="154"/>
    </row>
    <row r="490" spans="96:96" ht="14.25" customHeight="1" x14ac:dyDescent="0.2">
      <c r="CR490" s="154"/>
    </row>
    <row r="491" spans="96:96" ht="14.25" customHeight="1" x14ac:dyDescent="0.2">
      <c r="CR491" s="154"/>
    </row>
    <row r="492" spans="96:96" ht="14.25" customHeight="1" x14ac:dyDescent="0.2">
      <c r="CR492" s="154"/>
    </row>
    <row r="493" spans="96:96" ht="14.25" customHeight="1" x14ac:dyDescent="0.2">
      <c r="CR493" s="154"/>
    </row>
    <row r="494" spans="96:96" ht="14.25" customHeight="1" x14ac:dyDescent="0.2">
      <c r="CR494" s="154"/>
    </row>
    <row r="495" spans="96:96" ht="14.25" customHeight="1" x14ac:dyDescent="0.2">
      <c r="CR495" s="154"/>
    </row>
    <row r="496" spans="96:96" ht="14.25" customHeight="1" x14ac:dyDescent="0.2">
      <c r="CR496" s="154"/>
    </row>
    <row r="497" spans="96:96" ht="14.25" customHeight="1" x14ac:dyDescent="0.2">
      <c r="CR497" s="154"/>
    </row>
    <row r="498" spans="96:96" ht="14.25" customHeight="1" x14ac:dyDescent="0.2">
      <c r="CR498" s="154"/>
    </row>
    <row r="499" spans="96:96" ht="14.25" customHeight="1" x14ac:dyDescent="0.2">
      <c r="CR499" s="154"/>
    </row>
    <row r="500" spans="96:96" ht="14.25" customHeight="1" x14ac:dyDescent="0.2">
      <c r="CR500" s="154"/>
    </row>
    <row r="501" spans="96:96" ht="14.25" customHeight="1" x14ac:dyDescent="0.2">
      <c r="CR501" s="154"/>
    </row>
    <row r="502" spans="96:96" ht="14.25" customHeight="1" x14ac:dyDescent="0.2">
      <c r="CR502" s="154"/>
    </row>
    <row r="503" spans="96:96" ht="14.25" customHeight="1" x14ac:dyDescent="0.2">
      <c r="CR503" s="154"/>
    </row>
    <row r="504" spans="96:96" ht="14.25" customHeight="1" x14ac:dyDescent="0.2">
      <c r="CR504" s="154"/>
    </row>
    <row r="505" spans="96:96" ht="14.25" customHeight="1" x14ac:dyDescent="0.2">
      <c r="CR505" s="154"/>
    </row>
    <row r="506" spans="96:96" ht="14.25" customHeight="1" x14ac:dyDescent="0.2">
      <c r="CR506" s="154"/>
    </row>
    <row r="507" spans="96:96" ht="14.25" customHeight="1" x14ac:dyDescent="0.2">
      <c r="CR507" s="154"/>
    </row>
    <row r="508" spans="96:96" ht="14.25" customHeight="1" x14ac:dyDescent="0.2">
      <c r="CR508" s="154"/>
    </row>
    <row r="509" spans="96:96" ht="14.25" customHeight="1" x14ac:dyDescent="0.2">
      <c r="CR509" s="154"/>
    </row>
    <row r="510" spans="96:96" ht="14.25" customHeight="1" x14ac:dyDescent="0.2">
      <c r="CR510" s="154"/>
    </row>
    <row r="511" spans="96:96" ht="14.25" customHeight="1" x14ac:dyDescent="0.2">
      <c r="CR511" s="154"/>
    </row>
    <row r="512" spans="96:96" ht="14.25" customHeight="1" x14ac:dyDescent="0.2">
      <c r="CR512" s="154"/>
    </row>
    <row r="513" spans="96:96" ht="14.25" customHeight="1" x14ac:dyDescent="0.2">
      <c r="CR513" s="154"/>
    </row>
    <row r="514" spans="96:96" ht="14.25" customHeight="1" x14ac:dyDescent="0.2">
      <c r="CR514" s="154"/>
    </row>
    <row r="515" spans="96:96" ht="14.25" customHeight="1" x14ac:dyDescent="0.2">
      <c r="CR515" s="154"/>
    </row>
    <row r="516" spans="96:96" ht="14.25" customHeight="1" x14ac:dyDescent="0.2">
      <c r="CR516" s="154"/>
    </row>
    <row r="517" spans="96:96" ht="14.25" customHeight="1" x14ac:dyDescent="0.2">
      <c r="CR517" s="154"/>
    </row>
    <row r="518" spans="96:96" ht="14.25" customHeight="1" x14ac:dyDescent="0.2">
      <c r="CR518" s="154"/>
    </row>
    <row r="519" spans="96:96" ht="14.25" customHeight="1" x14ac:dyDescent="0.2">
      <c r="CR519" s="154"/>
    </row>
    <row r="520" spans="96:96" ht="14.25" customHeight="1" x14ac:dyDescent="0.2">
      <c r="CR520" s="154"/>
    </row>
    <row r="521" spans="96:96" ht="14.25" customHeight="1" x14ac:dyDescent="0.2">
      <c r="CR521" s="154"/>
    </row>
    <row r="522" spans="96:96" ht="14.25" customHeight="1" x14ac:dyDescent="0.2">
      <c r="CR522" s="154"/>
    </row>
    <row r="523" spans="96:96" ht="14.25" customHeight="1" x14ac:dyDescent="0.2">
      <c r="CR523" s="154"/>
    </row>
    <row r="524" spans="96:96" ht="14.25" customHeight="1" x14ac:dyDescent="0.2">
      <c r="CR524" s="154"/>
    </row>
    <row r="525" spans="96:96" ht="14.25" customHeight="1" x14ac:dyDescent="0.2">
      <c r="CR525" s="154"/>
    </row>
    <row r="526" spans="96:96" ht="14.25" customHeight="1" x14ac:dyDescent="0.2">
      <c r="CR526" s="154"/>
    </row>
    <row r="527" spans="96:96" ht="14.25" customHeight="1" x14ac:dyDescent="0.2">
      <c r="CR527" s="154"/>
    </row>
    <row r="528" spans="96:96" ht="14.25" customHeight="1" x14ac:dyDescent="0.2">
      <c r="CR528" s="154"/>
    </row>
    <row r="529" spans="96:96" ht="14.25" customHeight="1" x14ac:dyDescent="0.2">
      <c r="CR529" s="154"/>
    </row>
    <row r="530" spans="96:96" ht="14.25" customHeight="1" x14ac:dyDescent="0.2">
      <c r="CR530" s="154"/>
    </row>
    <row r="531" spans="96:96" ht="14.25" customHeight="1" x14ac:dyDescent="0.2">
      <c r="CR531" s="154"/>
    </row>
    <row r="532" spans="96:96" ht="14.25" customHeight="1" x14ac:dyDescent="0.2">
      <c r="CR532" s="154"/>
    </row>
    <row r="533" spans="96:96" ht="14.25" customHeight="1" x14ac:dyDescent="0.2">
      <c r="CR533" s="154"/>
    </row>
    <row r="534" spans="96:96" ht="14.25" customHeight="1" x14ac:dyDescent="0.2">
      <c r="CR534" s="154"/>
    </row>
    <row r="535" spans="96:96" ht="14.25" customHeight="1" x14ac:dyDescent="0.2">
      <c r="CR535" s="154"/>
    </row>
    <row r="536" spans="96:96" ht="14.25" customHeight="1" x14ac:dyDescent="0.2">
      <c r="CR536" s="154"/>
    </row>
    <row r="537" spans="96:96" ht="14.25" customHeight="1" x14ac:dyDescent="0.2">
      <c r="CR537" s="154"/>
    </row>
    <row r="538" spans="96:96" ht="14.25" customHeight="1" x14ac:dyDescent="0.2">
      <c r="CR538" s="154"/>
    </row>
    <row r="539" spans="96:96" ht="14.25" customHeight="1" x14ac:dyDescent="0.2">
      <c r="CR539" s="154"/>
    </row>
    <row r="540" spans="96:96" ht="14.25" customHeight="1" x14ac:dyDescent="0.2">
      <c r="CR540" s="154"/>
    </row>
    <row r="541" spans="96:96" ht="14.25" customHeight="1" x14ac:dyDescent="0.2">
      <c r="CR541" s="154"/>
    </row>
    <row r="542" spans="96:96" ht="14.25" customHeight="1" x14ac:dyDescent="0.2">
      <c r="CR542" s="154"/>
    </row>
    <row r="543" spans="96:96" ht="14.25" customHeight="1" x14ac:dyDescent="0.2">
      <c r="CR543" s="154"/>
    </row>
    <row r="544" spans="96:96" ht="14.25" customHeight="1" x14ac:dyDescent="0.2">
      <c r="CR544" s="154"/>
    </row>
    <row r="545" spans="96:96" ht="14.25" customHeight="1" x14ac:dyDescent="0.2">
      <c r="CR545" s="154"/>
    </row>
    <row r="546" spans="96:96" ht="14.25" customHeight="1" x14ac:dyDescent="0.2">
      <c r="CR546" s="154"/>
    </row>
    <row r="547" spans="96:96" ht="14.25" customHeight="1" x14ac:dyDescent="0.2">
      <c r="CR547" s="154"/>
    </row>
    <row r="548" spans="96:96" ht="14.25" customHeight="1" x14ac:dyDescent="0.2">
      <c r="CR548" s="154"/>
    </row>
    <row r="549" spans="96:96" ht="14.25" customHeight="1" x14ac:dyDescent="0.2">
      <c r="CR549" s="154"/>
    </row>
    <row r="550" spans="96:96" ht="14.25" customHeight="1" x14ac:dyDescent="0.2">
      <c r="CR550" s="154"/>
    </row>
    <row r="551" spans="96:96" ht="14.25" customHeight="1" x14ac:dyDescent="0.2">
      <c r="CR551" s="154"/>
    </row>
    <row r="552" spans="96:96" ht="14.25" customHeight="1" x14ac:dyDescent="0.2">
      <c r="CR552" s="154"/>
    </row>
    <row r="553" spans="96:96" ht="14.25" customHeight="1" x14ac:dyDescent="0.2">
      <c r="CR553" s="154"/>
    </row>
    <row r="554" spans="96:96" ht="14.25" customHeight="1" x14ac:dyDescent="0.2">
      <c r="CR554" s="154"/>
    </row>
    <row r="555" spans="96:96" ht="14.25" customHeight="1" x14ac:dyDescent="0.2">
      <c r="CR555" s="154"/>
    </row>
    <row r="556" spans="96:96" ht="14.25" customHeight="1" x14ac:dyDescent="0.2">
      <c r="CR556" s="154"/>
    </row>
    <row r="557" spans="96:96" ht="14.25" customHeight="1" x14ac:dyDescent="0.2">
      <c r="CR557" s="154"/>
    </row>
    <row r="558" spans="96:96" ht="14.25" customHeight="1" x14ac:dyDescent="0.2">
      <c r="CR558" s="154"/>
    </row>
    <row r="559" spans="96:96" ht="14.25" customHeight="1" x14ac:dyDescent="0.2">
      <c r="CR559" s="154"/>
    </row>
    <row r="560" spans="96:96" ht="14.25" customHeight="1" x14ac:dyDescent="0.2">
      <c r="CR560" s="154"/>
    </row>
    <row r="561" spans="96:96" ht="14.25" customHeight="1" x14ac:dyDescent="0.2">
      <c r="CR561" s="154"/>
    </row>
    <row r="562" spans="96:96" ht="14.25" customHeight="1" x14ac:dyDescent="0.2">
      <c r="CR562" s="154"/>
    </row>
    <row r="563" spans="96:96" ht="14.25" customHeight="1" x14ac:dyDescent="0.2">
      <c r="CR563" s="154"/>
    </row>
    <row r="564" spans="96:96" ht="14.25" customHeight="1" x14ac:dyDescent="0.2">
      <c r="CR564" s="154"/>
    </row>
    <row r="565" spans="96:96" ht="14.25" customHeight="1" x14ac:dyDescent="0.2">
      <c r="CR565" s="154"/>
    </row>
    <row r="566" spans="96:96" ht="14.25" customHeight="1" x14ac:dyDescent="0.2">
      <c r="CR566" s="154"/>
    </row>
    <row r="567" spans="96:96" ht="14.25" customHeight="1" x14ac:dyDescent="0.2">
      <c r="CR567" s="154"/>
    </row>
    <row r="568" spans="96:96" ht="14.25" customHeight="1" x14ac:dyDescent="0.2">
      <c r="CR568" s="154"/>
    </row>
    <row r="569" spans="96:96" ht="14.25" customHeight="1" x14ac:dyDescent="0.2">
      <c r="CR569" s="154"/>
    </row>
    <row r="570" spans="96:96" ht="14.25" customHeight="1" x14ac:dyDescent="0.2">
      <c r="CR570" s="154"/>
    </row>
    <row r="571" spans="96:96" ht="14.25" customHeight="1" x14ac:dyDescent="0.2">
      <c r="CR571" s="154"/>
    </row>
    <row r="572" spans="96:96" ht="14.25" customHeight="1" x14ac:dyDescent="0.2">
      <c r="CR572" s="154"/>
    </row>
    <row r="573" spans="96:96" ht="14.25" customHeight="1" x14ac:dyDescent="0.2">
      <c r="CR573" s="154"/>
    </row>
    <row r="574" spans="96:96" ht="14.25" customHeight="1" x14ac:dyDescent="0.2">
      <c r="CR574" s="154"/>
    </row>
    <row r="575" spans="96:96" ht="14.25" customHeight="1" x14ac:dyDescent="0.2">
      <c r="CR575" s="154"/>
    </row>
    <row r="576" spans="96:96" ht="14.25" customHeight="1" x14ac:dyDescent="0.2">
      <c r="CR576" s="154"/>
    </row>
    <row r="577" spans="96:96" ht="14.25" customHeight="1" x14ac:dyDescent="0.2">
      <c r="CR577" s="154"/>
    </row>
    <row r="578" spans="96:96" ht="14.25" customHeight="1" x14ac:dyDescent="0.2">
      <c r="CR578" s="154"/>
    </row>
    <row r="579" spans="96:96" ht="14.25" customHeight="1" x14ac:dyDescent="0.2">
      <c r="CR579" s="154"/>
    </row>
    <row r="580" spans="96:96" ht="14.25" customHeight="1" x14ac:dyDescent="0.2">
      <c r="CR580" s="154"/>
    </row>
    <row r="581" spans="96:96" ht="14.25" customHeight="1" x14ac:dyDescent="0.2">
      <c r="CR581" s="154"/>
    </row>
    <row r="582" spans="96:96" ht="14.25" customHeight="1" x14ac:dyDescent="0.2">
      <c r="CR582" s="154"/>
    </row>
    <row r="583" spans="96:96" ht="14.25" customHeight="1" x14ac:dyDescent="0.2">
      <c r="CR583" s="154"/>
    </row>
    <row r="584" spans="96:96" ht="14.25" customHeight="1" x14ac:dyDescent="0.2">
      <c r="CR584" s="154"/>
    </row>
    <row r="585" spans="96:96" ht="14.25" customHeight="1" x14ac:dyDescent="0.2">
      <c r="CR585" s="154"/>
    </row>
    <row r="586" spans="96:96" ht="14.25" customHeight="1" x14ac:dyDescent="0.2">
      <c r="CR586" s="154"/>
    </row>
    <row r="587" spans="96:96" ht="14.25" customHeight="1" x14ac:dyDescent="0.2">
      <c r="CR587" s="154"/>
    </row>
    <row r="588" spans="96:96" ht="14.25" customHeight="1" x14ac:dyDescent="0.2">
      <c r="CR588" s="154"/>
    </row>
    <row r="589" spans="96:96" ht="14.25" customHeight="1" x14ac:dyDescent="0.2">
      <c r="CR589" s="154"/>
    </row>
    <row r="590" spans="96:96" ht="14.25" customHeight="1" x14ac:dyDescent="0.2">
      <c r="CR590" s="154"/>
    </row>
    <row r="591" spans="96:96" ht="14.25" customHeight="1" x14ac:dyDescent="0.2">
      <c r="CR591" s="154"/>
    </row>
    <row r="592" spans="96:96" ht="14.25" customHeight="1" x14ac:dyDescent="0.2">
      <c r="CR592" s="154"/>
    </row>
    <row r="593" spans="96:96" ht="14.25" customHeight="1" x14ac:dyDescent="0.2">
      <c r="CR593" s="154"/>
    </row>
    <row r="594" spans="96:96" ht="14.25" customHeight="1" x14ac:dyDescent="0.2">
      <c r="CR594" s="154"/>
    </row>
    <row r="595" spans="96:96" ht="14.25" customHeight="1" x14ac:dyDescent="0.2">
      <c r="CR595" s="154"/>
    </row>
    <row r="596" spans="96:96" ht="14.25" customHeight="1" x14ac:dyDescent="0.2">
      <c r="CR596" s="154"/>
    </row>
    <row r="597" spans="96:96" ht="14.25" customHeight="1" x14ac:dyDescent="0.2">
      <c r="CR597" s="154"/>
    </row>
    <row r="598" spans="96:96" ht="14.25" customHeight="1" x14ac:dyDescent="0.2">
      <c r="CR598" s="154"/>
    </row>
    <row r="599" spans="96:96" ht="14.25" customHeight="1" x14ac:dyDescent="0.2">
      <c r="CR599" s="154"/>
    </row>
    <row r="600" spans="96:96" ht="14.25" customHeight="1" x14ac:dyDescent="0.2">
      <c r="CR600" s="154"/>
    </row>
    <row r="601" spans="96:96" ht="14.25" customHeight="1" x14ac:dyDescent="0.2">
      <c r="CR601" s="154"/>
    </row>
    <row r="602" spans="96:96" ht="14.25" customHeight="1" x14ac:dyDescent="0.2">
      <c r="CR602" s="154"/>
    </row>
    <row r="603" spans="96:96" ht="14.25" customHeight="1" x14ac:dyDescent="0.2">
      <c r="CR603" s="154"/>
    </row>
    <row r="604" spans="96:96" ht="14.25" customHeight="1" x14ac:dyDescent="0.2">
      <c r="CR604" s="154"/>
    </row>
    <row r="605" spans="96:96" ht="14.25" customHeight="1" x14ac:dyDescent="0.2">
      <c r="CR605" s="154"/>
    </row>
    <row r="606" spans="96:96" ht="14.25" customHeight="1" x14ac:dyDescent="0.2">
      <c r="CR606" s="154"/>
    </row>
    <row r="607" spans="96:96" ht="14.25" customHeight="1" x14ac:dyDescent="0.2">
      <c r="CR607" s="154"/>
    </row>
    <row r="608" spans="96:96" ht="14.25" customHeight="1" x14ac:dyDescent="0.2">
      <c r="CR608" s="154"/>
    </row>
    <row r="609" spans="96:96" ht="14.25" customHeight="1" x14ac:dyDescent="0.2">
      <c r="CR609" s="154"/>
    </row>
    <row r="610" spans="96:96" ht="14.25" customHeight="1" x14ac:dyDescent="0.2">
      <c r="CR610" s="154"/>
    </row>
    <row r="611" spans="96:96" ht="14.25" customHeight="1" x14ac:dyDescent="0.2">
      <c r="CR611" s="154"/>
    </row>
    <row r="612" spans="96:96" ht="14.25" customHeight="1" x14ac:dyDescent="0.2">
      <c r="CR612" s="154"/>
    </row>
    <row r="613" spans="96:96" ht="14.25" customHeight="1" x14ac:dyDescent="0.2">
      <c r="CR613" s="154"/>
    </row>
    <row r="614" spans="96:96" ht="14.25" customHeight="1" x14ac:dyDescent="0.2">
      <c r="CR614" s="154"/>
    </row>
    <row r="615" spans="96:96" ht="14.25" customHeight="1" x14ac:dyDescent="0.2">
      <c r="CR615" s="154"/>
    </row>
    <row r="616" spans="96:96" ht="14.25" customHeight="1" x14ac:dyDescent="0.2">
      <c r="CR616" s="154"/>
    </row>
    <row r="617" spans="96:96" ht="14.25" customHeight="1" x14ac:dyDescent="0.2">
      <c r="CR617" s="154"/>
    </row>
    <row r="618" spans="96:96" ht="14.25" customHeight="1" x14ac:dyDescent="0.2">
      <c r="CR618" s="154"/>
    </row>
    <row r="619" spans="96:96" ht="14.25" customHeight="1" x14ac:dyDescent="0.2">
      <c r="CR619" s="154"/>
    </row>
    <row r="620" spans="96:96" ht="14.25" customHeight="1" x14ac:dyDescent="0.2">
      <c r="CR620" s="154"/>
    </row>
    <row r="621" spans="96:96" ht="14.25" customHeight="1" x14ac:dyDescent="0.2">
      <c r="CR621" s="154"/>
    </row>
    <row r="622" spans="96:96" ht="14.25" customHeight="1" x14ac:dyDescent="0.2">
      <c r="CR622" s="154"/>
    </row>
    <row r="623" spans="96:96" ht="14.25" customHeight="1" x14ac:dyDescent="0.2">
      <c r="CR623" s="154"/>
    </row>
    <row r="624" spans="96:96" ht="14.25" customHeight="1" x14ac:dyDescent="0.2">
      <c r="CR624" s="154"/>
    </row>
    <row r="625" spans="96:96" ht="14.25" customHeight="1" x14ac:dyDescent="0.2">
      <c r="CR625" s="154"/>
    </row>
    <row r="626" spans="96:96" ht="14.25" customHeight="1" x14ac:dyDescent="0.2">
      <c r="CR626" s="154"/>
    </row>
    <row r="627" spans="96:96" ht="14.25" customHeight="1" x14ac:dyDescent="0.2">
      <c r="CR627" s="154"/>
    </row>
    <row r="628" spans="96:96" ht="14.25" customHeight="1" x14ac:dyDescent="0.2">
      <c r="CR628" s="154"/>
    </row>
    <row r="629" spans="96:96" ht="14.25" customHeight="1" x14ac:dyDescent="0.2">
      <c r="CR629" s="154"/>
    </row>
    <row r="630" spans="96:96" ht="14.25" customHeight="1" x14ac:dyDescent="0.2">
      <c r="CR630" s="154"/>
    </row>
    <row r="631" spans="96:96" ht="14.25" customHeight="1" x14ac:dyDescent="0.2">
      <c r="CR631" s="154"/>
    </row>
    <row r="632" spans="96:96" ht="14.25" customHeight="1" x14ac:dyDescent="0.2">
      <c r="CR632" s="154"/>
    </row>
    <row r="633" spans="96:96" ht="14.25" customHeight="1" x14ac:dyDescent="0.2">
      <c r="CR633" s="154"/>
    </row>
    <row r="634" spans="96:96" ht="14.25" customHeight="1" x14ac:dyDescent="0.2">
      <c r="CR634" s="154"/>
    </row>
    <row r="635" spans="96:96" ht="14.25" customHeight="1" x14ac:dyDescent="0.2">
      <c r="CR635" s="154"/>
    </row>
    <row r="636" spans="96:96" ht="14.25" customHeight="1" x14ac:dyDescent="0.2">
      <c r="CR636" s="154"/>
    </row>
    <row r="637" spans="96:96" ht="14.25" customHeight="1" x14ac:dyDescent="0.2">
      <c r="CR637" s="154"/>
    </row>
    <row r="638" spans="96:96" ht="14.25" customHeight="1" x14ac:dyDescent="0.2">
      <c r="CR638" s="154"/>
    </row>
    <row r="639" spans="96:96" ht="14.25" customHeight="1" x14ac:dyDescent="0.2">
      <c r="CR639" s="154"/>
    </row>
    <row r="640" spans="96:96" ht="14.25" customHeight="1" x14ac:dyDescent="0.2">
      <c r="CR640" s="154"/>
    </row>
    <row r="641" spans="96:96" ht="14.25" customHeight="1" x14ac:dyDescent="0.2">
      <c r="CR641" s="154"/>
    </row>
    <row r="642" spans="96:96" ht="14.25" customHeight="1" x14ac:dyDescent="0.2">
      <c r="CR642" s="154"/>
    </row>
    <row r="643" spans="96:96" ht="14.25" customHeight="1" x14ac:dyDescent="0.2">
      <c r="CR643" s="154"/>
    </row>
    <row r="644" spans="96:96" ht="14.25" customHeight="1" x14ac:dyDescent="0.2">
      <c r="CR644" s="154"/>
    </row>
    <row r="645" spans="96:96" ht="14.25" customHeight="1" x14ac:dyDescent="0.2">
      <c r="CR645" s="154"/>
    </row>
    <row r="646" spans="96:96" ht="14.25" customHeight="1" x14ac:dyDescent="0.2">
      <c r="CR646" s="154"/>
    </row>
    <row r="647" spans="96:96" ht="14.25" customHeight="1" x14ac:dyDescent="0.2">
      <c r="CR647" s="154"/>
    </row>
    <row r="648" spans="96:96" ht="14.25" customHeight="1" x14ac:dyDescent="0.2">
      <c r="CR648" s="154"/>
    </row>
    <row r="649" spans="96:96" ht="14.25" customHeight="1" x14ac:dyDescent="0.2">
      <c r="CR649" s="154"/>
    </row>
    <row r="650" spans="96:96" ht="14.25" customHeight="1" x14ac:dyDescent="0.2">
      <c r="CR650" s="154"/>
    </row>
    <row r="651" spans="96:96" ht="14.25" customHeight="1" x14ac:dyDescent="0.2">
      <c r="CR651" s="154"/>
    </row>
    <row r="652" spans="96:96" ht="14.25" customHeight="1" x14ac:dyDescent="0.2">
      <c r="CR652" s="154"/>
    </row>
    <row r="653" spans="96:96" ht="14.25" customHeight="1" x14ac:dyDescent="0.2">
      <c r="CR653" s="154"/>
    </row>
    <row r="654" spans="96:96" ht="14.25" customHeight="1" x14ac:dyDescent="0.2">
      <c r="CR654" s="154"/>
    </row>
    <row r="655" spans="96:96" ht="14.25" customHeight="1" x14ac:dyDescent="0.2">
      <c r="CR655" s="154"/>
    </row>
    <row r="656" spans="96:96" ht="14.25" customHeight="1" x14ac:dyDescent="0.2">
      <c r="CR656" s="154"/>
    </row>
    <row r="657" spans="96:96" ht="14.25" customHeight="1" x14ac:dyDescent="0.2">
      <c r="CR657" s="154"/>
    </row>
    <row r="658" spans="96:96" ht="14.25" customHeight="1" x14ac:dyDescent="0.2">
      <c r="CR658" s="154"/>
    </row>
    <row r="659" spans="96:96" ht="14.25" customHeight="1" x14ac:dyDescent="0.2">
      <c r="CR659" s="154"/>
    </row>
    <row r="660" spans="96:96" ht="14.25" customHeight="1" x14ac:dyDescent="0.2">
      <c r="CR660" s="154"/>
    </row>
    <row r="661" spans="96:96" ht="14.25" customHeight="1" x14ac:dyDescent="0.2">
      <c r="CR661" s="154"/>
    </row>
    <row r="662" spans="96:96" ht="14.25" customHeight="1" x14ac:dyDescent="0.2">
      <c r="CR662" s="154"/>
    </row>
    <row r="663" spans="96:96" ht="14.25" customHeight="1" x14ac:dyDescent="0.2">
      <c r="CR663" s="154"/>
    </row>
    <row r="664" spans="96:96" ht="14.25" customHeight="1" x14ac:dyDescent="0.2">
      <c r="CR664" s="154"/>
    </row>
    <row r="665" spans="96:96" ht="14.25" customHeight="1" x14ac:dyDescent="0.2">
      <c r="CR665" s="154"/>
    </row>
    <row r="666" spans="96:96" ht="14.25" customHeight="1" x14ac:dyDescent="0.2">
      <c r="CR666" s="154"/>
    </row>
    <row r="667" spans="96:96" ht="14.25" customHeight="1" x14ac:dyDescent="0.2">
      <c r="CR667" s="154"/>
    </row>
    <row r="668" spans="96:96" ht="14.25" customHeight="1" x14ac:dyDescent="0.2">
      <c r="CR668" s="154"/>
    </row>
    <row r="669" spans="96:96" ht="14.25" customHeight="1" x14ac:dyDescent="0.2">
      <c r="CR669" s="154"/>
    </row>
    <row r="670" spans="96:96" ht="14.25" customHeight="1" x14ac:dyDescent="0.2">
      <c r="CR670" s="154"/>
    </row>
    <row r="671" spans="96:96" ht="14.25" customHeight="1" x14ac:dyDescent="0.2">
      <c r="CR671" s="154"/>
    </row>
    <row r="672" spans="96:96" ht="14.25" customHeight="1" x14ac:dyDescent="0.2">
      <c r="CR672" s="154"/>
    </row>
    <row r="673" spans="96:96" ht="14.25" customHeight="1" x14ac:dyDescent="0.2">
      <c r="CR673" s="154"/>
    </row>
    <row r="674" spans="96:96" ht="14.25" customHeight="1" x14ac:dyDescent="0.2">
      <c r="CR674" s="154"/>
    </row>
    <row r="675" spans="96:96" ht="14.25" customHeight="1" x14ac:dyDescent="0.2">
      <c r="CR675" s="154"/>
    </row>
    <row r="676" spans="96:96" ht="14.25" customHeight="1" x14ac:dyDescent="0.2">
      <c r="CR676" s="154"/>
    </row>
    <row r="677" spans="96:96" ht="14.25" customHeight="1" x14ac:dyDescent="0.2">
      <c r="CR677" s="154"/>
    </row>
    <row r="678" spans="96:96" ht="14.25" customHeight="1" x14ac:dyDescent="0.2">
      <c r="CR678" s="154"/>
    </row>
    <row r="679" spans="96:96" ht="14.25" customHeight="1" x14ac:dyDescent="0.2">
      <c r="CR679" s="154"/>
    </row>
    <row r="680" spans="96:96" ht="14.25" customHeight="1" x14ac:dyDescent="0.2">
      <c r="CR680" s="154"/>
    </row>
    <row r="681" spans="96:96" ht="14.25" customHeight="1" x14ac:dyDescent="0.2">
      <c r="CR681" s="154"/>
    </row>
    <row r="682" spans="96:96" ht="14.25" customHeight="1" x14ac:dyDescent="0.2">
      <c r="CR682" s="154"/>
    </row>
    <row r="683" spans="96:96" ht="14.25" customHeight="1" x14ac:dyDescent="0.2">
      <c r="CR683" s="154"/>
    </row>
    <row r="684" spans="96:96" ht="14.25" customHeight="1" x14ac:dyDescent="0.2">
      <c r="CR684" s="154"/>
    </row>
    <row r="685" spans="96:96" ht="14.25" customHeight="1" x14ac:dyDescent="0.2">
      <c r="CR685" s="154"/>
    </row>
    <row r="686" spans="96:96" ht="14.25" customHeight="1" x14ac:dyDescent="0.2">
      <c r="CR686" s="154"/>
    </row>
    <row r="687" spans="96:96" ht="14.25" customHeight="1" x14ac:dyDescent="0.2">
      <c r="CR687" s="154"/>
    </row>
    <row r="688" spans="96:96" ht="14.25" customHeight="1" x14ac:dyDescent="0.2">
      <c r="CR688" s="154"/>
    </row>
    <row r="689" spans="96:96" ht="14.25" customHeight="1" x14ac:dyDescent="0.2">
      <c r="CR689" s="154"/>
    </row>
    <row r="690" spans="96:96" ht="14.25" customHeight="1" x14ac:dyDescent="0.2">
      <c r="CR690" s="154"/>
    </row>
    <row r="691" spans="96:96" ht="14.25" customHeight="1" x14ac:dyDescent="0.2">
      <c r="CR691" s="154"/>
    </row>
    <row r="692" spans="96:96" ht="14.25" customHeight="1" x14ac:dyDescent="0.2">
      <c r="CR692" s="154"/>
    </row>
    <row r="693" spans="96:96" ht="14.25" customHeight="1" x14ac:dyDescent="0.2">
      <c r="CR693" s="154"/>
    </row>
    <row r="694" spans="96:96" ht="14.25" customHeight="1" x14ac:dyDescent="0.2">
      <c r="CR694" s="154"/>
    </row>
    <row r="695" spans="96:96" ht="14.25" customHeight="1" x14ac:dyDescent="0.2">
      <c r="CR695" s="154"/>
    </row>
    <row r="696" spans="96:96" ht="14.25" customHeight="1" x14ac:dyDescent="0.2">
      <c r="CR696" s="154"/>
    </row>
    <row r="697" spans="96:96" ht="14.25" customHeight="1" x14ac:dyDescent="0.2">
      <c r="CR697" s="154"/>
    </row>
    <row r="698" spans="96:96" ht="14.25" customHeight="1" x14ac:dyDescent="0.2">
      <c r="CR698" s="154"/>
    </row>
    <row r="699" spans="96:96" ht="14.25" customHeight="1" x14ac:dyDescent="0.2">
      <c r="CR699" s="154"/>
    </row>
    <row r="700" spans="96:96" ht="14.25" customHeight="1" x14ac:dyDescent="0.2">
      <c r="CR700" s="154"/>
    </row>
    <row r="701" spans="96:96" ht="14.25" customHeight="1" x14ac:dyDescent="0.2">
      <c r="CR701" s="154"/>
    </row>
    <row r="702" spans="96:96" ht="14.25" customHeight="1" x14ac:dyDescent="0.2">
      <c r="CR702" s="154"/>
    </row>
    <row r="703" spans="96:96" ht="14.25" customHeight="1" x14ac:dyDescent="0.2">
      <c r="CR703" s="154"/>
    </row>
    <row r="704" spans="96:96" ht="14.25" customHeight="1" x14ac:dyDescent="0.2">
      <c r="CR704" s="154"/>
    </row>
    <row r="705" spans="96:96" ht="14.25" customHeight="1" x14ac:dyDescent="0.2">
      <c r="CR705" s="154"/>
    </row>
    <row r="706" spans="96:96" ht="14.25" customHeight="1" x14ac:dyDescent="0.2">
      <c r="CR706" s="154"/>
    </row>
    <row r="707" spans="96:96" ht="14.25" customHeight="1" x14ac:dyDescent="0.2">
      <c r="CR707" s="154"/>
    </row>
    <row r="708" spans="96:96" ht="14.25" customHeight="1" x14ac:dyDescent="0.2">
      <c r="CR708" s="154"/>
    </row>
    <row r="709" spans="96:96" ht="14.25" customHeight="1" x14ac:dyDescent="0.2">
      <c r="CR709" s="154"/>
    </row>
    <row r="710" spans="96:96" ht="14.25" customHeight="1" x14ac:dyDescent="0.2">
      <c r="CR710" s="154"/>
    </row>
    <row r="711" spans="96:96" ht="14.25" customHeight="1" x14ac:dyDescent="0.2">
      <c r="CR711" s="154"/>
    </row>
    <row r="712" spans="96:96" ht="14.25" customHeight="1" x14ac:dyDescent="0.2">
      <c r="CR712" s="154"/>
    </row>
    <row r="713" spans="96:96" ht="14.25" customHeight="1" x14ac:dyDescent="0.2">
      <c r="CR713" s="154"/>
    </row>
    <row r="714" spans="96:96" ht="14.25" customHeight="1" x14ac:dyDescent="0.2">
      <c r="CR714" s="154"/>
    </row>
    <row r="715" spans="96:96" ht="14.25" customHeight="1" x14ac:dyDescent="0.2">
      <c r="CR715" s="154"/>
    </row>
    <row r="716" spans="96:96" ht="14.25" customHeight="1" x14ac:dyDescent="0.2">
      <c r="CR716" s="154"/>
    </row>
    <row r="717" spans="96:96" ht="14.25" customHeight="1" x14ac:dyDescent="0.2">
      <c r="CR717" s="154"/>
    </row>
    <row r="718" spans="96:96" ht="14.25" customHeight="1" x14ac:dyDescent="0.2">
      <c r="CR718" s="154"/>
    </row>
    <row r="719" spans="96:96" ht="14.25" customHeight="1" x14ac:dyDescent="0.2">
      <c r="CR719" s="154"/>
    </row>
    <row r="720" spans="96:96" ht="14.25" customHeight="1" x14ac:dyDescent="0.2">
      <c r="CR720" s="154"/>
    </row>
    <row r="721" spans="96:96" ht="14.25" customHeight="1" x14ac:dyDescent="0.2">
      <c r="CR721" s="154"/>
    </row>
    <row r="722" spans="96:96" ht="14.25" customHeight="1" x14ac:dyDescent="0.2">
      <c r="CR722" s="154"/>
    </row>
    <row r="723" spans="96:96" ht="14.25" customHeight="1" x14ac:dyDescent="0.2">
      <c r="CR723" s="154"/>
    </row>
    <row r="724" spans="96:96" ht="14.25" customHeight="1" x14ac:dyDescent="0.2">
      <c r="CR724" s="154"/>
    </row>
    <row r="725" spans="96:96" ht="14.25" customHeight="1" x14ac:dyDescent="0.2">
      <c r="CR725" s="154"/>
    </row>
    <row r="726" spans="96:96" ht="14.25" customHeight="1" x14ac:dyDescent="0.2">
      <c r="CR726" s="154"/>
    </row>
    <row r="727" spans="96:96" ht="14.25" customHeight="1" x14ac:dyDescent="0.2">
      <c r="CR727" s="154"/>
    </row>
    <row r="728" spans="96:96" ht="14.25" customHeight="1" x14ac:dyDescent="0.2">
      <c r="CR728" s="154"/>
    </row>
    <row r="729" spans="96:96" ht="14.25" customHeight="1" x14ac:dyDescent="0.2">
      <c r="CR729" s="154"/>
    </row>
    <row r="730" spans="96:96" ht="14.25" customHeight="1" x14ac:dyDescent="0.2">
      <c r="CR730" s="154"/>
    </row>
    <row r="731" spans="96:96" ht="14.25" customHeight="1" x14ac:dyDescent="0.2">
      <c r="CR731" s="154"/>
    </row>
    <row r="732" spans="96:96" ht="14.25" customHeight="1" x14ac:dyDescent="0.2">
      <c r="CR732" s="154"/>
    </row>
    <row r="733" spans="96:96" ht="14.25" customHeight="1" x14ac:dyDescent="0.2">
      <c r="CR733" s="154"/>
    </row>
    <row r="734" spans="96:96" ht="14.25" customHeight="1" x14ac:dyDescent="0.2">
      <c r="CR734" s="154"/>
    </row>
    <row r="735" spans="96:96" ht="14.25" customHeight="1" x14ac:dyDescent="0.2">
      <c r="CR735" s="154"/>
    </row>
    <row r="736" spans="96:96" ht="14.25" customHeight="1" x14ac:dyDescent="0.2">
      <c r="CR736" s="154"/>
    </row>
    <row r="737" spans="96:96" ht="14.25" customHeight="1" x14ac:dyDescent="0.2">
      <c r="CR737" s="154"/>
    </row>
    <row r="738" spans="96:96" ht="14.25" customHeight="1" x14ac:dyDescent="0.2">
      <c r="CR738" s="154"/>
    </row>
    <row r="739" spans="96:96" ht="14.25" customHeight="1" x14ac:dyDescent="0.2">
      <c r="CR739" s="154"/>
    </row>
    <row r="740" spans="96:96" ht="14.25" customHeight="1" x14ac:dyDescent="0.2">
      <c r="CR740" s="154"/>
    </row>
    <row r="741" spans="96:96" ht="14.25" customHeight="1" x14ac:dyDescent="0.2">
      <c r="CR741" s="154"/>
    </row>
    <row r="742" spans="96:96" ht="14.25" customHeight="1" x14ac:dyDescent="0.2">
      <c r="CR742" s="154"/>
    </row>
    <row r="743" spans="96:96" ht="14.25" customHeight="1" x14ac:dyDescent="0.2">
      <c r="CR743" s="154"/>
    </row>
    <row r="744" spans="96:96" ht="14.25" customHeight="1" x14ac:dyDescent="0.2">
      <c r="CR744" s="154"/>
    </row>
    <row r="745" spans="96:96" ht="14.25" customHeight="1" x14ac:dyDescent="0.2">
      <c r="CR745" s="154"/>
    </row>
    <row r="746" spans="96:96" ht="14.25" customHeight="1" x14ac:dyDescent="0.2">
      <c r="CR746" s="154"/>
    </row>
    <row r="747" spans="96:96" ht="14.25" customHeight="1" x14ac:dyDescent="0.2">
      <c r="CR747" s="154"/>
    </row>
    <row r="748" spans="96:96" ht="14.25" customHeight="1" x14ac:dyDescent="0.2">
      <c r="CR748" s="154"/>
    </row>
    <row r="749" spans="96:96" ht="14.25" customHeight="1" x14ac:dyDescent="0.2">
      <c r="CR749" s="154"/>
    </row>
    <row r="750" spans="96:96" ht="14.25" customHeight="1" x14ac:dyDescent="0.2">
      <c r="CR750" s="154"/>
    </row>
    <row r="751" spans="96:96" ht="14.25" customHeight="1" x14ac:dyDescent="0.2">
      <c r="CR751" s="154"/>
    </row>
    <row r="752" spans="96:96" ht="14.25" customHeight="1" x14ac:dyDescent="0.2">
      <c r="CR752" s="154"/>
    </row>
    <row r="753" spans="96:96" ht="14.25" customHeight="1" x14ac:dyDescent="0.2">
      <c r="CR753" s="154"/>
    </row>
    <row r="754" spans="96:96" ht="14.25" customHeight="1" x14ac:dyDescent="0.2">
      <c r="CR754" s="154"/>
    </row>
    <row r="755" spans="96:96" ht="14.25" customHeight="1" x14ac:dyDescent="0.2">
      <c r="CR755" s="154"/>
    </row>
    <row r="756" spans="96:96" ht="14.25" customHeight="1" x14ac:dyDescent="0.2">
      <c r="CR756" s="154"/>
    </row>
    <row r="757" spans="96:96" ht="14.25" customHeight="1" x14ac:dyDescent="0.2">
      <c r="CR757" s="154"/>
    </row>
    <row r="758" spans="96:96" ht="14.25" customHeight="1" x14ac:dyDescent="0.2">
      <c r="CR758" s="154"/>
    </row>
    <row r="759" spans="96:96" ht="14.25" customHeight="1" x14ac:dyDescent="0.2">
      <c r="CR759" s="154"/>
    </row>
    <row r="760" spans="96:96" ht="14.25" customHeight="1" x14ac:dyDescent="0.2">
      <c r="CR760" s="154"/>
    </row>
    <row r="761" spans="96:96" ht="14.25" customHeight="1" x14ac:dyDescent="0.2">
      <c r="CR761" s="154"/>
    </row>
    <row r="762" spans="96:96" ht="14.25" customHeight="1" x14ac:dyDescent="0.2">
      <c r="CR762" s="154"/>
    </row>
    <row r="763" spans="96:96" ht="14.25" customHeight="1" x14ac:dyDescent="0.2">
      <c r="CR763" s="154"/>
    </row>
    <row r="764" spans="96:96" ht="14.25" customHeight="1" x14ac:dyDescent="0.2">
      <c r="CR764" s="154"/>
    </row>
    <row r="765" spans="96:96" ht="14.25" customHeight="1" x14ac:dyDescent="0.2">
      <c r="CR765" s="154"/>
    </row>
    <row r="766" spans="96:96" ht="14.25" customHeight="1" x14ac:dyDescent="0.2">
      <c r="CR766" s="154"/>
    </row>
    <row r="767" spans="96:96" ht="14.25" customHeight="1" x14ac:dyDescent="0.2">
      <c r="CR767" s="154"/>
    </row>
    <row r="768" spans="96:96" ht="14.25" customHeight="1" x14ac:dyDescent="0.2">
      <c r="CR768" s="154"/>
    </row>
    <row r="769" spans="96:96" ht="14.25" customHeight="1" x14ac:dyDescent="0.2">
      <c r="CR769" s="154"/>
    </row>
    <row r="770" spans="96:96" ht="14.25" customHeight="1" x14ac:dyDescent="0.2">
      <c r="CR770" s="154"/>
    </row>
    <row r="771" spans="96:96" ht="14.25" customHeight="1" x14ac:dyDescent="0.2">
      <c r="CR771" s="154"/>
    </row>
    <row r="772" spans="96:96" ht="14.25" customHeight="1" x14ac:dyDescent="0.2">
      <c r="CR772" s="154"/>
    </row>
    <row r="773" spans="96:96" ht="14.25" customHeight="1" x14ac:dyDescent="0.2">
      <c r="CR773" s="154"/>
    </row>
    <row r="774" spans="96:96" ht="14.25" customHeight="1" x14ac:dyDescent="0.2">
      <c r="CR774" s="154"/>
    </row>
    <row r="775" spans="96:96" ht="14.25" customHeight="1" x14ac:dyDescent="0.2">
      <c r="CR775" s="154"/>
    </row>
    <row r="776" spans="96:96" ht="14.25" customHeight="1" x14ac:dyDescent="0.2">
      <c r="CR776" s="154"/>
    </row>
    <row r="777" spans="96:96" ht="14.25" customHeight="1" x14ac:dyDescent="0.2">
      <c r="CR777" s="154"/>
    </row>
    <row r="778" spans="96:96" ht="14.25" customHeight="1" x14ac:dyDescent="0.2">
      <c r="CR778" s="154"/>
    </row>
    <row r="779" spans="96:96" ht="14.25" customHeight="1" x14ac:dyDescent="0.2">
      <c r="CR779" s="154"/>
    </row>
    <row r="780" spans="96:96" ht="14.25" customHeight="1" x14ac:dyDescent="0.2">
      <c r="CR780" s="154"/>
    </row>
    <row r="781" spans="96:96" ht="14.25" customHeight="1" x14ac:dyDescent="0.2">
      <c r="CR781" s="154"/>
    </row>
    <row r="782" spans="96:96" ht="14.25" customHeight="1" x14ac:dyDescent="0.2">
      <c r="CR782" s="154"/>
    </row>
    <row r="783" spans="96:96" ht="14.25" customHeight="1" x14ac:dyDescent="0.2">
      <c r="CR783" s="154"/>
    </row>
    <row r="784" spans="96:96" ht="14.25" customHeight="1" x14ac:dyDescent="0.2">
      <c r="CR784" s="154"/>
    </row>
    <row r="785" spans="96:96" ht="14.25" customHeight="1" x14ac:dyDescent="0.2">
      <c r="CR785" s="154"/>
    </row>
    <row r="786" spans="96:96" ht="14.25" customHeight="1" x14ac:dyDescent="0.2">
      <c r="CR786" s="154"/>
    </row>
    <row r="787" spans="96:96" ht="14.25" customHeight="1" x14ac:dyDescent="0.2">
      <c r="CR787" s="154"/>
    </row>
    <row r="788" spans="96:96" ht="14.25" customHeight="1" x14ac:dyDescent="0.2">
      <c r="CR788" s="154"/>
    </row>
    <row r="789" spans="96:96" ht="14.25" customHeight="1" x14ac:dyDescent="0.2">
      <c r="CR789" s="154"/>
    </row>
    <row r="790" spans="96:96" ht="14.25" customHeight="1" x14ac:dyDescent="0.2">
      <c r="CR790" s="154"/>
    </row>
    <row r="791" spans="96:96" ht="14.25" customHeight="1" x14ac:dyDescent="0.2">
      <c r="CR791" s="154"/>
    </row>
    <row r="792" spans="96:96" ht="14.25" customHeight="1" x14ac:dyDescent="0.2">
      <c r="CR792" s="154"/>
    </row>
    <row r="793" spans="96:96" ht="14.25" customHeight="1" x14ac:dyDescent="0.2">
      <c r="CR793" s="154"/>
    </row>
    <row r="794" spans="96:96" ht="14.25" customHeight="1" x14ac:dyDescent="0.2">
      <c r="CR794" s="154"/>
    </row>
    <row r="795" spans="96:96" ht="14.25" customHeight="1" x14ac:dyDescent="0.2">
      <c r="CR795" s="154"/>
    </row>
    <row r="796" spans="96:96" ht="14.25" customHeight="1" x14ac:dyDescent="0.2">
      <c r="CR796" s="154"/>
    </row>
    <row r="797" spans="96:96" ht="14.25" customHeight="1" x14ac:dyDescent="0.2">
      <c r="CR797" s="154"/>
    </row>
    <row r="798" spans="96:96" ht="14.25" customHeight="1" x14ac:dyDescent="0.2">
      <c r="CR798" s="154"/>
    </row>
    <row r="799" spans="96:96" ht="14.25" customHeight="1" x14ac:dyDescent="0.2">
      <c r="CR799" s="154"/>
    </row>
    <row r="800" spans="96:96" ht="14.25" customHeight="1" x14ac:dyDescent="0.2">
      <c r="CR800" s="154"/>
    </row>
    <row r="801" spans="96:96" ht="14.25" customHeight="1" x14ac:dyDescent="0.2">
      <c r="CR801" s="154"/>
    </row>
    <row r="802" spans="96:96" ht="14.25" customHeight="1" x14ac:dyDescent="0.2">
      <c r="CR802" s="154"/>
    </row>
    <row r="803" spans="96:96" ht="14.25" customHeight="1" x14ac:dyDescent="0.2">
      <c r="CR803" s="154"/>
    </row>
    <row r="804" spans="96:96" ht="14.25" customHeight="1" x14ac:dyDescent="0.2">
      <c r="CR804" s="154"/>
    </row>
    <row r="805" spans="96:96" ht="14.25" customHeight="1" x14ac:dyDescent="0.2">
      <c r="CR805" s="154"/>
    </row>
    <row r="806" spans="96:96" ht="14.25" customHeight="1" x14ac:dyDescent="0.2">
      <c r="CR806" s="154"/>
    </row>
    <row r="807" spans="96:96" ht="14.25" customHeight="1" x14ac:dyDescent="0.2">
      <c r="CR807" s="154"/>
    </row>
    <row r="808" spans="96:96" ht="14.25" customHeight="1" x14ac:dyDescent="0.2">
      <c r="CR808" s="154"/>
    </row>
    <row r="809" spans="96:96" ht="14.25" customHeight="1" x14ac:dyDescent="0.2">
      <c r="CR809" s="154"/>
    </row>
    <row r="810" spans="96:96" ht="14.25" customHeight="1" x14ac:dyDescent="0.2">
      <c r="CR810" s="154"/>
    </row>
    <row r="811" spans="96:96" ht="14.25" customHeight="1" x14ac:dyDescent="0.2">
      <c r="CR811" s="154"/>
    </row>
    <row r="812" spans="96:96" ht="14.25" customHeight="1" x14ac:dyDescent="0.2">
      <c r="CR812" s="154"/>
    </row>
    <row r="813" spans="96:96" ht="14.25" customHeight="1" x14ac:dyDescent="0.2">
      <c r="CR813" s="154"/>
    </row>
    <row r="814" spans="96:96" ht="14.25" customHeight="1" x14ac:dyDescent="0.2">
      <c r="CR814" s="154"/>
    </row>
    <row r="815" spans="96:96" ht="14.25" customHeight="1" x14ac:dyDescent="0.2">
      <c r="CR815" s="154"/>
    </row>
    <row r="816" spans="96:96" ht="14.25" customHeight="1" x14ac:dyDescent="0.2">
      <c r="CR816" s="154"/>
    </row>
    <row r="817" spans="96:96" ht="14.25" customHeight="1" x14ac:dyDescent="0.2">
      <c r="CR817" s="154"/>
    </row>
    <row r="818" spans="96:96" ht="14.25" customHeight="1" x14ac:dyDescent="0.2">
      <c r="CR818" s="154"/>
    </row>
    <row r="819" spans="96:96" ht="14.25" customHeight="1" x14ac:dyDescent="0.2">
      <c r="CR819" s="154"/>
    </row>
    <row r="820" spans="96:96" ht="14.25" customHeight="1" x14ac:dyDescent="0.2">
      <c r="CR820" s="154"/>
    </row>
    <row r="821" spans="96:96" ht="14.25" customHeight="1" x14ac:dyDescent="0.2">
      <c r="CR821" s="154"/>
    </row>
    <row r="822" spans="96:96" ht="14.25" customHeight="1" x14ac:dyDescent="0.2">
      <c r="CR822" s="154"/>
    </row>
    <row r="823" spans="96:96" ht="14.25" customHeight="1" x14ac:dyDescent="0.2">
      <c r="CR823" s="154"/>
    </row>
    <row r="824" spans="96:96" ht="14.25" customHeight="1" x14ac:dyDescent="0.2">
      <c r="CR824" s="154"/>
    </row>
    <row r="825" spans="96:96" ht="14.25" customHeight="1" x14ac:dyDescent="0.2">
      <c r="CR825" s="154"/>
    </row>
    <row r="826" spans="96:96" ht="14.25" customHeight="1" x14ac:dyDescent="0.2">
      <c r="CR826" s="154"/>
    </row>
    <row r="827" spans="96:96" ht="14.25" customHeight="1" x14ac:dyDescent="0.2">
      <c r="CR827" s="154"/>
    </row>
    <row r="828" spans="96:96" ht="14.25" customHeight="1" x14ac:dyDescent="0.2">
      <c r="CR828" s="154"/>
    </row>
    <row r="829" spans="96:96" ht="14.25" customHeight="1" x14ac:dyDescent="0.2">
      <c r="CR829" s="154"/>
    </row>
    <row r="830" spans="96:96" ht="14.25" customHeight="1" x14ac:dyDescent="0.2">
      <c r="CR830" s="154"/>
    </row>
    <row r="831" spans="96:96" ht="14.25" customHeight="1" x14ac:dyDescent="0.2">
      <c r="CR831" s="154"/>
    </row>
    <row r="832" spans="96:96" ht="14.25" customHeight="1" x14ac:dyDescent="0.2">
      <c r="CR832" s="154"/>
    </row>
    <row r="833" spans="96:96" ht="14.25" customHeight="1" x14ac:dyDescent="0.2">
      <c r="CR833" s="154"/>
    </row>
    <row r="834" spans="96:96" ht="14.25" customHeight="1" x14ac:dyDescent="0.2">
      <c r="CR834" s="154"/>
    </row>
    <row r="835" spans="96:96" ht="14.25" customHeight="1" x14ac:dyDescent="0.2">
      <c r="CR835" s="154"/>
    </row>
    <row r="836" spans="96:96" ht="14.25" customHeight="1" x14ac:dyDescent="0.2">
      <c r="CR836" s="154"/>
    </row>
    <row r="837" spans="96:96" ht="14.25" customHeight="1" x14ac:dyDescent="0.2">
      <c r="CR837" s="154"/>
    </row>
    <row r="838" spans="96:96" ht="14.25" customHeight="1" x14ac:dyDescent="0.2">
      <c r="CR838" s="154"/>
    </row>
    <row r="839" spans="96:96" ht="14.25" customHeight="1" x14ac:dyDescent="0.2">
      <c r="CR839" s="154"/>
    </row>
    <row r="840" spans="96:96" ht="14.25" customHeight="1" x14ac:dyDescent="0.2">
      <c r="CR840" s="154"/>
    </row>
    <row r="841" spans="96:96" ht="14.25" customHeight="1" x14ac:dyDescent="0.2">
      <c r="CR841" s="154"/>
    </row>
    <row r="842" spans="96:96" ht="14.25" customHeight="1" x14ac:dyDescent="0.2">
      <c r="CR842" s="154"/>
    </row>
    <row r="843" spans="96:96" ht="14.25" customHeight="1" x14ac:dyDescent="0.2">
      <c r="CR843" s="154"/>
    </row>
    <row r="844" spans="96:96" ht="14.25" customHeight="1" x14ac:dyDescent="0.2">
      <c r="CR844" s="154"/>
    </row>
    <row r="845" spans="96:96" ht="14.25" customHeight="1" x14ac:dyDescent="0.2">
      <c r="CR845" s="154"/>
    </row>
    <row r="846" spans="96:96" ht="14.25" customHeight="1" x14ac:dyDescent="0.2">
      <c r="CR846" s="154"/>
    </row>
    <row r="847" spans="96:96" ht="14.25" customHeight="1" x14ac:dyDescent="0.2">
      <c r="CR847" s="154"/>
    </row>
    <row r="848" spans="96:96" ht="14.25" customHeight="1" x14ac:dyDescent="0.2">
      <c r="CR848" s="154"/>
    </row>
    <row r="849" spans="96:96" ht="14.25" customHeight="1" x14ac:dyDescent="0.2">
      <c r="CR849" s="154"/>
    </row>
    <row r="850" spans="96:96" ht="14.25" customHeight="1" x14ac:dyDescent="0.2">
      <c r="CR850" s="154"/>
    </row>
    <row r="851" spans="96:96" ht="14.25" customHeight="1" x14ac:dyDescent="0.2">
      <c r="CR851" s="154"/>
    </row>
    <row r="852" spans="96:96" ht="14.25" customHeight="1" x14ac:dyDescent="0.2">
      <c r="CR852" s="154"/>
    </row>
    <row r="853" spans="96:96" ht="14.25" customHeight="1" x14ac:dyDescent="0.2">
      <c r="CR853" s="154"/>
    </row>
    <row r="854" spans="96:96" ht="14.25" customHeight="1" x14ac:dyDescent="0.2">
      <c r="CR854" s="154"/>
    </row>
    <row r="855" spans="96:96" ht="14.25" customHeight="1" x14ac:dyDescent="0.2">
      <c r="CR855" s="154"/>
    </row>
    <row r="856" spans="96:96" ht="14.25" customHeight="1" x14ac:dyDescent="0.2">
      <c r="CR856" s="154"/>
    </row>
    <row r="857" spans="96:96" ht="14.25" customHeight="1" x14ac:dyDescent="0.2">
      <c r="CR857" s="154"/>
    </row>
    <row r="858" spans="96:96" ht="14.25" customHeight="1" x14ac:dyDescent="0.2">
      <c r="CR858" s="154"/>
    </row>
    <row r="859" spans="96:96" ht="14.25" customHeight="1" x14ac:dyDescent="0.2">
      <c r="CR859" s="154"/>
    </row>
    <row r="860" spans="96:96" ht="14.25" customHeight="1" x14ac:dyDescent="0.2">
      <c r="CR860" s="154"/>
    </row>
    <row r="861" spans="96:96" ht="14.25" customHeight="1" x14ac:dyDescent="0.2">
      <c r="CR861" s="154"/>
    </row>
    <row r="862" spans="96:96" ht="14.25" customHeight="1" x14ac:dyDescent="0.2">
      <c r="CR862" s="154"/>
    </row>
    <row r="863" spans="96:96" ht="14.25" customHeight="1" x14ac:dyDescent="0.2">
      <c r="CR863" s="154"/>
    </row>
    <row r="864" spans="96:96" ht="14.25" customHeight="1" x14ac:dyDescent="0.2">
      <c r="CR864" s="154"/>
    </row>
    <row r="865" spans="96:96" ht="14.25" customHeight="1" x14ac:dyDescent="0.2">
      <c r="CR865" s="154"/>
    </row>
    <row r="866" spans="96:96" ht="14.25" customHeight="1" x14ac:dyDescent="0.2">
      <c r="CR866" s="154"/>
    </row>
    <row r="867" spans="96:96" ht="14.25" customHeight="1" x14ac:dyDescent="0.2">
      <c r="CR867" s="154"/>
    </row>
    <row r="868" spans="96:96" ht="14.25" customHeight="1" x14ac:dyDescent="0.2">
      <c r="CR868" s="154"/>
    </row>
    <row r="869" spans="96:96" ht="14.25" customHeight="1" x14ac:dyDescent="0.2">
      <c r="CR869" s="154"/>
    </row>
    <row r="870" spans="96:96" ht="14.25" customHeight="1" x14ac:dyDescent="0.2">
      <c r="CR870" s="154"/>
    </row>
    <row r="871" spans="96:96" ht="14.25" customHeight="1" x14ac:dyDescent="0.2">
      <c r="CR871" s="154"/>
    </row>
    <row r="872" spans="96:96" ht="14.25" customHeight="1" x14ac:dyDescent="0.2">
      <c r="CR872" s="154"/>
    </row>
    <row r="873" spans="96:96" ht="14.25" customHeight="1" x14ac:dyDescent="0.2">
      <c r="CR873" s="154"/>
    </row>
    <row r="874" spans="96:96" ht="14.25" customHeight="1" x14ac:dyDescent="0.2">
      <c r="CR874" s="154"/>
    </row>
    <row r="875" spans="96:96" ht="14.25" customHeight="1" x14ac:dyDescent="0.2">
      <c r="CR875" s="154"/>
    </row>
    <row r="876" spans="96:96" ht="14.25" customHeight="1" x14ac:dyDescent="0.2">
      <c r="CR876" s="154"/>
    </row>
    <row r="877" spans="96:96" ht="14.25" customHeight="1" x14ac:dyDescent="0.2">
      <c r="CR877" s="154"/>
    </row>
    <row r="878" spans="96:96" ht="14.25" customHeight="1" x14ac:dyDescent="0.2">
      <c r="CR878" s="154"/>
    </row>
    <row r="879" spans="96:96" ht="14.25" customHeight="1" x14ac:dyDescent="0.2">
      <c r="CR879" s="154"/>
    </row>
    <row r="880" spans="96:96" ht="14.25" customHeight="1" x14ac:dyDescent="0.2">
      <c r="CR880" s="154"/>
    </row>
    <row r="881" spans="96:96" ht="14.25" customHeight="1" x14ac:dyDescent="0.2">
      <c r="CR881" s="154"/>
    </row>
    <row r="882" spans="96:96" ht="14.25" customHeight="1" x14ac:dyDescent="0.2">
      <c r="CR882" s="154"/>
    </row>
    <row r="883" spans="96:96" ht="14.25" customHeight="1" x14ac:dyDescent="0.2">
      <c r="CR883" s="154"/>
    </row>
    <row r="884" spans="96:96" ht="14.25" customHeight="1" x14ac:dyDescent="0.2">
      <c r="CR884" s="154"/>
    </row>
    <row r="885" spans="96:96" ht="14.25" customHeight="1" x14ac:dyDescent="0.2">
      <c r="CR885" s="154"/>
    </row>
    <row r="886" spans="96:96" ht="14.25" customHeight="1" x14ac:dyDescent="0.2">
      <c r="CR886" s="154"/>
    </row>
    <row r="887" spans="96:96" ht="14.25" customHeight="1" x14ac:dyDescent="0.2">
      <c r="CR887" s="154"/>
    </row>
    <row r="888" spans="96:96" ht="14.25" customHeight="1" x14ac:dyDescent="0.2">
      <c r="CR888" s="154"/>
    </row>
    <row r="889" spans="96:96" ht="14.25" customHeight="1" x14ac:dyDescent="0.2">
      <c r="CR889" s="154"/>
    </row>
    <row r="890" spans="96:96" ht="14.25" customHeight="1" x14ac:dyDescent="0.2">
      <c r="CR890" s="154"/>
    </row>
    <row r="891" spans="96:96" ht="14.25" customHeight="1" x14ac:dyDescent="0.2">
      <c r="CR891" s="154"/>
    </row>
    <row r="892" spans="96:96" ht="14.25" customHeight="1" x14ac:dyDescent="0.2">
      <c r="CR892" s="154"/>
    </row>
    <row r="893" spans="96:96" ht="14.25" customHeight="1" x14ac:dyDescent="0.2">
      <c r="CR893" s="154"/>
    </row>
    <row r="894" spans="96:96" ht="14.25" customHeight="1" x14ac:dyDescent="0.2">
      <c r="CR894" s="154"/>
    </row>
    <row r="895" spans="96:96" ht="14.25" customHeight="1" x14ac:dyDescent="0.2">
      <c r="CR895" s="154"/>
    </row>
    <row r="896" spans="96:96" ht="14.25" customHeight="1" x14ac:dyDescent="0.2">
      <c r="CR896" s="154"/>
    </row>
    <row r="897" spans="96:96" ht="14.25" customHeight="1" x14ac:dyDescent="0.2">
      <c r="CR897" s="154"/>
    </row>
    <row r="898" spans="96:96" ht="14.25" customHeight="1" x14ac:dyDescent="0.2">
      <c r="CR898" s="154"/>
    </row>
    <row r="899" spans="96:96" ht="14.25" customHeight="1" x14ac:dyDescent="0.2">
      <c r="CR899" s="154"/>
    </row>
    <row r="900" spans="96:96" ht="14.25" customHeight="1" x14ac:dyDescent="0.2">
      <c r="CR900" s="154"/>
    </row>
    <row r="901" spans="96:96" ht="14.25" customHeight="1" x14ac:dyDescent="0.2">
      <c r="CR901" s="154"/>
    </row>
    <row r="902" spans="96:96" ht="14.25" customHeight="1" x14ac:dyDescent="0.2">
      <c r="CR902" s="154"/>
    </row>
    <row r="903" spans="96:96" ht="14.25" customHeight="1" x14ac:dyDescent="0.2">
      <c r="CR903" s="154"/>
    </row>
    <row r="904" spans="96:96" ht="14.25" customHeight="1" x14ac:dyDescent="0.2">
      <c r="CR904" s="154"/>
    </row>
    <row r="905" spans="96:96" ht="14.25" customHeight="1" x14ac:dyDescent="0.2">
      <c r="CR905" s="154"/>
    </row>
    <row r="906" spans="96:96" ht="14.25" customHeight="1" x14ac:dyDescent="0.2">
      <c r="CR906" s="154"/>
    </row>
    <row r="907" spans="96:96" ht="14.25" customHeight="1" x14ac:dyDescent="0.2">
      <c r="CR907" s="154"/>
    </row>
    <row r="908" spans="96:96" ht="14.25" customHeight="1" x14ac:dyDescent="0.2">
      <c r="CR908" s="154"/>
    </row>
    <row r="909" spans="96:96" ht="14.25" customHeight="1" x14ac:dyDescent="0.2">
      <c r="CR909" s="154"/>
    </row>
    <row r="910" spans="96:96" ht="14.25" customHeight="1" x14ac:dyDescent="0.2">
      <c r="CR910" s="154"/>
    </row>
    <row r="911" spans="96:96" ht="14.25" customHeight="1" x14ac:dyDescent="0.2">
      <c r="CR911" s="154"/>
    </row>
    <row r="912" spans="96:96" ht="14.25" customHeight="1" x14ac:dyDescent="0.2">
      <c r="CR912" s="154"/>
    </row>
    <row r="913" spans="96:96" ht="14.25" customHeight="1" x14ac:dyDescent="0.2">
      <c r="CR913" s="154"/>
    </row>
    <row r="914" spans="96:96" ht="14.25" customHeight="1" x14ac:dyDescent="0.2">
      <c r="CR914" s="154"/>
    </row>
    <row r="915" spans="96:96" ht="14.25" customHeight="1" x14ac:dyDescent="0.2">
      <c r="CR915" s="154"/>
    </row>
    <row r="916" spans="96:96" ht="14.25" customHeight="1" x14ac:dyDescent="0.2">
      <c r="CR916" s="154"/>
    </row>
    <row r="917" spans="96:96" ht="14.25" customHeight="1" x14ac:dyDescent="0.2">
      <c r="CR917" s="154"/>
    </row>
    <row r="918" spans="96:96" ht="14.25" customHeight="1" x14ac:dyDescent="0.2">
      <c r="CR918" s="154"/>
    </row>
    <row r="919" spans="96:96" ht="14.25" customHeight="1" x14ac:dyDescent="0.2">
      <c r="CR919" s="154"/>
    </row>
    <row r="920" spans="96:96" ht="14.25" customHeight="1" x14ac:dyDescent="0.2">
      <c r="CR920" s="154"/>
    </row>
    <row r="921" spans="96:96" ht="14.25" customHeight="1" x14ac:dyDescent="0.2">
      <c r="CR921" s="154"/>
    </row>
    <row r="922" spans="96:96" ht="14.25" customHeight="1" x14ac:dyDescent="0.2">
      <c r="CR922" s="154"/>
    </row>
    <row r="923" spans="96:96" ht="14.25" customHeight="1" x14ac:dyDescent="0.2">
      <c r="CR923" s="154"/>
    </row>
    <row r="924" spans="96:96" ht="14.25" customHeight="1" x14ac:dyDescent="0.2">
      <c r="CR924" s="154"/>
    </row>
    <row r="925" spans="96:96" ht="14.25" customHeight="1" x14ac:dyDescent="0.2">
      <c r="CR925" s="154"/>
    </row>
    <row r="926" spans="96:96" ht="14.25" customHeight="1" x14ac:dyDescent="0.2">
      <c r="CR926" s="154"/>
    </row>
    <row r="927" spans="96:96" ht="14.25" customHeight="1" x14ac:dyDescent="0.2">
      <c r="CR927" s="154"/>
    </row>
    <row r="928" spans="96:96" ht="14.25" customHeight="1" x14ac:dyDescent="0.2">
      <c r="CR928" s="154"/>
    </row>
    <row r="929" spans="96:96" ht="14.25" customHeight="1" x14ac:dyDescent="0.2">
      <c r="CR929" s="154"/>
    </row>
    <row r="930" spans="96:96" ht="14.25" customHeight="1" x14ac:dyDescent="0.2">
      <c r="CR930" s="154"/>
    </row>
    <row r="931" spans="96:96" ht="14.25" customHeight="1" x14ac:dyDescent="0.2">
      <c r="CR931" s="154"/>
    </row>
    <row r="932" spans="96:96" ht="14.25" customHeight="1" x14ac:dyDescent="0.2">
      <c r="CR932" s="154"/>
    </row>
    <row r="933" spans="96:96" ht="14.25" customHeight="1" x14ac:dyDescent="0.2">
      <c r="CR933" s="154"/>
    </row>
    <row r="934" spans="96:96" ht="14.25" customHeight="1" x14ac:dyDescent="0.2">
      <c r="CR934" s="154"/>
    </row>
    <row r="935" spans="96:96" ht="14.25" customHeight="1" x14ac:dyDescent="0.2">
      <c r="CR935" s="154"/>
    </row>
    <row r="936" spans="96:96" ht="14.25" customHeight="1" x14ac:dyDescent="0.2">
      <c r="CR936" s="154"/>
    </row>
    <row r="937" spans="96:96" ht="14.25" customHeight="1" x14ac:dyDescent="0.2">
      <c r="CR937" s="154"/>
    </row>
    <row r="938" spans="96:96" ht="14.25" customHeight="1" x14ac:dyDescent="0.2">
      <c r="CR938" s="154"/>
    </row>
    <row r="939" spans="96:96" ht="14.25" customHeight="1" x14ac:dyDescent="0.2">
      <c r="CR939" s="154"/>
    </row>
    <row r="940" spans="96:96" ht="14.25" customHeight="1" x14ac:dyDescent="0.2">
      <c r="CR940" s="154"/>
    </row>
    <row r="941" spans="96:96" ht="14.25" customHeight="1" x14ac:dyDescent="0.2">
      <c r="CR941" s="154"/>
    </row>
    <row r="942" spans="96:96" ht="14.25" customHeight="1" x14ac:dyDescent="0.2">
      <c r="CR942" s="154"/>
    </row>
    <row r="943" spans="96:96" ht="14.25" customHeight="1" x14ac:dyDescent="0.2">
      <c r="CR943" s="154"/>
    </row>
    <row r="944" spans="96:96" ht="14.25" customHeight="1" x14ac:dyDescent="0.2">
      <c r="CR944" s="154"/>
    </row>
    <row r="945" spans="96:96" ht="14.25" customHeight="1" x14ac:dyDescent="0.2">
      <c r="CR945" s="154"/>
    </row>
    <row r="946" spans="96:96" ht="14.25" customHeight="1" x14ac:dyDescent="0.2">
      <c r="CR946" s="154"/>
    </row>
    <row r="947" spans="96:96" ht="14.25" customHeight="1" x14ac:dyDescent="0.2">
      <c r="CR947" s="154"/>
    </row>
    <row r="948" spans="96:96" ht="14.25" customHeight="1" x14ac:dyDescent="0.2">
      <c r="CR948" s="154"/>
    </row>
    <row r="949" spans="96:96" ht="14.25" customHeight="1" x14ac:dyDescent="0.2">
      <c r="CR949" s="154"/>
    </row>
    <row r="950" spans="96:96" ht="14.25" customHeight="1" x14ac:dyDescent="0.2">
      <c r="CR950" s="154"/>
    </row>
    <row r="951" spans="96:96" ht="14.25" customHeight="1" x14ac:dyDescent="0.2">
      <c r="CR951" s="154"/>
    </row>
    <row r="952" spans="96:96" ht="14.25" customHeight="1" x14ac:dyDescent="0.2">
      <c r="CR952" s="154"/>
    </row>
    <row r="953" spans="96:96" ht="14.25" customHeight="1" x14ac:dyDescent="0.2">
      <c r="CR953" s="154"/>
    </row>
    <row r="954" spans="96:96" ht="14.25" customHeight="1" x14ac:dyDescent="0.2">
      <c r="CR954" s="154"/>
    </row>
    <row r="955" spans="96:96" ht="14.25" customHeight="1" x14ac:dyDescent="0.2">
      <c r="CR955" s="154"/>
    </row>
    <row r="956" spans="96:96" ht="14.25" customHeight="1" x14ac:dyDescent="0.2">
      <c r="CR956" s="154"/>
    </row>
    <row r="957" spans="96:96" ht="14.25" customHeight="1" x14ac:dyDescent="0.2">
      <c r="CR957" s="154"/>
    </row>
    <row r="958" spans="96:96" ht="14.25" customHeight="1" x14ac:dyDescent="0.2">
      <c r="CR958" s="154"/>
    </row>
    <row r="959" spans="96:96" ht="14.25" customHeight="1" x14ac:dyDescent="0.2">
      <c r="CR959" s="154"/>
    </row>
    <row r="960" spans="96:96" ht="14.25" customHeight="1" x14ac:dyDescent="0.2">
      <c r="CR960" s="154"/>
    </row>
    <row r="961" spans="96:96" ht="14.25" customHeight="1" x14ac:dyDescent="0.2">
      <c r="CR961" s="154"/>
    </row>
    <row r="962" spans="96:96" ht="14.25" customHeight="1" x14ac:dyDescent="0.2">
      <c r="CR962" s="154"/>
    </row>
    <row r="963" spans="96:96" ht="14.25" customHeight="1" x14ac:dyDescent="0.2">
      <c r="CR963" s="154"/>
    </row>
    <row r="964" spans="96:96" ht="14.25" customHeight="1" x14ac:dyDescent="0.2">
      <c r="CR964" s="154"/>
    </row>
    <row r="965" spans="96:96" ht="14.25" customHeight="1" x14ac:dyDescent="0.2">
      <c r="CR965" s="154"/>
    </row>
    <row r="966" spans="96:96" ht="14.25" customHeight="1" x14ac:dyDescent="0.2">
      <c r="CR966" s="154"/>
    </row>
    <row r="967" spans="96:96" ht="14.25" customHeight="1" x14ac:dyDescent="0.2">
      <c r="CR967" s="154"/>
    </row>
    <row r="968" spans="96:96" ht="14.25" customHeight="1" x14ac:dyDescent="0.2">
      <c r="CR968" s="154"/>
    </row>
    <row r="969" spans="96:96" ht="14.25" customHeight="1" x14ac:dyDescent="0.2">
      <c r="CR969" s="154"/>
    </row>
    <row r="970" spans="96:96" ht="14.25" customHeight="1" x14ac:dyDescent="0.2">
      <c r="CR970" s="154"/>
    </row>
    <row r="971" spans="96:96" ht="14.25" customHeight="1" x14ac:dyDescent="0.2">
      <c r="CR971" s="154"/>
    </row>
    <row r="972" spans="96:96" ht="14.25" customHeight="1" x14ac:dyDescent="0.2">
      <c r="CR972" s="154"/>
    </row>
    <row r="973" spans="96:96" ht="14.25" customHeight="1" x14ac:dyDescent="0.2">
      <c r="CR973" s="154"/>
    </row>
    <row r="974" spans="96:96" ht="14.25" customHeight="1" x14ac:dyDescent="0.2">
      <c r="CR974" s="154"/>
    </row>
    <row r="975" spans="96:96" ht="14.25" customHeight="1" x14ac:dyDescent="0.2">
      <c r="CR975" s="154"/>
    </row>
    <row r="976" spans="96:96" ht="14.25" customHeight="1" x14ac:dyDescent="0.2">
      <c r="CR976" s="154"/>
    </row>
    <row r="977" spans="96:96" ht="14.25" customHeight="1" x14ac:dyDescent="0.2">
      <c r="CR977" s="154"/>
    </row>
    <row r="978" spans="96:96" ht="14.25" customHeight="1" x14ac:dyDescent="0.2">
      <c r="CR978" s="154"/>
    </row>
    <row r="979" spans="96:96" ht="14.25" customHeight="1" x14ac:dyDescent="0.2">
      <c r="CR979" s="154"/>
    </row>
    <row r="980" spans="96:96" ht="14.25" customHeight="1" x14ac:dyDescent="0.2">
      <c r="CR980" s="154"/>
    </row>
    <row r="981" spans="96:96" ht="14.25" customHeight="1" x14ac:dyDescent="0.2">
      <c r="CR981" s="154"/>
    </row>
    <row r="982" spans="96:96" ht="14.25" customHeight="1" x14ac:dyDescent="0.2">
      <c r="CR982" s="154"/>
    </row>
    <row r="983" spans="96:96" ht="14.25" customHeight="1" x14ac:dyDescent="0.2">
      <c r="CR983" s="154"/>
    </row>
    <row r="984" spans="96:96" ht="14.25" customHeight="1" x14ac:dyDescent="0.2">
      <c r="CR984" s="154"/>
    </row>
    <row r="985" spans="96:96" ht="14.25" customHeight="1" x14ac:dyDescent="0.2">
      <c r="CR985" s="154"/>
    </row>
    <row r="986" spans="96:96" ht="14.25" customHeight="1" x14ac:dyDescent="0.2">
      <c r="CR986" s="154"/>
    </row>
    <row r="987" spans="96:96" ht="14.25" customHeight="1" x14ac:dyDescent="0.2">
      <c r="CR987" s="154"/>
    </row>
    <row r="988" spans="96:96" ht="14.25" customHeight="1" x14ac:dyDescent="0.2">
      <c r="CR988" s="154"/>
    </row>
    <row r="989" spans="96:96" ht="14.25" customHeight="1" x14ac:dyDescent="0.2">
      <c r="CR989" s="154"/>
    </row>
    <row r="990" spans="96:96" ht="14.25" customHeight="1" x14ac:dyDescent="0.2">
      <c r="CR990" s="154"/>
    </row>
    <row r="991" spans="96:96" ht="14.25" customHeight="1" x14ac:dyDescent="0.2">
      <c r="CR991" s="154"/>
    </row>
    <row r="992" spans="96:96" ht="14.25" customHeight="1" x14ac:dyDescent="0.2">
      <c r="CR992" s="154"/>
    </row>
    <row r="993" spans="96:96" ht="14.25" customHeight="1" x14ac:dyDescent="0.2">
      <c r="CR993" s="154"/>
    </row>
    <row r="994" spans="96:96" ht="14.25" customHeight="1" x14ac:dyDescent="0.2">
      <c r="CR994" s="154"/>
    </row>
    <row r="995" spans="96:96" ht="14.25" customHeight="1" x14ac:dyDescent="0.2">
      <c r="CR995" s="154"/>
    </row>
    <row r="996" spans="96:96" ht="14.25" customHeight="1" x14ac:dyDescent="0.2">
      <c r="CR996" s="154"/>
    </row>
    <row r="997" spans="96:96" ht="14.25" customHeight="1" x14ac:dyDescent="0.2">
      <c r="CR997" s="154"/>
    </row>
    <row r="998" spans="96:96" ht="14.25" customHeight="1" x14ac:dyDescent="0.2">
      <c r="CR998" s="154"/>
    </row>
    <row r="999" spans="96:96" ht="14.25" customHeight="1" x14ac:dyDescent="0.2">
      <c r="CR999" s="154"/>
    </row>
    <row r="1000" spans="96:96" ht="14.25" customHeight="1" x14ac:dyDescent="0.2">
      <c r="CR1000" s="154"/>
    </row>
  </sheetData>
  <mergeCells count="14">
    <mergeCell ref="AN2:AT2"/>
    <mergeCell ref="AU2:BA2"/>
    <mergeCell ref="BB2:BH2"/>
    <mergeCell ref="BI2:BO2"/>
    <mergeCell ref="B2:K2"/>
    <mergeCell ref="L2:R2"/>
    <mergeCell ref="S2:Y2"/>
    <mergeCell ref="Z2:AF2"/>
    <mergeCell ref="AG2:AM2"/>
    <mergeCell ref="BP2:BV2"/>
    <mergeCell ref="BW2:CC2"/>
    <mergeCell ref="CD2:CJ2"/>
    <mergeCell ref="CK2:CQ2"/>
    <mergeCell ref="CD1:CK1"/>
  </mergeCells>
  <printOptions horizontalCentered="1"/>
  <pageMargins left="9.8425196850393706E-2" right="9.8425196850393706E-2" top="0.59055118110236227" bottom="0.39370078740157483" header="0" footer="0"/>
  <pageSetup paperSize="9" scale="43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1CC0C-B56E-DE47-A614-D28B76450542}">
  <sheetPr>
    <pageSetUpPr fitToPage="1"/>
  </sheetPr>
  <dimension ref="A1:CQ1000"/>
  <sheetViews>
    <sheetView zoomScale="85" zoomScaleNormal="85" workbookViewId="0">
      <pane xSplit="1" ySplit="3" topLeftCell="AU24" activePane="bottomRight" state="frozen"/>
      <selection pane="topRight" activeCell="B1" sqref="B1"/>
      <selection pane="bottomLeft" activeCell="A4" sqref="A4"/>
      <selection pane="bottomRight" activeCell="AZ56" sqref="AZ56:AZ57"/>
    </sheetView>
  </sheetViews>
  <sheetFormatPr baseColWidth="10" defaultColWidth="14.5" defaultRowHeight="15" customHeight="1" x14ac:dyDescent="0.2"/>
  <cols>
    <col min="1" max="1" width="32.33203125" customWidth="1"/>
    <col min="2" max="95" width="11.5" customWidth="1"/>
  </cols>
  <sheetData>
    <row r="1" spans="1:95" ht="20" customHeight="1" thickBot="1" x14ac:dyDescent="0.25">
      <c r="A1" s="1" t="s">
        <v>103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</row>
    <row r="2" spans="1:95" ht="14.25" customHeight="1" thickBot="1" x14ac:dyDescent="0.25">
      <c r="A2" s="5"/>
      <c r="B2" s="245"/>
      <c r="C2" s="246"/>
      <c r="D2" s="246"/>
      <c r="E2" s="247"/>
      <c r="F2" s="247"/>
      <c r="G2" s="247"/>
      <c r="H2" s="247"/>
      <c r="I2" s="247"/>
      <c r="J2" s="247"/>
      <c r="K2" s="248"/>
      <c r="L2" s="245" t="s">
        <v>2</v>
      </c>
      <c r="M2" s="246"/>
      <c r="N2" s="246"/>
      <c r="O2" s="246"/>
      <c r="P2" s="246"/>
      <c r="Q2" s="247"/>
      <c r="R2" s="248"/>
      <c r="S2" s="245" t="s">
        <v>3</v>
      </c>
      <c r="T2" s="246"/>
      <c r="U2" s="246"/>
      <c r="V2" s="246"/>
      <c r="W2" s="246"/>
      <c r="X2" s="247"/>
      <c r="Y2" s="248"/>
      <c r="Z2" s="245" t="s">
        <v>4</v>
      </c>
      <c r="AA2" s="246"/>
      <c r="AB2" s="246"/>
      <c r="AC2" s="246"/>
      <c r="AD2" s="246"/>
      <c r="AE2" s="247"/>
      <c r="AF2" s="248"/>
      <c r="AG2" s="245" t="s">
        <v>5</v>
      </c>
      <c r="AH2" s="246"/>
      <c r="AI2" s="246"/>
      <c r="AJ2" s="246"/>
      <c r="AK2" s="246"/>
      <c r="AL2" s="247"/>
      <c r="AM2" s="248"/>
      <c r="AN2" s="245" t="s">
        <v>6</v>
      </c>
      <c r="AO2" s="246"/>
      <c r="AP2" s="246"/>
      <c r="AQ2" s="246"/>
      <c r="AR2" s="246"/>
      <c r="AS2" s="247"/>
      <c r="AT2" s="248"/>
      <c r="AU2" s="245" t="s">
        <v>7</v>
      </c>
      <c r="AV2" s="246"/>
      <c r="AW2" s="246"/>
      <c r="AX2" s="246"/>
      <c r="AY2" s="246"/>
      <c r="AZ2" s="247"/>
      <c r="BA2" s="248"/>
      <c r="BB2" s="245" t="s">
        <v>8</v>
      </c>
      <c r="BC2" s="246"/>
      <c r="BD2" s="246"/>
      <c r="BE2" s="246"/>
      <c r="BF2" s="246"/>
      <c r="BG2" s="247"/>
      <c r="BH2" s="248"/>
      <c r="BI2" s="245" t="s">
        <v>9</v>
      </c>
      <c r="BJ2" s="246"/>
      <c r="BK2" s="246"/>
      <c r="BL2" s="246"/>
      <c r="BM2" s="246"/>
      <c r="BN2" s="247"/>
      <c r="BO2" s="248"/>
      <c r="BP2" s="245" t="s">
        <v>10</v>
      </c>
      <c r="BQ2" s="246"/>
      <c r="BR2" s="246"/>
      <c r="BS2" s="246"/>
      <c r="BT2" s="246"/>
      <c r="BU2" s="247"/>
      <c r="BV2" s="248"/>
      <c r="BW2" s="245" t="s">
        <v>11</v>
      </c>
      <c r="BX2" s="246"/>
      <c r="BY2" s="246"/>
      <c r="BZ2" s="246"/>
      <c r="CA2" s="246"/>
      <c r="CB2" s="247"/>
      <c r="CC2" s="248"/>
      <c r="CD2" s="245" t="s">
        <v>12</v>
      </c>
      <c r="CE2" s="246"/>
      <c r="CF2" s="246"/>
      <c r="CG2" s="246"/>
      <c r="CH2" s="246"/>
      <c r="CI2" s="247"/>
      <c r="CJ2" s="248"/>
      <c r="CK2" s="245" t="s">
        <v>13</v>
      </c>
      <c r="CL2" s="246"/>
      <c r="CM2" s="246"/>
      <c r="CN2" s="246"/>
      <c r="CO2" s="246"/>
      <c r="CP2" s="247"/>
      <c r="CQ2" s="248"/>
    </row>
    <row r="3" spans="1:95" ht="45" customHeight="1" thickBot="1" x14ac:dyDescent="0.25">
      <c r="A3" s="5"/>
      <c r="B3" s="8" t="s">
        <v>14</v>
      </c>
      <c r="C3" s="9" t="s">
        <v>15</v>
      </c>
      <c r="D3" s="10" t="s">
        <v>16</v>
      </c>
      <c r="E3" s="8" t="s">
        <v>17</v>
      </c>
      <c r="F3" s="11" t="s">
        <v>18</v>
      </c>
      <c r="G3" s="12" t="s">
        <v>19</v>
      </c>
      <c r="H3" s="13" t="s">
        <v>20</v>
      </c>
      <c r="I3" s="14" t="s">
        <v>21</v>
      </c>
      <c r="J3" s="14" t="s">
        <v>22</v>
      </c>
      <c r="K3" s="15" t="s">
        <v>23</v>
      </c>
      <c r="L3" s="6" t="s">
        <v>24</v>
      </c>
      <c r="M3" s="14" t="s">
        <v>25</v>
      </c>
      <c r="N3" s="14" t="s">
        <v>26</v>
      </c>
      <c r="O3" s="14" t="s">
        <v>20</v>
      </c>
      <c r="P3" s="14" t="s">
        <v>21</v>
      </c>
      <c r="Q3" s="14" t="s">
        <v>27</v>
      </c>
      <c r="R3" s="15" t="s">
        <v>23</v>
      </c>
      <c r="S3" s="6" t="s">
        <v>24</v>
      </c>
      <c r="T3" s="14" t="s">
        <v>25</v>
      </c>
      <c r="U3" s="14" t="s">
        <v>26</v>
      </c>
      <c r="V3" s="14" t="s">
        <v>20</v>
      </c>
      <c r="W3" s="14" t="s">
        <v>21</v>
      </c>
      <c r="X3" s="14" t="s">
        <v>27</v>
      </c>
      <c r="Y3" s="15" t="s">
        <v>23</v>
      </c>
      <c r="Z3" s="6" t="s">
        <v>24</v>
      </c>
      <c r="AA3" s="14" t="s">
        <v>25</v>
      </c>
      <c r="AB3" s="14" t="s">
        <v>26</v>
      </c>
      <c r="AC3" s="14" t="s">
        <v>20</v>
      </c>
      <c r="AD3" s="14" t="s">
        <v>21</v>
      </c>
      <c r="AE3" s="14" t="s">
        <v>22</v>
      </c>
      <c r="AF3" s="15" t="s">
        <v>23</v>
      </c>
      <c r="AG3" s="6" t="s">
        <v>24</v>
      </c>
      <c r="AH3" s="14" t="s">
        <v>25</v>
      </c>
      <c r="AI3" s="14" t="s">
        <v>26</v>
      </c>
      <c r="AJ3" s="14" t="s">
        <v>20</v>
      </c>
      <c r="AK3" s="14" t="s">
        <v>21</v>
      </c>
      <c r="AL3" s="14" t="s">
        <v>22</v>
      </c>
      <c r="AM3" s="15" t="s">
        <v>23</v>
      </c>
      <c r="AN3" s="6" t="s">
        <v>24</v>
      </c>
      <c r="AO3" s="14" t="s">
        <v>25</v>
      </c>
      <c r="AP3" s="14" t="s">
        <v>26</v>
      </c>
      <c r="AQ3" s="14" t="s">
        <v>20</v>
      </c>
      <c r="AR3" s="14" t="s">
        <v>21</v>
      </c>
      <c r="AS3" s="14" t="s">
        <v>22</v>
      </c>
      <c r="AT3" s="15" t="s">
        <v>23</v>
      </c>
      <c r="AU3" s="6" t="s">
        <v>24</v>
      </c>
      <c r="AV3" s="14" t="s">
        <v>25</v>
      </c>
      <c r="AW3" s="14" t="s">
        <v>26</v>
      </c>
      <c r="AX3" s="14" t="s">
        <v>20</v>
      </c>
      <c r="AY3" s="14" t="s">
        <v>21</v>
      </c>
      <c r="AZ3" s="14" t="s">
        <v>22</v>
      </c>
      <c r="BA3" s="15" t="s">
        <v>23</v>
      </c>
      <c r="BB3" s="6" t="s">
        <v>24</v>
      </c>
      <c r="BC3" s="14" t="s">
        <v>25</v>
      </c>
      <c r="BD3" s="14" t="s">
        <v>26</v>
      </c>
      <c r="BE3" s="14" t="s">
        <v>20</v>
      </c>
      <c r="BF3" s="14" t="s">
        <v>21</v>
      </c>
      <c r="BG3" s="14" t="s">
        <v>22</v>
      </c>
      <c r="BH3" s="15" t="s">
        <v>23</v>
      </c>
      <c r="BI3" s="6" t="s">
        <v>24</v>
      </c>
      <c r="BJ3" s="14" t="s">
        <v>25</v>
      </c>
      <c r="BK3" s="14" t="s">
        <v>26</v>
      </c>
      <c r="BL3" s="14" t="s">
        <v>20</v>
      </c>
      <c r="BM3" s="14" t="s">
        <v>21</v>
      </c>
      <c r="BN3" s="14" t="s">
        <v>22</v>
      </c>
      <c r="BO3" s="15" t="s">
        <v>23</v>
      </c>
      <c r="BP3" s="6" t="s">
        <v>24</v>
      </c>
      <c r="BQ3" s="14" t="s">
        <v>25</v>
      </c>
      <c r="BR3" s="14" t="s">
        <v>26</v>
      </c>
      <c r="BS3" s="14" t="s">
        <v>20</v>
      </c>
      <c r="BT3" s="14" t="s">
        <v>21</v>
      </c>
      <c r="BU3" s="14" t="s">
        <v>22</v>
      </c>
      <c r="BV3" s="15" t="s">
        <v>23</v>
      </c>
      <c r="BW3" s="6" t="s">
        <v>24</v>
      </c>
      <c r="BX3" s="14" t="s">
        <v>25</v>
      </c>
      <c r="BY3" s="14" t="s">
        <v>26</v>
      </c>
      <c r="BZ3" s="14" t="s">
        <v>20</v>
      </c>
      <c r="CA3" s="14" t="s">
        <v>21</v>
      </c>
      <c r="CB3" s="14" t="s">
        <v>22</v>
      </c>
      <c r="CC3" s="15" t="s">
        <v>23</v>
      </c>
      <c r="CD3" s="6" t="s">
        <v>24</v>
      </c>
      <c r="CE3" s="14" t="s">
        <v>25</v>
      </c>
      <c r="CF3" s="14" t="s">
        <v>26</v>
      </c>
      <c r="CG3" s="14" t="s">
        <v>20</v>
      </c>
      <c r="CH3" s="14" t="s">
        <v>21</v>
      </c>
      <c r="CI3" s="14" t="s">
        <v>22</v>
      </c>
      <c r="CJ3" s="15" t="s">
        <v>23</v>
      </c>
      <c r="CK3" s="6" t="s">
        <v>24</v>
      </c>
      <c r="CL3" s="14" t="s">
        <v>25</v>
      </c>
      <c r="CM3" s="14" t="s">
        <v>26</v>
      </c>
      <c r="CN3" s="14" t="s">
        <v>20</v>
      </c>
      <c r="CO3" s="14" t="s">
        <v>21</v>
      </c>
      <c r="CP3" s="14" t="s">
        <v>22</v>
      </c>
      <c r="CQ3" s="15" t="s">
        <v>23</v>
      </c>
    </row>
    <row r="4" spans="1:95" s="26" customFormat="1" ht="16" customHeight="1" thickBot="1" x14ac:dyDescent="0.25">
      <c r="A4" s="16" t="s">
        <v>28</v>
      </c>
      <c r="B4" s="17">
        <f t="shared" ref="B4:D35" si="0">+L4+S4+Z4+AG4+AN4+AU4+BB4+BI4+BP4+BW4+CD4+CK4</f>
        <v>148077.47166841998</v>
      </c>
      <c r="C4" s="18">
        <f t="shared" si="0"/>
        <v>148077.47166841998</v>
      </c>
      <c r="D4" s="19">
        <f t="shared" si="0"/>
        <v>0</v>
      </c>
      <c r="E4" s="17">
        <f>+L4+S4+Z4+AG4</f>
        <v>52291.325538199999</v>
      </c>
      <c r="F4" s="20">
        <f>+M4+T4+AA4+AH4</f>
        <v>52291.325538199999</v>
      </c>
      <c r="G4" s="21">
        <f>+N4+U4+AB4+AI4</f>
        <v>0</v>
      </c>
      <c r="H4" s="18">
        <f t="shared" ref="H4:J35" si="1">+O4+V4+AC4+AJ4+AQ4+AX4+BE4+BL4+BS4+BZ4+CG4+CN4</f>
        <v>73204.472453783528</v>
      </c>
      <c r="I4" s="20">
        <f t="shared" si="1"/>
        <v>0</v>
      </c>
      <c r="J4" s="20">
        <f t="shared" si="1"/>
        <v>73204.472453783528</v>
      </c>
      <c r="K4" s="25">
        <f>IF(E4=0,"",(+J4/E4-1))</f>
        <v>0.39993529902595415</v>
      </c>
      <c r="L4" s="23">
        <v>11403.11263455</v>
      </c>
      <c r="M4" s="18">
        <f>L4-N4</f>
        <v>11403.11263455</v>
      </c>
      <c r="N4" s="18">
        <f>+L4*0%</f>
        <v>0</v>
      </c>
      <c r="O4" s="18">
        <f>+Q4-P4</f>
        <v>8571.9122144116463</v>
      </c>
      <c r="P4" s="18"/>
      <c r="Q4" s="20">
        <v>8571.9122144116463</v>
      </c>
      <c r="R4" s="25">
        <f>IF(L4=0,"",(+Q4/L4-1))</f>
        <v>-0.24828312329040503</v>
      </c>
      <c r="S4" s="23">
        <v>18081.987634549998</v>
      </c>
      <c r="T4" s="18">
        <f>S4-U4</f>
        <v>18081.987634549998</v>
      </c>
      <c r="U4" s="18">
        <f>+S4*0%</f>
        <v>0</v>
      </c>
      <c r="V4" s="18">
        <f>+X4-W4</f>
        <v>12043.359442386722</v>
      </c>
      <c r="W4" s="18"/>
      <c r="X4" s="20">
        <v>12043.359442386722</v>
      </c>
      <c r="Y4" s="25">
        <f t="shared" ref="Y4:Y54" si="2">IF(S4=0,"",(+X4/S4-1))</f>
        <v>-0.33395820825720623</v>
      </c>
      <c r="Z4" s="23">
        <v>11403.11263455</v>
      </c>
      <c r="AA4" s="18">
        <f>Z4-AB4</f>
        <v>11403.11263455</v>
      </c>
      <c r="AB4" s="18">
        <f>+Z4*0%</f>
        <v>0</v>
      </c>
      <c r="AC4" s="18">
        <f>+AE4-AD4</f>
        <v>8885.016809322562</v>
      </c>
      <c r="AD4" s="18"/>
      <c r="AE4" s="24">
        <v>8885.016809322562</v>
      </c>
      <c r="AF4" s="25">
        <f t="shared" ref="AF4:AF54" si="3">IF(Z4=0,"",(+AE4/Z4-1))</f>
        <v>-0.22082530497839015</v>
      </c>
      <c r="AG4" s="23">
        <v>11403.11263455</v>
      </c>
      <c r="AH4" s="18">
        <f>AG4-AI4</f>
        <v>11403.11263455</v>
      </c>
      <c r="AI4" s="18">
        <f>+AG4*0%</f>
        <v>0</v>
      </c>
      <c r="AJ4" s="18">
        <f>+AL4-AK4</f>
        <v>17398.372372984024</v>
      </c>
      <c r="AK4" s="18"/>
      <c r="AL4" s="24">
        <v>17398.372372984024</v>
      </c>
      <c r="AM4" s="25">
        <f t="shared" ref="AM4:AM54" si="4">IF(AG4=0,"",(+AL4/AG4-1))</f>
        <v>0.52575642551044699</v>
      </c>
      <c r="AN4" s="23">
        <v>11403.11263455</v>
      </c>
      <c r="AO4" s="18">
        <f>AN4-AP4</f>
        <v>11403.11263455</v>
      </c>
      <c r="AP4" s="18">
        <f>+AN4*0%</f>
        <v>0</v>
      </c>
      <c r="AQ4" s="18">
        <f>+AS4-AR4</f>
        <v>13343.78701239811</v>
      </c>
      <c r="AR4" s="18"/>
      <c r="AS4" s="24">
        <v>13343.78701239811</v>
      </c>
      <c r="AT4" s="25">
        <f t="shared" ref="AT4:AT54" si="5">IF(AN4=0,"",(+AS4/AN4-1))</f>
        <v>0.17018812670218741</v>
      </c>
      <c r="AU4" s="23">
        <v>11403.11263455</v>
      </c>
      <c r="AV4" s="18">
        <f>AU4-AW4</f>
        <v>11403.11263455</v>
      </c>
      <c r="AW4" s="18">
        <f>+AU4*0%</f>
        <v>0</v>
      </c>
      <c r="AX4" s="18">
        <f>+AZ4-AY4</f>
        <v>12962.024602280469</v>
      </c>
      <c r="AY4" s="18"/>
      <c r="AZ4" s="24">
        <v>12962.024602280469</v>
      </c>
      <c r="BA4" s="25">
        <f t="shared" ref="BA4:BA54" si="6">IF(AU4=0,"",(+AZ4/AU4-1))</f>
        <v>0.13670933697586762</v>
      </c>
      <c r="BB4" s="23">
        <v>11403.11263455</v>
      </c>
      <c r="BC4" s="18">
        <f>BB4-BD4</f>
        <v>11403.11263455</v>
      </c>
      <c r="BD4" s="18">
        <f>+BB4*0%</f>
        <v>0</v>
      </c>
      <c r="BE4" s="18">
        <f>+BG4-BF4</f>
        <v>0</v>
      </c>
      <c r="BF4" s="18"/>
      <c r="BG4" s="24">
        <v>0</v>
      </c>
      <c r="BH4" s="25">
        <f t="shared" ref="BH4:BH54" si="7">IF(BB4=0,"",(+BG4/BB4-1))</f>
        <v>-1</v>
      </c>
      <c r="BI4" s="23">
        <v>12315.361645314002</v>
      </c>
      <c r="BJ4" s="18">
        <f>BI4-BK4</f>
        <v>12315.361645314002</v>
      </c>
      <c r="BK4" s="18">
        <f>+BI4*0%</f>
        <v>0</v>
      </c>
      <c r="BL4" s="18">
        <f>+BN4-BM4</f>
        <v>0</v>
      </c>
      <c r="BM4" s="18"/>
      <c r="BN4" s="24">
        <v>0</v>
      </c>
      <c r="BO4" s="25">
        <f t="shared" ref="BO4:BO54" si="8">IF(BI4=0,"",(+BN4/BI4-1))</f>
        <v>-1</v>
      </c>
      <c r="BP4" s="23">
        <v>12315.361645314002</v>
      </c>
      <c r="BQ4" s="18">
        <f>BP4-BR4</f>
        <v>12315.361645314002</v>
      </c>
      <c r="BR4" s="18">
        <f>+BP4*0%</f>
        <v>0</v>
      </c>
      <c r="BS4" s="18">
        <f>+BU4-BT4</f>
        <v>0</v>
      </c>
      <c r="BT4" s="18"/>
      <c r="BU4" s="24">
        <v>0</v>
      </c>
      <c r="BV4" s="25">
        <f t="shared" ref="BV4:BV54" si="9">IF(BP4=0,"",(+BU4/BP4-1))</f>
        <v>-1</v>
      </c>
      <c r="BW4" s="23">
        <v>12315.361645314002</v>
      </c>
      <c r="BX4" s="18">
        <f>BW4-BY4</f>
        <v>12315.361645314002</v>
      </c>
      <c r="BY4" s="18">
        <f>+BW4*0%</f>
        <v>0</v>
      </c>
      <c r="BZ4" s="18">
        <f>+CB4-CA4</f>
        <v>0</v>
      </c>
      <c r="CA4" s="18"/>
      <c r="CB4" s="24">
        <v>0</v>
      </c>
      <c r="CC4" s="25">
        <f t="shared" ref="CC4:CC54" si="10">IF(BW4=0,"",(+CB4/BW4-1))</f>
        <v>-1</v>
      </c>
      <c r="CD4" s="23">
        <v>12315.361645314002</v>
      </c>
      <c r="CE4" s="18">
        <f>CD4-CF4</f>
        <v>12315.361645314002</v>
      </c>
      <c r="CF4" s="18">
        <f>+CD4*0%</f>
        <v>0</v>
      </c>
      <c r="CG4" s="18">
        <f>+CI4-CH4</f>
        <v>0</v>
      </c>
      <c r="CH4" s="18"/>
      <c r="CI4" s="24">
        <v>0</v>
      </c>
      <c r="CJ4" s="25">
        <f t="shared" ref="CJ4:CJ54" si="11">IF(CD4=0,"",(+CI4/CD4-1))</f>
        <v>-1</v>
      </c>
      <c r="CK4" s="23">
        <v>12315.361645314002</v>
      </c>
      <c r="CL4" s="18">
        <f>CK4-CM4</f>
        <v>12315.361645314002</v>
      </c>
      <c r="CM4" s="18">
        <f>+CK4*0%</f>
        <v>0</v>
      </c>
      <c r="CN4" s="18">
        <f>+CP4-CO4</f>
        <v>0</v>
      </c>
      <c r="CO4" s="18"/>
      <c r="CP4" s="24">
        <v>0</v>
      </c>
      <c r="CQ4" s="25">
        <f t="shared" ref="CQ4:CQ54" si="12">IF(CK4=0,"",(+CP4/CK4-1))</f>
        <v>-1</v>
      </c>
    </row>
    <row r="5" spans="1:95" s="26" customFormat="1" ht="16" customHeight="1" thickBot="1" x14ac:dyDescent="0.25">
      <c r="A5" s="29" t="s">
        <v>29</v>
      </c>
      <c r="B5" s="30">
        <f t="shared" si="0"/>
        <v>9187.5</v>
      </c>
      <c r="C5" s="31">
        <f t="shared" si="0"/>
        <v>9187.5</v>
      </c>
      <c r="D5" s="32">
        <f t="shared" si="0"/>
        <v>0</v>
      </c>
      <c r="E5" s="30">
        <f t="shared" ref="E5:G36" si="13">+L5+S5+Z5+AG5</f>
        <v>3062.5</v>
      </c>
      <c r="F5" s="33">
        <f t="shared" si="13"/>
        <v>3062.5</v>
      </c>
      <c r="G5" s="34">
        <f t="shared" si="13"/>
        <v>0</v>
      </c>
      <c r="H5" s="31">
        <f t="shared" si="1"/>
        <v>6465.8662425407547</v>
      </c>
      <c r="I5" s="33">
        <f t="shared" si="1"/>
        <v>0</v>
      </c>
      <c r="J5" s="33">
        <f t="shared" si="1"/>
        <v>6465.8662425407547</v>
      </c>
      <c r="K5" s="37">
        <f t="shared" ref="K5:K54" si="14">IF(E5=0,"",(+J5/E5-1))</f>
        <v>1.1113032628704507</v>
      </c>
      <c r="L5" s="36">
        <v>765.625</v>
      </c>
      <c r="M5" s="31">
        <f t="shared" ref="M5:M54" si="15">L5-N5</f>
        <v>765.625</v>
      </c>
      <c r="N5" s="31">
        <f t="shared" ref="N5:N58" si="16">+L5*0%</f>
        <v>0</v>
      </c>
      <c r="O5" s="31">
        <f t="shared" ref="O5:O54" si="17">+Q5-P5</f>
        <v>984.44655410344694</v>
      </c>
      <c r="P5" s="31"/>
      <c r="Q5" s="33">
        <v>984.44655410344694</v>
      </c>
      <c r="R5" s="37">
        <f t="shared" ref="R5:R54" si="18">IF(L5=0,"",(+Q5/L5-1))</f>
        <v>0.28580774413511434</v>
      </c>
      <c r="S5" s="36">
        <v>765.625</v>
      </c>
      <c r="T5" s="31">
        <f t="shared" ref="T5:T54" si="19">S5-U5</f>
        <v>765.625</v>
      </c>
      <c r="U5" s="18">
        <f t="shared" ref="U5:U58" si="20">+S5*0%</f>
        <v>0</v>
      </c>
      <c r="V5" s="31">
        <f t="shared" ref="V5:V54" si="21">+X5-W5</f>
        <v>1004.7897725147083</v>
      </c>
      <c r="W5" s="31"/>
      <c r="X5" s="33">
        <v>1004.7897725147083</v>
      </c>
      <c r="Y5" s="37">
        <f t="shared" si="2"/>
        <v>0.31237847838655775</v>
      </c>
      <c r="Z5" s="36">
        <v>765.625</v>
      </c>
      <c r="AA5" s="31">
        <f t="shared" ref="AA5:AA54" si="22">Z5-AB5</f>
        <v>765.625</v>
      </c>
      <c r="AB5" s="18">
        <f t="shared" ref="AB5:AB58" si="23">+Z5*0%</f>
        <v>0</v>
      </c>
      <c r="AC5" s="31">
        <f t="shared" ref="AC5:AC54" si="24">+AE5-AD5</f>
        <v>677.80974975809568</v>
      </c>
      <c r="AD5" s="31"/>
      <c r="AE5" s="27">
        <v>677.80974975809568</v>
      </c>
      <c r="AF5" s="37">
        <f t="shared" si="3"/>
        <v>-0.11469746970371175</v>
      </c>
      <c r="AG5" s="36">
        <v>765.625</v>
      </c>
      <c r="AH5" s="31">
        <f t="shared" ref="AH5:AH54" si="25">AG5-AI5</f>
        <v>765.625</v>
      </c>
      <c r="AI5" s="18">
        <f t="shared" ref="AI5:AI58" si="26">+AG5*0%</f>
        <v>0</v>
      </c>
      <c r="AJ5" s="31">
        <f t="shared" ref="AJ5:AJ54" si="27">+AL5-AK5</f>
        <v>947.17646883930036</v>
      </c>
      <c r="AK5" s="31"/>
      <c r="AL5" s="27">
        <v>947.17646883930036</v>
      </c>
      <c r="AM5" s="37">
        <f t="shared" si="4"/>
        <v>0.2371284490962291</v>
      </c>
      <c r="AN5" s="36">
        <v>765.625</v>
      </c>
      <c r="AO5" s="31">
        <f t="shared" ref="AO5:AO54" si="28">AN5-AP5</f>
        <v>765.625</v>
      </c>
      <c r="AP5" s="18">
        <f t="shared" ref="AP5:AP58" si="29">+AN5*0%</f>
        <v>0</v>
      </c>
      <c r="AQ5" s="31">
        <f t="shared" ref="AQ5:AQ54" si="30">+AS5-AR5</f>
        <v>1453.3171780591617</v>
      </c>
      <c r="AR5" s="31"/>
      <c r="AS5" s="27">
        <v>1453.3171780591617</v>
      </c>
      <c r="AT5" s="37">
        <f t="shared" si="5"/>
        <v>0.8982101917507419</v>
      </c>
      <c r="AU5" s="36">
        <v>765.625</v>
      </c>
      <c r="AV5" s="31">
        <f t="shared" ref="AV5:AV54" si="31">AU5-AW5</f>
        <v>765.625</v>
      </c>
      <c r="AW5" s="18">
        <f t="shared" ref="AW5:AW58" si="32">+AU5*0%</f>
        <v>0</v>
      </c>
      <c r="AX5" s="31">
        <f t="shared" ref="AX5:AX54" si="33">+AZ5-AY5</f>
        <v>1398.3265192660422</v>
      </c>
      <c r="AY5" s="31"/>
      <c r="AZ5" s="27">
        <v>1398.3265192660422</v>
      </c>
      <c r="BA5" s="37">
        <f t="shared" si="6"/>
        <v>0.82638565781687134</v>
      </c>
      <c r="BB5" s="36">
        <v>765.625</v>
      </c>
      <c r="BC5" s="31">
        <f t="shared" ref="BC5:BC54" si="34">BB5-BD5</f>
        <v>765.625</v>
      </c>
      <c r="BD5" s="18">
        <f t="shared" ref="BD5:BD58" si="35">+BB5*0%</f>
        <v>0</v>
      </c>
      <c r="BE5" s="31">
        <f t="shared" ref="BE5:BE54" si="36">+BG5-BF5</f>
        <v>0</v>
      </c>
      <c r="BF5" s="31"/>
      <c r="BG5" s="27">
        <v>0</v>
      </c>
      <c r="BH5" s="37">
        <f t="shared" si="7"/>
        <v>-1</v>
      </c>
      <c r="BI5" s="36">
        <v>765.625</v>
      </c>
      <c r="BJ5" s="31">
        <f t="shared" ref="BJ5:BJ54" si="37">BI5-BK5</f>
        <v>765.625</v>
      </c>
      <c r="BK5" s="18">
        <f t="shared" ref="BK5:BK58" si="38">+BI5*0%</f>
        <v>0</v>
      </c>
      <c r="BL5" s="31">
        <f t="shared" ref="BL5:BL54" si="39">+BN5-BM5</f>
        <v>0</v>
      </c>
      <c r="BM5" s="31"/>
      <c r="BN5" s="27">
        <v>0</v>
      </c>
      <c r="BO5" s="37">
        <f t="shared" si="8"/>
        <v>-1</v>
      </c>
      <c r="BP5" s="36">
        <v>765.625</v>
      </c>
      <c r="BQ5" s="31">
        <f t="shared" ref="BQ5:BQ54" si="40">BP5-BR5</f>
        <v>765.625</v>
      </c>
      <c r="BR5" s="18">
        <f t="shared" ref="BR5:BR58" si="41">+BP5*0%</f>
        <v>0</v>
      </c>
      <c r="BS5" s="31">
        <f t="shared" ref="BS5:BS54" si="42">+BU5-BT5</f>
        <v>0</v>
      </c>
      <c r="BT5" s="31"/>
      <c r="BU5" s="27">
        <v>0</v>
      </c>
      <c r="BV5" s="37">
        <f t="shared" si="9"/>
        <v>-1</v>
      </c>
      <c r="BW5" s="36">
        <v>765.625</v>
      </c>
      <c r="BX5" s="31">
        <f t="shared" ref="BX5:BX54" si="43">BW5-BY5</f>
        <v>765.625</v>
      </c>
      <c r="BY5" s="18">
        <f t="shared" ref="BY5:BY58" si="44">+BW5*0%</f>
        <v>0</v>
      </c>
      <c r="BZ5" s="31">
        <f t="shared" ref="BZ5:BZ54" si="45">+CB5-CA5</f>
        <v>0</v>
      </c>
      <c r="CA5" s="31"/>
      <c r="CB5" s="27">
        <v>0</v>
      </c>
      <c r="CC5" s="37">
        <f t="shared" si="10"/>
        <v>-1</v>
      </c>
      <c r="CD5" s="36">
        <v>765.625</v>
      </c>
      <c r="CE5" s="31">
        <f t="shared" ref="CE5:CE54" si="46">CD5-CF5</f>
        <v>765.625</v>
      </c>
      <c r="CF5" s="18">
        <f t="shared" ref="CF5:CF58" si="47">+CD5*0%</f>
        <v>0</v>
      </c>
      <c r="CG5" s="31">
        <f t="shared" ref="CG5:CG54" si="48">+CI5-CH5</f>
        <v>0</v>
      </c>
      <c r="CH5" s="31"/>
      <c r="CI5" s="27">
        <v>0</v>
      </c>
      <c r="CJ5" s="37">
        <f t="shared" si="11"/>
        <v>-1</v>
      </c>
      <c r="CK5" s="36">
        <v>765.625</v>
      </c>
      <c r="CL5" s="31">
        <f t="shared" ref="CL5:CL54" si="49">CK5-CM5</f>
        <v>765.625</v>
      </c>
      <c r="CM5" s="18">
        <f t="shared" ref="CM5:CM58" si="50">+CK5*0%</f>
        <v>0</v>
      </c>
      <c r="CN5" s="31">
        <f t="shared" ref="CN5:CN54" si="51">+CP5-CO5</f>
        <v>0</v>
      </c>
      <c r="CO5" s="31"/>
      <c r="CP5" s="27">
        <v>0</v>
      </c>
      <c r="CQ5" s="37">
        <f t="shared" si="12"/>
        <v>-1</v>
      </c>
    </row>
    <row r="6" spans="1:95" s="26" customFormat="1" ht="16" customHeight="1" thickBot="1" x14ac:dyDescent="0.25">
      <c r="A6" s="29" t="s">
        <v>30</v>
      </c>
      <c r="B6" s="30">
        <f t="shared" si="0"/>
        <v>17949.555274847698</v>
      </c>
      <c r="C6" s="31">
        <f t="shared" si="0"/>
        <v>17949.555274847698</v>
      </c>
      <c r="D6" s="32">
        <f t="shared" si="0"/>
        <v>0</v>
      </c>
      <c r="E6" s="30">
        <f t="shared" si="13"/>
        <v>5801.0658144670006</v>
      </c>
      <c r="F6" s="33">
        <f t="shared" si="13"/>
        <v>5801.0658144670006</v>
      </c>
      <c r="G6" s="34">
        <f t="shared" si="13"/>
        <v>0</v>
      </c>
      <c r="H6" s="31">
        <f t="shared" si="1"/>
        <v>8320.9486390990496</v>
      </c>
      <c r="I6" s="33">
        <f t="shared" si="1"/>
        <v>0</v>
      </c>
      <c r="J6" s="33">
        <f t="shared" si="1"/>
        <v>8320.9486390990496</v>
      </c>
      <c r="K6" s="37">
        <f t="shared" si="14"/>
        <v>0.43438273331563204</v>
      </c>
      <c r="L6" s="36">
        <v>1450.2664536167501</v>
      </c>
      <c r="M6" s="31">
        <f t="shared" si="15"/>
        <v>1450.2664536167501</v>
      </c>
      <c r="N6" s="31">
        <f t="shared" si="16"/>
        <v>0</v>
      </c>
      <c r="O6" s="31">
        <f t="shared" si="17"/>
        <v>1303.0230871020974</v>
      </c>
      <c r="P6" s="31"/>
      <c r="Q6" s="33">
        <v>1303.0230871020974</v>
      </c>
      <c r="R6" s="37">
        <f t="shared" si="18"/>
        <v>-0.10152849233149508</v>
      </c>
      <c r="S6" s="36">
        <v>1450.2664536167501</v>
      </c>
      <c r="T6" s="31">
        <f t="shared" si="19"/>
        <v>1450.2664536167501</v>
      </c>
      <c r="U6" s="18">
        <f t="shared" si="20"/>
        <v>0</v>
      </c>
      <c r="V6" s="31">
        <f t="shared" si="21"/>
        <v>1286.3718736152184</v>
      </c>
      <c r="W6" s="31"/>
      <c r="X6" s="33">
        <v>1286.3718736152184</v>
      </c>
      <c r="Y6" s="37">
        <f t="shared" si="2"/>
        <v>-0.11300997798908119</v>
      </c>
      <c r="Z6" s="36">
        <v>1450.2664536167501</v>
      </c>
      <c r="AA6" s="31">
        <f t="shared" si="22"/>
        <v>1450.2664536167501</v>
      </c>
      <c r="AB6" s="18">
        <f t="shared" si="23"/>
        <v>0</v>
      </c>
      <c r="AC6" s="31">
        <f t="shared" si="24"/>
        <v>1386.5793104239219</v>
      </c>
      <c r="AD6" s="31"/>
      <c r="AE6" s="27">
        <v>1386.5793104239219</v>
      </c>
      <c r="AF6" s="37">
        <f t="shared" si="3"/>
        <v>-4.3914098015576331E-2</v>
      </c>
      <c r="AG6" s="36">
        <v>1450.2664536167501</v>
      </c>
      <c r="AH6" s="31">
        <f t="shared" si="25"/>
        <v>1450.2664536167501</v>
      </c>
      <c r="AI6" s="18">
        <f t="shared" si="26"/>
        <v>0</v>
      </c>
      <c r="AJ6" s="31">
        <f t="shared" si="27"/>
        <v>1346.7609629318065</v>
      </c>
      <c r="AK6" s="31"/>
      <c r="AL6" s="27">
        <v>1346.7609629318065</v>
      </c>
      <c r="AM6" s="37">
        <f t="shared" si="4"/>
        <v>-7.1369981996629805E-2</v>
      </c>
      <c r="AN6" s="36">
        <v>1450.2664536167501</v>
      </c>
      <c r="AO6" s="31">
        <f t="shared" si="28"/>
        <v>1450.2664536167501</v>
      </c>
      <c r="AP6" s="18">
        <f t="shared" si="29"/>
        <v>0</v>
      </c>
      <c r="AQ6" s="31">
        <f t="shared" si="30"/>
        <v>1563.8235496758891</v>
      </c>
      <c r="AR6" s="31"/>
      <c r="AS6" s="27">
        <v>1563.8235496758891</v>
      </c>
      <c r="AT6" s="37">
        <f t="shared" si="5"/>
        <v>7.8300850009971779E-2</v>
      </c>
      <c r="AU6" s="36">
        <v>1450.2664536167501</v>
      </c>
      <c r="AV6" s="31">
        <f t="shared" si="31"/>
        <v>1450.2664536167501</v>
      </c>
      <c r="AW6" s="18">
        <f t="shared" si="32"/>
        <v>0</v>
      </c>
      <c r="AX6" s="31">
        <f t="shared" si="33"/>
        <v>1434.3898553501169</v>
      </c>
      <c r="AY6" s="31"/>
      <c r="AZ6" s="27">
        <v>1434.3898553501169</v>
      </c>
      <c r="BA6" s="37">
        <f t="shared" si="6"/>
        <v>-1.0947366414660764E-2</v>
      </c>
      <c r="BB6" s="36">
        <v>1450.2664536167501</v>
      </c>
      <c r="BC6" s="31">
        <f t="shared" si="34"/>
        <v>1450.2664536167501</v>
      </c>
      <c r="BD6" s="18">
        <f t="shared" si="35"/>
        <v>0</v>
      </c>
      <c r="BE6" s="31">
        <f t="shared" si="36"/>
        <v>0</v>
      </c>
      <c r="BF6" s="31"/>
      <c r="BG6" s="27">
        <v>0</v>
      </c>
      <c r="BH6" s="37">
        <f t="shared" si="7"/>
        <v>-1</v>
      </c>
      <c r="BI6" s="36">
        <v>1559.5380199060899</v>
      </c>
      <c r="BJ6" s="31">
        <f t="shared" si="37"/>
        <v>1559.5380199060899</v>
      </c>
      <c r="BK6" s="18">
        <f t="shared" si="38"/>
        <v>0</v>
      </c>
      <c r="BL6" s="31">
        <f t="shared" si="39"/>
        <v>0</v>
      </c>
      <c r="BM6" s="31"/>
      <c r="BN6" s="27">
        <v>0</v>
      </c>
      <c r="BO6" s="37">
        <f t="shared" si="8"/>
        <v>-1</v>
      </c>
      <c r="BP6" s="36">
        <v>1559.5380199060899</v>
      </c>
      <c r="BQ6" s="31">
        <f t="shared" si="40"/>
        <v>1559.5380199060899</v>
      </c>
      <c r="BR6" s="18">
        <f t="shared" si="41"/>
        <v>0</v>
      </c>
      <c r="BS6" s="31">
        <f t="shared" si="42"/>
        <v>0</v>
      </c>
      <c r="BT6" s="31"/>
      <c r="BU6" s="27">
        <v>0</v>
      </c>
      <c r="BV6" s="37">
        <f t="shared" si="9"/>
        <v>-1</v>
      </c>
      <c r="BW6" s="36">
        <v>1559.5380199060899</v>
      </c>
      <c r="BX6" s="31">
        <f t="shared" si="43"/>
        <v>1559.5380199060899</v>
      </c>
      <c r="BY6" s="18">
        <f t="shared" si="44"/>
        <v>0</v>
      </c>
      <c r="BZ6" s="31">
        <f t="shared" si="45"/>
        <v>0</v>
      </c>
      <c r="CA6" s="31"/>
      <c r="CB6" s="27">
        <v>0</v>
      </c>
      <c r="CC6" s="37">
        <f t="shared" si="10"/>
        <v>-1</v>
      </c>
      <c r="CD6" s="36">
        <v>1559.5380199060899</v>
      </c>
      <c r="CE6" s="31">
        <f t="shared" si="46"/>
        <v>1559.5380199060899</v>
      </c>
      <c r="CF6" s="18">
        <f t="shared" si="47"/>
        <v>0</v>
      </c>
      <c r="CG6" s="31">
        <f t="shared" si="48"/>
        <v>0</v>
      </c>
      <c r="CH6" s="31"/>
      <c r="CI6" s="27">
        <v>0</v>
      </c>
      <c r="CJ6" s="37">
        <f t="shared" si="11"/>
        <v>-1</v>
      </c>
      <c r="CK6" s="36">
        <v>1559.5380199060899</v>
      </c>
      <c r="CL6" s="31">
        <f t="shared" si="49"/>
        <v>1559.5380199060899</v>
      </c>
      <c r="CM6" s="18">
        <f t="shared" si="50"/>
        <v>0</v>
      </c>
      <c r="CN6" s="31">
        <f t="shared" si="51"/>
        <v>0</v>
      </c>
      <c r="CO6" s="31"/>
      <c r="CP6" s="27">
        <v>0</v>
      </c>
      <c r="CQ6" s="37">
        <f t="shared" si="12"/>
        <v>-1</v>
      </c>
    </row>
    <row r="7" spans="1:95" s="26" customFormat="1" ht="16" customHeight="1" thickBot="1" x14ac:dyDescent="0.25">
      <c r="A7" s="29" t="s">
        <v>31</v>
      </c>
      <c r="B7" s="30">
        <f t="shared" si="0"/>
        <v>13926.379092554253</v>
      </c>
      <c r="C7" s="31">
        <f t="shared" si="0"/>
        <v>13926.379092554253</v>
      </c>
      <c r="D7" s="32">
        <f t="shared" si="0"/>
        <v>0</v>
      </c>
      <c r="E7" s="30">
        <f t="shared" si="13"/>
        <v>4500.8269250174999</v>
      </c>
      <c r="F7" s="33">
        <f t="shared" si="13"/>
        <v>4500.8269250174999</v>
      </c>
      <c r="G7" s="34">
        <f t="shared" si="13"/>
        <v>0</v>
      </c>
      <c r="H7" s="31">
        <f t="shared" si="1"/>
        <v>5543.3865651155129</v>
      </c>
      <c r="I7" s="33">
        <f t="shared" si="1"/>
        <v>0</v>
      </c>
      <c r="J7" s="33">
        <f t="shared" si="1"/>
        <v>5543.3865651155129</v>
      </c>
      <c r="K7" s="37">
        <f t="shared" si="14"/>
        <v>0.23163735408331876</v>
      </c>
      <c r="L7" s="36">
        <v>1125.206731254375</v>
      </c>
      <c r="M7" s="31">
        <f t="shared" si="15"/>
        <v>1125.206731254375</v>
      </c>
      <c r="N7" s="31">
        <f t="shared" si="16"/>
        <v>0</v>
      </c>
      <c r="O7" s="31">
        <f t="shared" si="17"/>
        <v>892.7712452901751</v>
      </c>
      <c r="P7" s="31"/>
      <c r="Q7" s="33">
        <v>892.7712452901751</v>
      </c>
      <c r="R7" s="37">
        <f t="shared" si="18"/>
        <v>-0.20657136107342866</v>
      </c>
      <c r="S7" s="36">
        <v>1125.206731254375</v>
      </c>
      <c r="T7" s="31">
        <f t="shared" si="19"/>
        <v>1125.206731254375</v>
      </c>
      <c r="U7" s="18">
        <f t="shared" si="20"/>
        <v>0</v>
      </c>
      <c r="V7" s="31">
        <f t="shared" si="21"/>
        <v>882.11527374141929</v>
      </c>
      <c r="W7" s="31"/>
      <c r="X7" s="33">
        <v>882.11527374141929</v>
      </c>
      <c r="Y7" s="37">
        <f t="shared" si="2"/>
        <v>-0.21604159552259217</v>
      </c>
      <c r="Z7" s="36">
        <v>1125.206731254375</v>
      </c>
      <c r="AA7" s="31">
        <f t="shared" si="22"/>
        <v>1125.206731254375</v>
      </c>
      <c r="AB7" s="18">
        <f t="shared" si="23"/>
        <v>0</v>
      </c>
      <c r="AC7" s="31">
        <f t="shared" si="24"/>
        <v>932.01028316865199</v>
      </c>
      <c r="AD7" s="31"/>
      <c r="AE7" s="27">
        <v>932.01028316865199</v>
      </c>
      <c r="AF7" s="37">
        <f t="shared" si="3"/>
        <v>-0.17169862454550777</v>
      </c>
      <c r="AG7" s="36">
        <v>1125.206731254375</v>
      </c>
      <c r="AH7" s="31">
        <f t="shared" si="25"/>
        <v>1125.206731254375</v>
      </c>
      <c r="AI7" s="18">
        <f t="shared" si="26"/>
        <v>0</v>
      </c>
      <c r="AJ7" s="31">
        <f t="shared" si="27"/>
        <v>919.84303110214125</v>
      </c>
      <c r="AK7" s="31"/>
      <c r="AL7" s="27">
        <v>919.84303110214125</v>
      </c>
      <c r="AM7" s="37">
        <f t="shared" si="4"/>
        <v>-0.18251197264283625</v>
      </c>
      <c r="AN7" s="36">
        <v>1125.206731254375</v>
      </c>
      <c r="AO7" s="31">
        <f t="shared" si="28"/>
        <v>1125.206731254375</v>
      </c>
      <c r="AP7" s="18">
        <f t="shared" si="29"/>
        <v>0</v>
      </c>
      <c r="AQ7" s="31">
        <f t="shared" si="30"/>
        <v>969.62865427302222</v>
      </c>
      <c r="AR7" s="31"/>
      <c r="AS7" s="27">
        <v>969.62865427302222</v>
      </c>
      <c r="AT7" s="37">
        <f t="shared" si="5"/>
        <v>-0.13826621602940026</v>
      </c>
      <c r="AU7" s="36">
        <v>1125.206731254375</v>
      </c>
      <c r="AV7" s="31">
        <f t="shared" si="31"/>
        <v>1125.206731254375</v>
      </c>
      <c r="AW7" s="18">
        <f t="shared" si="32"/>
        <v>0</v>
      </c>
      <c r="AX7" s="31">
        <f t="shared" si="33"/>
        <v>947.01807754010338</v>
      </c>
      <c r="AY7" s="31"/>
      <c r="AZ7" s="27">
        <v>947.01807754010338</v>
      </c>
      <c r="BA7" s="37">
        <f t="shared" si="6"/>
        <v>-0.15836081385295997</v>
      </c>
      <c r="BB7" s="36">
        <v>1125.206731254375</v>
      </c>
      <c r="BC7" s="31">
        <f t="shared" si="34"/>
        <v>1125.206731254375</v>
      </c>
      <c r="BD7" s="18">
        <f t="shared" si="35"/>
        <v>0</v>
      </c>
      <c r="BE7" s="31">
        <f t="shared" si="36"/>
        <v>0</v>
      </c>
      <c r="BF7" s="31"/>
      <c r="BG7" s="27">
        <v>0</v>
      </c>
      <c r="BH7" s="37">
        <f t="shared" si="7"/>
        <v>-1</v>
      </c>
      <c r="BI7" s="36">
        <v>1209.9863947547249</v>
      </c>
      <c r="BJ7" s="31">
        <f t="shared" si="37"/>
        <v>1209.9863947547249</v>
      </c>
      <c r="BK7" s="18">
        <f t="shared" si="38"/>
        <v>0</v>
      </c>
      <c r="BL7" s="31">
        <f t="shared" si="39"/>
        <v>0</v>
      </c>
      <c r="BM7" s="31"/>
      <c r="BN7" s="27">
        <v>0</v>
      </c>
      <c r="BO7" s="37">
        <f t="shared" si="8"/>
        <v>-1</v>
      </c>
      <c r="BP7" s="36">
        <v>1209.9863947547249</v>
      </c>
      <c r="BQ7" s="31">
        <f t="shared" si="40"/>
        <v>1209.9863947547249</v>
      </c>
      <c r="BR7" s="18">
        <f t="shared" si="41"/>
        <v>0</v>
      </c>
      <c r="BS7" s="31">
        <f t="shared" si="42"/>
        <v>0</v>
      </c>
      <c r="BT7" s="31"/>
      <c r="BU7" s="27">
        <v>0</v>
      </c>
      <c r="BV7" s="37">
        <f t="shared" si="9"/>
        <v>-1</v>
      </c>
      <c r="BW7" s="36">
        <v>1209.9863947547249</v>
      </c>
      <c r="BX7" s="31">
        <f t="shared" si="43"/>
        <v>1209.9863947547249</v>
      </c>
      <c r="BY7" s="18">
        <f t="shared" si="44"/>
        <v>0</v>
      </c>
      <c r="BZ7" s="31">
        <f t="shared" si="45"/>
        <v>0</v>
      </c>
      <c r="CA7" s="31"/>
      <c r="CB7" s="27">
        <v>0</v>
      </c>
      <c r="CC7" s="37">
        <f t="shared" si="10"/>
        <v>-1</v>
      </c>
      <c r="CD7" s="36">
        <v>1209.9863947547249</v>
      </c>
      <c r="CE7" s="31">
        <f t="shared" si="46"/>
        <v>1209.9863947547249</v>
      </c>
      <c r="CF7" s="18">
        <f t="shared" si="47"/>
        <v>0</v>
      </c>
      <c r="CG7" s="31">
        <f t="shared" si="48"/>
        <v>0</v>
      </c>
      <c r="CH7" s="31"/>
      <c r="CI7" s="27">
        <v>0</v>
      </c>
      <c r="CJ7" s="37">
        <f t="shared" si="11"/>
        <v>-1</v>
      </c>
      <c r="CK7" s="36">
        <v>1209.9863947547249</v>
      </c>
      <c r="CL7" s="31">
        <f t="shared" si="49"/>
        <v>1209.9863947547249</v>
      </c>
      <c r="CM7" s="18">
        <f t="shared" si="50"/>
        <v>0</v>
      </c>
      <c r="CN7" s="31">
        <f t="shared" si="51"/>
        <v>0</v>
      </c>
      <c r="CO7" s="31"/>
      <c r="CP7" s="27">
        <v>0</v>
      </c>
      <c r="CQ7" s="37">
        <f t="shared" si="12"/>
        <v>-1</v>
      </c>
    </row>
    <row r="8" spans="1:95" s="26" customFormat="1" ht="16" customHeight="1" thickBot="1" x14ac:dyDescent="0.25">
      <c r="A8" s="38" t="s">
        <v>32</v>
      </c>
      <c r="B8" s="30">
        <f t="shared" si="0"/>
        <v>12532.579196507957</v>
      </c>
      <c r="C8" s="31">
        <f t="shared" si="0"/>
        <v>12532.579196507957</v>
      </c>
      <c r="D8" s="32">
        <f t="shared" si="0"/>
        <v>0</v>
      </c>
      <c r="E8" s="30">
        <f t="shared" si="13"/>
        <v>0</v>
      </c>
      <c r="F8" s="33">
        <f t="shared" si="13"/>
        <v>0</v>
      </c>
      <c r="G8" s="34">
        <f t="shared" si="13"/>
        <v>0</v>
      </c>
      <c r="H8" s="31">
        <f t="shared" si="1"/>
        <v>371.53085724352718</v>
      </c>
      <c r="I8" s="33">
        <f t="shared" si="1"/>
        <v>0</v>
      </c>
      <c r="J8" s="33">
        <f t="shared" si="1"/>
        <v>371.53085724352718</v>
      </c>
      <c r="K8" s="37" t="str">
        <f t="shared" si="14"/>
        <v/>
      </c>
      <c r="L8" s="36">
        <v>0</v>
      </c>
      <c r="M8" s="31">
        <f t="shared" si="15"/>
        <v>0</v>
      </c>
      <c r="N8" s="31">
        <f t="shared" si="16"/>
        <v>0</v>
      </c>
      <c r="O8" s="31">
        <f t="shared" si="17"/>
        <v>0</v>
      </c>
      <c r="P8" s="31"/>
      <c r="Q8" s="33">
        <v>0</v>
      </c>
      <c r="R8" s="37" t="str">
        <f t="shared" si="18"/>
        <v/>
      </c>
      <c r="S8" s="36">
        <v>0</v>
      </c>
      <c r="T8" s="31">
        <f t="shared" si="19"/>
        <v>0</v>
      </c>
      <c r="U8" s="18">
        <f t="shared" si="20"/>
        <v>0</v>
      </c>
      <c r="V8" s="31">
        <f t="shared" si="21"/>
        <v>0</v>
      </c>
      <c r="W8" s="31"/>
      <c r="X8" s="33">
        <v>0</v>
      </c>
      <c r="Y8" s="37" t="str">
        <f t="shared" si="2"/>
        <v/>
      </c>
      <c r="Z8" s="36">
        <v>0</v>
      </c>
      <c r="AA8" s="31">
        <f t="shared" si="22"/>
        <v>0</v>
      </c>
      <c r="AB8" s="18">
        <f t="shared" si="23"/>
        <v>0</v>
      </c>
      <c r="AC8" s="31">
        <f t="shared" si="24"/>
        <v>0</v>
      </c>
      <c r="AD8" s="31"/>
      <c r="AE8" s="27">
        <v>0</v>
      </c>
      <c r="AF8" s="37" t="str">
        <f t="shared" si="3"/>
        <v/>
      </c>
      <c r="AG8" s="36">
        <v>0</v>
      </c>
      <c r="AH8" s="31">
        <f t="shared" si="25"/>
        <v>0</v>
      </c>
      <c r="AI8" s="18">
        <f t="shared" si="26"/>
        <v>0</v>
      </c>
      <c r="AJ8" s="31">
        <f t="shared" si="27"/>
        <v>0</v>
      </c>
      <c r="AK8" s="31"/>
      <c r="AL8" s="27">
        <v>0</v>
      </c>
      <c r="AM8" s="37" t="str">
        <f t="shared" si="4"/>
        <v/>
      </c>
      <c r="AN8" s="36">
        <v>0</v>
      </c>
      <c r="AO8" s="31">
        <f t="shared" si="28"/>
        <v>0</v>
      </c>
      <c r="AP8" s="18">
        <f t="shared" si="29"/>
        <v>0</v>
      </c>
      <c r="AQ8" s="31">
        <f t="shared" si="30"/>
        <v>371.53085724352718</v>
      </c>
      <c r="AR8" s="31"/>
      <c r="AS8" s="27">
        <v>371.53085724352718</v>
      </c>
      <c r="AT8" s="37" t="str">
        <f t="shared" si="5"/>
        <v/>
      </c>
      <c r="AU8" s="36">
        <v>0</v>
      </c>
      <c r="AV8" s="31">
        <f t="shared" si="31"/>
        <v>0</v>
      </c>
      <c r="AW8" s="18">
        <f t="shared" si="32"/>
        <v>0</v>
      </c>
      <c r="AX8" s="31">
        <f t="shared" si="33"/>
        <v>0</v>
      </c>
      <c r="AY8" s="31"/>
      <c r="AZ8" s="27">
        <v>0</v>
      </c>
      <c r="BA8" s="37" t="str">
        <f t="shared" si="6"/>
        <v/>
      </c>
      <c r="BB8" s="36">
        <v>12532.579196507957</v>
      </c>
      <c r="BC8" s="31">
        <f t="shared" si="34"/>
        <v>12532.579196507957</v>
      </c>
      <c r="BD8" s="18">
        <f t="shared" si="35"/>
        <v>0</v>
      </c>
      <c r="BE8" s="31">
        <f t="shared" si="36"/>
        <v>0</v>
      </c>
      <c r="BF8" s="31"/>
      <c r="BG8" s="27">
        <v>0</v>
      </c>
      <c r="BH8" s="37">
        <f t="shared" si="7"/>
        <v>-1</v>
      </c>
      <c r="BI8" s="36">
        <v>0</v>
      </c>
      <c r="BJ8" s="31">
        <f t="shared" si="37"/>
        <v>0</v>
      </c>
      <c r="BK8" s="18">
        <f t="shared" si="38"/>
        <v>0</v>
      </c>
      <c r="BL8" s="31">
        <f t="shared" si="39"/>
        <v>0</v>
      </c>
      <c r="BM8" s="31"/>
      <c r="BN8" s="27">
        <v>0</v>
      </c>
      <c r="BO8" s="37" t="str">
        <f t="shared" si="8"/>
        <v/>
      </c>
      <c r="BP8" s="36">
        <v>0</v>
      </c>
      <c r="BQ8" s="31">
        <f t="shared" si="40"/>
        <v>0</v>
      </c>
      <c r="BR8" s="18">
        <f t="shared" si="41"/>
        <v>0</v>
      </c>
      <c r="BS8" s="31">
        <f t="shared" si="42"/>
        <v>0</v>
      </c>
      <c r="BT8" s="31"/>
      <c r="BU8" s="27">
        <v>0</v>
      </c>
      <c r="BV8" s="37" t="str">
        <f t="shared" si="9"/>
        <v/>
      </c>
      <c r="BW8" s="36">
        <v>0</v>
      </c>
      <c r="BX8" s="31">
        <f t="shared" si="43"/>
        <v>0</v>
      </c>
      <c r="BY8" s="18">
        <f t="shared" si="44"/>
        <v>0</v>
      </c>
      <c r="BZ8" s="31">
        <f t="shared" si="45"/>
        <v>0</v>
      </c>
      <c r="CA8" s="31"/>
      <c r="CB8" s="27">
        <v>0</v>
      </c>
      <c r="CC8" s="37" t="str">
        <f t="shared" si="10"/>
        <v/>
      </c>
      <c r="CD8" s="36">
        <v>0</v>
      </c>
      <c r="CE8" s="31">
        <f t="shared" si="46"/>
        <v>0</v>
      </c>
      <c r="CF8" s="18">
        <f t="shared" si="47"/>
        <v>0</v>
      </c>
      <c r="CG8" s="31">
        <f t="shared" si="48"/>
        <v>0</v>
      </c>
      <c r="CH8" s="31"/>
      <c r="CI8" s="27">
        <v>0</v>
      </c>
      <c r="CJ8" s="37" t="str">
        <f t="shared" si="11"/>
        <v/>
      </c>
      <c r="CK8" s="36">
        <v>0</v>
      </c>
      <c r="CL8" s="31">
        <f t="shared" si="49"/>
        <v>0</v>
      </c>
      <c r="CM8" s="18">
        <f t="shared" si="50"/>
        <v>0</v>
      </c>
      <c r="CN8" s="31">
        <f t="shared" si="51"/>
        <v>0</v>
      </c>
      <c r="CO8" s="31"/>
      <c r="CP8" s="27">
        <v>0</v>
      </c>
      <c r="CQ8" s="37" t="str">
        <f t="shared" si="12"/>
        <v/>
      </c>
    </row>
    <row r="9" spans="1:95" s="26" customFormat="1" ht="16" customHeight="1" thickBot="1" x14ac:dyDescent="0.25">
      <c r="A9" s="38" t="s">
        <v>33</v>
      </c>
      <c r="B9" s="30">
        <f t="shared" si="0"/>
        <v>10913.068996504502</v>
      </c>
      <c r="C9" s="31">
        <f t="shared" si="0"/>
        <v>10913.068996504502</v>
      </c>
      <c r="D9" s="32">
        <f t="shared" si="0"/>
        <v>0</v>
      </c>
      <c r="E9" s="30">
        <f t="shared" si="13"/>
        <v>3526.9637891950001</v>
      </c>
      <c r="F9" s="33">
        <f t="shared" si="13"/>
        <v>3526.9637891950001</v>
      </c>
      <c r="G9" s="34">
        <f t="shared" si="13"/>
        <v>0</v>
      </c>
      <c r="H9" s="31">
        <f t="shared" si="1"/>
        <v>5623.5675661113492</v>
      </c>
      <c r="I9" s="33">
        <f t="shared" si="1"/>
        <v>0</v>
      </c>
      <c r="J9" s="33">
        <f t="shared" si="1"/>
        <v>5623.5675661113492</v>
      </c>
      <c r="K9" s="37">
        <f t="shared" si="14"/>
        <v>0.59445004321830064</v>
      </c>
      <c r="L9" s="36">
        <v>881.74094729875003</v>
      </c>
      <c r="M9" s="31">
        <f t="shared" si="15"/>
        <v>881.74094729875003</v>
      </c>
      <c r="N9" s="31">
        <f t="shared" si="16"/>
        <v>0</v>
      </c>
      <c r="O9" s="31">
        <f t="shared" si="17"/>
        <v>1838.0942734018527</v>
      </c>
      <c r="P9" s="31"/>
      <c r="Q9" s="33">
        <v>1838.0942734018527</v>
      </c>
      <c r="R9" s="37">
        <f t="shared" si="18"/>
        <v>1.0846193873982268</v>
      </c>
      <c r="S9" s="36">
        <v>881.74094729875003</v>
      </c>
      <c r="T9" s="31">
        <f t="shared" si="19"/>
        <v>881.74094729875003</v>
      </c>
      <c r="U9" s="18">
        <f t="shared" si="20"/>
        <v>0</v>
      </c>
      <c r="V9" s="31">
        <f t="shared" si="21"/>
        <v>951.64992917905897</v>
      </c>
      <c r="W9" s="31"/>
      <c r="X9" s="33">
        <v>951.64992917905897</v>
      </c>
      <c r="Y9" s="37">
        <f t="shared" si="2"/>
        <v>7.9285171108904429E-2</v>
      </c>
      <c r="Z9" s="36">
        <v>881.74094729875003</v>
      </c>
      <c r="AA9" s="31">
        <f t="shared" si="22"/>
        <v>881.74094729875003</v>
      </c>
      <c r="AB9" s="18">
        <f t="shared" si="23"/>
        <v>0</v>
      </c>
      <c r="AC9" s="31">
        <f t="shared" si="24"/>
        <v>1652.0221257172789</v>
      </c>
      <c r="AD9" s="31"/>
      <c r="AE9" s="27">
        <v>1652.0221257172789</v>
      </c>
      <c r="AF9" s="37">
        <f t="shared" si="3"/>
        <v>0.87359125237215896</v>
      </c>
      <c r="AG9" s="36">
        <v>881.74094729875003</v>
      </c>
      <c r="AH9" s="31">
        <f t="shared" si="25"/>
        <v>881.74094729875003</v>
      </c>
      <c r="AI9" s="18">
        <f t="shared" si="26"/>
        <v>0</v>
      </c>
      <c r="AJ9" s="31">
        <f t="shared" si="27"/>
        <v>558.3783347131216</v>
      </c>
      <c r="AK9" s="31"/>
      <c r="AL9" s="27">
        <v>558.3783347131216</v>
      </c>
      <c r="AM9" s="37">
        <f t="shared" si="4"/>
        <v>-0.36673199036095938</v>
      </c>
      <c r="AN9" s="36">
        <v>881.74094729875003</v>
      </c>
      <c r="AO9" s="31">
        <f t="shared" si="28"/>
        <v>881.74094729875003</v>
      </c>
      <c r="AP9" s="18">
        <f t="shared" si="29"/>
        <v>0</v>
      </c>
      <c r="AQ9" s="31">
        <f t="shared" si="30"/>
        <v>208.59521541241125</v>
      </c>
      <c r="AR9" s="31"/>
      <c r="AS9" s="27">
        <v>208.59521541241125</v>
      </c>
      <c r="AT9" s="37">
        <f t="shared" si="5"/>
        <v>-0.76342800450466619</v>
      </c>
      <c r="AU9" s="36">
        <v>881.74094729875003</v>
      </c>
      <c r="AV9" s="31">
        <f t="shared" si="31"/>
        <v>881.74094729875003</v>
      </c>
      <c r="AW9" s="18">
        <f t="shared" si="32"/>
        <v>0</v>
      </c>
      <c r="AX9" s="31">
        <f t="shared" si="33"/>
        <v>414.82768768762611</v>
      </c>
      <c r="AY9" s="31"/>
      <c r="AZ9" s="27">
        <v>414.82768768762611</v>
      </c>
      <c r="BA9" s="37">
        <f t="shared" si="6"/>
        <v>-0.52953564314046209</v>
      </c>
      <c r="BB9" s="36">
        <v>881.74094729875003</v>
      </c>
      <c r="BC9" s="31">
        <f t="shared" si="34"/>
        <v>881.74094729875003</v>
      </c>
      <c r="BD9" s="18">
        <f t="shared" si="35"/>
        <v>0</v>
      </c>
      <c r="BE9" s="31">
        <f t="shared" si="36"/>
        <v>0</v>
      </c>
      <c r="BF9" s="31"/>
      <c r="BG9" s="27">
        <v>0</v>
      </c>
      <c r="BH9" s="37">
        <f t="shared" si="7"/>
        <v>-1</v>
      </c>
      <c r="BI9" s="36">
        <v>948.17647308265009</v>
      </c>
      <c r="BJ9" s="31">
        <f t="shared" si="37"/>
        <v>948.17647308265009</v>
      </c>
      <c r="BK9" s="18">
        <f t="shared" si="38"/>
        <v>0</v>
      </c>
      <c r="BL9" s="31">
        <f t="shared" si="39"/>
        <v>0</v>
      </c>
      <c r="BM9" s="31"/>
      <c r="BN9" s="27">
        <v>0</v>
      </c>
      <c r="BO9" s="37">
        <f t="shared" si="8"/>
        <v>-1</v>
      </c>
      <c r="BP9" s="36">
        <v>948.17647308265009</v>
      </c>
      <c r="BQ9" s="31">
        <f t="shared" si="40"/>
        <v>948.17647308265009</v>
      </c>
      <c r="BR9" s="18">
        <f t="shared" si="41"/>
        <v>0</v>
      </c>
      <c r="BS9" s="31">
        <f t="shared" si="42"/>
        <v>0</v>
      </c>
      <c r="BT9" s="31"/>
      <c r="BU9" s="27">
        <v>0</v>
      </c>
      <c r="BV9" s="37">
        <f t="shared" si="9"/>
        <v>-1</v>
      </c>
      <c r="BW9" s="36">
        <v>948.17647308265009</v>
      </c>
      <c r="BX9" s="31">
        <f t="shared" si="43"/>
        <v>948.17647308265009</v>
      </c>
      <c r="BY9" s="18">
        <f t="shared" si="44"/>
        <v>0</v>
      </c>
      <c r="BZ9" s="31">
        <f t="shared" si="45"/>
        <v>0</v>
      </c>
      <c r="CA9" s="31"/>
      <c r="CB9" s="27">
        <v>0</v>
      </c>
      <c r="CC9" s="37">
        <f t="shared" si="10"/>
        <v>-1</v>
      </c>
      <c r="CD9" s="36">
        <v>948.17647308265009</v>
      </c>
      <c r="CE9" s="31">
        <f t="shared" si="46"/>
        <v>948.17647308265009</v>
      </c>
      <c r="CF9" s="18">
        <f t="shared" si="47"/>
        <v>0</v>
      </c>
      <c r="CG9" s="31">
        <f t="shared" si="48"/>
        <v>0</v>
      </c>
      <c r="CH9" s="31"/>
      <c r="CI9" s="27">
        <v>0</v>
      </c>
      <c r="CJ9" s="37">
        <f t="shared" si="11"/>
        <v>-1</v>
      </c>
      <c r="CK9" s="36">
        <v>948.17647308265009</v>
      </c>
      <c r="CL9" s="31">
        <f t="shared" si="49"/>
        <v>948.17647308265009</v>
      </c>
      <c r="CM9" s="18">
        <f t="shared" si="50"/>
        <v>0</v>
      </c>
      <c r="CN9" s="31">
        <f t="shared" si="51"/>
        <v>0</v>
      </c>
      <c r="CO9" s="31"/>
      <c r="CP9" s="27">
        <v>0</v>
      </c>
      <c r="CQ9" s="37">
        <f t="shared" si="12"/>
        <v>-1</v>
      </c>
    </row>
    <row r="10" spans="1:95" s="26" customFormat="1" ht="16" customHeight="1" thickBot="1" x14ac:dyDescent="0.25">
      <c r="A10" s="38" t="s">
        <v>34</v>
      </c>
      <c r="B10" s="30">
        <f t="shared" si="0"/>
        <v>10500</v>
      </c>
      <c r="C10" s="31">
        <f t="shared" si="0"/>
        <v>10500</v>
      </c>
      <c r="D10" s="32">
        <f t="shared" si="0"/>
        <v>0</v>
      </c>
      <c r="E10" s="30">
        <f t="shared" si="13"/>
        <v>3500</v>
      </c>
      <c r="F10" s="33">
        <f t="shared" si="13"/>
        <v>3500</v>
      </c>
      <c r="G10" s="34">
        <f t="shared" si="13"/>
        <v>0</v>
      </c>
      <c r="H10" s="31">
        <f t="shared" si="1"/>
        <v>5724.8793665641806</v>
      </c>
      <c r="I10" s="33">
        <f t="shared" si="1"/>
        <v>0</v>
      </c>
      <c r="J10" s="33">
        <f t="shared" si="1"/>
        <v>5724.8793665641806</v>
      </c>
      <c r="K10" s="37">
        <f t="shared" si="14"/>
        <v>0.63567981901833726</v>
      </c>
      <c r="L10" s="36">
        <v>875</v>
      </c>
      <c r="M10" s="31">
        <f t="shared" si="15"/>
        <v>875</v>
      </c>
      <c r="N10" s="31">
        <f t="shared" si="16"/>
        <v>0</v>
      </c>
      <c r="O10" s="31">
        <f t="shared" si="17"/>
        <v>1087.0447369309729</v>
      </c>
      <c r="P10" s="31"/>
      <c r="Q10" s="33">
        <v>1087.0447369309729</v>
      </c>
      <c r="R10" s="37">
        <f t="shared" si="18"/>
        <v>0.24233684220682616</v>
      </c>
      <c r="S10" s="36">
        <v>875</v>
      </c>
      <c r="T10" s="31">
        <f t="shared" si="19"/>
        <v>875</v>
      </c>
      <c r="U10" s="18">
        <f t="shared" si="20"/>
        <v>0</v>
      </c>
      <c r="V10" s="31">
        <f t="shared" si="21"/>
        <v>1072.1620804367878</v>
      </c>
      <c r="W10" s="31"/>
      <c r="X10" s="33">
        <v>1072.1620804367878</v>
      </c>
      <c r="Y10" s="37">
        <f t="shared" si="2"/>
        <v>0.2253280919277576</v>
      </c>
      <c r="Z10" s="36">
        <v>875</v>
      </c>
      <c r="AA10" s="31">
        <f t="shared" si="22"/>
        <v>875</v>
      </c>
      <c r="AB10" s="18">
        <f t="shared" si="23"/>
        <v>0</v>
      </c>
      <c r="AC10" s="31">
        <f t="shared" si="24"/>
        <v>1105.2956150307389</v>
      </c>
      <c r="AD10" s="31"/>
      <c r="AE10" s="27">
        <v>1105.2956150307389</v>
      </c>
      <c r="AF10" s="37">
        <f t="shared" si="3"/>
        <v>0.26319498860655877</v>
      </c>
      <c r="AG10" s="36">
        <v>875</v>
      </c>
      <c r="AH10" s="31">
        <f t="shared" si="25"/>
        <v>875</v>
      </c>
      <c r="AI10" s="18">
        <f t="shared" si="26"/>
        <v>0</v>
      </c>
      <c r="AJ10" s="31">
        <f t="shared" si="27"/>
        <v>175.01801016269772</v>
      </c>
      <c r="AK10" s="31"/>
      <c r="AL10" s="27">
        <v>175.01801016269772</v>
      </c>
      <c r="AM10" s="37">
        <f t="shared" si="4"/>
        <v>-0.79997941695691688</v>
      </c>
      <c r="AN10" s="36">
        <v>875</v>
      </c>
      <c r="AO10" s="31">
        <f t="shared" si="28"/>
        <v>875</v>
      </c>
      <c r="AP10" s="18">
        <f t="shared" si="29"/>
        <v>0</v>
      </c>
      <c r="AQ10" s="31">
        <f t="shared" si="30"/>
        <v>1103.8123373946103</v>
      </c>
      <c r="AR10" s="31"/>
      <c r="AS10" s="27">
        <v>1103.8123373946103</v>
      </c>
      <c r="AT10" s="37">
        <f t="shared" si="5"/>
        <v>0.26149981416526891</v>
      </c>
      <c r="AU10" s="36">
        <v>875</v>
      </c>
      <c r="AV10" s="31">
        <f t="shared" si="31"/>
        <v>875</v>
      </c>
      <c r="AW10" s="18">
        <f t="shared" si="32"/>
        <v>0</v>
      </c>
      <c r="AX10" s="31">
        <f t="shared" si="33"/>
        <v>1181.5465866083723</v>
      </c>
      <c r="AY10" s="31"/>
      <c r="AZ10" s="27">
        <v>1181.5465866083723</v>
      </c>
      <c r="BA10" s="37">
        <f t="shared" si="6"/>
        <v>0.35033895612385413</v>
      </c>
      <c r="BB10" s="36">
        <v>875</v>
      </c>
      <c r="BC10" s="31">
        <f t="shared" si="34"/>
        <v>875</v>
      </c>
      <c r="BD10" s="18">
        <f t="shared" si="35"/>
        <v>0</v>
      </c>
      <c r="BE10" s="31">
        <f t="shared" si="36"/>
        <v>0</v>
      </c>
      <c r="BF10" s="31"/>
      <c r="BG10" s="27">
        <v>0</v>
      </c>
      <c r="BH10" s="37">
        <f t="shared" si="7"/>
        <v>-1</v>
      </c>
      <c r="BI10" s="36">
        <v>875</v>
      </c>
      <c r="BJ10" s="31">
        <f t="shared" si="37"/>
        <v>875</v>
      </c>
      <c r="BK10" s="18">
        <f t="shared" si="38"/>
        <v>0</v>
      </c>
      <c r="BL10" s="31">
        <f t="shared" si="39"/>
        <v>0</v>
      </c>
      <c r="BM10" s="31"/>
      <c r="BN10" s="27">
        <v>0</v>
      </c>
      <c r="BO10" s="37">
        <f t="shared" si="8"/>
        <v>-1</v>
      </c>
      <c r="BP10" s="36">
        <v>875</v>
      </c>
      <c r="BQ10" s="31">
        <f t="shared" si="40"/>
        <v>875</v>
      </c>
      <c r="BR10" s="18">
        <f t="shared" si="41"/>
        <v>0</v>
      </c>
      <c r="BS10" s="31">
        <f t="shared" si="42"/>
        <v>0</v>
      </c>
      <c r="BT10" s="31"/>
      <c r="BU10" s="27">
        <v>0</v>
      </c>
      <c r="BV10" s="37">
        <f t="shared" si="9"/>
        <v>-1</v>
      </c>
      <c r="BW10" s="36">
        <v>875</v>
      </c>
      <c r="BX10" s="31">
        <f t="shared" si="43"/>
        <v>875</v>
      </c>
      <c r="BY10" s="18">
        <f t="shared" si="44"/>
        <v>0</v>
      </c>
      <c r="BZ10" s="31">
        <f t="shared" si="45"/>
        <v>0</v>
      </c>
      <c r="CA10" s="31"/>
      <c r="CB10" s="27">
        <v>0</v>
      </c>
      <c r="CC10" s="37">
        <f t="shared" si="10"/>
        <v>-1</v>
      </c>
      <c r="CD10" s="36">
        <v>875</v>
      </c>
      <c r="CE10" s="31">
        <f t="shared" si="46"/>
        <v>875</v>
      </c>
      <c r="CF10" s="18">
        <f t="shared" si="47"/>
        <v>0</v>
      </c>
      <c r="CG10" s="31">
        <f t="shared" si="48"/>
        <v>0</v>
      </c>
      <c r="CH10" s="31"/>
      <c r="CI10" s="27">
        <v>0</v>
      </c>
      <c r="CJ10" s="37">
        <f t="shared" si="11"/>
        <v>-1</v>
      </c>
      <c r="CK10" s="36">
        <v>875</v>
      </c>
      <c r="CL10" s="31">
        <f t="shared" si="49"/>
        <v>875</v>
      </c>
      <c r="CM10" s="18">
        <f t="shared" si="50"/>
        <v>0</v>
      </c>
      <c r="CN10" s="31">
        <f t="shared" si="51"/>
        <v>0</v>
      </c>
      <c r="CO10" s="31"/>
      <c r="CP10" s="27">
        <v>0</v>
      </c>
      <c r="CQ10" s="37">
        <f t="shared" si="12"/>
        <v>-1</v>
      </c>
    </row>
    <row r="11" spans="1:95" s="26" customFormat="1" ht="16" customHeight="1" thickBot="1" x14ac:dyDescent="0.25">
      <c r="A11" s="38" t="s">
        <v>35</v>
      </c>
      <c r="B11" s="30">
        <f t="shared" si="0"/>
        <v>0</v>
      </c>
      <c r="C11" s="31">
        <f t="shared" si="0"/>
        <v>0</v>
      </c>
      <c r="D11" s="32">
        <f t="shared" si="0"/>
        <v>0</v>
      </c>
      <c r="E11" s="30">
        <f t="shared" si="13"/>
        <v>0</v>
      </c>
      <c r="F11" s="33">
        <f t="shared" si="13"/>
        <v>0</v>
      </c>
      <c r="G11" s="34">
        <f t="shared" si="13"/>
        <v>0</v>
      </c>
      <c r="H11" s="31">
        <f t="shared" si="1"/>
        <v>900.96296325584012</v>
      </c>
      <c r="I11" s="33">
        <f t="shared" si="1"/>
        <v>0</v>
      </c>
      <c r="J11" s="33">
        <f t="shared" si="1"/>
        <v>900.96296325584012</v>
      </c>
      <c r="K11" s="37" t="str">
        <f t="shared" si="14"/>
        <v/>
      </c>
      <c r="L11" s="36">
        <v>0</v>
      </c>
      <c r="M11" s="31">
        <f t="shared" si="15"/>
        <v>0</v>
      </c>
      <c r="N11" s="31">
        <f t="shared" si="16"/>
        <v>0</v>
      </c>
      <c r="O11" s="31">
        <f t="shared" si="17"/>
        <v>0</v>
      </c>
      <c r="P11" s="31"/>
      <c r="Q11" s="33">
        <v>0</v>
      </c>
      <c r="R11" s="37" t="str">
        <f t="shared" si="18"/>
        <v/>
      </c>
      <c r="S11" s="36">
        <v>0</v>
      </c>
      <c r="T11" s="31">
        <f t="shared" si="19"/>
        <v>0</v>
      </c>
      <c r="U11" s="18">
        <f t="shared" si="20"/>
        <v>0</v>
      </c>
      <c r="V11" s="31">
        <f t="shared" si="21"/>
        <v>0</v>
      </c>
      <c r="W11" s="31"/>
      <c r="X11" s="33">
        <v>0</v>
      </c>
      <c r="Y11" s="37" t="str">
        <f t="shared" si="2"/>
        <v/>
      </c>
      <c r="Z11" s="36">
        <v>0</v>
      </c>
      <c r="AA11" s="31">
        <f t="shared" si="22"/>
        <v>0</v>
      </c>
      <c r="AB11" s="18">
        <f t="shared" si="23"/>
        <v>0</v>
      </c>
      <c r="AC11" s="31">
        <f t="shared" si="24"/>
        <v>0</v>
      </c>
      <c r="AD11" s="31"/>
      <c r="AE11" s="27">
        <v>0</v>
      </c>
      <c r="AF11" s="37" t="str">
        <f t="shared" si="3"/>
        <v/>
      </c>
      <c r="AG11" s="36">
        <v>0</v>
      </c>
      <c r="AH11" s="31">
        <f t="shared" si="25"/>
        <v>0</v>
      </c>
      <c r="AI11" s="18">
        <f t="shared" si="26"/>
        <v>0</v>
      </c>
      <c r="AJ11" s="31">
        <f t="shared" si="27"/>
        <v>0</v>
      </c>
      <c r="AK11" s="31"/>
      <c r="AL11" s="27">
        <v>0</v>
      </c>
      <c r="AM11" s="37" t="str">
        <f t="shared" si="4"/>
        <v/>
      </c>
      <c r="AN11" s="36">
        <v>0</v>
      </c>
      <c r="AO11" s="31">
        <f t="shared" si="28"/>
        <v>0</v>
      </c>
      <c r="AP11" s="18">
        <f t="shared" si="29"/>
        <v>0</v>
      </c>
      <c r="AQ11" s="31">
        <f t="shared" si="30"/>
        <v>755.57112676343309</v>
      </c>
      <c r="AR11" s="31"/>
      <c r="AS11" s="27">
        <v>755.57112676343309</v>
      </c>
      <c r="AT11" s="37" t="str">
        <f t="shared" si="5"/>
        <v/>
      </c>
      <c r="AU11" s="36">
        <v>0</v>
      </c>
      <c r="AV11" s="31">
        <f t="shared" si="31"/>
        <v>0</v>
      </c>
      <c r="AW11" s="18">
        <f t="shared" si="32"/>
        <v>0</v>
      </c>
      <c r="AX11" s="31">
        <f t="shared" si="33"/>
        <v>145.39183649240707</v>
      </c>
      <c r="AY11" s="31"/>
      <c r="AZ11" s="27">
        <v>145.39183649240707</v>
      </c>
      <c r="BA11" s="37" t="str">
        <f t="shared" si="6"/>
        <v/>
      </c>
      <c r="BB11" s="36">
        <v>0</v>
      </c>
      <c r="BC11" s="31">
        <f t="shared" si="34"/>
        <v>0</v>
      </c>
      <c r="BD11" s="18">
        <f t="shared" si="35"/>
        <v>0</v>
      </c>
      <c r="BE11" s="31">
        <f t="shared" si="36"/>
        <v>0</v>
      </c>
      <c r="BF11" s="31"/>
      <c r="BG11" s="27">
        <v>0</v>
      </c>
      <c r="BH11" s="37" t="str">
        <f t="shared" si="7"/>
        <v/>
      </c>
      <c r="BI11" s="36">
        <v>0</v>
      </c>
      <c r="BJ11" s="31">
        <f t="shared" si="37"/>
        <v>0</v>
      </c>
      <c r="BK11" s="18">
        <f t="shared" si="38"/>
        <v>0</v>
      </c>
      <c r="BL11" s="31">
        <f t="shared" si="39"/>
        <v>0</v>
      </c>
      <c r="BM11" s="31"/>
      <c r="BN11" s="27">
        <v>0</v>
      </c>
      <c r="BO11" s="37" t="str">
        <f t="shared" si="8"/>
        <v/>
      </c>
      <c r="BP11" s="36">
        <v>0</v>
      </c>
      <c r="BQ11" s="31">
        <f t="shared" si="40"/>
        <v>0</v>
      </c>
      <c r="BR11" s="18">
        <f t="shared" si="41"/>
        <v>0</v>
      </c>
      <c r="BS11" s="31">
        <f t="shared" si="42"/>
        <v>0</v>
      </c>
      <c r="BT11" s="31"/>
      <c r="BU11" s="27">
        <v>0</v>
      </c>
      <c r="BV11" s="37" t="str">
        <f t="shared" si="9"/>
        <v/>
      </c>
      <c r="BW11" s="36">
        <v>0</v>
      </c>
      <c r="BX11" s="31">
        <f t="shared" si="43"/>
        <v>0</v>
      </c>
      <c r="BY11" s="18">
        <f t="shared" si="44"/>
        <v>0</v>
      </c>
      <c r="BZ11" s="31">
        <f t="shared" si="45"/>
        <v>0</v>
      </c>
      <c r="CA11" s="31"/>
      <c r="CB11" s="27">
        <v>0</v>
      </c>
      <c r="CC11" s="37" t="str">
        <f t="shared" si="10"/>
        <v/>
      </c>
      <c r="CD11" s="36">
        <v>0</v>
      </c>
      <c r="CE11" s="31">
        <f t="shared" si="46"/>
        <v>0</v>
      </c>
      <c r="CF11" s="18">
        <f t="shared" si="47"/>
        <v>0</v>
      </c>
      <c r="CG11" s="31">
        <f t="shared" si="48"/>
        <v>0</v>
      </c>
      <c r="CH11" s="31"/>
      <c r="CI11" s="27">
        <v>0</v>
      </c>
      <c r="CJ11" s="37" t="str">
        <f t="shared" si="11"/>
        <v/>
      </c>
      <c r="CK11" s="36">
        <v>0</v>
      </c>
      <c r="CL11" s="31">
        <f t="shared" si="49"/>
        <v>0</v>
      </c>
      <c r="CM11" s="18">
        <f t="shared" si="50"/>
        <v>0</v>
      </c>
      <c r="CN11" s="31">
        <f t="shared" si="51"/>
        <v>0</v>
      </c>
      <c r="CO11" s="31"/>
      <c r="CP11" s="27">
        <v>0</v>
      </c>
      <c r="CQ11" s="37" t="str">
        <f t="shared" si="12"/>
        <v/>
      </c>
    </row>
    <row r="12" spans="1:95" s="26" customFormat="1" ht="16" customHeight="1" thickBot="1" x14ac:dyDescent="0.25">
      <c r="A12" s="29" t="s">
        <v>36</v>
      </c>
      <c r="B12" s="30">
        <f t="shared" si="0"/>
        <v>3260.25</v>
      </c>
      <c r="C12" s="31">
        <f t="shared" si="0"/>
        <v>3260.25</v>
      </c>
      <c r="D12" s="32">
        <f t="shared" si="0"/>
        <v>0</v>
      </c>
      <c r="E12" s="30">
        <f t="shared" si="13"/>
        <v>1086.75</v>
      </c>
      <c r="F12" s="33">
        <f t="shared" si="13"/>
        <v>1086.75</v>
      </c>
      <c r="G12" s="34">
        <f t="shared" si="13"/>
        <v>0</v>
      </c>
      <c r="H12" s="31">
        <f t="shared" si="1"/>
        <v>2352.8108651196862</v>
      </c>
      <c r="I12" s="33">
        <f t="shared" si="1"/>
        <v>0</v>
      </c>
      <c r="J12" s="33">
        <f t="shared" si="1"/>
        <v>2352.8108651196862</v>
      </c>
      <c r="K12" s="37">
        <f t="shared" si="14"/>
        <v>1.1649973454057383</v>
      </c>
      <c r="L12" s="36">
        <v>271.6875</v>
      </c>
      <c r="M12" s="31">
        <f t="shared" si="15"/>
        <v>271.6875</v>
      </c>
      <c r="N12" s="31">
        <f t="shared" si="16"/>
        <v>0</v>
      </c>
      <c r="O12" s="31">
        <f t="shared" si="17"/>
        <v>253.32981880999682</v>
      </c>
      <c r="P12" s="31"/>
      <c r="Q12" s="33">
        <v>253.32981880999682</v>
      </c>
      <c r="R12" s="37">
        <f t="shared" si="18"/>
        <v>-6.7569104909144473E-2</v>
      </c>
      <c r="S12" s="36">
        <v>271.6875</v>
      </c>
      <c r="T12" s="31">
        <f t="shared" si="19"/>
        <v>271.6875</v>
      </c>
      <c r="U12" s="18">
        <f t="shared" si="20"/>
        <v>0</v>
      </c>
      <c r="V12" s="31">
        <f t="shared" si="21"/>
        <v>253.32981880999682</v>
      </c>
      <c r="W12" s="31"/>
      <c r="X12" s="33">
        <v>253.32981880999682</v>
      </c>
      <c r="Y12" s="37">
        <f t="shared" si="2"/>
        <v>-6.7569104909144473E-2</v>
      </c>
      <c r="Z12" s="36">
        <v>271.6875</v>
      </c>
      <c r="AA12" s="31">
        <f t="shared" si="22"/>
        <v>271.6875</v>
      </c>
      <c r="AB12" s="18">
        <f t="shared" si="23"/>
        <v>0</v>
      </c>
      <c r="AC12" s="31">
        <f t="shared" si="24"/>
        <v>524.93589333123327</v>
      </c>
      <c r="AD12" s="31"/>
      <c r="AE12" s="27">
        <v>524.93589333123327</v>
      </c>
      <c r="AF12" s="37">
        <f t="shared" si="3"/>
        <v>0.93213119238549158</v>
      </c>
      <c r="AG12" s="36">
        <v>271.6875</v>
      </c>
      <c r="AH12" s="31">
        <f t="shared" si="25"/>
        <v>271.6875</v>
      </c>
      <c r="AI12" s="18">
        <f t="shared" si="26"/>
        <v>0</v>
      </c>
      <c r="AJ12" s="31">
        <f t="shared" si="27"/>
        <v>524.84838432615197</v>
      </c>
      <c r="AK12" s="31"/>
      <c r="AL12" s="27">
        <v>524.84838432615197</v>
      </c>
      <c r="AM12" s="37">
        <f t="shared" si="4"/>
        <v>0.93180909804886847</v>
      </c>
      <c r="AN12" s="36">
        <v>271.6875</v>
      </c>
      <c r="AO12" s="31">
        <f t="shared" si="28"/>
        <v>271.6875</v>
      </c>
      <c r="AP12" s="18">
        <f t="shared" si="29"/>
        <v>0</v>
      </c>
      <c r="AQ12" s="31">
        <f t="shared" si="30"/>
        <v>524.84838432615197</v>
      </c>
      <c r="AR12" s="31"/>
      <c r="AS12" s="27">
        <v>524.84838432615197</v>
      </c>
      <c r="AT12" s="37">
        <f t="shared" si="5"/>
        <v>0.93180909804886847</v>
      </c>
      <c r="AU12" s="36">
        <v>271.6875</v>
      </c>
      <c r="AV12" s="31">
        <f t="shared" si="31"/>
        <v>271.6875</v>
      </c>
      <c r="AW12" s="18">
        <f t="shared" si="32"/>
        <v>0</v>
      </c>
      <c r="AX12" s="31">
        <f t="shared" si="33"/>
        <v>271.51856551615515</v>
      </c>
      <c r="AY12" s="31"/>
      <c r="AZ12" s="27">
        <v>271.51856551615515</v>
      </c>
      <c r="BA12" s="37">
        <f t="shared" si="6"/>
        <v>-6.2179704198705998E-4</v>
      </c>
      <c r="BB12" s="36">
        <v>271.6875</v>
      </c>
      <c r="BC12" s="31">
        <f t="shared" si="34"/>
        <v>271.6875</v>
      </c>
      <c r="BD12" s="18">
        <f t="shared" si="35"/>
        <v>0</v>
      </c>
      <c r="BE12" s="31">
        <f t="shared" si="36"/>
        <v>0</v>
      </c>
      <c r="BF12" s="31"/>
      <c r="BG12" s="27">
        <v>0</v>
      </c>
      <c r="BH12" s="37">
        <f t="shared" si="7"/>
        <v>-1</v>
      </c>
      <c r="BI12" s="36">
        <v>271.6875</v>
      </c>
      <c r="BJ12" s="31">
        <f t="shared" si="37"/>
        <v>271.6875</v>
      </c>
      <c r="BK12" s="18">
        <f t="shared" si="38"/>
        <v>0</v>
      </c>
      <c r="BL12" s="31">
        <f t="shared" si="39"/>
        <v>0</v>
      </c>
      <c r="BM12" s="31"/>
      <c r="BN12" s="27">
        <v>0</v>
      </c>
      <c r="BO12" s="37">
        <f t="shared" si="8"/>
        <v>-1</v>
      </c>
      <c r="BP12" s="36">
        <v>271.6875</v>
      </c>
      <c r="BQ12" s="31">
        <f t="shared" si="40"/>
        <v>271.6875</v>
      </c>
      <c r="BR12" s="18">
        <f t="shared" si="41"/>
        <v>0</v>
      </c>
      <c r="BS12" s="31">
        <f t="shared" si="42"/>
        <v>0</v>
      </c>
      <c r="BT12" s="31"/>
      <c r="BU12" s="27">
        <v>0</v>
      </c>
      <c r="BV12" s="37">
        <f t="shared" si="9"/>
        <v>-1</v>
      </c>
      <c r="BW12" s="36">
        <v>271.6875</v>
      </c>
      <c r="BX12" s="31">
        <f t="shared" si="43"/>
        <v>271.6875</v>
      </c>
      <c r="BY12" s="18">
        <f t="shared" si="44"/>
        <v>0</v>
      </c>
      <c r="BZ12" s="31">
        <f t="shared" si="45"/>
        <v>0</v>
      </c>
      <c r="CA12" s="31"/>
      <c r="CB12" s="27">
        <v>0</v>
      </c>
      <c r="CC12" s="37">
        <f t="shared" si="10"/>
        <v>-1</v>
      </c>
      <c r="CD12" s="36">
        <v>271.6875</v>
      </c>
      <c r="CE12" s="31">
        <f t="shared" si="46"/>
        <v>271.6875</v>
      </c>
      <c r="CF12" s="18">
        <f t="shared" si="47"/>
        <v>0</v>
      </c>
      <c r="CG12" s="31">
        <f t="shared" si="48"/>
        <v>0</v>
      </c>
      <c r="CH12" s="31"/>
      <c r="CI12" s="27">
        <v>0</v>
      </c>
      <c r="CJ12" s="37">
        <f t="shared" si="11"/>
        <v>-1</v>
      </c>
      <c r="CK12" s="36">
        <v>271.6875</v>
      </c>
      <c r="CL12" s="31">
        <f t="shared" si="49"/>
        <v>271.6875</v>
      </c>
      <c r="CM12" s="18">
        <f t="shared" si="50"/>
        <v>0</v>
      </c>
      <c r="CN12" s="31">
        <f t="shared" si="51"/>
        <v>0</v>
      </c>
      <c r="CO12" s="31"/>
      <c r="CP12" s="27">
        <v>0</v>
      </c>
      <c r="CQ12" s="37">
        <f t="shared" si="12"/>
        <v>-1</v>
      </c>
    </row>
    <row r="13" spans="1:95" s="26" customFormat="1" ht="16" customHeight="1" thickBot="1" x14ac:dyDescent="0.25">
      <c r="A13" s="38" t="s">
        <v>37</v>
      </c>
      <c r="B13" s="30">
        <f t="shared" si="0"/>
        <v>11549.999999999998</v>
      </c>
      <c r="C13" s="31">
        <f t="shared" si="0"/>
        <v>11549.999999999998</v>
      </c>
      <c r="D13" s="32">
        <f t="shared" si="0"/>
        <v>0</v>
      </c>
      <c r="E13" s="30">
        <f t="shared" si="13"/>
        <v>3849.9999999999995</v>
      </c>
      <c r="F13" s="33">
        <f t="shared" si="13"/>
        <v>3849.9999999999995</v>
      </c>
      <c r="G13" s="34">
        <f t="shared" si="13"/>
        <v>0</v>
      </c>
      <c r="H13" s="31">
        <f t="shared" si="1"/>
        <v>16136.886310233838</v>
      </c>
      <c r="I13" s="33">
        <f t="shared" si="1"/>
        <v>0</v>
      </c>
      <c r="J13" s="33">
        <f t="shared" si="1"/>
        <v>16136.886310233838</v>
      </c>
      <c r="K13" s="37">
        <f t="shared" si="14"/>
        <v>3.1913990416191789</v>
      </c>
      <c r="L13" s="36">
        <v>962.49999999999989</v>
      </c>
      <c r="M13" s="31">
        <f t="shared" si="15"/>
        <v>962.49999999999989</v>
      </c>
      <c r="N13" s="31">
        <f t="shared" si="16"/>
        <v>0</v>
      </c>
      <c r="O13" s="31">
        <f t="shared" si="17"/>
        <v>907.44475526221572</v>
      </c>
      <c r="P13" s="31"/>
      <c r="Q13" s="33">
        <v>907.44475526221572</v>
      </c>
      <c r="R13" s="37">
        <f t="shared" si="18"/>
        <v>-5.7200254273022555E-2</v>
      </c>
      <c r="S13" s="36">
        <v>962.49999999999989</v>
      </c>
      <c r="T13" s="31">
        <f t="shared" si="19"/>
        <v>962.49999999999989</v>
      </c>
      <c r="U13" s="18">
        <f t="shared" si="20"/>
        <v>0</v>
      </c>
      <c r="V13" s="31">
        <f t="shared" si="21"/>
        <v>945.74219624601733</v>
      </c>
      <c r="W13" s="31"/>
      <c r="X13" s="33">
        <v>945.74219624601733</v>
      </c>
      <c r="Y13" s="37">
        <f t="shared" si="2"/>
        <v>-1.7410705198942944E-2</v>
      </c>
      <c r="Z13" s="36">
        <v>962.49999999999989</v>
      </c>
      <c r="AA13" s="31">
        <f t="shared" si="22"/>
        <v>962.49999999999989</v>
      </c>
      <c r="AB13" s="18">
        <f t="shared" si="23"/>
        <v>0</v>
      </c>
      <c r="AC13" s="31">
        <f t="shared" si="24"/>
        <v>945.74219624601733</v>
      </c>
      <c r="AD13" s="31"/>
      <c r="AE13" s="27">
        <v>945.74219624601733</v>
      </c>
      <c r="AF13" s="37">
        <f t="shared" si="3"/>
        <v>-1.7410705198942944E-2</v>
      </c>
      <c r="AG13" s="36">
        <v>962.49999999999989</v>
      </c>
      <c r="AH13" s="31">
        <f t="shared" si="25"/>
        <v>962.49999999999989</v>
      </c>
      <c r="AI13" s="18">
        <f t="shared" si="26"/>
        <v>0</v>
      </c>
      <c r="AJ13" s="31">
        <f t="shared" si="27"/>
        <v>945.74219624601733</v>
      </c>
      <c r="AK13" s="31"/>
      <c r="AL13" s="27">
        <v>945.74219624601733</v>
      </c>
      <c r="AM13" s="37">
        <f t="shared" si="4"/>
        <v>-1.7410705198942944E-2</v>
      </c>
      <c r="AN13" s="36">
        <v>962.49999999999989</v>
      </c>
      <c r="AO13" s="31">
        <f t="shared" si="28"/>
        <v>962.49999999999989</v>
      </c>
      <c r="AP13" s="18">
        <f t="shared" si="29"/>
        <v>0</v>
      </c>
      <c r="AQ13" s="31">
        <f t="shared" si="30"/>
        <v>6866.8640070653246</v>
      </c>
      <c r="AR13" s="31"/>
      <c r="AS13" s="27">
        <v>6866.8640070653246</v>
      </c>
      <c r="AT13" s="37">
        <f t="shared" si="5"/>
        <v>6.1344041631847537</v>
      </c>
      <c r="AU13" s="36">
        <v>962.49999999999989</v>
      </c>
      <c r="AV13" s="31">
        <f t="shared" si="31"/>
        <v>962.49999999999989</v>
      </c>
      <c r="AW13" s="18">
        <f t="shared" si="32"/>
        <v>0</v>
      </c>
      <c r="AX13" s="31">
        <f t="shared" si="33"/>
        <v>5525.3509591682468</v>
      </c>
      <c r="AY13" s="31"/>
      <c r="AZ13" s="27">
        <v>5525.3509591682468</v>
      </c>
      <c r="BA13" s="37">
        <f t="shared" si="6"/>
        <v>4.7406243731618156</v>
      </c>
      <c r="BB13" s="36">
        <v>962.49999999999989</v>
      </c>
      <c r="BC13" s="31">
        <f t="shared" si="34"/>
        <v>962.49999999999989</v>
      </c>
      <c r="BD13" s="18">
        <f t="shared" si="35"/>
        <v>0</v>
      </c>
      <c r="BE13" s="31">
        <f t="shared" si="36"/>
        <v>0</v>
      </c>
      <c r="BF13" s="31"/>
      <c r="BG13" s="27">
        <v>0</v>
      </c>
      <c r="BH13" s="37">
        <f t="shared" si="7"/>
        <v>-1</v>
      </c>
      <c r="BI13" s="36">
        <v>962.49999999999989</v>
      </c>
      <c r="BJ13" s="31">
        <f t="shared" si="37"/>
        <v>962.49999999999989</v>
      </c>
      <c r="BK13" s="18">
        <f t="shared" si="38"/>
        <v>0</v>
      </c>
      <c r="BL13" s="31">
        <f t="shared" si="39"/>
        <v>0</v>
      </c>
      <c r="BM13" s="31"/>
      <c r="BN13" s="27">
        <v>0</v>
      </c>
      <c r="BO13" s="37">
        <f t="shared" si="8"/>
        <v>-1</v>
      </c>
      <c r="BP13" s="36">
        <v>962.49999999999989</v>
      </c>
      <c r="BQ13" s="31">
        <f t="shared" si="40"/>
        <v>962.49999999999989</v>
      </c>
      <c r="BR13" s="18">
        <f t="shared" si="41"/>
        <v>0</v>
      </c>
      <c r="BS13" s="31">
        <f t="shared" si="42"/>
        <v>0</v>
      </c>
      <c r="BT13" s="31"/>
      <c r="BU13" s="27">
        <v>0</v>
      </c>
      <c r="BV13" s="37">
        <f t="shared" si="9"/>
        <v>-1</v>
      </c>
      <c r="BW13" s="36">
        <v>962.49999999999989</v>
      </c>
      <c r="BX13" s="31">
        <f t="shared" si="43"/>
        <v>962.49999999999989</v>
      </c>
      <c r="BY13" s="18">
        <f t="shared" si="44"/>
        <v>0</v>
      </c>
      <c r="BZ13" s="31">
        <f t="shared" si="45"/>
        <v>0</v>
      </c>
      <c r="CA13" s="31"/>
      <c r="CB13" s="27">
        <v>0</v>
      </c>
      <c r="CC13" s="37">
        <f t="shared" si="10"/>
        <v>-1</v>
      </c>
      <c r="CD13" s="36">
        <v>962.49999999999989</v>
      </c>
      <c r="CE13" s="31">
        <f t="shared" si="46"/>
        <v>962.49999999999989</v>
      </c>
      <c r="CF13" s="18">
        <f t="shared" si="47"/>
        <v>0</v>
      </c>
      <c r="CG13" s="31">
        <f t="shared" si="48"/>
        <v>0</v>
      </c>
      <c r="CH13" s="31"/>
      <c r="CI13" s="27">
        <v>0</v>
      </c>
      <c r="CJ13" s="37">
        <f t="shared" si="11"/>
        <v>-1</v>
      </c>
      <c r="CK13" s="36">
        <v>962.49999999999989</v>
      </c>
      <c r="CL13" s="31">
        <f t="shared" si="49"/>
        <v>962.49999999999989</v>
      </c>
      <c r="CM13" s="18">
        <f t="shared" si="50"/>
        <v>0</v>
      </c>
      <c r="CN13" s="31">
        <f t="shared" si="51"/>
        <v>0</v>
      </c>
      <c r="CO13" s="31"/>
      <c r="CP13" s="27">
        <v>0</v>
      </c>
      <c r="CQ13" s="37">
        <f t="shared" si="12"/>
        <v>-1</v>
      </c>
    </row>
    <row r="14" spans="1:95" s="26" customFormat="1" ht="16" customHeight="1" thickBot="1" x14ac:dyDescent="0.25">
      <c r="A14" s="39" t="s">
        <v>38</v>
      </c>
      <c r="B14" s="30">
        <f t="shared" si="0"/>
        <v>7131.4109999999973</v>
      </c>
      <c r="C14" s="31">
        <f t="shared" si="0"/>
        <v>7131.4109999999973</v>
      </c>
      <c r="D14" s="32">
        <f t="shared" si="0"/>
        <v>0</v>
      </c>
      <c r="E14" s="30">
        <f t="shared" si="13"/>
        <v>2377.1369999999997</v>
      </c>
      <c r="F14" s="33">
        <f t="shared" si="13"/>
        <v>2377.1369999999997</v>
      </c>
      <c r="G14" s="34">
        <f t="shared" si="13"/>
        <v>0</v>
      </c>
      <c r="H14" s="31">
        <f t="shared" si="1"/>
        <v>4587.329682440557</v>
      </c>
      <c r="I14" s="33">
        <f t="shared" si="1"/>
        <v>0</v>
      </c>
      <c r="J14" s="33">
        <f t="shared" si="1"/>
        <v>4587.329682440557</v>
      </c>
      <c r="K14" s="37">
        <f t="shared" si="14"/>
        <v>0.92977084721686531</v>
      </c>
      <c r="L14" s="36">
        <v>594.28424999999993</v>
      </c>
      <c r="M14" s="31">
        <f t="shared" si="15"/>
        <v>594.28424999999993</v>
      </c>
      <c r="N14" s="31">
        <f t="shared" si="16"/>
        <v>0</v>
      </c>
      <c r="O14" s="31">
        <f t="shared" si="17"/>
        <v>447.2436484399102</v>
      </c>
      <c r="P14" s="31"/>
      <c r="Q14" s="33">
        <v>447.2436484399102</v>
      </c>
      <c r="R14" s="37">
        <f t="shared" si="18"/>
        <v>-0.24742469880379592</v>
      </c>
      <c r="S14" s="36">
        <v>594.28424999999993</v>
      </c>
      <c r="T14" s="31">
        <f t="shared" si="19"/>
        <v>594.28424999999993</v>
      </c>
      <c r="U14" s="18">
        <f t="shared" si="20"/>
        <v>0</v>
      </c>
      <c r="V14" s="31">
        <f t="shared" si="21"/>
        <v>1634.159787600074</v>
      </c>
      <c r="W14" s="31"/>
      <c r="X14" s="33">
        <v>1634.159787600074</v>
      </c>
      <c r="Y14" s="37">
        <f t="shared" si="2"/>
        <v>1.7497948794706812</v>
      </c>
      <c r="Z14" s="36">
        <v>594.28424999999993</v>
      </c>
      <c r="AA14" s="31">
        <f t="shared" si="22"/>
        <v>594.28424999999993</v>
      </c>
      <c r="AB14" s="18">
        <f t="shared" si="23"/>
        <v>0</v>
      </c>
      <c r="AC14" s="31">
        <f t="shared" si="24"/>
        <v>609.06355045623889</v>
      </c>
      <c r="AD14" s="31"/>
      <c r="AE14" s="27">
        <v>609.06355045623889</v>
      </c>
      <c r="AF14" s="37">
        <f t="shared" si="3"/>
        <v>2.486907646675629E-2</v>
      </c>
      <c r="AG14" s="36">
        <v>594.28424999999993</v>
      </c>
      <c r="AH14" s="31">
        <f t="shared" si="25"/>
        <v>594.28424999999993</v>
      </c>
      <c r="AI14" s="18">
        <f t="shared" si="26"/>
        <v>0</v>
      </c>
      <c r="AJ14" s="31">
        <f t="shared" si="27"/>
        <v>582.28579490134609</v>
      </c>
      <c r="AK14" s="31"/>
      <c r="AL14" s="27">
        <v>582.28579490134609</v>
      </c>
      <c r="AM14" s="37">
        <f t="shared" si="4"/>
        <v>-2.0189757845094913E-2</v>
      </c>
      <c r="AN14" s="36">
        <v>594.28424999999993</v>
      </c>
      <c r="AO14" s="31">
        <f t="shared" si="28"/>
        <v>594.28424999999993</v>
      </c>
      <c r="AP14" s="18">
        <f t="shared" si="29"/>
        <v>0</v>
      </c>
      <c r="AQ14" s="31">
        <f t="shared" si="30"/>
        <v>727.28821632114125</v>
      </c>
      <c r="AR14" s="31"/>
      <c r="AS14" s="27">
        <v>727.28821632114125</v>
      </c>
      <c r="AT14" s="37">
        <f t="shared" si="5"/>
        <v>0.22380530246450481</v>
      </c>
      <c r="AU14" s="36">
        <v>594.28424999999993</v>
      </c>
      <c r="AV14" s="31">
        <f t="shared" si="31"/>
        <v>594.28424999999993</v>
      </c>
      <c r="AW14" s="18">
        <f t="shared" si="32"/>
        <v>0</v>
      </c>
      <c r="AX14" s="31">
        <f t="shared" si="33"/>
        <v>587.28868472184683</v>
      </c>
      <c r="AY14" s="31"/>
      <c r="AZ14" s="27">
        <v>587.28868472184683</v>
      </c>
      <c r="BA14" s="37">
        <f t="shared" si="6"/>
        <v>-1.1771412885589805E-2</v>
      </c>
      <c r="BB14" s="36">
        <v>594.28424999999993</v>
      </c>
      <c r="BC14" s="31">
        <f t="shared" si="34"/>
        <v>594.28424999999993</v>
      </c>
      <c r="BD14" s="18">
        <f t="shared" si="35"/>
        <v>0</v>
      </c>
      <c r="BE14" s="31">
        <f t="shared" si="36"/>
        <v>0</v>
      </c>
      <c r="BF14" s="31"/>
      <c r="BG14" s="27">
        <v>0</v>
      </c>
      <c r="BH14" s="37">
        <f t="shared" si="7"/>
        <v>-1</v>
      </c>
      <c r="BI14" s="36">
        <v>594.28424999999993</v>
      </c>
      <c r="BJ14" s="31">
        <f t="shared" si="37"/>
        <v>594.28424999999993</v>
      </c>
      <c r="BK14" s="18">
        <f t="shared" si="38"/>
        <v>0</v>
      </c>
      <c r="BL14" s="31">
        <f t="shared" si="39"/>
        <v>0</v>
      </c>
      <c r="BM14" s="31"/>
      <c r="BN14" s="27">
        <v>0</v>
      </c>
      <c r="BO14" s="37">
        <f t="shared" si="8"/>
        <v>-1</v>
      </c>
      <c r="BP14" s="36">
        <v>594.28424999999993</v>
      </c>
      <c r="BQ14" s="31">
        <f t="shared" si="40"/>
        <v>594.28424999999993</v>
      </c>
      <c r="BR14" s="18">
        <f t="shared" si="41"/>
        <v>0</v>
      </c>
      <c r="BS14" s="31">
        <f t="shared" si="42"/>
        <v>0</v>
      </c>
      <c r="BT14" s="31"/>
      <c r="BU14" s="27">
        <v>0</v>
      </c>
      <c r="BV14" s="37">
        <f t="shared" si="9"/>
        <v>-1</v>
      </c>
      <c r="BW14" s="36">
        <v>594.28424999999993</v>
      </c>
      <c r="BX14" s="31">
        <f t="shared" si="43"/>
        <v>594.28424999999993</v>
      </c>
      <c r="BY14" s="18">
        <f t="shared" si="44"/>
        <v>0</v>
      </c>
      <c r="BZ14" s="31">
        <f t="shared" si="45"/>
        <v>0</v>
      </c>
      <c r="CA14" s="31"/>
      <c r="CB14" s="27">
        <v>0</v>
      </c>
      <c r="CC14" s="37">
        <f t="shared" si="10"/>
        <v>-1</v>
      </c>
      <c r="CD14" s="36">
        <v>594.28424999999993</v>
      </c>
      <c r="CE14" s="31">
        <f t="shared" si="46"/>
        <v>594.28424999999993</v>
      </c>
      <c r="CF14" s="18">
        <f t="shared" si="47"/>
        <v>0</v>
      </c>
      <c r="CG14" s="31">
        <f t="shared" si="48"/>
        <v>0</v>
      </c>
      <c r="CH14" s="31"/>
      <c r="CI14" s="27">
        <v>0</v>
      </c>
      <c r="CJ14" s="37">
        <f t="shared" si="11"/>
        <v>-1</v>
      </c>
      <c r="CK14" s="36">
        <v>594.28424999999993</v>
      </c>
      <c r="CL14" s="31">
        <f t="shared" si="49"/>
        <v>594.28424999999993</v>
      </c>
      <c r="CM14" s="18">
        <f t="shared" si="50"/>
        <v>0</v>
      </c>
      <c r="CN14" s="31">
        <f t="shared" si="51"/>
        <v>0</v>
      </c>
      <c r="CO14" s="31"/>
      <c r="CP14" s="27">
        <v>0</v>
      </c>
      <c r="CQ14" s="37">
        <f t="shared" si="12"/>
        <v>-1</v>
      </c>
    </row>
    <row r="15" spans="1:95" s="26" customFormat="1" ht="16" customHeight="1" thickBot="1" x14ac:dyDescent="0.25">
      <c r="A15" s="38" t="s">
        <v>39</v>
      </c>
      <c r="B15" s="30">
        <f t="shared" si="0"/>
        <v>19461.032499999998</v>
      </c>
      <c r="C15" s="31">
        <f t="shared" si="0"/>
        <v>19461.032499999998</v>
      </c>
      <c r="D15" s="32">
        <f t="shared" si="0"/>
        <v>0</v>
      </c>
      <c r="E15" s="30">
        <f t="shared" si="13"/>
        <v>6445.1099999999988</v>
      </c>
      <c r="F15" s="33">
        <f t="shared" si="13"/>
        <v>6445.1099999999988</v>
      </c>
      <c r="G15" s="34">
        <f t="shared" si="13"/>
        <v>0</v>
      </c>
      <c r="H15" s="31">
        <f t="shared" si="1"/>
        <v>11407.689654025549</v>
      </c>
      <c r="I15" s="33">
        <f t="shared" si="1"/>
        <v>0</v>
      </c>
      <c r="J15" s="33">
        <f t="shared" si="1"/>
        <v>11407.689654025549</v>
      </c>
      <c r="K15" s="37">
        <f t="shared" si="14"/>
        <v>0.7699759436263387</v>
      </c>
      <c r="L15" s="36">
        <v>1611.2774999999997</v>
      </c>
      <c r="M15" s="40">
        <f t="shared" si="15"/>
        <v>1611.2774999999997</v>
      </c>
      <c r="N15" s="40">
        <f t="shared" si="16"/>
        <v>0</v>
      </c>
      <c r="O15" s="40">
        <f t="shared" si="17"/>
        <v>1443.8644553302743</v>
      </c>
      <c r="P15" s="40"/>
      <c r="Q15" s="115">
        <v>1443.8644553302743</v>
      </c>
      <c r="R15" s="37">
        <f t="shared" si="18"/>
        <v>-0.10390081452122646</v>
      </c>
      <c r="S15" s="36">
        <v>1611.2774999999997</v>
      </c>
      <c r="T15" s="40">
        <f t="shared" si="19"/>
        <v>1611.2774999999997</v>
      </c>
      <c r="U15" s="18">
        <f t="shared" si="20"/>
        <v>0</v>
      </c>
      <c r="V15" s="40">
        <f t="shared" si="21"/>
        <v>1438.5447829113773</v>
      </c>
      <c r="W15" s="40"/>
      <c r="X15" s="115">
        <v>1438.5447829113773</v>
      </c>
      <c r="Y15" s="37">
        <f t="shared" si="2"/>
        <v>-0.10720233919273525</v>
      </c>
      <c r="Z15" s="36">
        <v>1611.2774999999997</v>
      </c>
      <c r="AA15" s="40">
        <f t="shared" si="22"/>
        <v>1611.2774999999997</v>
      </c>
      <c r="AB15" s="18">
        <f t="shared" si="23"/>
        <v>0</v>
      </c>
      <c r="AC15" s="40">
        <f t="shared" si="24"/>
        <v>2154.9565049909593</v>
      </c>
      <c r="AD15" s="40"/>
      <c r="AE15" s="116">
        <v>2154.9565049909593</v>
      </c>
      <c r="AF15" s="37">
        <f t="shared" si="3"/>
        <v>0.33742108667871284</v>
      </c>
      <c r="AG15" s="36">
        <v>1611.2774999999997</v>
      </c>
      <c r="AH15" s="40">
        <f t="shared" si="25"/>
        <v>1611.2774999999997</v>
      </c>
      <c r="AI15" s="18">
        <f t="shared" si="26"/>
        <v>0</v>
      </c>
      <c r="AJ15" s="40">
        <f t="shared" si="27"/>
        <v>2543.170078963195</v>
      </c>
      <c r="AK15" s="40"/>
      <c r="AL15" s="116">
        <v>2543.170078963195</v>
      </c>
      <c r="AM15" s="37">
        <f t="shared" si="4"/>
        <v>0.57835635324343282</v>
      </c>
      <c r="AN15" s="36">
        <v>1611.2774999999997</v>
      </c>
      <c r="AO15" s="40">
        <f t="shared" si="28"/>
        <v>1611.2774999999997</v>
      </c>
      <c r="AP15" s="18">
        <f t="shared" si="29"/>
        <v>0</v>
      </c>
      <c r="AQ15" s="40">
        <f t="shared" si="30"/>
        <v>2041.3811925660291</v>
      </c>
      <c r="AR15" s="40"/>
      <c r="AS15" s="116">
        <v>2041.3811925660291</v>
      </c>
      <c r="AT15" s="37">
        <f t="shared" si="5"/>
        <v>0.26693334485588571</v>
      </c>
      <c r="AU15" s="36">
        <v>1611.2774999999997</v>
      </c>
      <c r="AV15" s="40">
        <f t="shared" si="31"/>
        <v>1611.2774999999997</v>
      </c>
      <c r="AW15" s="18">
        <f t="shared" si="32"/>
        <v>0</v>
      </c>
      <c r="AX15" s="40">
        <f t="shared" si="33"/>
        <v>1785.7726392637144</v>
      </c>
      <c r="AY15" s="40"/>
      <c r="AZ15" s="116">
        <v>1785.7726392637144</v>
      </c>
      <c r="BA15" s="37">
        <f t="shared" si="6"/>
        <v>0.1082961434412848</v>
      </c>
      <c r="BB15" s="36">
        <v>1736.98</v>
      </c>
      <c r="BC15" s="40">
        <f t="shared" si="34"/>
        <v>1736.98</v>
      </c>
      <c r="BD15" s="18">
        <f t="shared" si="35"/>
        <v>0</v>
      </c>
      <c r="BE15" s="40">
        <f t="shared" si="36"/>
        <v>0</v>
      </c>
      <c r="BF15" s="40"/>
      <c r="BG15" s="116">
        <v>0</v>
      </c>
      <c r="BH15" s="37">
        <f t="shared" si="7"/>
        <v>-1</v>
      </c>
      <c r="BI15" s="36">
        <v>1611.2774999999997</v>
      </c>
      <c r="BJ15" s="40">
        <f t="shared" si="37"/>
        <v>1611.2774999999997</v>
      </c>
      <c r="BK15" s="18">
        <f t="shared" si="38"/>
        <v>0</v>
      </c>
      <c r="BL15" s="40">
        <f t="shared" si="39"/>
        <v>0</v>
      </c>
      <c r="BM15" s="40"/>
      <c r="BN15" s="116">
        <v>0</v>
      </c>
      <c r="BO15" s="37">
        <f t="shared" si="8"/>
        <v>-1</v>
      </c>
      <c r="BP15" s="36">
        <v>1611.2774999999997</v>
      </c>
      <c r="BQ15" s="40">
        <f t="shared" si="40"/>
        <v>1611.2774999999997</v>
      </c>
      <c r="BR15" s="18">
        <f t="shared" si="41"/>
        <v>0</v>
      </c>
      <c r="BS15" s="40">
        <f t="shared" si="42"/>
        <v>0</v>
      </c>
      <c r="BT15" s="40"/>
      <c r="BU15" s="116">
        <v>0</v>
      </c>
      <c r="BV15" s="37">
        <f t="shared" si="9"/>
        <v>-1</v>
      </c>
      <c r="BW15" s="36">
        <v>1611.2774999999997</v>
      </c>
      <c r="BX15" s="40">
        <f t="shared" si="43"/>
        <v>1611.2774999999997</v>
      </c>
      <c r="BY15" s="18">
        <f t="shared" si="44"/>
        <v>0</v>
      </c>
      <c r="BZ15" s="40">
        <f t="shared" si="45"/>
        <v>0</v>
      </c>
      <c r="CA15" s="40"/>
      <c r="CB15" s="116">
        <v>0</v>
      </c>
      <c r="CC15" s="37">
        <f t="shared" si="10"/>
        <v>-1</v>
      </c>
      <c r="CD15" s="36">
        <v>1611.2774999999997</v>
      </c>
      <c r="CE15" s="40">
        <f t="shared" si="46"/>
        <v>1611.2774999999997</v>
      </c>
      <c r="CF15" s="18">
        <f t="shared" si="47"/>
        <v>0</v>
      </c>
      <c r="CG15" s="40">
        <f t="shared" si="48"/>
        <v>0</v>
      </c>
      <c r="CH15" s="40"/>
      <c r="CI15" s="116">
        <v>0</v>
      </c>
      <c r="CJ15" s="37">
        <f t="shared" si="11"/>
        <v>-1</v>
      </c>
      <c r="CK15" s="36">
        <v>1611.2774999999997</v>
      </c>
      <c r="CL15" s="40">
        <f t="shared" si="49"/>
        <v>1611.2774999999997</v>
      </c>
      <c r="CM15" s="18">
        <f t="shared" si="50"/>
        <v>0</v>
      </c>
      <c r="CN15" s="40">
        <f t="shared" si="51"/>
        <v>0</v>
      </c>
      <c r="CO15" s="40"/>
      <c r="CP15" s="116">
        <v>0</v>
      </c>
      <c r="CQ15" s="37">
        <f t="shared" si="12"/>
        <v>-1</v>
      </c>
    </row>
    <row r="16" spans="1:95" s="26" customFormat="1" ht="16" customHeight="1" thickBot="1" x14ac:dyDescent="0.25">
      <c r="A16" s="29" t="s">
        <v>40</v>
      </c>
      <c r="B16" s="30">
        <f t="shared" si="0"/>
        <v>6562.5</v>
      </c>
      <c r="C16" s="31">
        <f t="shared" si="0"/>
        <v>6562.5</v>
      </c>
      <c r="D16" s="32">
        <f t="shared" si="0"/>
        <v>0</v>
      </c>
      <c r="E16" s="30">
        <f t="shared" si="13"/>
        <v>2187.5</v>
      </c>
      <c r="F16" s="33">
        <f t="shared" si="13"/>
        <v>2187.5</v>
      </c>
      <c r="G16" s="34">
        <f t="shared" si="13"/>
        <v>0</v>
      </c>
      <c r="H16" s="31">
        <f t="shared" si="1"/>
        <v>18386.23002810554</v>
      </c>
      <c r="I16" s="33">
        <f t="shared" si="1"/>
        <v>0</v>
      </c>
      <c r="J16" s="33">
        <f t="shared" si="1"/>
        <v>18386.23002810554</v>
      </c>
      <c r="K16" s="37">
        <f t="shared" si="14"/>
        <v>7.4051337271339612</v>
      </c>
      <c r="L16" s="36">
        <v>546.875</v>
      </c>
      <c r="M16" s="31">
        <f t="shared" si="15"/>
        <v>546.875</v>
      </c>
      <c r="N16" s="31">
        <f t="shared" si="16"/>
        <v>0</v>
      </c>
      <c r="O16" s="31">
        <f t="shared" si="17"/>
        <v>501.02930823305962</v>
      </c>
      <c r="P16" s="31"/>
      <c r="Q16" s="33">
        <v>501.02930823305962</v>
      </c>
      <c r="R16" s="37">
        <f t="shared" si="18"/>
        <v>-8.3832122088119521E-2</v>
      </c>
      <c r="S16" s="36">
        <v>546.875</v>
      </c>
      <c r="T16" s="31">
        <f t="shared" si="19"/>
        <v>546.875</v>
      </c>
      <c r="U16" s="18">
        <f t="shared" si="20"/>
        <v>0</v>
      </c>
      <c r="V16" s="31">
        <f t="shared" si="21"/>
        <v>8796.9678736798596</v>
      </c>
      <c r="W16" s="31"/>
      <c r="X16" s="33">
        <v>8796.9678736798596</v>
      </c>
      <c r="Y16" s="37">
        <f t="shared" si="2"/>
        <v>15.085884111871742</v>
      </c>
      <c r="Z16" s="36">
        <v>546.875</v>
      </c>
      <c r="AA16" s="31">
        <f t="shared" si="22"/>
        <v>546.875</v>
      </c>
      <c r="AB16" s="18">
        <f t="shared" si="23"/>
        <v>0</v>
      </c>
      <c r="AC16" s="31">
        <f t="shared" si="24"/>
        <v>549.81295329575926</v>
      </c>
      <c r="AD16" s="31"/>
      <c r="AE16" s="27">
        <v>549.81295329575926</v>
      </c>
      <c r="AF16" s="37">
        <f t="shared" si="3"/>
        <v>5.3722574551027247E-3</v>
      </c>
      <c r="AG16" s="36">
        <v>546.875</v>
      </c>
      <c r="AH16" s="31">
        <f t="shared" si="25"/>
        <v>546.875</v>
      </c>
      <c r="AI16" s="18">
        <f t="shared" si="26"/>
        <v>0</v>
      </c>
      <c r="AJ16" s="31">
        <f t="shared" si="27"/>
        <v>2000.1224468502749</v>
      </c>
      <c r="AK16" s="31"/>
      <c r="AL16" s="27">
        <v>2000.1224468502749</v>
      </c>
      <c r="AM16" s="37">
        <f t="shared" si="4"/>
        <v>2.6573667599547881</v>
      </c>
      <c r="AN16" s="36">
        <v>546.875</v>
      </c>
      <c r="AO16" s="31">
        <f t="shared" si="28"/>
        <v>546.875</v>
      </c>
      <c r="AP16" s="18">
        <f t="shared" si="29"/>
        <v>0</v>
      </c>
      <c r="AQ16" s="31">
        <f t="shared" si="30"/>
        <v>1208.8511463738548</v>
      </c>
      <c r="AR16" s="31"/>
      <c r="AS16" s="27">
        <v>1208.8511463738548</v>
      </c>
      <c r="AT16" s="37">
        <f t="shared" si="5"/>
        <v>1.210470667655049</v>
      </c>
      <c r="AU16" s="36">
        <v>546.875</v>
      </c>
      <c r="AV16" s="31">
        <f t="shared" si="31"/>
        <v>546.875</v>
      </c>
      <c r="AW16" s="18">
        <f t="shared" si="32"/>
        <v>0</v>
      </c>
      <c r="AX16" s="31">
        <f t="shared" si="33"/>
        <v>5329.4462996727334</v>
      </c>
      <c r="AY16" s="31"/>
      <c r="AZ16" s="27">
        <v>5329.4462996727334</v>
      </c>
      <c r="BA16" s="37">
        <f t="shared" si="6"/>
        <v>8.7452732336872838</v>
      </c>
      <c r="BB16" s="36">
        <v>546.875</v>
      </c>
      <c r="BC16" s="31">
        <f t="shared" si="34"/>
        <v>546.875</v>
      </c>
      <c r="BD16" s="18">
        <f t="shared" si="35"/>
        <v>0</v>
      </c>
      <c r="BE16" s="31">
        <f t="shared" si="36"/>
        <v>0</v>
      </c>
      <c r="BF16" s="31"/>
      <c r="BG16" s="27">
        <v>0</v>
      </c>
      <c r="BH16" s="37">
        <f t="shared" si="7"/>
        <v>-1</v>
      </c>
      <c r="BI16" s="36">
        <v>546.875</v>
      </c>
      <c r="BJ16" s="31">
        <f t="shared" si="37"/>
        <v>546.875</v>
      </c>
      <c r="BK16" s="18">
        <f t="shared" si="38"/>
        <v>0</v>
      </c>
      <c r="BL16" s="31">
        <f t="shared" si="39"/>
        <v>0</v>
      </c>
      <c r="BM16" s="31"/>
      <c r="BN16" s="27">
        <v>0</v>
      </c>
      <c r="BO16" s="37">
        <f t="shared" si="8"/>
        <v>-1</v>
      </c>
      <c r="BP16" s="36">
        <v>546.875</v>
      </c>
      <c r="BQ16" s="31">
        <f t="shared" si="40"/>
        <v>546.875</v>
      </c>
      <c r="BR16" s="18">
        <f t="shared" si="41"/>
        <v>0</v>
      </c>
      <c r="BS16" s="31">
        <f t="shared" si="42"/>
        <v>0</v>
      </c>
      <c r="BT16" s="31"/>
      <c r="BU16" s="27">
        <v>0</v>
      </c>
      <c r="BV16" s="37">
        <f t="shared" si="9"/>
        <v>-1</v>
      </c>
      <c r="BW16" s="36">
        <v>546.875</v>
      </c>
      <c r="BX16" s="31">
        <f t="shared" si="43"/>
        <v>546.875</v>
      </c>
      <c r="BY16" s="18">
        <f t="shared" si="44"/>
        <v>0</v>
      </c>
      <c r="BZ16" s="31">
        <f t="shared" si="45"/>
        <v>0</v>
      </c>
      <c r="CA16" s="31"/>
      <c r="CB16" s="27">
        <v>0</v>
      </c>
      <c r="CC16" s="37">
        <f t="shared" si="10"/>
        <v>-1</v>
      </c>
      <c r="CD16" s="36">
        <v>546.875</v>
      </c>
      <c r="CE16" s="31">
        <f t="shared" si="46"/>
        <v>546.875</v>
      </c>
      <c r="CF16" s="18">
        <f t="shared" si="47"/>
        <v>0</v>
      </c>
      <c r="CG16" s="31">
        <f t="shared" si="48"/>
        <v>0</v>
      </c>
      <c r="CH16" s="31"/>
      <c r="CI16" s="27">
        <v>0</v>
      </c>
      <c r="CJ16" s="37">
        <f t="shared" si="11"/>
        <v>-1</v>
      </c>
      <c r="CK16" s="36">
        <v>546.875</v>
      </c>
      <c r="CL16" s="31">
        <f t="shared" si="49"/>
        <v>546.875</v>
      </c>
      <c r="CM16" s="18">
        <f t="shared" si="50"/>
        <v>0</v>
      </c>
      <c r="CN16" s="31">
        <f t="shared" si="51"/>
        <v>0</v>
      </c>
      <c r="CO16" s="31"/>
      <c r="CP16" s="27">
        <v>0</v>
      </c>
      <c r="CQ16" s="37">
        <f t="shared" si="12"/>
        <v>-1</v>
      </c>
    </row>
    <row r="17" spans="1:95" s="26" customFormat="1" ht="16" customHeight="1" thickBot="1" x14ac:dyDescent="0.25">
      <c r="A17" s="38" t="s">
        <v>41</v>
      </c>
      <c r="B17" s="30">
        <f t="shared" si="0"/>
        <v>82640.25</v>
      </c>
      <c r="C17" s="31">
        <f t="shared" si="0"/>
        <v>82640.25</v>
      </c>
      <c r="D17" s="32">
        <f t="shared" si="0"/>
        <v>0</v>
      </c>
      <c r="E17" s="30">
        <f t="shared" si="13"/>
        <v>27546.75</v>
      </c>
      <c r="F17" s="33">
        <f t="shared" si="13"/>
        <v>27546.75</v>
      </c>
      <c r="G17" s="34">
        <f t="shared" si="13"/>
        <v>0</v>
      </c>
      <c r="H17" s="31">
        <f t="shared" si="1"/>
        <v>58230.566005707311</v>
      </c>
      <c r="I17" s="33">
        <f t="shared" si="1"/>
        <v>0</v>
      </c>
      <c r="J17" s="33">
        <f t="shared" si="1"/>
        <v>58230.566005707311</v>
      </c>
      <c r="K17" s="37">
        <f t="shared" si="14"/>
        <v>1.1138815288811679</v>
      </c>
      <c r="L17" s="36">
        <v>6886.6875</v>
      </c>
      <c r="M17" s="31">
        <f t="shared" si="15"/>
        <v>6886.6875</v>
      </c>
      <c r="N17" s="31">
        <f t="shared" si="16"/>
        <v>0</v>
      </c>
      <c r="O17" s="31">
        <f t="shared" si="17"/>
        <v>7109.1176391681038</v>
      </c>
      <c r="P17" s="31"/>
      <c r="Q17" s="33">
        <v>7109.1176391681038</v>
      </c>
      <c r="R17" s="37">
        <f t="shared" si="18"/>
        <v>3.2298567223807417E-2</v>
      </c>
      <c r="S17" s="36">
        <v>6886.6875</v>
      </c>
      <c r="T17" s="31">
        <f t="shared" si="19"/>
        <v>6886.6875</v>
      </c>
      <c r="U17" s="18">
        <f t="shared" si="20"/>
        <v>0</v>
      </c>
      <c r="V17" s="31">
        <f t="shared" si="21"/>
        <v>5476.1355045969249</v>
      </c>
      <c r="W17" s="31"/>
      <c r="X17" s="33">
        <v>5476.1355045969249</v>
      </c>
      <c r="Y17" s="37">
        <f t="shared" si="2"/>
        <v>-0.20482300023096378</v>
      </c>
      <c r="Z17" s="36">
        <v>6886.6875</v>
      </c>
      <c r="AA17" s="31">
        <f t="shared" si="22"/>
        <v>6886.6875</v>
      </c>
      <c r="AB17" s="18">
        <f t="shared" si="23"/>
        <v>0</v>
      </c>
      <c r="AC17" s="31">
        <f t="shared" si="24"/>
        <v>8791.4900292138391</v>
      </c>
      <c r="AD17" s="31"/>
      <c r="AE17" s="27">
        <v>8791.4900292138391</v>
      </c>
      <c r="AF17" s="37">
        <f t="shared" si="3"/>
        <v>0.27659197970197424</v>
      </c>
      <c r="AG17" s="36">
        <v>6886.6875</v>
      </c>
      <c r="AH17" s="31">
        <f t="shared" si="25"/>
        <v>6886.6875</v>
      </c>
      <c r="AI17" s="18">
        <f t="shared" si="26"/>
        <v>0</v>
      </c>
      <c r="AJ17" s="31">
        <f t="shared" si="27"/>
        <v>16246.610588848747</v>
      </c>
      <c r="AK17" s="31"/>
      <c r="AL17" s="27">
        <v>16246.610588848747</v>
      </c>
      <c r="AM17" s="37">
        <f t="shared" si="4"/>
        <v>1.3591328325626431</v>
      </c>
      <c r="AN17" s="36">
        <v>6886.6875</v>
      </c>
      <c r="AO17" s="31">
        <f t="shared" si="28"/>
        <v>6886.6875</v>
      </c>
      <c r="AP17" s="18">
        <f t="shared" si="29"/>
        <v>0</v>
      </c>
      <c r="AQ17" s="31">
        <f t="shared" si="30"/>
        <v>10025.126242026861</v>
      </c>
      <c r="AR17" s="31"/>
      <c r="AS17" s="27">
        <v>10025.126242026861</v>
      </c>
      <c r="AT17" s="37">
        <f t="shared" si="5"/>
        <v>0.45572544739787624</v>
      </c>
      <c r="AU17" s="36">
        <v>6886.6875</v>
      </c>
      <c r="AV17" s="31">
        <f t="shared" si="31"/>
        <v>6886.6875</v>
      </c>
      <c r="AW17" s="18">
        <f t="shared" si="32"/>
        <v>0</v>
      </c>
      <c r="AX17" s="31">
        <f t="shared" si="33"/>
        <v>10582.086001852829</v>
      </c>
      <c r="AY17" s="31"/>
      <c r="AZ17" s="27">
        <v>10582.086001852829</v>
      </c>
      <c r="BA17" s="37">
        <f t="shared" si="6"/>
        <v>0.53660028886933375</v>
      </c>
      <c r="BB17" s="36">
        <v>6886.6875</v>
      </c>
      <c r="BC17" s="31">
        <f t="shared" si="34"/>
        <v>6886.6875</v>
      </c>
      <c r="BD17" s="18">
        <f t="shared" si="35"/>
        <v>0</v>
      </c>
      <c r="BE17" s="31">
        <f t="shared" si="36"/>
        <v>0</v>
      </c>
      <c r="BF17" s="31"/>
      <c r="BG17" s="27"/>
      <c r="BH17" s="37">
        <f t="shared" si="7"/>
        <v>-1</v>
      </c>
      <c r="BI17" s="36">
        <v>6886.6875</v>
      </c>
      <c r="BJ17" s="31">
        <f t="shared" si="37"/>
        <v>6886.6875</v>
      </c>
      <c r="BK17" s="18">
        <f t="shared" si="38"/>
        <v>0</v>
      </c>
      <c r="BL17" s="31">
        <f t="shared" si="39"/>
        <v>0</v>
      </c>
      <c r="BM17" s="31"/>
      <c r="BN17" s="27"/>
      <c r="BO17" s="37">
        <f t="shared" si="8"/>
        <v>-1</v>
      </c>
      <c r="BP17" s="36">
        <v>6886.6875</v>
      </c>
      <c r="BQ17" s="31">
        <f t="shared" si="40"/>
        <v>6886.6875</v>
      </c>
      <c r="BR17" s="18">
        <f t="shared" si="41"/>
        <v>0</v>
      </c>
      <c r="BS17" s="31">
        <f t="shared" si="42"/>
        <v>0</v>
      </c>
      <c r="BT17" s="31"/>
      <c r="BU17" s="27"/>
      <c r="BV17" s="37">
        <f t="shared" si="9"/>
        <v>-1</v>
      </c>
      <c r="BW17" s="36">
        <v>6886.6875</v>
      </c>
      <c r="BX17" s="31">
        <f t="shared" si="43"/>
        <v>6886.6875</v>
      </c>
      <c r="BY17" s="18">
        <f t="shared" si="44"/>
        <v>0</v>
      </c>
      <c r="BZ17" s="31">
        <f t="shared" si="45"/>
        <v>0</v>
      </c>
      <c r="CA17" s="31"/>
      <c r="CB17" s="27"/>
      <c r="CC17" s="37">
        <f t="shared" si="10"/>
        <v>-1</v>
      </c>
      <c r="CD17" s="36">
        <v>6886.6875</v>
      </c>
      <c r="CE17" s="31">
        <f t="shared" si="46"/>
        <v>6886.6875</v>
      </c>
      <c r="CF17" s="18">
        <f t="shared" si="47"/>
        <v>0</v>
      </c>
      <c r="CG17" s="31">
        <f t="shared" si="48"/>
        <v>0</v>
      </c>
      <c r="CH17" s="31"/>
      <c r="CI17" s="27"/>
      <c r="CJ17" s="37">
        <f t="shared" si="11"/>
        <v>-1</v>
      </c>
      <c r="CK17" s="36">
        <v>6886.6875</v>
      </c>
      <c r="CL17" s="31">
        <f t="shared" si="49"/>
        <v>6886.6875</v>
      </c>
      <c r="CM17" s="18">
        <f t="shared" si="50"/>
        <v>0</v>
      </c>
      <c r="CN17" s="31">
        <f t="shared" si="51"/>
        <v>0</v>
      </c>
      <c r="CO17" s="31"/>
      <c r="CP17" s="27"/>
      <c r="CQ17" s="37">
        <f t="shared" si="12"/>
        <v>-1</v>
      </c>
    </row>
    <row r="18" spans="1:95" s="26" customFormat="1" ht="16" customHeight="1" thickBot="1" x14ac:dyDescent="0.25">
      <c r="A18" s="38" t="s">
        <v>42</v>
      </c>
      <c r="B18" s="30">
        <f t="shared" si="0"/>
        <v>11558.662499999999</v>
      </c>
      <c r="C18" s="31">
        <f t="shared" si="0"/>
        <v>11558.662499999999</v>
      </c>
      <c r="D18" s="32">
        <f t="shared" si="0"/>
        <v>0</v>
      </c>
      <c r="E18" s="30">
        <f t="shared" si="13"/>
        <v>3852.8874999999998</v>
      </c>
      <c r="F18" s="33">
        <f t="shared" si="13"/>
        <v>3852.8874999999998</v>
      </c>
      <c r="G18" s="34">
        <f t="shared" si="13"/>
        <v>0</v>
      </c>
      <c r="H18" s="31">
        <f t="shared" si="1"/>
        <v>6728.6177911880022</v>
      </c>
      <c r="I18" s="33">
        <f t="shared" si="1"/>
        <v>0</v>
      </c>
      <c r="J18" s="33">
        <f t="shared" si="1"/>
        <v>6728.6177911880022</v>
      </c>
      <c r="K18" s="37">
        <f t="shared" si="14"/>
        <v>0.74638314541704176</v>
      </c>
      <c r="L18" s="36">
        <v>963.22187499999995</v>
      </c>
      <c r="M18" s="31">
        <f t="shared" si="15"/>
        <v>963.22187499999995</v>
      </c>
      <c r="N18" s="31">
        <f t="shared" si="16"/>
        <v>0</v>
      </c>
      <c r="O18" s="31">
        <f t="shared" si="17"/>
        <v>1730.7387618153091</v>
      </c>
      <c r="P18" s="31"/>
      <c r="Q18" s="33">
        <v>1730.7387618153091</v>
      </c>
      <c r="R18" s="37">
        <f t="shared" si="18"/>
        <v>0.79682252525183683</v>
      </c>
      <c r="S18" s="36">
        <v>963.22187499999995</v>
      </c>
      <c r="T18" s="31">
        <f t="shared" si="19"/>
        <v>963.22187499999995</v>
      </c>
      <c r="U18" s="18">
        <f t="shared" si="20"/>
        <v>0</v>
      </c>
      <c r="V18" s="31">
        <f t="shared" si="21"/>
        <v>2492.4990427435996</v>
      </c>
      <c r="W18" s="31"/>
      <c r="X18" s="33">
        <v>2492.4990427435996</v>
      </c>
      <c r="Y18" s="37">
        <f t="shared" si="2"/>
        <v>1.5876686435756038</v>
      </c>
      <c r="Z18" s="36">
        <v>963.22187499999995</v>
      </c>
      <c r="AA18" s="31">
        <f t="shared" si="22"/>
        <v>963.22187499999995</v>
      </c>
      <c r="AB18" s="18">
        <f t="shared" si="23"/>
        <v>0</v>
      </c>
      <c r="AC18" s="31">
        <f t="shared" si="24"/>
        <v>0</v>
      </c>
      <c r="AD18" s="31"/>
      <c r="AE18" s="27">
        <v>0</v>
      </c>
      <c r="AF18" s="37">
        <f t="shared" si="3"/>
        <v>-1</v>
      </c>
      <c r="AG18" s="36">
        <v>963.22187499999995</v>
      </c>
      <c r="AH18" s="31">
        <f t="shared" si="25"/>
        <v>963.22187499999995</v>
      </c>
      <c r="AI18" s="18">
        <f t="shared" si="26"/>
        <v>0</v>
      </c>
      <c r="AJ18" s="31">
        <f t="shared" si="27"/>
        <v>0</v>
      </c>
      <c r="AK18" s="31"/>
      <c r="AL18" s="27">
        <v>0</v>
      </c>
      <c r="AM18" s="37">
        <f t="shared" si="4"/>
        <v>-1</v>
      </c>
      <c r="AN18" s="36">
        <v>963.22187499999995</v>
      </c>
      <c r="AO18" s="31">
        <f t="shared" si="28"/>
        <v>963.22187499999995</v>
      </c>
      <c r="AP18" s="18">
        <f t="shared" si="29"/>
        <v>0</v>
      </c>
      <c r="AQ18" s="31">
        <f t="shared" si="30"/>
        <v>2505.3799866290942</v>
      </c>
      <c r="AR18" s="31"/>
      <c r="AS18" s="27">
        <v>2505.3799866290942</v>
      </c>
      <c r="AT18" s="37">
        <f t="shared" si="5"/>
        <v>1.6010414128407273</v>
      </c>
      <c r="AU18" s="36">
        <v>963.22187499999995</v>
      </c>
      <c r="AV18" s="31">
        <f t="shared" si="31"/>
        <v>963.22187499999995</v>
      </c>
      <c r="AW18" s="18">
        <f t="shared" si="32"/>
        <v>0</v>
      </c>
      <c r="AX18" s="31">
        <f t="shared" si="33"/>
        <v>0</v>
      </c>
      <c r="AY18" s="31"/>
      <c r="AZ18" s="27">
        <v>0</v>
      </c>
      <c r="BA18" s="37">
        <f t="shared" si="6"/>
        <v>-1</v>
      </c>
      <c r="BB18" s="36">
        <v>963.22187499999995</v>
      </c>
      <c r="BC18" s="31">
        <f t="shared" si="34"/>
        <v>963.22187499999995</v>
      </c>
      <c r="BD18" s="18">
        <f t="shared" si="35"/>
        <v>0</v>
      </c>
      <c r="BE18" s="31">
        <f t="shared" si="36"/>
        <v>0</v>
      </c>
      <c r="BF18" s="31"/>
      <c r="BG18" s="27"/>
      <c r="BH18" s="37">
        <f t="shared" si="7"/>
        <v>-1</v>
      </c>
      <c r="BI18" s="36">
        <v>963.22187499999995</v>
      </c>
      <c r="BJ18" s="31">
        <f t="shared" si="37"/>
        <v>963.22187499999995</v>
      </c>
      <c r="BK18" s="18">
        <f t="shared" si="38"/>
        <v>0</v>
      </c>
      <c r="BL18" s="31">
        <f t="shared" si="39"/>
        <v>0</v>
      </c>
      <c r="BM18" s="31"/>
      <c r="BN18" s="27"/>
      <c r="BO18" s="37">
        <f t="shared" si="8"/>
        <v>-1</v>
      </c>
      <c r="BP18" s="36">
        <v>963.22187499999995</v>
      </c>
      <c r="BQ18" s="31">
        <f t="shared" si="40"/>
        <v>963.22187499999995</v>
      </c>
      <c r="BR18" s="18">
        <f t="shared" si="41"/>
        <v>0</v>
      </c>
      <c r="BS18" s="31">
        <f t="shared" si="42"/>
        <v>0</v>
      </c>
      <c r="BT18" s="31"/>
      <c r="BU18" s="27"/>
      <c r="BV18" s="37">
        <f t="shared" si="9"/>
        <v>-1</v>
      </c>
      <c r="BW18" s="36">
        <v>963.22187499999995</v>
      </c>
      <c r="BX18" s="31">
        <f t="shared" si="43"/>
        <v>963.22187499999995</v>
      </c>
      <c r="BY18" s="18">
        <f t="shared" si="44"/>
        <v>0</v>
      </c>
      <c r="BZ18" s="31">
        <f t="shared" si="45"/>
        <v>0</v>
      </c>
      <c r="CA18" s="31"/>
      <c r="CB18" s="27"/>
      <c r="CC18" s="37">
        <f t="shared" si="10"/>
        <v>-1</v>
      </c>
      <c r="CD18" s="36">
        <v>963.22187499999995</v>
      </c>
      <c r="CE18" s="31">
        <f t="shared" si="46"/>
        <v>963.22187499999995</v>
      </c>
      <c r="CF18" s="18">
        <f t="shared" si="47"/>
        <v>0</v>
      </c>
      <c r="CG18" s="31">
        <f t="shared" si="48"/>
        <v>0</v>
      </c>
      <c r="CH18" s="31"/>
      <c r="CI18" s="27"/>
      <c r="CJ18" s="37">
        <f t="shared" si="11"/>
        <v>-1</v>
      </c>
      <c r="CK18" s="36">
        <v>963.22187499999995</v>
      </c>
      <c r="CL18" s="31">
        <f t="shared" si="49"/>
        <v>963.22187499999995</v>
      </c>
      <c r="CM18" s="18">
        <f t="shared" si="50"/>
        <v>0</v>
      </c>
      <c r="CN18" s="31">
        <f t="shared" si="51"/>
        <v>0</v>
      </c>
      <c r="CO18" s="31"/>
      <c r="CP18" s="27"/>
      <c r="CQ18" s="37">
        <f t="shared" si="12"/>
        <v>-1</v>
      </c>
    </row>
    <row r="19" spans="1:95" s="26" customFormat="1" ht="16" customHeight="1" thickBot="1" x14ac:dyDescent="0.25">
      <c r="A19" s="38" t="s">
        <v>43</v>
      </c>
      <c r="B19" s="30">
        <f t="shared" si="0"/>
        <v>3062.5</v>
      </c>
      <c r="C19" s="31">
        <f t="shared" si="0"/>
        <v>3062.5</v>
      </c>
      <c r="D19" s="32">
        <f t="shared" si="0"/>
        <v>0</v>
      </c>
      <c r="E19" s="30">
        <f t="shared" si="13"/>
        <v>1020.8333333333333</v>
      </c>
      <c r="F19" s="33">
        <f t="shared" si="13"/>
        <v>1020.8333333333333</v>
      </c>
      <c r="G19" s="34">
        <f t="shared" si="13"/>
        <v>0</v>
      </c>
      <c r="H19" s="31">
        <f t="shared" si="1"/>
        <v>2366.2688641651534</v>
      </c>
      <c r="I19" s="33">
        <f t="shared" si="1"/>
        <v>0</v>
      </c>
      <c r="J19" s="33">
        <f t="shared" si="1"/>
        <v>2366.2688641651534</v>
      </c>
      <c r="K19" s="37">
        <f t="shared" si="14"/>
        <v>1.3179776628556605</v>
      </c>
      <c r="L19" s="36">
        <v>255.20833333333331</v>
      </c>
      <c r="M19" s="31">
        <f t="shared" si="15"/>
        <v>255.20833333333331</v>
      </c>
      <c r="N19" s="31">
        <f t="shared" si="16"/>
        <v>0</v>
      </c>
      <c r="O19" s="31">
        <f t="shared" si="17"/>
        <v>603.00932865755169</v>
      </c>
      <c r="P19" s="31"/>
      <c r="Q19" s="33">
        <v>603.00932865755169</v>
      </c>
      <c r="R19" s="37">
        <f t="shared" si="18"/>
        <v>1.3628120633112233</v>
      </c>
      <c r="S19" s="36">
        <v>255.20833333333331</v>
      </c>
      <c r="T19" s="31">
        <f t="shared" si="19"/>
        <v>255.20833333333331</v>
      </c>
      <c r="U19" s="18">
        <f t="shared" si="20"/>
        <v>0</v>
      </c>
      <c r="V19" s="31">
        <f t="shared" si="21"/>
        <v>225.80249953473142</v>
      </c>
      <c r="W19" s="31"/>
      <c r="X19" s="33">
        <v>225.80249953473142</v>
      </c>
      <c r="Y19" s="37">
        <f t="shared" si="2"/>
        <v>-0.1152228589659503</v>
      </c>
      <c r="Z19" s="36">
        <v>255.20833333333331</v>
      </c>
      <c r="AA19" s="31">
        <f t="shared" si="22"/>
        <v>255.20833333333331</v>
      </c>
      <c r="AB19" s="18">
        <f t="shared" si="23"/>
        <v>0</v>
      </c>
      <c r="AC19" s="31">
        <f t="shared" si="24"/>
        <v>65.489902998692955</v>
      </c>
      <c r="AD19" s="31"/>
      <c r="AE19" s="27">
        <v>65.489902998692955</v>
      </c>
      <c r="AF19" s="37">
        <f t="shared" si="3"/>
        <v>-0.74338650253573368</v>
      </c>
      <c r="AG19" s="36">
        <v>255.20833333333331</v>
      </c>
      <c r="AH19" s="31">
        <f t="shared" si="25"/>
        <v>255.20833333333331</v>
      </c>
      <c r="AI19" s="18">
        <f t="shared" si="26"/>
        <v>0</v>
      </c>
      <c r="AJ19" s="31">
        <f t="shared" si="27"/>
        <v>866.20567703307393</v>
      </c>
      <c r="AK19" s="31"/>
      <c r="AL19" s="27">
        <v>866.20567703307393</v>
      </c>
      <c r="AM19" s="37">
        <f t="shared" si="4"/>
        <v>2.3941120406193921</v>
      </c>
      <c r="AN19" s="36">
        <v>255.20833333333331</v>
      </c>
      <c r="AO19" s="31">
        <f t="shared" si="28"/>
        <v>255.20833333333331</v>
      </c>
      <c r="AP19" s="18">
        <f t="shared" si="29"/>
        <v>0</v>
      </c>
      <c r="AQ19" s="31">
        <f t="shared" si="30"/>
        <v>324.60829340131397</v>
      </c>
      <c r="AR19" s="31"/>
      <c r="AS19" s="27">
        <v>324.60829340131397</v>
      </c>
      <c r="AT19" s="37">
        <f t="shared" si="5"/>
        <v>0.27193453740923035</v>
      </c>
      <c r="AU19" s="36">
        <v>255.20833333333331</v>
      </c>
      <c r="AV19" s="31">
        <f t="shared" si="31"/>
        <v>255.20833333333331</v>
      </c>
      <c r="AW19" s="18">
        <f t="shared" si="32"/>
        <v>0</v>
      </c>
      <c r="AX19" s="31">
        <f t="shared" si="33"/>
        <v>281.15316253978983</v>
      </c>
      <c r="AY19" s="31"/>
      <c r="AZ19" s="27">
        <v>281.15316253978983</v>
      </c>
      <c r="BA19" s="37">
        <f t="shared" si="6"/>
        <v>0.10166137158448274</v>
      </c>
      <c r="BB19" s="36">
        <v>255.20833333333331</v>
      </c>
      <c r="BC19" s="31">
        <f t="shared" si="34"/>
        <v>255.20833333333331</v>
      </c>
      <c r="BD19" s="18">
        <f t="shared" si="35"/>
        <v>0</v>
      </c>
      <c r="BE19" s="31">
        <f t="shared" si="36"/>
        <v>0</v>
      </c>
      <c r="BF19" s="31"/>
      <c r="BG19" s="27"/>
      <c r="BH19" s="37">
        <f t="shared" si="7"/>
        <v>-1</v>
      </c>
      <c r="BI19" s="36">
        <v>255.20833333333331</v>
      </c>
      <c r="BJ19" s="31">
        <f t="shared" si="37"/>
        <v>255.20833333333331</v>
      </c>
      <c r="BK19" s="18">
        <f t="shared" si="38"/>
        <v>0</v>
      </c>
      <c r="BL19" s="31">
        <f t="shared" si="39"/>
        <v>0</v>
      </c>
      <c r="BM19" s="31"/>
      <c r="BN19" s="27"/>
      <c r="BO19" s="37">
        <f t="shared" si="8"/>
        <v>-1</v>
      </c>
      <c r="BP19" s="36">
        <v>255.20833333333331</v>
      </c>
      <c r="BQ19" s="31">
        <f t="shared" si="40"/>
        <v>255.20833333333331</v>
      </c>
      <c r="BR19" s="18">
        <f t="shared" si="41"/>
        <v>0</v>
      </c>
      <c r="BS19" s="31">
        <f t="shared" si="42"/>
        <v>0</v>
      </c>
      <c r="BT19" s="31"/>
      <c r="BU19" s="27"/>
      <c r="BV19" s="37">
        <f t="shared" si="9"/>
        <v>-1</v>
      </c>
      <c r="BW19" s="36">
        <v>255.20833333333331</v>
      </c>
      <c r="BX19" s="31">
        <f t="shared" si="43"/>
        <v>255.20833333333331</v>
      </c>
      <c r="BY19" s="18">
        <f t="shared" si="44"/>
        <v>0</v>
      </c>
      <c r="BZ19" s="31">
        <f t="shared" si="45"/>
        <v>0</v>
      </c>
      <c r="CA19" s="31"/>
      <c r="CB19" s="27"/>
      <c r="CC19" s="37">
        <f t="shared" si="10"/>
        <v>-1</v>
      </c>
      <c r="CD19" s="36">
        <v>255.20833333333331</v>
      </c>
      <c r="CE19" s="31">
        <f t="shared" si="46"/>
        <v>255.20833333333331</v>
      </c>
      <c r="CF19" s="18">
        <f t="shared" si="47"/>
        <v>0</v>
      </c>
      <c r="CG19" s="31">
        <f t="shared" si="48"/>
        <v>0</v>
      </c>
      <c r="CH19" s="31"/>
      <c r="CI19" s="27"/>
      <c r="CJ19" s="37">
        <f t="shared" si="11"/>
        <v>-1</v>
      </c>
      <c r="CK19" s="36">
        <v>255.20833333333331</v>
      </c>
      <c r="CL19" s="31">
        <f t="shared" si="49"/>
        <v>255.20833333333331</v>
      </c>
      <c r="CM19" s="18">
        <f t="shared" si="50"/>
        <v>0</v>
      </c>
      <c r="CN19" s="31">
        <f t="shared" si="51"/>
        <v>0</v>
      </c>
      <c r="CO19" s="31"/>
      <c r="CP19" s="27"/>
      <c r="CQ19" s="37">
        <f t="shared" si="12"/>
        <v>-1</v>
      </c>
    </row>
    <row r="20" spans="1:95" s="26" customFormat="1" ht="16" customHeight="1" thickBot="1" x14ac:dyDescent="0.25">
      <c r="A20" s="29" t="s">
        <v>44</v>
      </c>
      <c r="B20" s="30">
        <f t="shared" si="0"/>
        <v>140452.03927999979</v>
      </c>
      <c r="C20" s="31">
        <f t="shared" si="0"/>
        <v>140452.03927999979</v>
      </c>
      <c r="D20" s="32">
        <f t="shared" si="0"/>
        <v>0</v>
      </c>
      <c r="E20" s="30">
        <f t="shared" si="13"/>
        <v>66293.137239999996</v>
      </c>
      <c r="F20" s="33">
        <f t="shared" si="13"/>
        <v>66293.137239999996</v>
      </c>
      <c r="G20" s="34">
        <f t="shared" si="13"/>
        <v>0</v>
      </c>
      <c r="H20" s="31">
        <f t="shared" si="1"/>
        <v>67990.807674897136</v>
      </c>
      <c r="I20" s="33">
        <f t="shared" si="1"/>
        <v>0</v>
      </c>
      <c r="J20" s="33">
        <f t="shared" si="1"/>
        <v>67990.807674897136</v>
      </c>
      <c r="K20" s="37">
        <f t="shared" si="14"/>
        <v>2.5608539670570973E-2</v>
      </c>
      <c r="L20" s="36">
        <v>0</v>
      </c>
      <c r="M20" s="31">
        <f t="shared" si="15"/>
        <v>0</v>
      </c>
      <c r="N20" s="31">
        <f t="shared" si="16"/>
        <v>0</v>
      </c>
      <c r="O20" s="31">
        <f t="shared" si="17"/>
        <v>0</v>
      </c>
      <c r="P20" s="31"/>
      <c r="Q20" s="33">
        <v>0</v>
      </c>
      <c r="R20" s="37" t="str">
        <f t="shared" si="18"/>
        <v/>
      </c>
      <c r="S20" s="36">
        <v>0</v>
      </c>
      <c r="T20" s="31">
        <f t="shared" si="19"/>
        <v>0</v>
      </c>
      <c r="U20" s="18">
        <f t="shared" si="20"/>
        <v>0</v>
      </c>
      <c r="V20" s="31">
        <f t="shared" si="21"/>
        <v>303.79000000000002</v>
      </c>
      <c r="W20" s="31"/>
      <c r="X20" s="33">
        <v>303.79000000000002</v>
      </c>
      <c r="Y20" s="37" t="str">
        <f t="shared" si="2"/>
        <v/>
      </c>
      <c r="Z20" s="36">
        <v>66293.137239999996</v>
      </c>
      <c r="AA20" s="31">
        <f t="shared" si="22"/>
        <v>66293.137239999996</v>
      </c>
      <c r="AB20" s="18">
        <f t="shared" si="23"/>
        <v>0</v>
      </c>
      <c r="AC20" s="31">
        <f t="shared" si="24"/>
        <v>0</v>
      </c>
      <c r="AD20" s="31"/>
      <c r="AE20" s="27">
        <v>0</v>
      </c>
      <c r="AF20" s="37">
        <f t="shared" si="3"/>
        <v>-1</v>
      </c>
      <c r="AG20" s="36">
        <v>0</v>
      </c>
      <c r="AH20" s="31">
        <f t="shared" si="25"/>
        <v>0</v>
      </c>
      <c r="AI20" s="18">
        <f t="shared" si="26"/>
        <v>0</v>
      </c>
      <c r="AJ20" s="31">
        <f t="shared" si="27"/>
        <v>30064.02</v>
      </c>
      <c r="AK20" s="31"/>
      <c r="AL20" s="27">
        <v>30064.02</v>
      </c>
      <c r="AM20" s="37" t="str">
        <f t="shared" si="4"/>
        <v/>
      </c>
      <c r="AN20" s="36">
        <v>1586.8456000000001</v>
      </c>
      <c r="AO20" s="31">
        <f t="shared" si="28"/>
        <v>1586.8456000000001</v>
      </c>
      <c r="AP20" s="18">
        <f t="shared" si="29"/>
        <v>0</v>
      </c>
      <c r="AQ20" s="31">
        <f t="shared" si="30"/>
        <v>35504.44</v>
      </c>
      <c r="AR20" s="31"/>
      <c r="AS20" s="27">
        <v>35504.44</v>
      </c>
      <c r="AT20" s="37">
        <f t="shared" si="5"/>
        <v>21.374224688274651</v>
      </c>
      <c r="AU20" s="36">
        <v>1586.8456000000001</v>
      </c>
      <c r="AV20" s="31">
        <f t="shared" si="31"/>
        <v>1586.8456000000001</v>
      </c>
      <c r="AW20" s="18">
        <f t="shared" si="32"/>
        <v>0</v>
      </c>
      <c r="AX20" s="31">
        <f t="shared" si="33"/>
        <v>2118.5576748971389</v>
      </c>
      <c r="AY20" s="31"/>
      <c r="AZ20" s="27">
        <v>2118.5576748971389</v>
      </c>
      <c r="BA20" s="37">
        <f t="shared" si="6"/>
        <v>0.33507486481176163</v>
      </c>
      <c r="BB20" s="36">
        <v>30934.845599999899</v>
      </c>
      <c r="BC20" s="31">
        <f t="shared" si="34"/>
        <v>30934.845599999899</v>
      </c>
      <c r="BD20" s="18">
        <f t="shared" si="35"/>
        <v>0</v>
      </c>
      <c r="BE20" s="31">
        <f t="shared" si="36"/>
        <v>0</v>
      </c>
      <c r="BF20" s="31"/>
      <c r="BG20" s="27"/>
      <c r="BH20" s="37">
        <f t="shared" si="7"/>
        <v>-1</v>
      </c>
      <c r="BI20" s="36">
        <v>4354.9828399999997</v>
      </c>
      <c r="BJ20" s="31">
        <f t="shared" si="37"/>
        <v>4354.9828399999997</v>
      </c>
      <c r="BK20" s="18">
        <f t="shared" si="38"/>
        <v>0</v>
      </c>
      <c r="BL20" s="31">
        <f t="shared" si="39"/>
        <v>0</v>
      </c>
      <c r="BM20" s="31"/>
      <c r="BN20" s="27"/>
      <c r="BO20" s="37">
        <f t="shared" si="8"/>
        <v>-1</v>
      </c>
      <c r="BP20" s="36">
        <v>30934.845599999899</v>
      </c>
      <c r="BQ20" s="31">
        <f t="shared" si="40"/>
        <v>30934.845599999899</v>
      </c>
      <c r="BR20" s="18">
        <f t="shared" si="41"/>
        <v>0</v>
      </c>
      <c r="BS20" s="31">
        <f t="shared" si="42"/>
        <v>0</v>
      </c>
      <c r="BT20" s="31"/>
      <c r="BU20" s="27"/>
      <c r="BV20" s="37">
        <f t="shared" si="9"/>
        <v>-1</v>
      </c>
      <c r="BW20" s="36">
        <v>1586.8456000000001</v>
      </c>
      <c r="BX20" s="31">
        <f t="shared" si="43"/>
        <v>1586.8456000000001</v>
      </c>
      <c r="BY20" s="18">
        <f t="shared" si="44"/>
        <v>0</v>
      </c>
      <c r="BZ20" s="31">
        <f t="shared" si="45"/>
        <v>0</v>
      </c>
      <c r="CA20" s="31"/>
      <c r="CB20" s="27"/>
      <c r="CC20" s="37">
        <f t="shared" si="10"/>
        <v>-1</v>
      </c>
      <c r="CD20" s="36">
        <v>1586.8456000000001</v>
      </c>
      <c r="CE20" s="31">
        <f t="shared" si="46"/>
        <v>1586.8456000000001</v>
      </c>
      <c r="CF20" s="18">
        <f t="shared" si="47"/>
        <v>0</v>
      </c>
      <c r="CG20" s="31">
        <f t="shared" si="48"/>
        <v>0</v>
      </c>
      <c r="CH20" s="31"/>
      <c r="CI20" s="27"/>
      <c r="CJ20" s="37">
        <f t="shared" si="11"/>
        <v>-1</v>
      </c>
      <c r="CK20" s="36">
        <v>1586.8456000000001</v>
      </c>
      <c r="CL20" s="31">
        <f t="shared" si="49"/>
        <v>1586.8456000000001</v>
      </c>
      <c r="CM20" s="18">
        <f t="shared" si="50"/>
        <v>0</v>
      </c>
      <c r="CN20" s="31">
        <f t="shared" si="51"/>
        <v>0</v>
      </c>
      <c r="CO20" s="31"/>
      <c r="CP20" s="27"/>
      <c r="CQ20" s="37">
        <f t="shared" si="12"/>
        <v>-1</v>
      </c>
    </row>
    <row r="21" spans="1:95" s="26" customFormat="1" ht="16" customHeight="1" thickBot="1" x14ac:dyDescent="0.25">
      <c r="A21" s="38" t="s">
        <v>45</v>
      </c>
      <c r="B21" s="30">
        <f t="shared" si="0"/>
        <v>45630.864000000001</v>
      </c>
      <c r="C21" s="31">
        <f t="shared" si="0"/>
        <v>45630.864000000001</v>
      </c>
      <c r="D21" s="32">
        <f t="shared" si="0"/>
        <v>0</v>
      </c>
      <c r="E21" s="30">
        <f t="shared" si="13"/>
        <v>45630.864000000001</v>
      </c>
      <c r="F21" s="33">
        <f t="shared" si="13"/>
        <v>45630.864000000001</v>
      </c>
      <c r="G21" s="34">
        <f t="shared" si="13"/>
        <v>0</v>
      </c>
      <c r="H21" s="31">
        <f t="shared" si="1"/>
        <v>27001.051673954513</v>
      </c>
      <c r="I21" s="33">
        <f t="shared" si="1"/>
        <v>0</v>
      </c>
      <c r="J21" s="33">
        <f t="shared" si="1"/>
        <v>27001.051673954513</v>
      </c>
      <c r="K21" s="37">
        <f t="shared" si="14"/>
        <v>-0.40827218012013733</v>
      </c>
      <c r="L21" s="36">
        <v>45630.864000000001</v>
      </c>
      <c r="M21" s="31">
        <f t="shared" si="15"/>
        <v>45630.864000000001</v>
      </c>
      <c r="N21" s="31">
        <f t="shared" si="16"/>
        <v>0</v>
      </c>
      <c r="O21" s="31">
        <f t="shared" si="17"/>
        <v>0</v>
      </c>
      <c r="P21" s="31"/>
      <c r="Q21" s="33">
        <v>0</v>
      </c>
      <c r="R21" s="37">
        <f t="shared" si="18"/>
        <v>-1</v>
      </c>
      <c r="S21" s="36">
        <v>0</v>
      </c>
      <c r="T21" s="31">
        <f t="shared" si="19"/>
        <v>0</v>
      </c>
      <c r="U21" s="18">
        <f t="shared" si="20"/>
        <v>0</v>
      </c>
      <c r="V21" s="31">
        <f t="shared" si="21"/>
        <v>0</v>
      </c>
      <c r="W21" s="31"/>
      <c r="X21" s="33">
        <v>0</v>
      </c>
      <c r="Y21" s="37" t="str">
        <f t="shared" si="2"/>
        <v/>
      </c>
      <c r="Z21" s="36">
        <v>0</v>
      </c>
      <c r="AA21" s="31">
        <f t="shared" si="22"/>
        <v>0</v>
      </c>
      <c r="AB21" s="18">
        <f t="shared" si="23"/>
        <v>0</v>
      </c>
      <c r="AC21" s="31">
        <f t="shared" si="24"/>
        <v>0</v>
      </c>
      <c r="AD21" s="31"/>
      <c r="AE21" s="27">
        <v>0</v>
      </c>
      <c r="AF21" s="37" t="str">
        <f t="shared" si="3"/>
        <v/>
      </c>
      <c r="AG21" s="36">
        <v>0</v>
      </c>
      <c r="AH21" s="31">
        <f t="shared" si="25"/>
        <v>0</v>
      </c>
      <c r="AI21" s="18">
        <f t="shared" si="26"/>
        <v>0</v>
      </c>
      <c r="AJ21" s="31">
        <f t="shared" si="27"/>
        <v>27001.051673954513</v>
      </c>
      <c r="AK21" s="31"/>
      <c r="AL21" s="27">
        <v>27001.051673954513</v>
      </c>
      <c r="AM21" s="37" t="str">
        <f t="shared" si="4"/>
        <v/>
      </c>
      <c r="AN21" s="36">
        <v>0</v>
      </c>
      <c r="AO21" s="31">
        <f t="shared" si="28"/>
        <v>0</v>
      </c>
      <c r="AP21" s="18">
        <f t="shared" si="29"/>
        <v>0</v>
      </c>
      <c r="AQ21" s="31">
        <f t="shared" si="30"/>
        <v>0</v>
      </c>
      <c r="AR21" s="31"/>
      <c r="AS21" s="27">
        <v>0</v>
      </c>
      <c r="AT21" s="37" t="str">
        <f t="shared" si="5"/>
        <v/>
      </c>
      <c r="AU21" s="36">
        <v>0</v>
      </c>
      <c r="AV21" s="31">
        <f t="shared" si="31"/>
        <v>0</v>
      </c>
      <c r="AW21" s="18">
        <f t="shared" si="32"/>
        <v>0</v>
      </c>
      <c r="AX21" s="31">
        <f t="shared" si="33"/>
        <v>0</v>
      </c>
      <c r="AY21" s="31"/>
      <c r="AZ21" s="27">
        <v>0</v>
      </c>
      <c r="BA21" s="37" t="str">
        <f t="shared" si="6"/>
        <v/>
      </c>
      <c r="BB21" s="36">
        <v>0</v>
      </c>
      <c r="BC21" s="31">
        <f t="shared" si="34"/>
        <v>0</v>
      </c>
      <c r="BD21" s="18">
        <f t="shared" si="35"/>
        <v>0</v>
      </c>
      <c r="BE21" s="31">
        <f t="shared" si="36"/>
        <v>0</v>
      </c>
      <c r="BF21" s="31"/>
      <c r="BG21" s="27"/>
      <c r="BH21" s="37" t="str">
        <f t="shared" si="7"/>
        <v/>
      </c>
      <c r="BI21" s="36">
        <v>0</v>
      </c>
      <c r="BJ21" s="31">
        <f t="shared" si="37"/>
        <v>0</v>
      </c>
      <c r="BK21" s="18">
        <f t="shared" si="38"/>
        <v>0</v>
      </c>
      <c r="BL21" s="31">
        <f t="shared" si="39"/>
        <v>0</v>
      </c>
      <c r="BM21" s="31"/>
      <c r="BN21" s="27"/>
      <c r="BO21" s="37" t="str">
        <f t="shared" si="8"/>
        <v/>
      </c>
      <c r="BP21" s="36">
        <v>0</v>
      </c>
      <c r="BQ21" s="31">
        <f t="shared" si="40"/>
        <v>0</v>
      </c>
      <c r="BR21" s="18">
        <f t="shared" si="41"/>
        <v>0</v>
      </c>
      <c r="BS21" s="31">
        <f t="shared" si="42"/>
        <v>0</v>
      </c>
      <c r="BT21" s="31"/>
      <c r="BU21" s="27"/>
      <c r="BV21" s="37" t="str">
        <f t="shared" si="9"/>
        <v/>
      </c>
      <c r="BW21" s="36">
        <v>0</v>
      </c>
      <c r="BX21" s="31">
        <f t="shared" si="43"/>
        <v>0</v>
      </c>
      <c r="BY21" s="18">
        <f t="shared" si="44"/>
        <v>0</v>
      </c>
      <c r="BZ21" s="31">
        <f t="shared" si="45"/>
        <v>0</v>
      </c>
      <c r="CA21" s="31"/>
      <c r="CB21" s="27"/>
      <c r="CC21" s="37" t="str">
        <f t="shared" si="10"/>
        <v/>
      </c>
      <c r="CD21" s="36">
        <v>0</v>
      </c>
      <c r="CE21" s="31">
        <f t="shared" si="46"/>
        <v>0</v>
      </c>
      <c r="CF21" s="18">
        <f t="shared" si="47"/>
        <v>0</v>
      </c>
      <c r="CG21" s="31">
        <f t="shared" si="48"/>
        <v>0</v>
      </c>
      <c r="CH21" s="31"/>
      <c r="CI21" s="27"/>
      <c r="CJ21" s="37" t="str">
        <f t="shared" si="11"/>
        <v/>
      </c>
      <c r="CK21" s="36">
        <v>0</v>
      </c>
      <c r="CL21" s="31">
        <f t="shared" si="49"/>
        <v>0</v>
      </c>
      <c r="CM21" s="18">
        <f t="shared" si="50"/>
        <v>0</v>
      </c>
      <c r="CN21" s="31">
        <f t="shared" si="51"/>
        <v>0</v>
      </c>
      <c r="CO21" s="31"/>
      <c r="CP21" s="27"/>
      <c r="CQ21" s="37" t="str">
        <f t="shared" si="12"/>
        <v/>
      </c>
    </row>
    <row r="22" spans="1:95" s="26" customFormat="1" ht="16" customHeight="1" thickBot="1" x14ac:dyDescent="0.25">
      <c r="A22" s="38" t="s">
        <v>46</v>
      </c>
      <c r="B22" s="30">
        <f t="shared" si="0"/>
        <v>54048.960000000014</v>
      </c>
      <c r="C22" s="31">
        <f t="shared" si="0"/>
        <v>54048.960000000014</v>
      </c>
      <c r="D22" s="32">
        <f t="shared" si="0"/>
        <v>0</v>
      </c>
      <c r="E22" s="30">
        <f t="shared" si="13"/>
        <v>18016.32</v>
      </c>
      <c r="F22" s="33">
        <f t="shared" si="13"/>
        <v>18016.32</v>
      </c>
      <c r="G22" s="34">
        <f t="shared" si="13"/>
        <v>0</v>
      </c>
      <c r="H22" s="31">
        <f t="shared" si="1"/>
        <v>34771.810393837637</v>
      </c>
      <c r="I22" s="33">
        <f t="shared" si="1"/>
        <v>0</v>
      </c>
      <c r="J22" s="33">
        <f t="shared" si="1"/>
        <v>34771.810393837637</v>
      </c>
      <c r="K22" s="37">
        <f t="shared" si="14"/>
        <v>0.93001736169415494</v>
      </c>
      <c r="L22" s="36">
        <v>4504.08</v>
      </c>
      <c r="M22" s="31">
        <f t="shared" si="15"/>
        <v>4504.08</v>
      </c>
      <c r="N22" s="31">
        <f t="shared" si="16"/>
        <v>0</v>
      </c>
      <c r="O22" s="31">
        <f t="shared" si="17"/>
        <v>2367.6454488943773</v>
      </c>
      <c r="P22" s="31"/>
      <c r="Q22" s="33">
        <v>2367.6454488943773</v>
      </c>
      <c r="R22" s="37">
        <f t="shared" si="18"/>
        <v>-0.47433317150353072</v>
      </c>
      <c r="S22" s="36">
        <v>4504.08</v>
      </c>
      <c r="T22" s="31">
        <f t="shared" si="19"/>
        <v>4504.08</v>
      </c>
      <c r="U22" s="18">
        <f t="shared" si="20"/>
        <v>0</v>
      </c>
      <c r="V22" s="31">
        <f t="shared" si="21"/>
        <v>3579.1565012579945</v>
      </c>
      <c r="W22" s="31"/>
      <c r="X22" s="33">
        <v>3579.1565012579945</v>
      </c>
      <c r="Y22" s="37">
        <f t="shared" si="2"/>
        <v>-0.20535236912799182</v>
      </c>
      <c r="Z22" s="36">
        <v>4504.08</v>
      </c>
      <c r="AA22" s="31">
        <f t="shared" si="22"/>
        <v>4504.08</v>
      </c>
      <c r="AB22" s="18">
        <f t="shared" si="23"/>
        <v>0</v>
      </c>
      <c r="AC22" s="31">
        <f t="shared" si="24"/>
        <v>988.24471820993983</v>
      </c>
      <c r="AD22" s="31"/>
      <c r="AE22" s="27">
        <v>988.24471820993983</v>
      </c>
      <c r="AF22" s="37">
        <f t="shared" si="3"/>
        <v>-0.78058899526430703</v>
      </c>
      <c r="AG22" s="36">
        <v>4504.08</v>
      </c>
      <c r="AH22" s="31">
        <f t="shared" si="25"/>
        <v>4504.08</v>
      </c>
      <c r="AI22" s="18">
        <f t="shared" si="26"/>
        <v>0</v>
      </c>
      <c r="AJ22" s="31">
        <f t="shared" si="27"/>
        <v>1487.3065383664016</v>
      </c>
      <c r="AK22" s="31"/>
      <c r="AL22" s="27">
        <v>1487.3065383664016</v>
      </c>
      <c r="AM22" s="37">
        <f t="shared" si="4"/>
        <v>-0.66978682919344201</v>
      </c>
      <c r="AN22" s="36">
        <v>4504.08</v>
      </c>
      <c r="AO22" s="31">
        <f t="shared" si="28"/>
        <v>4504.08</v>
      </c>
      <c r="AP22" s="18">
        <f t="shared" si="29"/>
        <v>0</v>
      </c>
      <c r="AQ22" s="31">
        <f t="shared" si="30"/>
        <v>2755.818166289077</v>
      </c>
      <c r="AR22" s="31"/>
      <c r="AS22" s="27">
        <v>2755.818166289077</v>
      </c>
      <c r="AT22" s="37">
        <f t="shared" si="5"/>
        <v>-0.3881507064063966</v>
      </c>
      <c r="AU22" s="36">
        <v>4504.08</v>
      </c>
      <c r="AV22" s="31">
        <f t="shared" si="31"/>
        <v>4504.08</v>
      </c>
      <c r="AW22" s="18">
        <f t="shared" si="32"/>
        <v>0</v>
      </c>
      <c r="AX22" s="31">
        <f t="shared" si="33"/>
        <v>23593.639020819846</v>
      </c>
      <c r="AY22" s="31"/>
      <c r="AZ22" s="27">
        <v>23593.639020819846</v>
      </c>
      <c r="BA22" s="37">
        <f t="shared" si="6"/>
        <v>4.2382815182722879</v>
      </c>
      <c r="BB22" s="36">
        <v>4504.08</v>
      </c>
      <c r="BC22" s="31">
        <f t="shared" si="34"/>
        <v>4504.08</v>
      </c>
      <c r="BD22" s="18">
        <f t="shared" si="35"/>
        <v>0</v>
      </c>
      <c r="BE22" s="31">
        <f t="shared" si="36"/>
        <v>0</v>
      </c>
      <c r="BF22" s="31"/>
      <c r="BG22" s="27"/>
      <c r="BH22" s="37">
        <f t="shared" si="7"/>
        <v>-1</v>
      </c>
      <c r="BI22" s="36">
        <v>4504.08</v>
      </c>
      <c r="BJ22" s="31">
        <f t="shared" si="37"/>
        <v>4504.08</v>
      </c>
      <c r="BK22" s="18">
        <f t="shared" si="38"/>
        <v>0</v>
      </c>
      <c r="BL22" s="31">
        <f t="shared" si="39"/>
        <v>0</v>
      </c>
      <c r="BM22" s="31"/>
      <c r="BN22" s="27"/>
      <c r="BO22" s="37">
        <f t="shared" si="8"/>
        <v>-1</v>
      </c>
      <c r="BP22" s="36">
        <v>4504.08</v>
      </c>
      <c r="BQ22" s="31">
        <f t="shared" si="40"/>
        <v>4504.08</v>
      </c>
      <c r="BR22" s="18">
        <f t="shared" si="41"/>
        <v>0</v>
      </c>
      <c r="BS22" s="31">
        <f t="shared" si="42"/>
        <v>0</v>
      </c>
      <c r="BT22" s="31"/>
      <c r="BU22" s="27"/>
      <c r="BV22" s="37">
        <f t="shared" si="9"/>
        <v>-1</v>
      </c>
      <c r="BW22" s="36">
        <v>4504.08</v>
      </c>
      <c r="BX22" s="31">
        <f t="shared" si="43"/>
        <v>4504.08</v>
      </c>
      <c r="BY22" s="18">
        <f t="shared" si="44"/>
        <v>0</v>
      </c>
      <c r="BZ22" s="31">
        <f t="shared" si="45"/>
        <v>0</v>
      </c>
      <c r="CA22" s="31"/>
      <c r="CB22" s="27"/>
      <c r="CC22" s="37">
        <f t="shared" si="10"/>
        <v>-1</v>
      </c>
      <c r="CD22" s="36">
        <v>4504.08</v>
      </c>
      <c r="CE22" s="31">
        <f t="shared" si="46"/>
        <v>4504.08</v>
      </c>
      <c r="CF22" s="18">
        <f t="shared" si="47"/>
        <v>0</v>
      </c>
      <c r="CG22" s="31">
        <f t="shared" si="48"/>
        <v>0</v>
      </c>
      <c r="CH22" s="31"/>
      <c r="CI22" s="27"/>
      <c r="CJ22" s="37">
        <f t="shared" si="11"/>
        <v>-1</v>
      </c>
      <c r="CK22" s="36">
        <v>4504.08</v>
      </c>
      <c r="CL22" s="31">
        <f t="shared" si="49"/>
        <v>4504.08</v>
      </c>
      <c r="CM22" s="18">
        <f t="shared" si="50"/>
        <v>0</v>
      </c>
      <c r="CN22" s="31">
        <f t="shared" si="51"/>
        <v>0</v>
      </c>
      <c r="CO22" s="31"/>
      <c r="CP22" s="27"/>
      <c r="CQ22" s="37">
        <f t="shared" si="12"/>
        <v>-1</v>
      </c>
    </row>
    <row r="23" spans="1:95" s="26" customFormat="1" ht="16" customHeight="1" thickBot="1" x14ac:dyDescent="0.25">
      <c r="A23" s="29" t="s">
        <v>47</v>
      </c>
      <c r="B23" s="30">
        <f t="shared" si="0"/>
        <v>0</v>
      </c>
      <c r="C23" s="31">
        <f t="shared" si="0"/>
        <v>0</v>
      </c>
      <c r="D23" s="32">
        <f t="shared" si="0"/>
        <v>0</v>
      </c>
      <c r="E23" s="30">
        <f t="shared" si="13"/>
        <v>0</v>
      </c>
      <c r="F23" s="33">
        <f t="shared" si="13"/>
        <v>0</v>
      </c>
      <c r="G23" s="34">
        <f t="shared" si="13"/>
        <v>0</v>
      </c>
      <c r="H23" s="31">
        <f t="shared" si="1"/>
        <v>0</v>
      </c>
      <c r="I23" s="33">
        <f t="shared" si="1"/>
        <v>0</v>
      </c>
      <c r="J23" s="33">
        <f t="shared" si="1"/>
        <v>0</v>
      </c>
      <c r="K23" s="37" t="str">
        <f t="shared" si="14"/>
        <v/>
      </c>
      <c r="L23" s="36">
        <v>0</v>
      </c>
      <c r="M23" s="31">
        <f t="shared" si="15"/>
        <v>0</v>
      </c>
      <c r="N23" s="31">
        <f t="shared" si="16"/>
        <v>0</v>
      </c>
      <c r="O23" s="31">
        <f t="shared" si="17"/>
        <v>0</v>
      </c>
      <c r="P23" s="31"/>
      <c r="Q23" s="33"/>
      <c r="R23" s="37" t="str">
        <f t="shared" si="18"/>
        <v/>
      </c>
      <c r="S23" s="36">
        <v>0</v>
      </c>
      <c r="T23" s="31">
        <f t="shared" si="19"/>
        <v>0</v>
      </c>
      <c r="U23" s="18">
        <f t="shared" si="20"/>
        <v>0</v>
      </c>
      <c r="V23" s="31">
        <f t="shared" si="21"/>
        <v>0</v>
      </c>
      <c r="W23" s="31"/>
      <c r="X23" s="33"/>
      <c r="Y23" s="37" t="str">
        <f t="shared" si="2"/>
        <v/>
      </c>
      <c r="Z23" s="36">
        <v>0</v>
      </c>
      <c r="AA23" s="31">
        <f t="shared" si="22"/>
        <v>0</v>
      </c>
      <c r="AB23" s="18">
        <f t="shared" si="23"/>
        <v>0</v>
      </c>
      <c r="AC23" s="31">
        <f t="shared" si="24"/>
        <v>0</v>
      </c>
      <c r="AD23" s="31"/>
      <c r="AE23" s="27"/>
      <c r="AF23" s="37" t="str">
        <f t="shared" si="3"/>
        <v/>
      </c>
      <c r="AG23" s="36">
        <v>0</v>
      </c>
      <c r="AH23" s="31">
        <f t="shared" si="25"/>
        <v>0</v>
      </c>
      <c r="AI23" s="18">
        <f t="shared" si="26"/>
        <v>0</v>
      </c>
      <c r="AJ23" s="31">
        <f t="shared" si="27"/>
        <v>0</v>
      </c>
      <c r="AK23" s="31"/>
      <c r="AL23" s="27"/>
      <c r="AM23" s="37" t="str">
        <f t="shared" si="4"/>
        <v/>
      </c>
      <c r="AN23" s="36">
        <v>0</v>
      </c>
      <c r="AO23" s="31">
        <f t="shared" si="28"/>
        <v>0</v>
      </c>
      <c r="AP23" s="18">
        <f t="shared" si="29"/>
        <v>0</v>
      </c>
      <c r="AQ23" s="31">
        <f t="shared" si="30"/>
        <v>0</v>
      </c>
      <c r="AR23" s="31"/>
      <c r="AS23" s="27"/>
      <c r="AT23" s="37" t="str">
        <f t="shared" si="5"/>
        <v/>
      </c>
      <c r="AU23" s="36">
        <v>0</v>
      </c>
      <c r="AV23" s="31">
        <f t="shared" si="31"/>
        <v>0</v>
      </c>
      <c r="AW23" s="18">
        <f t="shared" si="32"/>
        <v>0</v>
      </c>
      <c r="AX23" s="31">
        <f t="shared" si="33"/>
        <v>0</v>
      </c>
      <c r="AY23" s="31"/>
      <c r="AZ23" s="27"/>
      <c r="BA23" s="37" t="str">
        <f t="shared" si="6"/>
        <v/>
      </c>
      <c r="BB23" s="36">
        <v>0</v>
      </c>
      <c r="BC23" s="31">
        <f t="shared" si="34"/>
        <v>0</v>
      </c>
      <c r="BD23" s="18">
        <f t="shared" si="35"/>
        <v>0</v>
      </c>
      <c r="BE23" s="31">
        <f t="shared" si="36"/>
        <v>0</v>
      </c>
      <c r="BF23" s="31"/>
      <c r="BG23" s="27"/>
      <c r="BH23" s="37" t="str">
        <f t="shared" si="7"/>
        <v/>
      </c>
      <c r="BI23" s="36">
        <v>0</v>
      </c>
      <c r="BJ23" s="31">
        <f t="shared" si="37"/>
        <v>0</v>
      </c>
      <c r="BK23" s="18">
        <f t="shared" si="38"/>
        <v>0</v>
      </c>
      <c r="BL23" s="31">
        <f t="shared" si="39"/>
        <v>0</v>
      </c>
      <c r="BM23" s="31"/>
      <c r="BN23" s="27"/>
      <c r="BO23" s="37" t="str">
        <f t="shared" si="8"/>
        <v/>
      </c>
      <c r="BP23" s="36">
        <v>0</v>
      </c>
      <c r="BQ23" s="31">
        <f t="shared" si="40"/>
        <v>0</v>
      </c>
      <c r="BR23" s="18">
        <f t="shared" si="41"/>
        <v>0</v>
      </c>
      <c r="BS23" s="31">
        <f t="shared" si="42"/>
        <v>0</v>
      </c>
      <c r="BT23" s="31"/>
      <c r="BU23" s="27"/>
      <c r="BV23" s="37" t="str">
        <f t="shared" si="9"/>
        <v/>
      </c>
      <c r="BW23" s="36">
        <v>0</v>
      </c>
      <c r="BX23" s="31">
        <f t="shared" si="43"/>
        <v>0</v>
      </c>
      <c r="BY23" s="18">
        <f t="shared" si="44"/>
        <v>0</v>
      </c>
      <c r="BZ23" s="31">
        <f t="shared" si="45"/>
        <v>0</v>
      </c>
      <c r="CA23" s="31"/>
      <c r="CB23" s="27"/>
      <c r="CC23" s="37" t="str">
        <f t="shared" si="10"/>
        <v/>
      </c>
      <c r="CD23" s="36">
        <v>0</v>
      </c>
      <c r="CE23" s="31">
        <f t="shared" si="46"/>
        <v>0</v>
      </c>
      <c r="CF23" s="18">
        <f t="shared" si="47"/>
        <v>0</v>
      </c>
      <c r="CG23" s="31">
        <f t="shared" si="48"/>
        <v>0</v>
      </c>
      <c r="CH23" s="31"/>
      <c r="CI23" s="27"/>
      <c r="CJ23" s="37" t="str">
        <f t="shared" si="11"/>
        <v/>
      </c>
      <c r="CK23" s="36">
        <v>0</v>
      </c>
      <c r="CL23" s="31">
        <f t="shared" si="49"/>
        <v>0</v>
      </c>
      <c r="CM23" s="18">
        <f t="shared" si="50"/>
        <v>0</v>
      </c>
      <c r="CN23" s="31">
        <f t="shared" si="51"/>
        <v>0</v>
      </c>
      <c r="CO23" s="31"/>
      <c r="CP23" s="27"/>
      <c r="CQ23" s="37" t="str">
        <f t="shared" si="12"/>
        <v/>
      </c>
    </row>
    <row r="24" spans="1:95" s="26" customFormat="1" ht="16" customHeight="1" thickBot="1" x14ac:dyDescent="0.25">
      <c r="A24" s="29" t="s">
        <v>48</v>
      </c>
      <c r="B24" s="30">
        <f t="shared" si="0"/>
        <v>51969.180707553598</v>
      </c>
      <c r="C24" s="31">
        <f t="shared" si="0"/>
        <v>51969.180707553598</v>
      </c>
      <c r="D24" s="32">
        <f t="shared" si="0"/>
        <v>0</v>
      </c>
      <c r="E24" s="30">
        <f t="shared" si="13"/>
        <v>17504.581193931201</v>
      </c>
      <c r="F24" s="33">
        <f t="shared" si="13"/>
        <v>17504.581193931201</v>
      </c>
      <c r="G24" s="34">
        <f t="shared" si="13"/>
        <v>0</v>
      </c>
      <c r="H24" s="31">
        <f t="shared" si="1"/>
        <v>16179.923508229665</v>
      </c>
      <c r="I24" s="33">
        <f t="shared" si="1"/>
        <v>0</v>
      </c>
      <c r="J24" s="33">
        <f t="shared" si="1"/>
        <v>16179.923508229665</v>
      </c>
      <c r="K24" s="37">
        <f t="shared" si="14"/>
        <v>-7.5674914528134574E-2</v>
      </c>
      <c r="L24" s="36">
        <v>4376.1452984828002</v>
      </c>
      <c r="M24" s="31">
        <f t="shared" si="15"/>
        <v>4376.1452984828002</v>
      </c>
      <c r="N24" s="31">
        <f t="shared" si="16"/>
        <v>0</v>
      </c>
      <c r="O24" s="31">
        <f t="shared" si="17"/>
        <v>2895.0700000000006</v>
      </c>
      <c r="P24" s="31"/>
      <c r="Q24" s="33">
        <v>2895.0700000000006</v>
      </c>
      <c r="R24" s="37">
        <f t="shared" si="18"/>
        <v>-0.33844289836452301</v>
      </c>
      <c r="S24" s="36">
        <v>4376.1452984828002</v>
      </c>
      <c r="T24" s="31">
        <f t="shared" si="19"/>
        <v>4376.1452984828002</v>
      </c>
      <c r="U24" s="18">
        <f t="shared" si="20"/>
        <v>0</v>
      </c>
      <c r="V24" s="31">
        <f t="shared" si="21"/>
        <v>11791.92</v>
      </c>
      <c r="W24" s="31"/>
      <c r="X24" s="33">
        <v>11791.92</v>
      </c>
      <c r="Y24" s="37">
        <f t="shared" si="2"/>
        <v>1.6945906033074891</v>
      </c>
      <c r="Z24" s="36">
        <v>4376.1452984828002</v>
      </c>
      <c r="AA24" s="31">
        <f t="shared" si="22"/>
        <v>4376.1452984828002</v>
      </c>
      <c r="AB24" s="18">
        <f t="shared" si="23"/>
        <v>0</v>
      </c>
      <c r="AC24" s="31">
        <f t="shared" si="24"/>
        <v>0</v>
      </c>
      <c r="AD24" s="31"/>
      <c r="AE24" s="27">
        <v>0</v>
      </c>
      <c r="AF24" s="37">
        <f t="shared" si="3"/>
        <v>-1</v>
      </c>
      <c r="AG24" s="36">
        <v>4376.1452984828002</v>
      </c>
      <c r="AH24" s="31">
        <f t="shared" si="25"/>
        <v>4376.1452984828002</v>
      </c>
      <c r="AI24" s="18">
        <f t="shared" si="26"/>
        <v>0</v>
      </c>
      <c r="AJ24" s="31">
        <f t="shared" si="27"/>
        <v>1442.35</v>
      </c>
      <c r="AK24" s="31"/>
      <c r="AL24" s="27">
        <v>1442.35</v>
      </c>
      <c r="AM24" s="37">
        <f t="shared" si="4"/>
        <v>-0.67040628187092888</v>
      </c>
      <c r="AN24" s="36">
        <v>4376.1452984828002</v>
      </c>
      <c r="AO24" s="31">
        <f t="shared" si="28"/>
        <v>4376.1452984828002</v>
      </c>
      <c r="AP24" s="18">
        <f t="shared" si="29"/>
        <v>0</v>
      </c>
      <c r="AQ24" s="31">
        <f t="shared" si="30"/>
        <v>0</v>
      </c>
      <c r="AR24" s="31"/>
      <c r="AS24" s="27">
        <v>0</v>
      </c>
      <c r="AT24" s="37">
        <f t="shared" si="5"/>
        <v>-1</v>
      </c>
      <c r="AU24" s="36">
        <v>4376.1452984828002</v>
      </c>
      <c r="AV24" s="31">
        <f t="shared" si="31"/>
        <v>4376.1452984828002</v>
      </c>
      <c r="AW24" s="18">
        <f t="shared" si="32"/>
        <v>0</v>
      </c>
      <c r="AX24" s="31">
        <f t="shared" si="33"/>
        <v>50.583508229663018</v>
      </c>
      <c r="AY24" s="31"/>
      <c r="AZ24" s="27">
        <v>50.583508229663018</v>
      </c>
      <c r="BA24" s="37">
        <f t="shared" si="6"/>
        <v>-0.98844108118457574</v>
      </c>
      <c r="BB24" s="36">
        <v>3831.5824242427998</v>
      </c>
      <c r="BC24" s="31">
        <f t="shared" si="34"/>
        <v>3831.5824242427998</v>
      </c>
      <c r="BD24" s="18">
        <f t="shared" si="35"/>
        <v>0</v>
      </c>
      <c r="BE24" s="31">
        <f t="shared" si="36"/>
        <v>0</v>
      </c>
      <c r="BF24" s="31"/>
      <c r="BG24" s="27"/>
      <c r="BH24" s="37">
        <f t="shared" si="7"/>
        <v>-1</v>
      </c>
      <c r="BI24" s="36">
        <v>4376.1452984828002</v>
      </c>
      <c r="BJ24" s="31">
        <f t="shared" si="37"/>
        <v>4376.1452984828002</v>
      </c>
      <c r="BK24" s="18">
        <f t="shared" si="38"/>
        <v>0</v>
      </c>
      <c r="BL24" s="31">
        <f t="shared" si="39"/>
        <v>0</v>
      </c>
      <c r="BM24" s="31"/>
      <c r="BN24" s="27"/>
      <c r="BO24" s="37">
        <f t="shared" si="8"/>
        <v>-1</v>
      </c>
      <c r="BP24" s="36">
        <v>4376.1452984828002</v>
      </c>
      <c r="BQ24" s="31">
        <f t="shared" si="40"/>
        <v>4376.1452984828002</v>
      </c>
      <c r="BR24" s="18">
        <f t="shared" si="41"/>
        <v>0</v>
      </c>
      <c r="BS24" s="31">
        <f t="shared" si="42"/>
        <v>0</v>
      </c>
      <c r="BT24" s="31"/>
      <c r="BU24" s="27"/>
      <c r="BV24" s="37">
        <f t="shared" si="9"/>
        <v>-1</v>
      </c>
      <c r="BW24" s="36">
        <v>4376.1452984828002</v>
      </c>
      <c r="BX24" s="31">
        <f t="shared" si="43"/>
        <v>4376.1452984828002</v>
      </c>
      <c r="BY24" s="18">
        <f t="shared" si="44"/>
        <v>0</v>
      </c>
      <c r="BZ24" s="31">
        <f t="shared" si="45"/>
        <v>0</v>
      </c>
      <c r="CA24" s="31"/>
      <c r="CB24" s="27"/>
      <c r="CC24" s="37">
        <f t="shared" si="10"/>
        <v>-1</v>
      </c>
      <c r="CD24" s="36">
        <v>4376.1452984828002</v>
      </c>
      <c r="CE24" s="31">
        <f t="shared" si="46"/>
        <v>4376.1452984828002</v>
      </c>
      <c r="CF24" s="18">
        <f t="shared" si="47"/>
        <v>0</v>
      </c>
      <c r="CG24" s="31">
        <f t="shared" si="48"/>
        <v>0</v>
      </c>
      <c r="CH24" s="31"/>
      <c r="CI24" s="27"/>
      <c r="CJ24" s="37">
        <f t="shared" si="11"/>
        <v>-1</v>
      </c>
      <c r="CK24" s="36">
        <v>4376.1452984828002</v>
      </c>
      <c r="CL24" s="31">
        <f t="shared" si="49"/>
        <v>4376.1452984828002</v>
      </c>
      <c r="CM24" s="18">
        <f t="shared" si="50"/>
        <v>0</v>
      </c>
      <c r="CN24" s="31">
        <f t="shared" si="51"/>
        <v>0</v>
      </c>
      <c r="CO24" s="31"/>
      <c r="CP24" s="27"/>
      <c r="CQ24" s="37">
        <f t="shared" si="12"/>
        <v>-1</v>
      </c>
    </row>
    <row r="25" spans="1:95" s="26" customFormat="1" ht="16" customHeight="1" thickBot="1" x14ac:dyDescent="0.25">
      <c r="A25" s="29" t="s">
        <v>49</v>
      </c>
      <c r="B25" s="30">
        <f t="shared" si="0"/>
        <v>64444.711037999987</v>
      </c>
      <c r="C25" s="31">
        <f t="shared" si="0"/>
        <v>64444.711037999987</v>
      </c>
      <c r="D25" s="32">
        <f t="shared" si="0"/>
        <v>0</v>
      </c>
      <c r="E25" s="30">
        <f t="shared" si="13"/>
        <v>26178.28746</v>
      </c>
      <c r="F25" s="33">
        <f t="shared" si="13"/>
        <v>26178.28746</v>
      </c>
      <c r="G25" s="34">
        <f t="shared" si="13"/>
        <v>0</v>
      </c>
      <c r="H25" s="31">
        <f t="shared" si="1"/>
        <v>71943.385115575511</v>
      </c>
      <c r="I25" s="33">
        <f t="shared" si="1"/>
        <v>0</v>
      </c>
      <c r="J25" s="33">
        <f t="shared" si="1"/>
        <v>71943.385115575511</v>
      </c>
      <c r="K25" s="37">
        <f t="shared" si="14"/>
        <v>1.7482082327006241</v>
      </c>
      <c r="L25" s="36">
        <v>0</v>
      </c>
      <c r="M25" s="31">
        <f t="shared" si="15"/>
        <v>0</v>
      </c>
      <c r="N25" s="31">
        <f t="shared" si="16"/>
        <v>0</v>
      </c>
      <c r="O25" s="31">
        <f t="shared" si="17"/>
        <v>2573.7300000000005</v>
      </c>
      <c r="P25" s="31"/>
      <c r="Q25" s="33">
        <v>2573.7300000000005</v>
      </c>
      <c r="R25" s="37" t="str">
        <f t="shared" si="18"/>
        <v/>
      </c>
      <c r="S25" s="36">
        <v>0</v>
      </c>
      <c r="T25" s="31">
        <f t="shared" si="19"/>
        <v>0</v>
      </c>
      <c r="U25" s="18">
        <f t="shared" si="20"/>
        <v>0</v>
      </c>
      <c r="V25" s="31">
        <f t="shared" si="21"/>
        <v>2223.3000000000002</v>
      </c>
      <c r="W25" s="31"/>
      <c r="X25" s="33">
        <v>2223.3000000000002</v>
      </c>
      <c r="Y25" s="37" t="str">
        <f t="shared" si="2"/>
        <v/>
      </c>
      <c r="Z25" s="36">
        <v>14015.7318</v>
      </c>
      <c r="AA25" s="31">
        <f t="shared" si="22"/>
        <v>14015.7318</v>
      </c>
      <c r="AB25" s="18">
        <f t="shared" si="23"/>
        <v>0</v>
      </c>
      <c r="AC25" s="31">
        <f t="shared" si="24"/>
        <v>2229.7400000000002</v>
      </c>
      <c r="AD25" s="31"/>
      <c r="AE25" s="27">
        <v>2229.7400000000002</v>
      </c>
      <c r="AF25" s="37">
        <f t="shared" si="3"/>
        <v>-0.84091162475012537</v>
      </c>
      <c r="AG25" s="36">
        <v>12162.55566</v>
      </c>
      <c r="AH25" s="31">
        <f t="shared" si="25"/>
        <v>12162.55566</v>
      </c>
      <c r="AI25" s="18">
        <f t="shared" si="26"/>
        <v>0</v>
      </c>
      <c r="AJ25" s="31">
        <f t="shared" si="27"/>
        <v>27262.98</v>
      </c>
      <c r="AK25" s="31"/>
      <c r="AL25" s="27">
        <v>27262.98</v>
      </c>
      <c r="AM25" s="37">
        <f t="shared" si="4"/>
        <v>1.2415502762846145</v>
      </c>
      <c r="AN25" s="36">
        <v>12162.55566</v>
      </c>
      <c r="AO25" s="31">
        <f t="shared" si="28"/>
        <v>12162.55566</v>
      </c>
      <c r="AP25" s="18">
        <f t="shared" si="29"/>
        <v>0</v>
      </c>
      <c r="AQ25" s="31">
        <f t="shared" si="30"/>
        <v>13031.815115575517</v>
      </c>
      <c r="AR25" s="31"/>
      <c r="AS25" s="27">
        <v>13031.815115575517</v>
      </c>
      <c r="AT25" s="37">
        <f t="shared" si="5"/>
        <v>7.1470131761396383E-2</v>
      </c>
      <c r="AU25" s="36">
        <v>12746.569380000001</v>
      </c>
      <c r="AV25" s="31">
        <f t="shared" si="31"/>
        <v>12746.569380000001</v>
      </c>
      <c r="AW25" s="18">
        <f t="shared" si="32"/>
        <v>0</v>
      </c>
      <c r="AX25" s="31">
        <f t="shared" si="33"/>
        <v>24621.82</v>
      </c>
      <c r="AY25" s="31"/>
      <c r="AZ25" s="27">
        <v>24621.82</v>
      </c>
      <c r="BA25" s="37">
        <f t="shared" si="6"/>
        <v>0.93164288099610992</v>
      </c>
      <c r="BB25" s="36">
        <v>3111.0553799999998</v>
      </c>
      <c r="BC25" s="31">
        <f t="shared" si="34"/>
        <v>3111.0553799999998</v>
      </c>
      <c r="BD25" s="18">
        <f t="shared" si="35"/>
        <v>0</v>
      </c>
      <c r="BE25" s="31">
        <f t="shared" si="36"/>
        <v>0</v>
      </c>
      <c r="BF25" s="31"/>
      <c r="BG25" s="27"/>
      <c r="BH25" s="37">
        <f t="shared" si="7"/>
        <v>-1</v>
      </c>
      <c r="BI25" s="36">
        <v>3111.0553799999998</v>
      </c>
      <c r="BJ25" s="31">
        <f t="shared" si="37"/>
        <v>3111.0553799999998</v>
      </c>
      <c r="BK25" s="18">
        <f t="shared" si="38"/>
        <v>0</v>
      </c>
      <c r="BL25" s="31">
        <f t="shared" si="39"/>
        <v>0</v>
      </c>
      <c r="BM25" s="31"/>
      <c r="BN25" s="27"/>
      <c r="BO25" s="37">
        <f t="shared" si="8"/>
        <v>-1</v>
      </c>
      <c r="BP25" s="36">
        <v>3111.0553799999998</v>
      </c>
      <c r="BQ25" s="31">
        <f t="shared" si="40"/>
        <v>3111.0553799999998</v>
      </c>
      <c r="BR25" s="18">
        <f t="shared" si="41"/>
        <v>0</v>
      </c>
      <c r="BS25" s="31">
        <f t="shared" si="42"/>
        <v>0</v>
      </c>
      <c r="BT25" s="31"/>
      <c r="BU25" s="27"/>
      <c r="BV25" s="37">
        <f t="shared" si="9"/>
        <v>-1</v>
      </c>
      <c r="BW25" s="36">
        <v>1341.3774659999999</v>
      </c>
      <c r="BX25" s="31">
        <f t="shared" si="43"/>
        <v>1341.3774659999999</v>
      </c>
      <c r="BY25" s="18">
        <f t="shared" si="44"/>
        <v>0</v>
      </c>
      <c r="BZ25" s="31">
        <f t="shared" si="45"/>
        <v>0</v>
      </c>
      <c r="CA25" s="31"/>
      <c r="CB25" s="27"/>
      <c r="CC25" s="37">
        <f t="shared" si="10"/>
        <v>-1</v>
      </c>
      <c r="CD25" s="36">
        <v>1341.3774659999999</v>
      </c>
      <c r="CE25" s="31">
        <f t="shared" si="46"/>
        <v>1341.3774659999999</v>
      </c>
      <c r="CF25" s="18">
        <f t="shared" si="47"/>
        <v>0</v>
      </c>
      <c r="CG25" s="31">
        <f t="shared" si="48"/>
        <v>0</v>
      </c>
      <c r="CH25" s="31"/>
      <c r="CI25" s="27"/>
      <c r="CJ25" s="37">
        <f t="shared" si="11"/>
        <v>-1</v>
      </c>
      <c r="CK25" s="36">
        <v>1341.3774659999999</v>
      </c>
      <c r="CL25" s="31">
        <f t="shared" si="49"/>
        <v>1341.3774659999999</v>
      </c>
      <c r="CM25" s="18">
        <f t="shared" si="50"/>
        <v>0</v>
      </c>
      <c r="CN25" s="31">
        <f t="shared" si="51"/>
        <v>0</v>
      </c>
      <c r="CO25" s="31"/>
      <c r="CP25" s="27"/>
      <c r="CQ25" s="37">
        <f t="shared" si="12"/>
        <v>-1</v>
      </c>
    </row>
    <row r="26" spans="1:95" s="26" customFormat="1" ht="16" customHeight="1" thickBot="1" x14ac:dyDescent="0.25">
      <c r="A26" s="29" t="s">
        <v>50</v>
      </c>
      <c r="B26" s="30">
        <f t="shared" si="0"/>
        <v>433177.01425577601</v>
      </c>
      <c r="C26" s="31">
        <f t="shared" si="0"/>
        <v>433177.01425577601</v>
      </c>
      <c r="D26" s="32">
        <f t="shared" si="0"/>
        <v>0</v>
      </c>
      <c r="E26" s="30">
        <f t="shared" si="13"/>
        <v>119250.388877568</v>
      </c>
      <c r="F26" s="33">
        <f t="shared" si="13"/>
        <v>119250.388877568</v>
      </c>
      <c r="G26" s="34">
        <f t="shared" si="13"/>
        <v>0</v>
      </c>
      <c r="H26" s="31">
        <f t="shared" si="1"/>
        <v>216496.27648414293</v>
      </c>
      <c r="I26" s="33">
        <f t="shared" si="1"/>
        <v>0</v>
      </c>
      <c r="J26" s="33">
        <f t="shared" si="1"/>
        <v>216496.27648414293</v>
      </c>
      <c r="K26" s="37">
        <f t="shared" si="14"/>
        <v>0.81547648206342838</v>
      </c>
      <c r="L26" s="36">
        <v>13336.402886112</v>
      </c>
      <c r="M26" s="31">
        <f t="shared" si="15"/>
        <v>13336.402886112</v>
      </c>
      <c r="N26" s="31">
        <f t="shared" si="16"/>
        <v>0</v>
      </c>
      <c r="O26" s="31">
        <f t="shared" si="17"/>
        <v>20295.52</v>
      </c>
      <c r="P26" s="31"/>
      <c r="Q26" s="33">
        <v>20295.52</v>
      </c>
      <c r="R26" s="37">
        <f t="shared" si="18"/>
        <v>0.52181365345035791</v>
      </c>
      <c r="S26" s="36">
        <v>26187.676806111998</v>
      </c>
      <c r="T26" s="31">
        <f t="shared" si="19"/>
        <v>26187.676806111998</v>
      </c>
      <c r="U26" s="18">
        <f t="shared" si="20"/>
        <v>0</v>
      </c>
      <c r="V26" s="31">
        <f t="shared" si="21"/>
        <v>26067.427576276477</v>
      </c>
      <c r="W26" s="31"/>
      <c r="X26" s="33">
        <v>26067.427576276477</v>
      </c>
      <c r="Y26" s="37">
        <f t="shared" si="2"/>
        <v>-4.5918250299872287E-3</v>
      </c>
      <c r="Z26" s="36">
        <v>39863.154592671999</v>
      </c>
      <c r="AA26" s="31">
        <f t="shared" si="22"/>
        <v>39863.154592671999</v>
      </c>
      <c r="AB26" s="18">
        <f t="shared" si="23"/>
        <v>0</v>
      </c>
      <c r="AC26" s="31">
        <f t="shared" si="24"/>
        <v>36641.75557419267</v>
      </c>
      <c r="AD26" s="31"/>
      <c r="AE26" s="27">
        <v>36641.75557419267</v>
      </c>
      <c r="AF26" s="37">
        <f t="shared" si="3"/>
        <v>-8.081144233054538E-2</v>
      </c>
      <c r="AG26" s="36">
        <v>39863.154592671999</v>
      </c>
      <c r="AH26" s="31">
        <f t="shared" si="25"/>
        <v>39863.154592671999</v>
      </c>
      <c r="AI26" s="18">
        <f t="shared" si="26"/>
        <v>0</v>
      </c>
      <c r="AJ26" s="31">
        <f t="shared" si="27"/>
        <v>59741.91</v>
      </c>
      <c r="AK26" s="31"/>
      <c r="AL26" s="27">
        <v>59741.91</v>
      </c>
      <c r="AM26" s="37">
        <f t="shared" si="4"/>
        <v>0.49867491949526488</v>
      </c>
      <c r="AN26" s="36">
        <v>44570.298006112003</v>
      </c>
      <c r="AO26" s="31">
        <f t="shared" si="28"/>
        <v>44570.298006112003</v>
      </c>
      <c r="AP26" s="18">
        <f t="shared" si="29"/>
        <v>0</v>
      </c>
      <c r="AQ26" s="31">
        <f t="shared" si="30"/>
        <v>49169.508838817703</v>
      </c>
      <c r="AR26" s="31"/>
      <c r="AS26" s="27">
        <v>49169.508838817703</v>
      </c>
      <c r="AT26" s="37">
        <f t="shared" si="5"/>
        <v>0.10319003996955556</v>
      </c>
      <c r="AU26" s="36">
        <v>34679.586632672006</v>
      </c>
      <c r="AV26" s="31">
        <f t="shared" si="31"/>
        <v>34679.586632672006</v>
      </c>
      <c r="AW26" s="18">
        <f t="shared" si="32"/>
        <v>0</v>
      </c>
      <c r="AX26" s="31">
        <f t="shared" si="33"/>
        <v>24580.154494856084</v>
      </c>
      <c r="AY26" s="31"/>
      <c r="AZ26" s="27">
        <v>24580.154494856084</v>
      </c>
      <c r="BA26" s="37">
        <f t="shared" si="6"/>
        <v>-0.29122123757672302</v>
      </c>
      <c r="BB26" s="36">
        <v>29972.443219231998</v>
      </c>
      <c r="BC26" s="31">
        <f t="shared" si="34"/>
        <v>29972.443219231998</v>
      </c>
      <c r="BD26" s="18">
        <f t="shared" si="35"/>
        <v>0</v>
      </c>
      <c r="BE26" s="31">
        <f t="shared" si="36"/>
        <v>0</v>
      </c>
      <c r="BF26" s="31"/>
      <c r="BG26" s="27"/>
      <c r="BH26" s="37">
        <f t="shared" si="7"/>
        <v>-1</v>
      </c>
      <c r="BI26" s="36">
        <v>39863.154592671999</v>
      </c>
      <c r="BJ26" s="31">
        <f t="shared" si="37"/>
        <v>39863.154592671999</v>
      </c>
      <c r="BK26" s="18">
        <f t="shared" si="38"/>
        <v>0</v>
      </c>
      <c r="BL26" s="31">
        <f t="shared" si="39"/>
        <v>0</v>
      </c>
      <c r="BM26" s="31"/>
      <c r="BN26" s="27"/>
      <c r="BO26" s="37">
        <f t="shared" si="8"/>
        <v>-1</v>
      </c>
      <c r="BP26" s="36">
        <v>49767.18757016</v>
      </c>
      <c r="BQ26" s="31">
        <f t="shared" si="40"/>
        <v>49767.18757016</v>
      </c>
      <c r="BR26" s="18">
        <f t="shared" si="41"/>
        <v>0</v>
      </c>
      <c r="BS26" s="31">
        <f t="shared" si="42"/>
        <v>0</v>
      </c>
      <c r="BT26" s="31"/>
      <c r="BU26" s="27"/>
      <c r="BV26" s="37">
        <f t="shared" si="9"/>
        <v>-1</v>
      </c>
      <c r="BW26" s="36">
        <v>46650.766443599998</v>
      </c>
      <c r="BX26" s="31">
        <f t="shared" si="43"/>
        <v>46650.766443599998</v>
      </c>
      <c r="BY26" s="18">
        <f t="shared" si="44"/>
        <v>0</v>
      </c>
      <c r="BZ26" s="31">
        <f t="shared" si="45"/>
        <v>0</v>
      </c>
      <c r="CA26" s="31"/>
      <c r="CB26" s="27"/>
      <c r="CC26" s="37">
        <f t="shared" si="10"/>
        <v>-1</v>
      </c>
      <c r="CD26" s="36">
        <v>34623.696390160003</v>
      </c>
      <c r="CE26" s="31">
        <f t="shared" si="46"/>
        <v>34623.696390160003</v>
      </c>
      <c r="CF26" s="18">
        <f t="shared" si="47"/>
        <v>0</v>
      </c>
      <c r="CG26" s="31">
        <f t="shared" si="48"/>
        <v>0</v>
      </c>
      <c r="CH26" s="31"/>
      <c r="CI26" s="27"/>
      <c r="CJ26" s="37">
        <f t="shared" si="11"/>
        <v>-1</v>
      </c>
      <c r="CK26" s="36">
        <v>33799.492523599998</v>
      </c>
      <c r="CL26" s="31">
        <f t="shared" si="49"/>
        <v>33799.492523599998</v>
      </c>
      <c r="CM26" s="18">
        <f t="shared" si="50"/>
        <v>0</v>
      </c>
      <c r="CN26" s="31">
        <f t="shared" si="51"/>
        <v>0</v>
      </c>
      <c r="CO26" s="31"/>
      <c r="CP26" s="27"/>
      <c r="CQ26" s="37">
        <f t="shared" si="12"/>
        <v>-1</v>
      </c>
    </row>
    <row r="27" spans="1:95" s="26" customFormat="1" ht="16" customHeight="1" thickBot="1" x14ac:dyDescent="0.25">
      <c r="A27" s="29" t="s">
        <v>51</v>
      </c>
      <c r="B27" s="30">
        <f t="shared" si="0"/>
        <v>21064.676533999998</v>
      </c>
      <c r="C27" s="31">
        <f t="shared" si="0"/>
        <v>21064.676533999998</v>
      </c>
      <c r="D27" s="32">
        <f t="shared" si="0"/>
        <v>0</v>
      </c>
      <c r="E27" s="30">
        <f t="shared" si="13"/>
        <v>6744.0738839999995</v>
      </c>
      <c r="F27" s="33">
        <f t="shared" si="13"/>
        <v>6744.0738839999995</v>
      </c>
      <c r="G27" s="34">
        <f t="shared" si="13"/>
        <v>0</v>
      </c>
      <c r="H27" s="31">
        <f t="shared" si="1"/>
        <v>24684.86</v>
      </c>
      <c r="I27" s="33">
        <f t="shared" si="1"/>
        <v>0</v>
      </c>
      <c r="J27" s="33">
        <f t="shared" si="1"/>
        <v>24684.86</v>
      </c>
      <c r="K27" s="37">
        <f t="shared" si="14"/>
        <v>2.660229769807783</v>
      </c>
      <c r="L27" s="36">
        <v>559.69475199999999</v>
      </c>
      <c r="M27" s="31">
        <f t="shared" si="15"/>
        <v>559.69475199999999</v>
      </c>
      <c r="N27" s="31">
        <f t="shared" si="16"/>
        <v>0</v>
      </c>
      <c r="O27" s="31">
        <f t="shared" si="17"/>
        <v>2850.13</v>
      </c>
      <c r="P27" s="31"/>
      <c r="Q27" s="33">
        <v>2850.13</v>
      </c>
      <c r="R27" s="37">
        <f t="shared" si="18"/>
        <v>4.0922935936336957</v>
      </c>
      <c r="S27" s="36">
        <v>2020.5364159999999</v>
      </c>
      <c r="T27" s="31">
        <f t="shared" si="19"/>
        <v>2020.5364159999999</v>
      </c>
      <c r="U27" s="18">
        <f t="shared" si="20"/>
        <v>0</v>
      </c>
      <c r="V27" s="31">
        <f t="shared" si="21"/>
        <v>0</v>
      </c>
      <c r="W27" s="31"/>
      <c r="X27" s="33">
        <v>0</v>
      </c>
      <c r="Y27" s="37">
        <f t="shared" si="2"/>
        <v>-1</v>
      </c>
      <c r="Z27" s="36">
        <v>2020.5364159999999</v>
      </c>
      <c r="AA27" s="31">
        <f t="shared" si="22"/>
        <v>2020.5364159999999</v>
      </c>
      <c r="AB27" s="18">
        <f t="shared" si="23"/>
        <v>0</v>
      </c>
      <c r="AC27" s="31">
        <f t="shared" si="24"/>
        <v>5192.8599999999997</v>
      </c>
      <c r="AD27" s="31"/>
      <c r="AE27" s="27">
        <v>5192.8599999999997</v>
      </c>
      <c r="AF27" s="37">
        <f t="shared" si="3"/>
        <v>1.5700402917162766</v>
      </c>
      <c r="AG27" s="36">
        <v>2143.3063000000002</v>
      </c>
      <c r="AH27" s="31">
        <f t="shared" si="25"/>
        <v>2143.3063000000002</v>
      </c>
      <c r="AI27" s="18">
        <f t="shared" si="26"/>
        <v>0</v>
      </c>
      <c r="AJ27" s="31">
        <f t="shared" si="27"/>
        <v>7069.2</v>
      </c>
      <c r="AK27" s="31"/>
      <c r="AL27" s="27">
        <v>7069.2</v>
      </c>
      <c r="AM27" s="37">
        <f t="shared" si="4"/>
        <v>2.298268660900217</v>
      </c>
      <c r="AN27" s="36">
        <v>839.57429999999999</v>
      </c>
      <c r="AO27" s="31">
        <f t="shared" si="28"/>
        <v>839.57429999999999</v>
      </c>
      <c r="AP27" s="18">
        <f t="shared" si="29"/>
        <v>0</v>
      </c>
      <c r="AQ27" s="31">
        <f t="shared" si="30"/>
        <v>5665.25</v>
      </c>
      <c r="AR27" s="31"/>
      <c r="AS27" s="27">
        <v>5665.25</v>
      </c>
      <c r="AT27" s="37">
        <f t="shared" si="5"/>
        <v>5.7477649089544549</v>
      </c>
      <c r="AU27" s="36">
        <v>2703.0010520000001</v>
      </c>
      <c r="AV27" s="31">
        <f t="shared" si="31"/>
        <v>2703.0010520000001</v>
      </c>
      <c r="AW27" s="18">
        <f t="shared" si="32"/>
        <v>0</v>
      </c>
      <c r="AX27" s="31">
        <f t="shared" si="33"/>
        <v>3907.420000000001</v>
      </c>
      <c r="AY27" s="31"/>
      <c r="AZ27" s="27">
        <v>3907.420000000001</v>
      </c>
      <c r="BA27" s="37">
        <f t="shared" si="6"/>
        <v>0.44558582287965787</v>
      </c>
      <c r="BB27" s="36">
        <v>1399.2690520000001</v>
      </c>
      <c r="BC27" s="31">
        <f t="shared" si="34"/>
        <v>1399.2690520000001</v>
      </c>
      <c r="BD27" s="18">
        <f t="shared" si="35"/>
        <v>0</v>
      </c>
      <c r="BE27" s="31">
        <f t="shared" si="36"/>
        <v>0</v>
      </c>
      <c r="BF27" s="31"/>
      <c r="BG27" s="27"/>
      <c r="BH27" s="37">
        <f t="shared" si="7"/>
        <v>-1</v>
      </c>
      <c r="BI27" s="36">
        <v>2703.0010520000001</v>
      </c>
      <c r="BJ27" s="31">
        <f t="shared" si="37"/>
        <v>2703.0010520000001</v>
      </c>
      <c r="BK27" s="18">
        <f t="shared" si="38"/>
        <v>0</v>
      </c>
      <c r="BL27" s="31">
        <f t="shared" si="39"/>
        <v>0</v>
      </c>
      <c r="BM27" s="31"/>
      <c r="BN27" s="27"/>
      <c r="BO27" s="37">
        <f t="shared" si="8"/>
        <v>-1</v>
      </c>
      <c r="BP27" s="36">
        <v>2703.0010520000001</v>
      </c>
      <c r="BQ27" s="31">
        <f t="shared" si="40"/>
        <v>2703.0010520000001</v>
      </c>
      <c r="BR27" s="18">
        <f t="shared" si="41"/>
        <v>0</v>
      </c>
      <c r="BS27" s="31">
        <f t="shared" si="42"/>
        <v>0</v>
      </c>
      <c r="BT27" s="31"/>
      <c r="BU27" s="27"/>
      <c r="BV27" s="37">
        <f t="shared" si="9"/>
        <v>-1</v>
      </c>
      <c r="BW27" s="36">
        <v>1697.3818819999999</v>
      </c>
      <c r="BX27" s="31">
        <f t="shared" si="43"/>
        <v>1697.3818819999999</v>
      </c>
      <c r="BY27" s="18">
        <f t="shared" si="44"/>
        <v>0</v>
      </c>
      <c r="BZ27" s="31">
        <f t="shared" si="45"/>
        <v>0</v>
      </c>
      <c r="CA27" s="31"/>
      <c r="CB27" s="27"/>
      <c r="CC27" s="37">
        <f t="shared" si="10"/>
        <v>-1</v>
      </c>
      <c r="CD27" s="36">
        <v>1137.68713</v>
      </c>
      <c r="CE27" s="31">
        <f t="shared" si="46"/>
        <v>1137.68713</v>
      </c>
      <c r="CF27" s="18">
        <f t="shared" si="47"/>
        <v>0</v>
      </c>
      <c r="CG27" s="31">
        <f t="shared" si="48"/>
        <v>0</v>
      </c>
      <c r="CH27" s="31"/>
      <c r="CI27" s="27"/>
      <c r="CJ27" s="37">
        <f t="shared" si="11"/>
        <v>-1</v>
      </c>
      <c r="CK27" s="36">
        <v>1137.68713</v>
      </c>
      <c r="CL27" s="31">
        <f t="shared" si="49"/>
        <v>1137.68713</v>
      </c>
      <c r="CM27" s="18">
        <f t="shared" si="50"/>
        <v>0</v>
      </c>
      <c r="CN27" s="31">
        <f t="shared" si="51"/>
        <v>0</v>
      </c>
      <c r="CO27" s="31"/>
      <c r="CP27" s="27"/>
      <c r="CQ27" s="37">
        <f t="shared" si="12"/>
        <v>-1</v>
      </c>
    </row>
    <row r="28" spans="1:95" s="26" customFormat="1" ht="16" customHeight="1" thickBot="1" x14ac:dyDescent="0.25">
      <c r="A28" s="29" t="s">
        <v>52</v>
      </c>
      <c r="B28" s="30">
        <f t="shared" si="0"/>
        <v>23643.81623</v>
      </c>
      <c r="C28" s="31">
        <f t="shared" si="0"/>
        <v>23643.81623</v>
      </c>
      <c r="D28" s="32">
        <f t="shared" si="0"/>
        <v>0</v>
      </c>
      <c r="E28" s="30">
        <f t="shared" si="13"/>
        <v>8307.9976999999999</v>
      </c>
      <c r="F28" s="33">
        <f t="shared" si="13"/>
        <v>8307.9976999999999</v>
      </c>
      <c r="G28" s="34">
        <f t="shared" si="13"/>
        <v>0</v>
      </c>
      <c r="H28" s="31">
        <f t="shared" si="1"/>
        <v>12808.146183274685</v>
      </c>
      <c r="I28" s="33">
        <f t="shared" si="1"/>
        <v>0</v>
      </c>
      <c r="J28" s="33">
        <f t="shared" si="1"/>
        <v>12808.146183274685</v>
      </c>
      <c r="K28" s="37">
        <f t="shared" si="14"/>
        <v>0.54166462796140213</v>
      </c>
      <c r="L28" s="36">
        <v>1768.7706000000001</v>
      </c>
      <c r="M28" s="31">
        <f t="shared" si="15"/>
        <v>1768.7706000000001</v>
      </c>
      <c r="N28" s="31">
        <f t="shared" si="16"/>
        <v>0</v>
      </c>
      <c r="O28" s="31">
        <f t="shared" si="17"/>
        <v>2239.46</v>
      </c>
      <c r="P28" s="31"/>
      <c r="Q28" s="33">
        <v>2239.46</v>
      </c>
      <c r="R28" s="37">
        <f t="shared" si="18"/>
        <v>0.26611104910947758</v>
      </c>
      <c r="S28" s="36">
        <v>1768.7706000000001</v>
      </c>
      <c r="T28" s="31">
        <f t="shared" si="19"/>
        <v>1768.7706000000001</v>
      </c>
      <c r="U28" s="18">
        <f t="shared" si="20"/>
        <v>0</v>
      </c>
      <c r="V28" s="31">
        <f t="shared" si="21"/>
        <v>2162.2800000000002</v>
      </c>
      <c r="W28" s="31"/>
      <c r="X28" s="33">
        <v>2162.2800000000002</v>
      </c>
      <c r="Y28" s="37">
        <f t="shared" si="2"/>
        <v>0.22247622161969449</v>
      </c>
      <c r="Z28" s="36">
        <v>2358.3607999999999</v>
      </c>
      <c r="AA28" s="31">
        <f t="shared" si="22"/>
        <v>2358.3607999999999</v>
      </c>
      <c r="AB28" s="18">
        <f t="shared" si="23"/>
        <v>0</v>
      </c>
      <c r="AC28" s="31">
        <f t="shared" si="24"/>
        <v>281.39</v>
      </c>
      <c r="AD28" s="31"/>
      <c r="AE28" s="27">
        <v>281.39</v>
      </c>
      <c r="AF28" s="37">
        <f t="shared" si="3"/>
        <v>-0.88068407514236158</v>
      </c>
      <c r="AG28" s="36">
        <v>2412.0956999999999</v>
      </c>
      <c r="AH28" s="31">
        <f t="shared" si="25"/>
        <v>2412.0956999999999</v>
      </c>
      <c r="AI28" s="18">
        <f t="shared" si="26"/>
        <v>0</v>
      </c>
      <c r="AJ28" s="31">
        <f t="shared" si="27"/>
        <v>2412.1400000000003</v>
      </c>
      <c r="AK28" s="31"/>
      <c r="AL28" s="27">
        <v>2412.1400000000003</v>
      </c>
      <c r="AM28" s="37">
        <f t="shared" si="4"/>
        <v>1.8365772137762804E-5</v>
      </c>
      <c r="AN28" s="36">
        <v>2063.5657000000001</v>
      </c>
      <c r="AO28" s="31">
        <f t="shared" si="28"/>
        <v>2063.5657000000001</v>
      </c>
      <c r="AP28" s="18">
        <f t="shared" si="29"/>
        <v>0</v>
      </c>
      <c r="AQ28" s="31">
        <f t="shared" si="30"/>
        <v>2653.66</v>
      </c>
      <c r="AR28" s="31"/>
      <c r="AS28" s="27">
        <v>2653.66</v>
      </c>
      <c r="AT28" s="37">
        <f t="shared" si="5"/>
        <v>0.28595857161223392</v>
      </c>
      <c r="AU28" s="36">
        <v>1822.5055</v>
      </c>
      <c r="AV28" s="31">
        <f t="shared" si="31"/>
        <v>1822.5055</v>
      </c>
      <c r="AW28" s="18">
        <f t="shared" si="32"/>
        <v>0</v>
      </c>
      <c r="AX28" s="31">
        <f t="shared" si="33"/>
        <v>3059.2161832746838</v>
      </c>
      <c r="AY28" s="31"/>
      <c r="AZ28" s="27">
        <v>3059.2161832746838</v>
      </c>
      <c r="BA28" s="37">
        <f t="shared" si="6"/>
        <v>0.67857720224969631</v>
      </c>
      <c r="BB28" s="36">
        <v>1473.9755</v>
      </c>
      <c r="BC28" s="31">
        <f t="shared" si="34"/>
        <v>1473.9755</v>
      </c>
      <c r="BD28" s="18">
        <f t="shared" si="35"/>
        <v>0</v>
      </c>
      <c r="BE28" s="31">
        <f t="shared" si="36"/>
        <v>0</v>
      </c>
      <c r="BF28" s="31"/>
      <c r="BG28" s="27"/>
      <c r="BH28" s="37">
        <f t="shared" si="7"/>
        <v>-1</v>
      </c>
      <c r="BI28" s="36">
        <v>2412.0956999999999</v>
      </c>
      <c r="BJ28" s="31">
        <f t="shared" si="37"/>
        <v>2412.0956999999999</v>
      </c>
      <c r="BK28" s="18">
        <f t="shared" si="38"/>
        <v>0</v>
      </c>
      <c r="BL28" s="31">
        <f t="shared" si="39"/>
        <v>0</v>
      </c>
      <c r="BM28" s="31"/>
      <c r="BN28" s="27"/>
      <c r="BO28" s="37">
        <f t="shared" si="8"/>
        <v>-1</v>
      </c>
      <c r="BP28" s="36">
        <v>2412.0956999999999</v>
      </c>
      <c r="BQ28" s="31">
        <f t="shared" si="40"/>
        <v>2412.0956999999999</v>
      </c>
      <c r="BR28" s="18">
        <f t="shared" si="41"/>
        <v>0</v>
      </c>
      <c r="BS28" s="31">
        <f t="shared" si="42"/>
        <v>0</v>
      </c>
      <c r="BT28" s="31"/>
      <c r="BU28" s="27"/>
      <c r="BV28" s="37">
        <f t="shared" si="9"/>
        <v>-1</v>
      </c>
      <c r="BW28" s="36">
        <v>2110.2536100000002</v>
      </c>
      <c r="BX28" s="31">
        <f t="shared" si="43"/>
        <v>2110.2536100000002</v>
      </c>
      <c r="BY28" s="18">
        <f t="shared" si="44"/>
        <v>0</v>
      </c>
      <c r="BZ28" s="31">
        <f t="shared" si="45"/>
        <v>0</v>
      </c>
      <c r="CA28" s="31"/>
      <c r="CB28" s="27"/>
      <c r="CC28" s="37">
        <f t="shared" si="10"/>
        <v>-1</v>
      </c>
      <c r="CD28" s="36">
        <v>1520.6634100000001</v>
      </c>
      <c r="CE28" s="31">
        <f t="shared" si="46"/>
        <v>1520.6634100000001</v>
      </c>
      <c r="CF28" s="18">
        <f t="shared" si="47"/>
        <v>0</v>
      </c>
      <c r="CG28" s="31">
        <f t="shared" si="48"/>
        <v>0</v>
      </c>
      <c r="CH28" s="31"/>
      <c r="CI28" s="27"/>
      <c r="CJ28" s="37">
        <f t="shared" si="11"/>
        <v>-1</v>
      </c>
      <c r="CK28" s="36">
        <v>1520.6634100000001</v>
      </c>
      <c r="CL28" s="31">
        <f t="shared" si="49"/>
        <v>1520.6634100000001</v>
      </c>
      <c r="CM28" s="18">
        <f t="shared" si="50"/>
        <v>0</v>
      </c>
      <c r="CN28" s="31">
        <f t="shared" si="51"/>
        <v>0</v>
      </c>
      <c r="CO28" s="31"/>
      <c r="CP28" s="27"/>
      <c r="CQ28" s="37">
        <f t="shared" si="12"/>
        <v>-1</v>
      </c>
    </row>
    <row r="29" spans="1:95" s="26" customFormat="1" ht="16" customHeight="1" thickBot="1" x14ac:dyDescent="0.25">
      <c r="A29" s="29" t="s">
        <v>53</v>
      </c>
      <c r="B29" s="30">
        <f t="shared" si="0"/>
        <v>57665.732999999935</v>
      </c>
      <c r="C29" s="31">
        <f t="shared" si="0"/>
        <v>57665.732999999935</v>
      </c>
      <c r="D29" s="32">
        <f t="shared" si="0"/>
        <v>0</v>
      </c>
      <c r="E29" s="30">
        <f t="shared" si="13"/>
        <v>19221.910999999978</v>
      </c>
      <c r="F29" s="33">
        <f t="shared" si="13"/>
        <v>19221.910999999978</v>
      </c>
      <c r="G29" s="34">
        <f t="shared" si="13"/>
        <v>0</v>
      </c>
      <c r="H29" s="31">
        <f t="shared" si="1"/>
        <v>1011.5</v>
      </c>
      <c r="I29" s="33">
        <f t="shared" si="1"/>
        <v>0</v>
      </c>
      <c r="J29" s="33">
        <f t="shared" si="1"/>
        <v>1011.5</v>
      </c>
      <c r="K29" s="37">
        <f t="shared" si="14"/>
        <v>-0.94737776072316637</v>
      </c>
      <c r="L29" s="36">
        <v>3831.01999999999</v>
      </c>
      <c r="M29" s="31">
        <f t="shared" si="15"/>
        <v>3831.01999999999</v>
      </c>
      <c r="N29" s="31">
        <f t="shared" si="16"/>
        <v>0</v>
      </c>
      <c r="O29" s="31">
        <f t="shared" si="17"/>
        <v>0</v>
      </c>
      <c r="P29" s="31"/>
      <c r="Q29" s="33">
        <v>0</v>
      </c>
      <c r="R29" s="37">
        <f t="shared" si="18"/>
        <v>-1</v>
      </c>
      <c r="S29" s="36">
        <v>5779.9354999999996</v>
      </c>
      <c r="T29" s="31">
        <f t="shared" si="19"/>
        <v>5779.9354999999996</v>
      </c>
      <c r="U29" s="18">
        <f t="shared" si="20"/>
        <v>0</v>
      </c>
      <c r="V29" s="31">
        <f t="shared" si="21"/>
        <v>0</v>
      </c>
      <c r="W29" s="31"/>
      <c r="X29" s="33">
        <v>0</v>
      </c>
      <c r="Y29" s="37">
        <f t="shared" si="2"/>
        <v>-1</v>
      </c>
      <c r="Z29" s="36">
        <v>3831.01999999999</v>
      </c>
      <c r="AA29" s="31">
        <f t="shared" si="22"/>
        <v>3831.01999999999</v>
      </c>
      <c r="AB29" s="18">
        <f t="shared" si="23"/>
        <v>0</v>
      </c>
      <c r="AC29" s="31">
        <f t="shared" si="24"/>
        <v>0</v>
      </c>
      <c r="AD29" s="31"/>
      <c r="AE29" s="27">
        <v>0</v>
      </c>
      <c r="AF29" s="37">
        <f t="shared" si="3"/>
        <v>-1</v>
      </c>
      <c r="AG29" s="36">
        <v>5779.9354999999996</v>
      </c>
      <c r="AH29" s="31">
        <f t="shared" si="25"/>
        <v>5779.9354999999996</v>
      </c>
      <c r="AI29" s="18">
        <f t="shared" si="26"/>
        <v>0</v>
      </c>
      <c r="AJ29" s="31">
        <f t="shared" si="27"/>
        <v>0</v>
      </c>
      <c r="AK29" s="31"/>
      <c r="AL29" s="27">
        <v>0</v>
      </c>
      <c r="AM29" s="37">
        <f t="shared" si="4"/>
        <v>-1</v>
      </c>
      <c r="AN29" s="36">
        <v>3831.01999999999</v>
      </c>
      <c r="AO29" s="31">
        <f t="shared" si="28"/>
        <v>3831.01999999999</v>
      </c>
      <c r="AP29" s="18">
        <f t="shared" si="29"/>
        <v>0</v>
      </c>
      <c r="AQ29" s="31">
        <f t="shared" si="30"/>
        <v>0</v>
      </c>
      <c r="AR29" s="31"/>
      <c r="AS29" s="27">
        <v>0</v>
      </c>
      <c r="AT29" s="37">
        <f t="shared" si="5"/>
        <v>-1</v>
      </c>
      <c r="AU29" s="36">
        <v>5779.9354999999996</v>
      </c>
      <c r="AV29" s="31">
        <f t="shared" si="31"/>
        <v>5779.9354999999996</v>
      </c>
      <c r="AW29" s="18">
        <f t="shared" si="32"/>
        <v>0</v>
      </c>
      <c r="AX29" s="31">
        <f t="shared" si="33"/>
        <v>1011.5</v>
      </c>
      <c r="AY29" s="31"/>
      <c r="AZ29" s="27">
        <v>1011.5</v>
      </c>
      <c r="BA29" s="37">
        <f t="shared" si="6"/>
        <v>-0.82499804712353619</v>
      </c>
      <c r="BB29" s="36">
        <v>3831.01999999999</v>
      </c>
      <c r="BC29" s="31">
        <f t="shared" si="34"/>
        <v>3831.01999999999</v>
      </c>
      <c r="BD29" s="18">
        <f t="shared" si="35"/>
        <v>0</v>
      </c>
      <c r="BE29" s="31">
        <f t="shared" si="36"/>
        <v>0</v>
      </c>
      <c r="BF29" s="31"/>
      <c r="BG29" s="27"/>
      <c r="BH29" s="37">
        <f t="shared" si="7"/>
        <v>-1</v>
      </c>
      <c r="BI29" s="36">
        <v>5779.9354999999996</v>
      </c>
      <c r="BJ29" s="31">
        <f t="shared" si="37"/>
        <v>5779.9354999999996</v>
      </c>
      <c r="BK29" s="18">
        <f t="shared" si="38"/>
        <v>0</v>
      </c>
      <c r="BL29" s="31">
        <f t="shared" si="39"/>
        <v>0</v>
      </c>
      <c r="BM29" s="31"/>
      <c r="BN29" s="27"/>
      <c r="BO29" s="37">
        <f t="shared" si="8"/>
        <v>-1</v>
      </c>
      <c r="BP29" s="36">
        <v>3831.01999999999</v>
      </c>
      <c r="BQ29" s="31">
        <f t="shared" si="40"/>
        <v>3831.01999999999</v>
      </c>
      <c r="BR29" s="18">
        <f t="shared" si="41"/>
        <v>0</v>
      </c>
      <c r="BS29" s="31">
        <f t="shared" si="42"/>
        <v>0</v>
      </c>
      <c r="BT29" s="31"/>
      <c r="BU29" s="27"/>
      <c r="BV29" s="37">
        <f t="shared" si="9"/>
        <v>-1</v>
      </c>
      <c r="BW29" s="36">
        <v>5779.9354999999996</v>
      </c>
      <c r="BX29" s="31">
        <f t="shared" si="43"/>
        <v>5779.9354999999996</v>
      </c>
      <c r="BY29" s="18">
        <f t="shared" si="44"/>
        <v>0</v>
      </c>
      <c r="BZ29" s="31">
        <f t="shared" si="45"/>
        <v>0</v>
      </c>
      <c r="CA29" s="31"/>
      <c r="CB29" s="27"/>
      <c r="CC29" s="37">
        <f t="shared" si="10"/>
        <v>-1</v>
      </c>
      <c r="CD29" s="36">
        <v>3831.01999999999</v>
      </c>
      <c r="CE29" s="31">
        <f t="shared" si="46"/>
        <v>3831.01999999999</v>
      </c>
      <c r="CF29" s="18">
        <f t="shared" si="47"/>
        <v>0</v>
      </c>
      <c r="CG29" s="31">
        <f t="shared" si="48"/>
        <v>0</v>
      </c>
      <c r="CH29" s="31"/>
      <c r="CI29" s="27"/>
      <c r="CJ29" s="37">
        <f t="shared" si="11"/>
        <v>-1</v>
      </c>
      <c r="CK29" s="36">
        <v>5779.9354999999996</v>
      </c>
      <c r="CL29" s="31">
        <f t="shared" si="49"/>
        <v>5779.9354999999996</v>
      </c>
      <c r="CM29" s="18">
        <f t="shared" si="50"/>
        <v>0</v>
      </c>
      <c r="CN29" s="31">
        <f t="shared" si="51"/>
        <v>0</v>
      </c>
      <c r="CO29" s="31"/>
      <c r="CP29" s="27"/>
      <c r="CQ29" s="37">
        <f t="shared" si="12"/>
        <v>-1</v>
      </c>
    </row>
    <row r="30" spans="1:95" s="26" customFormat="1" ht="16" customHeight="1" thickBot="1" x14ac:dyDescent="0.25">
      <c r="A30" s="29" t="s">
        <v>54</v>
      </c>
      <c r="B30" s="30">
        <f t="shared" si="0"/>
        <v>6999.9999999999991</v>
      </c>
      <c r="C30" s="31">
        <f t="shared" si="0"/>
        <v>6999.9999999999991</v>
      </c>
      <c r="D30" s="32">
        <f t="shared" si="0"/>
        <v>0</v>
      </c>
      <c r="E30" s="30">
        <f t="shared" si="13"/>
        <v>2333.3333333333335</v>
      </c>
      <c r="F30" s="33">
        <f t="shared" si="13"/>
        <v>2333.3333333333335</v>
      </c>
      <c r="G30" s="34">
        <f t="shared" si="13"/>
        <v>0</v>
      </c>
      <c r="H30" s="31">
        <f t="shared" si="1"/>
        <v>0</v>
      </c>
      <c r="I30" s="33">
        <f t="shared" si="1"/>
        <v>0</v>
      </c>
      <c r="J30" s="33">
        <f t="shared" si="1"/>
        <v>0</v>
      </c>
      <c r="K30" s="37">
        <f t="shared" si="14"/>
        <v>-1</v>
      </c>
      <c r="L30" s="36">
        <v>583.33333333333337</v>
      </c>
      <c r="M30" s="31">
        <f t="shared" si="15"/>
        <v>583.33333333333337</v>
      </c>
      <c r="N30" s="31">
        <f t="shared" si="16"/>
        <v>0</v>
      </c>
      <c r="O30" s="31">
        <f t="shared" si="17"/>
        <v>0</v>
      </c>
      <c r="P30" s="31"/>
      <c r="Q30" s="33">
        <v>0</v>
      </c>
      <c r="R30" s="37">
        <f t="shared" si="18"/>
        <v>-1</v>
      </c>
      <c r="S30" s="36">
        <v>583.33333333333337</v>
      </c>
      <c r="T30" s="31">
        <f t="shared" si="19"/>
        <v>583.33333333333337</v>
      </c>
      <c r="U30" s="18">
        <f t="shared" si="20"/>
        <v>0</v>
      </c>
      <c r="V30" s="31">
        <f t="shared" si="21"/>
        <v>0</v>
      </c>
      <c r="W30" s="31"/>
      <c r="X30" s="33">
        <v>0</v>
      </c>
      <c r="Y30" s="37">
        <f t="shared" si="2"/>
        <v>-1</v>
      </c>
      <c r="Z30" s="36">
        <v>583.33333333333337</v>
      </c>
      <c r="AA30" s="31">
        <f t="shared" si="22"/>
        <v>583.33333333333337</v>
      </c>
      <c r="AB30" s="18">
        <f t="shared" si="23"/>
        <v>0</v>
      </c>
      <c r="AC30" s="31">
        <f t="shared" si="24"/>
        <v>0</v>
      </c>
      <c r="AD30" s="31"/>
      <c r="AE30" s="27">
        <v>0</v>
      </c>
      <c r="AF30" s="37">
        <f t="shared" si="3"/>
        <v>-1</v>
      </c>
      <c r="AG30" s="36">
        <v>583.33333333333337</v>
      </c>
      <c r="AH30" s="31">
        <f t="shared" si="25"/>
        <v>583.33333333333337</v>
      </c>
      <c r="AI30" s="18">
        <f t="shared" si="26"/>
        <v>0</v>
      </c>
      <c r="AJ30" s="31">
        <f t="shared" si="27"/>
        <v>0</v>
      </c>
      <c r="AK30" s="31"/>
      <c r="AL30" s="27">
        <v>0</v>
      </c>
      <c r="AM30" s="37">
        <f t="shared" si="4"/>
        <v>-1</v>
      </c>
      <c r="AN30" s="36">
        <v>583.33333333333337</v>
      </c>
      <c r="AO30" s="31">
        <f t="shared" si="28"/>
        <v>583.33333333333337</v>
      </c>
      <c r="AP30" s="18">
        <f t="shared" si="29"/>
        <v>0</v>
      </c>
      <c r="AQ30" s="31">
        <f t="shared" si="30"/>
        <v>0</v>
      </c>
      <c r="AR30" s="31"/>
      <c r="AS30" s="27">
        <v>0</v>
      </c>
      <c r="AT30" s="37">
        <f t="shared" si="5"/>
        <v>-1</v>
      </c>
      <c r="AU30" s="36">
        <v>583.33333333333337</v>
      </c>
      <c r="AV30" s="31">
        <f t="shared" si="31"/>
        <v>583.33333333333337</v>
      </c>
      <c r="AW30" s="18">
        <f t="shared" si="32"/>
        <v>0</v>
      </c>
      <c r="AX30" s="31">
        <f t="shared" si="33"/>
        <v>0</v>
      </c>
      <c r="AY30" s="31"/>
      <c r="AZ30" s="27">
        <v>0</v>
      </c>
      <c r="BA30" s="37">
        <f t="shared" si="6"/>
        <v>-1</v>
      </c>
      <c r="BB30" s="36">
        <v>583.33333333333337</v>
      </c>
      <c r="BC30" s="31">
        <f t="shared" si="34"/>
        <v>583.33333333333337</v>
      </c>
      <c r="BD30" s="18">
        <f t="shared" si="35"/>
        <v>0</v>
      </c>
      <c r="BE30" s="31">
        <f t="shared" si="36"/>
        <v>0</v>
      </c>
      <c r="BF30" s="31"/>
      <c r="BG30" s="27">
        <v>0</v>
      </c>
      <c r="BH30" s="37">
        <f t="shared" si="7"/>
        <v>-1</v>
      </c>
      <c r="BI30" s="36">
        <v>583.33333333333337</v>
      </c>
      <c r="BJ30" s="31">
        <f t="shared" si="37"/>
        <v>583.33333333333337</v>
      </c>
      <c r="BK30" s="18">
        <f t="shared" si="38"/>
        <v>0</v>
      </c>
      <c r="BL30" s="31">
        <f t="shared" si="39"/>
        <v>0</v>
      </c>
      <c r="BM30" s="31"/>
      <c r="BN30" s="27">
        <v>0</v>
      </c>
      <c r="BO30" s="37">
        <f t="shared" si="8"/>
        <v>-1</v>
      </c>
      <c r="BP30" s="36">
        <v>583.33333333333337</v>
      </c>
      <c r="BQ30" s="31">
        <f t="shared" si="40"/>
        <v>583.33333333333337</v>
      </c>
      <c r="BR30" s="18">
        <f t="shared" si="41"/>
        <v>0</v>
      </c>
      <c r="BS30" s="31">
        <f t="shared" si="42"/>
        <v>0</v>
      </c>
      <c r="BT30" s="31"/>
      <c r="BU30" s="27">
        <v>0</v>
      </c>
      <c r="BV30" s="37">
        <f t="shared" si="9"/>
        <v>-1</v>
      </c>
      <c r="BW30" s="36">
        <v>583.33333333333337</v>
      </c>
      <c r="BX30" s="31">
        <f t="shared" si="43"/>
        <v>583.33333333333337</v>
      </c>
      <c r="BY30" s="18">
        <f t="shared" si="44"/>
        <v>0</v>
      </c>
      <c r="BZ30" s="31">
        <f t="shared" si="45"/>
        <v>0</v>
      </c>
      <c r="CA30" s="31"/>
      <c r="CB30" s="27">
        <v>0</v>
      </c>
      <c r="CC30" s="37">
        <f t="shared" si="10"/>
        <v>-1</v>
      </c>
      <c r="CD30" s="36">
        <v>583.33333333333337</v>
      </c>
      <c r="CE30" s="31">
        <f t="shared" si="46"/>
        <v>583.33333333333337</v>
      </c>
      <c r="CF30" s="18">
        <f t="shared" si="47"/>
        <v>0</v>
      </c>
      <c r="CG30" s="31">
        <f t="shared" si="48"/>
        <v>0</v>
      </c>
      <c r="CH30" s="31"/>
      <c r="CI30" s="27">
        <v>0</v>
      </c>
      <c r="CJ30" s="37">
        <f t="shared" si="11"/>
        <v>-1</v>
      </c>
      <c r="CK30" s="36">
        <v>583.33333333333337</v>
      </c>
      <c r="CL30" s="31">
        <f t="shared" si="49"/>
        <v>583.33333333333337</v>
      </c>
      <c r="CM30" s="18">
        <f t="shared" si="50"/>
        <v>0</v>
      </c>
      <c r="CN30" s="31">
        <f t="shared" si="51"/>
        <v>0</v>
      </c>
      <c r="CO30" s="31"/>
      <c r="CP30" s="27">
        <v>0</v>
      </c>
      <c r="CQ30" s="37">
        <f t="shared" si="12"/>
        <v>-1</v>
      </c>
    </row>
    <row r="31" spans="1:95" s="26" customFormat="1" ht="16" customHeight="1" thickBot="1" x14ac:dyDescent="0.25">
      <c r="A31" s="38" t="s">
        <v>55</v>
      </c>
      <c r="B31" s="30">
        <f t="shared" si="0"/>
        <v>3762.4999999999995</v>
      </c>
      <c r="C31" s="31">
        <f t="shared" si="0"/>
        <v>3762.4999999999995</v>
      </c>
      <c r="D31" s="32">
        <f t="shared" si="0"/>
        <v>0</v>
      </c>
      <c r="E31" s="30">
        <f t="shared" si="13"/>
        <v>1254.1666666666667</v>
      </c>
      <c r="F31" s="33">
        <f t="shared" si="13"/>
        <v>1254.1666666666667</v>
      </c>
      <c r="G31" s="34">
        <f t="shared" si="13"/>
        <v>0</v>
      </c>
      <c r="H31" s="31">
        <f t="shared" si="1"/>
        <v>1711.1073308581549</v>
      </c>
      <c r="I31" s="33">
        <f t="shared" si="1"/>
        <v>0</v>
      </c>
      <c r="J31" s="33">
        <f t="shared" si="1"/>
        <v>1711.1073308581549</v>
      </c>
      <c r="K31" s="37">
        <f t="shared" si="14"/>
        <v>0.36433807111613681</v>
      </c>
      <c r="L31" s="36">
        <v>313.54166666666669</v>
      </c>
      <c r="M31" s="31">
        <f t="shared" si="15"/>
        <v>313.54166666666669</v>
      </c>
      <c r="N31" s="31">
        <f t="shared" si="16"/>
        <v>0</v>
      </c>
      <c r="O31" s="31">
        <f t="shared" si="17"/>
        <v>48.304970804904571</v>
      </c>
      <c r="P31" s="31"/>
      <c r="Q31" s="33">
        <v>48.304970804904571</v>
      </c>
      <c r="R31" s="37">
        <f t="shared" si="18"/>
        <v>-0.84593763464216487</v>
      </c>
      <c r="S31" s="36">
        <v>313.54166666666669</v>
      </c>
      <c r="T31" s="31">
        <f t="shared" si="19"/>
        <v>313.54166666666669</v>
      </c>
      <c r="U31" s="18">
        <f t="shared" si="20"/>
        <v>0</v>
      </c>
      <c r="V31" s="31">
        <f t="shared" si="21"/>
        <v>492.58818960291273</v>
      </c>
      <c r="W31" s="31"/>
      <c r="X31" s="33">
        <v>492.58818960291273</v>
      </c>
      <c r="Y31" s="37">
        <f t="shared" si="2"/>
        <v>0.57104538876676481</v>
      </c>
      <c r="Z31" s="36">
        <v>313.54166666666669</v>
      </c>
      <c r="AA31" s="31">
        <f t="shared" si="22"/>
        <v>313.54166666666669</v>
      </c>
      <c r="AB31" s="18">
        <f t="shared" si="23"/>
        <v>0</v>
      </c>
      <c r="AC31" s="31">
        <f t="shared" si="24"/>
        <v>112.18654451428924</v>
      </c>
      <c r="AD31" s="31"/>
      <c r="AE31" s="27">
        <v>112.18654451428924</v>
      </c>
      <c r="AF31" s="37">
        <f t="shared" si="3"/>
        <v>-0.64219573842618716</v>
      </c>
      <c r="AG31" s="36">
        <v>313.54166666666669</v>
      </c>
      <c r="AH31" s="31">
        <f t="shared" si="25"/>
        <v>313.54166666666669</v>
      </c>
      <c r="AI31" s="18">
        <f t="shared" si="26"/>
        <v>0</v>
      </c>
      <c r="AJ31" s="31">
        <f t="shared" si="27"/>
        <v>48.786270332851991</v>
      </c>
      <c r="AK31" s="31"/>
      <c r="AL31" s="27">
        <v>48.786270332851991</v>
      </c>
      <c r="AM31" s="37">
        <f t="shared" si="4"/>
        <v>-0.84440259295834585</v>
      </c>
      <c r="AN31" s="36">
        <v>313.54166666666669</v>
      </c>
      <c r="AO31" s="31">
        <f t="shared" si="28"/>
        <v>313.54166666666669</v>
      </c>
      <c r="AP31" s="18">
        <f t="shared" si="29"/>
        <v>0</v>
      </c>
      <c r="AQ31" s="31">
        <f t="shared" si="30"/>
        <v>74.190134507967556</v>
      </c>
      <c r="AR31" s="31"/>
      <c r="AS31" s="27">
        <v>74.190134507967556</v>
      </c>
      <c r="AT31" s="37">
        <f t="shared" si="5"/>
        <v>-0.76338030190149886</v>
      </c>
      <c r="AU31" s="36">
        <v>313.54166666666669</v>
      </c>
      <c r="AV31" s="31">
        <f t="shared" si="31"/>
        <v>313.54166666666669</v>
      </c>
      <c r="AW31" s="18">
        <f t="shared" si="32"/>
        <v>0</v>
      </c>
      <c r="AX31" s="31">
        <f t="shared" si="33"/>
        <v>935.05122109522893</v>
      </c>
      <c r="AY31" s="31"/>
      <c r="AZ31" s="27">
        <v>935.05122109522893</v>
      </c>
      <c r="BA31" s="37">
        <f t="shared" si="6"/>
        <v>1.9822231636259793</v>
      </c>
      <c r="BB31" s="36">
        <v>313.54166666666669</v>
      </c>
      <c r="BC31" s="31">
        <f t="shared" si="34"/>
        <v>313.54166666666669</v>
      </c>
      <c r="BD31" s="18">
        <f t="shared" si="35"/>
        <v>0</v>
      </c>
      <c r="BE31" s="31">
        <f t="shared" si="36"/>
        <v>0</v>
      </c>
      <c r="BF31" s="31"/>
      <c r="BG31" s="27">
        <v>0</v>
      </c>
      <c r="BH31" s="37">
        <f t="shared" si="7"/>
        <v>-1</v>
      </c>
      <c r="BI31" s="36">
        <v>313.54166666666669</v>
      </c>
      <c r="BJ31" s="31">
        <f t="shared" si="37"/>
        <v>313.54166666666669</v>
      </c>
      <c r="BK31" s="18">
        <f t="shared" si="38"/>
        <v>0</v>
      </c>
      <c r="BL31" s="31">
        <f t="shared" si="39"/>
        <v>0</v>
      </c>
      <c r="BM31" s="31"/>
      <c r="BN31" s="27">
        <v>0</v>
      </c>
      <c r="BO31" s="37">
        <f t="shared" si="8"/>
        <v>-1</v>
      </c>
      <c r="BP31" s="36">
        <v>313.54166666666669</v>
      </c>
      <c r="BQ31" s="31">
        <f t="shared" si="40"/>
        <v>313.54166666666669</v>
      </c>
      <c r="BR31" s="18">
        <f t="shared" si="41"/>
        <v>0</v>
      </c>
      <c r="BS31" s="31">
        <f t="shared" si="42"/>
        <v>0</v>
      </c>
      <c r="BT31" s="31"/>
      <c r="BU31" s="27">
        <v>0</v>
      </c>
      <c r="BV31" s="37">
        <f t="shared" si="9"/>
        <v>-1</v>
      </c>
      <c r="BW31" s="36">
        <v>313.54166666666669</v>
      </c>
      <c r="BX31" s="31">
        <f t="shared" si="43"/>
        <v>313.54166666666669</v>
      </c>
      <c r="BY31" s="18">
        <f t="shared" si="44"/>
        <v>0</v>
      </c>
      <c r="BZ31" s="31">
        <f t="shared" si="45"/>
        <v>0</v>
      </c>
      <c r="CA31" s="31"/>
      <c r="CB31" s="27">
        <v>0</v>
      </c>
      <c r="CC31" s="37">
        <f t="shared" si="10"/>
        <v>-1</v>
      </c>
      <c r="CD31" s="36">
        <v>313.54166666666669</v>
      </c>
      <c r="CE31" s="31">
        <f t="shared" si="46"/>
        <v>313.54166666666669</v>
      </c>
      <c r="CF31" s="18">
        <f t="shared" si="47"/>
        <v>0</v>
      </c>
      <c r="CG31" s="31">
        <f t="shared" si="48"/>
        <v>0</v>
      </c>
      <c r="CH31" s="31"/>
      <c r="CI31" s="27">
        <v>0</v>
      </c>
      <c r="CJ31" s="37">
        <f t="shared" si="11"/>
        <v>-1</v>
      </c>
      <c r="CK31" s="36">
        <v>313.54166666666669</v>
      </c>
      <c r="CL31" s="31">
        <f t="shared" si="49"/>
        <v>313.54166666666669</v>
      </c>
      <c r="CM31" s="18">
        <f t="shared" si="50"/>
        <v>0</v>
      </c>
      <c r="CN31" s="31">
        <f t="shared" si="51"/>
        <v>0</v>
      </c>
      <c r="CO31" s="31"/>
      <c r="CP31" s="27">
        <v>0</v>
      </c>
      <c r="CQ31" s="37">
        <f t="shared" si="12"/>
        <v>-1</v>
      </c>
    </row>
    <row r="32" spans="1:95" s="26" customFormat="1" ht="16" customHeight="1" thickBot="1" x14ac:dyDescent="0.25">
      <c r="A32" s="29" t="s">
        <v>104</v>
      </c>
      <c r="B32" s="30">
        <f t="shared" si="0"/>
        <v>588922.17028479988</v>
      </c>
      <c r="C32" s="31">
        <f t="shared" si="0"/>
        <v>588922.17028479988</v>
      </c>
      <c r="D32" s="32">
        <f t="shared" si="0"/>
        <v>0</v>
      </c>
      <c r="E32" s="30">
        <f t="shared" si="13"/>
        <v>291400.87306880002</v>
      </c>
      <c r="F32" s="33">
        <f t="shared" si="13"/>
        <v>291400.87306880002</v>
      </c>
      <c r="G32" s="34">
        <f t="shared" si="13"/>
        <v>0</v>
      </c>
      <c r="H32" s="31">
        <f t="shared" si="1"/>
        <v>330290.50044600002</v>
      </c>
      <c r="I32" s="33">
        <f t="shared" si="1"/>
        <v>0</v>
      </c>
      <c r="J32" s="33">
        <f t="shared" si="1"/>
        <v>330290.50044600002</v>
      </c>
      <c r="K32" s="37">
        <f t="shared" si="14"/>
        <v>0.13345748407561597</v>
      </c>
      <c r="L32" s="36">
        <v>71370.786713599999</v>
      </c>
      <c r="M32" s="31">
        <f t="shared" si="15"/>
        <v>71370.786713599999</v>
      </c>
      <c r="N32" s="31">
        <f t="shared" si="16"/>
        <v>0</v>
      </c>
      <c r="O32" s="31">
        <f t="shared" si="17"/>
        <v>155774.03000000003</v>
      </c>
      <c r="P32" s="31"/>
      <c r="Q32" s="33">
        <f>(131380.57)+164369.6+12712.43-(152688.57)</f>
        <v>155774.03000000003</v>
      </c>
      <c r="R32" s="37">
        <f t="shared" si="18"/>
        <v>1.1826021145752152</v>
      </c>
      <c r="S32" s="36">
        <v>71480.283072000006</v>
      </c>
      <c r="T32" s="31">
        <f t="shared" si="19"/>
        <v>71480.283072000006</v>
      </c>
      <c r="U32" s="18">
        <f t="shared" si="20"/>
        <v>0</v>
      </c>
      <c r="V32" s="31">
        <f t="shared" si="21"/>
        <v>1064.8604459999999</v>
      </c>
      <c r="W32" s="31"/>
      <c r="X32" s="33">
        <f>1014+((11798.13+1227.28+317.4+10876.45)*0.0021)</f>
        <v>1064.8604459999999</v>
      </c>
      <c r="Y32" s="37">
        <f t="shared" si="2"/>
        <v>-0.98510273882201338</v>
      </c>
      <c r="Z32" s="36">
        <v>71480.283072000006</v>
      </c>
      <c r="AA32" s="31">
        <f t="shared" si="22"/>
        <v>71480.283072000006</v>
      </c>
      <c r="AB32" s="18">
        <f t="shared" si="23"/>
        <v>0</v>
      </c>
      <c r="AC32" s="31">
        <f t="shared" si="24"/>
        <v>27150.27</v>
      </c>
      <c r="AD32" s="31"/>
      <c r="AE32" s="27">
        <f>26018.43+1131.84</f>
        <v>27150.27</v>
      </c>
      <c r="AF32" s="37">
        <f t="shared" si="3"/>
        <v>-0.62017120199912579</v>
      </c>
      <c r="AG32" s="36">
        <v>77069.520211199982</v>
      </c>
      <c r="AH32" s="31">
        <f t="shared" si="25"/>
        <v>77069.520211199982</v>
      </c>
      <c r="AI32" s="18">
        <f t="shared" si="26"/>
        <v>0</v>
      </c>
      <c r="AJ32" s="31">
        <f t="shared" si="27"/>
        <v>146301.34</v>
      </c>
      <c r="AK32" s="31"/>
      <c r="AL32" s="27">
        <f>138332.66+7968.68</f>
        <v>146301.34</v>
      </c>
      <c r="AM32" s="37">
        <f t="shared" si="4"/>
        <v>0.89830350051587615</v>
      </c>
      <c r="AN32" s="36">
        <v>82658.757350399988</v>
      </c>
      <c r="AO32" s="31">
        <f t="shared" si="28"/>
        <v>82658.757350399988</v>
      </c>
      <c r="AP32" s="18">
        <f t="shared" si="29"/>
        <v>0</v>
      </c>
      <c r="AQ32" s="31">
        <f t="shared" si="30"/>
        <v>0</v>
      </c>
      <c r="AR32" s="31"/>
      <c r="AS32" s="27"/>
      <c r="AT32" s="37">
        <f t="shared" si="5"/>
        <v>-1</v>
      </c>
      <c r="AU32" s="36">
        <v>78365.403072000001</v>
      </c>
      <c r="AV32" s="31">
        <f t="shared" si="31"/>
        <v>78365.403072000001</v>
      </c>
      <c r="AW32" s="18">
        <f t="shared" si="32"/>
        <v>0</v>
      </c>
      <c r="AX32" s="31">
        <f t="shared" si="33"/>
        <v>0</v>
      </c>
      <c r="AY32" s="31"/>
      <c r="AZ32" s="27"/>
      <c r="BA32" s="37">
        <f t="shared" si="6"/>
        <v>-1</v>
      </c>
      <c r="BB32" s="36">
        <v>78088.368793599991</v>
      </c>
      <c r="BC32" s="31">
        <f t="shared" si="34"/>
        <v>78088.368793599991</v>
      </c>
      <c r="BD32" s="18">
        <f t="shared" si="35"/>
        <v>0</v>
      </c>
      <c r="BE32" s="31">
        <f t="shared" si="36"/>
        <v>0</v>
      </c>
      <c r="BF32" s="31"/>
      <c r="BG32" s="27"/>
      <c r="BH32" s="37">
        <f t="shared" si="7"/>
        <v>-1</v>
      </c>
      <c r="BI32" s="36">
        <v>56572.735999999997</v>
      </c>
      <c r="BJ32" s="31">
        <f t="shared" si="37"/>
        <v>56572.735999999997</v>
      </c>
      <c r="BK32" s="18">
        <f t="shared" si="38"/>
        <v>0</v>
      </c>
      <c r="BL32" s="31">
        <f t="shared" si="39"/>
        <v>0</v>
      </c>
      <c r="BM32" s="31"/>
      <c r="BN32" s="27"/>
      <c r="BO32" s="37">
        <f t="shared" si="8"/>
        <v>-1</v>
      </c>
      <c r="BP32" s="36">
        <v>918.01599999999996</v>
      </c>
      <c r="BQ32" s="31">
        <f t="shared" si="40"/>
        <v>918.01599999999996</v>
      </c>
      <c r="BR32" s="18">
        <f t="shared" si="41"/>
        <v>0</v>
      </c>
      <c r="BS32" s="31">
        <f t="shared" si="42"/>
        <v>0</v>
      </c>
      <c r="BT32" s="31"/>
      <c r="BU32" s="27"/>
      <c r="BV32" s="37">
        <f t="shared" si="9"/>
        <v>-1</v>
      </c>
      <c r="BW32" s="36">
        <v>918.01599999999996</v>
      </c>
      <c r="BX32" s="31">
        <f t="shared" si="43"/>
        <v>918.01599999999996</v>
      </c>
      <c r="BY32" s="18">
        <f t="shared" si="44"/>
        <v>0</v>
      </c>
      <c r="BZ32" s="31">
        <f t="shared" si="45"/>
        <v>0</v>
      </c>
      <c r="CA32" s="31"/>
      <c r="CB32" s="27"/>
      <c r="CC32" s="37">
        <f t="shared" si="10"/>
        <v>-1</v>
      </c>
      <c r="CD32" s="36">
        <v>0</v>
      </c>
      <c r="CE32" s="31">
        <f t="shared" si="46"/>
        <v>0</v>
      </c>
      <c r="CF32" s="18">
        <f t="shared" si="47"/>
        <v>0</v>
      </c>
      <c r="CG32" s="31">
        <f t="shared" si="48"/>
        <v>0</v>
      </c>
      <c r="CH32" s="31"/>
      <c r="CI32" s="27"/>
      <c r="CJ32" s="37" t="str">
        <f t="shared" si="11"/>
        <v/>
      </c>
      <c r="CK32" s="36">
        <v>0</v>
      </c>
      <c r="CL32" s="31">
        <f t="shared" si="49"/>
        <v>0</v>
      </c>
      <c r="CM32" s="18">
        <f t="shared" si="50"/>
        <v>0</v>
      </c>
      <c r="CN32" s="31">
        <f t="shared" si="51"/>
        <v>0</v>
      </c>
      <c r="CO32" s="31"/>
      <c r="CP32" s="27"/>
      <c r="CQ32" s="37" t="str">
        <f t="shared" si="12"/>
        <v/>
      </c>
    </row>
    <row r="33" spans="1:95" s="26" customFormat="1" ht="16" customHeight="1" thickBot="1" x14ac:dyDescent="0.25">
      <c r="A33" s="29" t="s">
        <v>57</v>
      </c>
      <c r="B33" s="30">
        <f t="shared" si="0"/>
        <v>367248.97959183669</v>
      </c>
      <c r="C33" s="31">
        <f t="shared" si="0"/>
        <v>367248.97959183669</v>
      </c>
      <c r="D33" s="32">
        <f t="shared" si="0"/>
        <v>0</v>
      </c>
      <c r="E33" s="30">
        <f t="shared" si="13"/>
        <v>207575.51020408163</v>
      </c>
      <c r="F33" s="33">
        <f t="shared" si="13"/>
        <v>207575.51020408163</v>
      </c>
      <c r="G33" s="34">
        <f t="shared" si="13"/>
        <v>0</v>
      </c>
      <c r="H33" s="31">
        <f t="shared" si="1"/>
        <v>320891.37</v>
      </c>
      <c r="I33" s="33">
        <f t="shared" si="1"/>
        <v>0</v>
      </c>
      <c r="J33" s="33">
        <f t="shared" si="1"/>
        <v>320891.37</v>
      </c>
      <c r="K33" s="37">
        <f t="shared" si="14"/>
        <v>0.54590187293534687</v>
      </c>
      <c r="L33" s="36">
        <v>42579.591836734697</v>
      </c>
      <c r="M33" s="31">
        <f t="shared" si="15"/>
        <v>42579.591836734697</v>
      </c>
      <c r="N33" s="31">
        <f t="shared" si="16"/>
        <v>0</v>
      </c>
      <c r="O33" s="31">
        <f t="shared" si="17"/>
        <v>187819.11</v>
      </c>
      <c r="P33" s="31"/>
      <c r="Q33" s="33">
        <f>(10863.87)+176955.24</f>
        <v>187819.11</v>
      </c>
      <c r="R33" s="37">
        <f t="shared" si="18"/>
        <v>3.4110124568634967</v>
      </c>
      <c r="S33" s="36">
        <v>53224.489795918365</v>
      </c>
      <c r="T33" s="31">
        <f t="shared" si="19"/>
        <v>53224.489795918365</v>
      </c>
      <c r="U33" s="18">
        <f t="shared" si="20"/>
        <v>0</v>
      </c>
      <c r="V33" s="31">
        <f t="shared" si="21"/>
        <v>1219.51</v>
      </c>
      <c r="W33" s="31"/>
      <c r="X33" s="33">
        <v>1219.51</v>
      </c>
      <c r="Y33" s="37">
        <f t="shared" si="2"/>
        <v>-0.97708742714723928</v>
      </c>
      <c r="Z33" s="36">
        <v>53224.489795918365</v>
      </c>
      <c r="AA33" s="31">
        <f t="shared" si="22"/>
        <v>53224.489795918365</v>
      </c>
      <c r="AB33" s="18">
        <f t="shared" si="23"/>
        <v>0</v>
      </c>
      <c r="AC33" s="31">
        <f t="shared" si="24"/>
        <v>24359.25</v>
      </c>
      <c r="AD33" s="31"/>
      <c r="AE33" s="27">
        <v>24359.25</v>
      </c>
      <c r="AF33" s="37">
        <f t="shared" si="3"/>
        <v>-0.54233004217791403</v>
      </c>
      <c r="AG33" s="36">
        <v>58546.9387755102</v>
      </c>
      <c r="AH33" s="31">
        <f t="shared" si="25"/>
        <v>58546.9387755102</v>
      </c>
      <c r="AI33" s="18">
        <f t="shared" si="26"/>
        <v>0</v>
      </c>
      <c r="AJ33" s="31">
        <f t="shared" si="27"/>
        <v>107493.5</v>
      </c>
      <c r="AK33" s="31"/>
      <c r="AL33" s="27">
        <v>107493.5</v>
      </c>
      <c r="AM33" s="37">
        <f t="shared" si="4"/>
        <v>0.83602255298382611</v>
      </c>
      <c r="AN33" s="36">
        <v>63869.387755102034</v>
      </c>
      <c r="AO33" s="31">
        <f t="shared" si="28"/>
        <v>63869.387755102034</v>
      </c>
      <c r="AP33" s="18">
        <f t="shared" si="29"/>
        <v>0</v>
      </c>
      <c r="AQ33" s="31">
        <f t="shared" si="30"/>
        <v>0</v>
      </c>
      <c r="AR33" s="31"/>
      <c r="AS33" s="27"/>
      <c r="AT33" s="37">
        <f t="shared" si="5"/>
        <v>-1</v>
      </c>
      <c r="AU33" s="36">
        <v>53224.489795918365</v>
      </c>
      <c r="AV33" s="31">
        <f t="shared" si="31"/>
        <v>53224.489795918365</v>
      </c>
      <c r="AW33" s="18">
        <f t="shared" si="32"/>
        <v>0</v>
      </c>
      <c r="AX33" s="31">
        <f t="shared" si="33"/>
        <v>0</v>
      </c>
      <c r="AY33" s="31"/>
      <c r="AZ33" s="27"/>
      <c r="BA33" s="37">
        <f t="shared" si="6"/>
        <v>-1</v>
      </c>
      <c r="BB33" s="36">
        <v>42579.591836734697</v>
      </c>
      <c r="BC33" s="31">
        <f t="shared" si="34"/>
        <v>42579.591836734697</v>
      </c>
      <c r="BD33" s="18">
        <f t="shared" si="35"/>
        <v>0</v>
      </c>
      <c r="BE33" s="31">
        <f t="shared" si="36"/>
        <v>0</v>
      </c>
      <c r="BF33" s="31"/>
      <c r="BG33" s="27"/>
      <c r="BH33" s="37">
        <f t="shared" si="7"/>
        <v>-1</v>
      </c>
      <c r="BI33" s="36">
        <v>0</v>
      </c>
      <c r="BJ33" s="31">
        <f t="shared" si="37"/>
        <v>0</v>
      </c>
      <c r="BK33" s="18">
        <f t="shared" si="38"/>
        <v>0</v>
      </c>
      <c r="BL33" s="31">
        <f t="shared" si="39"/>
        <v>0</v>
      </c>
      <c r="BM33" s="31"/>
      <c r="BN33" s="27"/>
      <c r="BO33" s="37" t="str">
        <f t="shared" si="8"/>
        <v/>
      </c>
      <c r="BP33" s="36">
        <v>0</v>
      </c>
      <c r="BQ33" s="31">
        <f t="shared" si="40"/>
        <v>0</v>
      </c>
      <c r="BR33" s="18">
        <f t="shared" si="41"/>
        <v>0</v>
      </c>
      <c r="BS33" s="31">
        <f t="shared" si="42"/>
        <v>0</v>
      </c>
      <c r="BT33" s="31"/>
      <c r="BU33" s="27"/>
      <c r="BV33" s="37" t="str">
        <f t="shared" si="9"/>
        <v/>
      </c>
      <c r="BW33" s="36">
        <v>0</v>
      </c>
      <c r="BX33" s="31">
        <f t="shared" si="43"/>
        <v>0</v>
      </c>
      <c r="BY33" s="18">
        <f t="shared" si="44"/>
        <v>0</v>
      </c>
      <c r="BZ33" s="31">
        <f t="shared" si="45"/>
        <v>0</v>
      </c>
      <c r="CA33" s="31"/>
      <c r="CB33" s="27"/>
      <c r="CC33" s="37" t="str">
        <f t="shared" si="10"/>
        <v/>
      </c>
      <c r="CD33" s="36">
        <v>0</v>
      </c>
      <c r="CE33" s="31">
        <f t="shared" si="46"/>
        <v>0</v>
      </c>
      <c r="CF33" s="18">
        <f t="shared" si="47"/>
        <v>0</v>
      </c>
      <c r="CG33" s="31">
        <f t="shared" si="48"/>
        <v>0</v>
      </c>
      <c r="CH33" s="31"/>
      <c r="CI33" s="27"/>
      <c r="CJ33" s="37" t="str">
        <f t="shared" si="11"/>
        <v/>
      </c>
      <c r="CK33" s="36">
        <v>0</v>
      </c>
      <c r="CL33" s="31">
        <f t="shared" si="49"/>
        <v>0</v>
      </c>
      <c r="CM33" s="18">
        <f t="shared" si="50"/>
        <v>0</v>
      </c>
      <c r="CN33" s="31">
        <f t="shared" si="51"/>
        <v>0</v>
      </c>
      <c r="CO33" s="31"/>
      <c r="CP33" s="27"/>
      <c r="CQ33" s="37" t="str">
        <f t="shared" si="12"/>
        <v/>
      </c>
    </row>
    <row r="34" spans="1:95" s="26" customFormat="1" ht="16" customHeight="1" thickBot="1" x14ac:dyDescent="0.25">
      <c r="A34" s="29" t="s">
        <v>105</v>
      </c>
      <c r="B34" s="30">
        <f t="shared" si="0"/>
        <v>0</v>
      </c>
      <c r="C34" s="31">
        <f t="shared" si="0"/>
        <v>0</v>
      </c>
      <c r="D34" s="32">
        <f t="shared" si="0"/>
        <v>0</v>
      </c>
      <c r="E34" s="30">
        <f t="shared" si="13"/>
        <v>0</v>
      </c>
      <c r="F34" s="33">
        <f t="shared" si="13"/>
        <v>0</v>
      </c>
      <c r="G34" s="34">
        <f t="shared" si="13"/>
        <v>0</v>
      </c>
      <c r="H34" s="31">
        <f t="shared" si="1"/>
        <v>0</v>
      </c>
      <c r="I34" s="33">
        <f t="shared" si="1"/>
        <v>0</v>
      </c>
      <c r="J34" s="33">
        <f t="shared" si="1"/>
        <v>0</v>
      </c>
      <c r="K34" s="37" t="str">
        <f t="shared" si="14"/>
        <v/>
      </c>
      <c r="L34" s="36">
        <v>0</v>
      </c>
      <c r="M34" s="31">
        <f t="shared" si="15"/>
        <v>0</v>
      </c>
      <c r="N34" s="31">
        <f t="shared" si="16"/>
        <v>0</v>
      </c>
      <c r="O34" s="31">
        <f t="shared" si="17"/>
        <v>0</v>
      </c>
      <c r="P34" s="31"/>
      <c r="Q34" s="33"/>
      <c r="R34" s="37" t="str">
        <f t="shared" si="18"/>
        <v/>
      </c>
      <c r="S34" s="36">
        <v>0</v>
      </c>
      <c r="T34" s="31">
        <f t="shared" si="19"/>
        <v>0</v>
      </c>
      <c r="U34" s="18">
        <f t="shared" si="20"/>
        <v>0</v>
      </c>
      <c r="V34" s="31">
        <f t="shared" si="21"/>
        <v>0</v>
      </c>
      <c r="W34" s="31"/>
      <c r="X34" s="33"/>
      <c r="Y34" s="37" t="str">
        <f t="shared" si="2"/>
        <v/>
      </c>
      <c r="Z34" s="36">
        <v>0</v>
      </c>
      <c r="AA34" s="31">
        <f t="shared" si="22"/>
        <v>0</v>
      </c>
      <c r="AB34" s="18">
        <f t="shared" si="23"/>
        <v>0</v>
      </c>
      <c r="AC34" s="31">
        <f t="shared" si="24"/>
        <v>0</v>
      </c>
      <c r="AD34" s="31"/>
      <c r="AE34" s="27"/>
      <c r="AF34" s="37" t="str">
        <f t="shared" si="3"/>
        <v/>
      </c>
      <c r="AG34" s="36">
        <v>0</v>
      </c>
      <c r="AH34" s="31">
        <f t="shared" si="25"/>
        <v>0</v>
      </c>
      <c r="AI34" s="18">
        <f t="shared" si="26"/>
        <v>0</v>
      </c>
      <c r="AJ34" s="31">
        <f t="shared" si="27"/>
        <v>0</v>
      </c>
      <c r="AK34" s="31"/>
      <c r="AL34" s="27"/>
      <c r="AM34" s="37" t="str">
        <f t="shared" si="4"/>
        <v/>
      </c>
      <c r="AN34" s="36">
        <v>0</v>
      </c>
      <c r="AO34" s="31">
        <f t="shared" si="28"/>
        <v>0</v>
      </c>
      <c r="AP34" s="18">
        <f t="shared" si="29"/>
        <v>0</v>
      </c>
      <c r="AQ34" s="31">
        <f t="shared" si="30"/>
        <v>0</v>
      </c>
      <c r="AR34" s="31"/>
      <c r="AS34" s="27"/>
      <c r="AT34" s="37" t="str">
        <f t="shared" si="5"/>
        <v/>
      </c>
      <c r="AU34" s="36">
        <v>0</v>
      </c>
      <c r="AV34" s="31">
        <f t="shared" si="31"/>
        <v>0</v>
      </c>
      <c r="AW34" s="18">
        <f t="shared" si="32"/>
        <v>0</v>
      </c>
      <c r="AX34" s="31">
        <f t="shared" si="33"/>
        <v>0</v>
      </c>
      <c r="AY34" s="31"/>
      <c r="AZ34" s="27"/>
      <c r="BA34" s="37" t="str">
        <f t="shared" si="6"/>
        <v/>
      </c>
      <c r="BB34" s="36">
        <v>0</v>
      </c>
      <c r="BC34" s="31">
        <f t="shared" si="34"/>
        <v>0</v>
      </c>
      <c r="BD34" s="18">
        <f t="shared" si="35"/>
        <v>0</v>
      </c>
      <c r="BE34" s="31">
        <f t="shared" si="36"/>
        <v>0</v>
      </c>
      <c r="BF34" s="31"/>
      <c r="BG34" s="27"/>
      <c r="BH34" s="37" t="str">
        <f t="shared" si="7"/>
        <v/>
      </c>
      <c r="BI34" s="36">
        <v>0</v>
      </c>
      <c r="BJ34" s="31">
        <f t="shared" si="37"/>
        <v>0</v>
      </c>
      <c r="BK34" s="18">
        <f t="shared" si="38"/>
        <v>0</v>
      </c>
      <c r="BL34" s="31">
        <f t="shared" si="39"/>
        <v>0</v>
      </c>
      <c r="BM34" s="31"/>
      <c r="BN34" s="27"/>
      <c r="BO34" s="37" t="str">
        <f t="shared" si="8"/>
        <v/>
      </c>
      <c r="BP34" s="36">
        <v>0</v>
      </c>
      <c r="BQ34" s="31">
        <f t="shared" si="40"/>
        <v>0</v>
      </c>
      <c r="BR34" s="18">
        <f t="shared" si="41"/>
        <v>0</v>
      </c>
      <c r="BS34" s="31">
        <f t="shared" si="42"/>
        <v>0</v>
      </c>
      <c r="BT34" s="31"/>
      <c r="BU34" s="27"/>
      <c r="BV34" s="37" t="str">
        <f t="shared" si="9"/>
        <v/>
      </c>
      <c r="BW34" s="36">
        <v>0</v>
      </c>
      <c r="BX34" s="31">
        <f t="shared" si="43"/>
        <v>0</v>
      </c>
      <c r="BY34" s="18">
        <f t="shared" si="44"/>
        <v>0</v>
      </c>
      <c r="BZ34" s="31">
        <f t="shared" si="45"/>
        <v>0</v>
      </c>
      <c r="CA34" s="31"/>
      <c r="CB34" s="27"/>
      <c r="CC34" s="37" t="str">
        <f t="shared" si="10"/>
        <v/>
      </c>
      <c r="CD34" s="36">
        <v>0</v>
      </c>
      <c r="CE34" s="31">
        <f t="shared" si="46"/>
        <v>0</v>
      </c>
      <c r="CF34" s="18">
        <f t="shared" si="47"/>
        <v>0</v>
      </c>
      <c r="CG34" s="31">
        <f t="shared" si="48"/>
        <v>0</v>
      </c>
      <c r="CH34" s="31"/>
      <c r="CI34" s="27"/>
      <c r="CJ34" s="37" t="str">
        <f t="shared" si="11"/>
        <v/>
      </c>
      <c r="CK34" s="36">
        <v>0</v>
      </c>
      <c r="CL34" s="31">
        <f t="shared" si="49"/>
        <v>0</v>
      </c>
      <c r="CM34" s="18">
        <f t="shared" si="50"/>
        <v>0</v>
      </c>
      <c r="CN34" s="31">
        <f t="shared" si="51"/>
        <v>0</v>
      </c>
      <c r="CO34" s="31"/>
      <c r="CP34" s="27"/>
      <c r="CQ34" s="37" t="str">
        <f t="shared" si="12"/>
        <v/>
      </c>
    </row>
    <row r="35" spans="1:95" s="26" customFormat="1" ht="16" customHeight="1" thickBot="1" x14ac:dyDescent="0.25">
      <c r="A35" s="29" t="s">
        <v>59</v>
      </c>
      <c r="B35" s="30">
        <f t="shared" si="0"/>
        <v>0</v>
      </c>
      <c r="C35" s="31">
        <f t="shared" si="0"/>
        <v>0</v>
      </c>
      <c r="D35" s="32">
        <f t="shared" si="0"/>
        <v>0</v>
      </c>
      <c r="E35" s="30">
        <f t="shared" si="13"/>
        <v>0</v>
      </c>
      <c r="F35" s="33">
        <f t="shared" si="13"/>
        <v>0</v>
      </c>
      <c r="G35" s="34">
        <f t="shared" si="13"/>
        <v>0</v>
      </c>
      <c r="H35" s="31">
        <f t="shared" si="1"/>
        <v>0</v>
      </c>
      <c r="I35" s="33">
        <f t="shared" si="1"/>
        <v>0</v>
      </c>
      <c r="J35" s="33">
        <f t="shared" si="1"/>
        <v>0</v>
      </c>
      <c r="K35" s="37" t="str">
        <f t="shared" si="14"/>
        <v/>
      </c>
      <c r="L35" s="36">
        <v>0</v>
      </c>
      <c r="M35" s="31">
        <f t="shared" si="15"/>
        <v>0</v>
      </c>
      <c r="N35" s="31">
        <f t="shared" si="16"/>
        <v>0</v>
      </c>
      <c r="O35" s="31">
        <f t="shared" si="17"/>
        <v>0</v>
      </c>
      <c r="P35" s="31"/>
      <c r="Q35" s="33"/>
      <c r="R35" s="37" t="str">
        <f t="shared" si="18"/>
        <v/>
      </c>
      <c r="S35" s="36">
        <v>0</v>
      </c>
      <c r="T35" s="31">
        <f t="shared" si="19"/>
        <v>0</v>
      </c>
      <c r="U35" s="18">
        <f t="shared" si="20"/>
        <v>0</v>
      </c>
      <c r="V35" s="31">
        <f t="shared" si="21"/>
        <v>0</v>
      </c>
      <c r="W35" s="31"/>
      <c r="X35" s="33"/>
      <c r="Y35" s="37" t="str">
        <f t="shared" si="2"/>
        <v/>
      </c>
      <c r="Z35" s="36">
        <v>0</v>
      </c>
      <c r="AA35" s="31">
        <f t="shared" si="22"/>
        <v>0</v>
      </c>
      <c r="AB35" s="18">
        <f t="shared" si="23"/>
        <v>0</v>
      </c>
      <c r="AC35" s="31">
        <f t="shared" si="24"/>
        <v>0</v>
      </c>
      <c r="AD35" s="31"/>
      <c r="AE35" s="27"/>
      <c r="AF35" s="37" t="str">
        <f t="shared" si="3"/>
        <v/>
      </c>
      <c r="AG35" s="36">
        <v>0</v>
      </c>
      <c r="AH35" s="31">
        <f t="shared" si="25"/>
        <v>0</v>
      </c>
      <c r="AI35" s="18">
        <f t="shared" si="26"/>
        <v>0</v>
      </c>
      <c r="AJ35" s="31">
        <f t="shared" si="27"/>
        <v>0</v>
      </c>
      <c r="AK35" s="31"/>
      <c r="AL35" s="27"/>
      <c r="AM35" s="37" t="str">
        <f t="shared" si="4"/>
        <v/>
      </c>
      <c r="AN35" s="36">
        <v>0</v>
      </c>
      <c r="AO35" s="31">
        <f t="shared" si="28"/>
        <v>0</v>
      </c>
      <c r="AP35" s="18">
        <f t="shared" si="29"/>
        <v>0</v>
      </c>
      <c r="AQ35" s="31">
        <f t="shared" si="30"/>
        <v>0</v>
      </c>
      <c r="AR35" s="31"/>
      <c r="AS35" s="27"/>
      <c r="AT35" s="37" t="str">
        <f t="shared" si="5"/>
        <v/>
      </c>
      <c r="AU35" s="36">
        <v>0</v>
      </c>
      <c r="AV35" s="31">
        <f t="shared" si="31"/>
        <v>0</v>
      </c>
      <c r="AW35" s="18">
        <f t="shared" si="32"/>
        <v>0</v>
      </c>
      <c r="AX35" s="31">
        <f t="shared" si="33"/>
        <v>0</v>
      </c>
      <c r="AY35" s="31"/>
      <c r="AZ35" s="27"/>
      <c r="BA35" s="37" t="str">
        <f t="shared" si="6"/>
        <v/>
      </c>
      <c r="BB35" s="36">
        <v>0</v>
      </c>
      <c r="BC35" s="31">
        <f t="shared" si="34"/>
        <v>0</v>
      </c>
      <c r="BD35" s="18">
        <f t="shared" si="35"/>
        <v>0</v>
      </c>
      <c r="BE35" s="31">
        <f t="shared" si="36"/>
        <v>0</v>
      </c>
      <c r="BF35" s="31"/>
      <c r="BG35" s="27"/>
      <c r="BH35" s="37" t="str">
        <f t="shared" si="7"/>
        <v/>
      </c>
      <c r="BI35" s="36">
        <v>0</v>
      </c>
      <c r="BJ35" s="31">
        <f t="shared" si="37"/>
        <v>0</v>
      </c>
      <c r="BK35" s="18">
        <f t="shared" si="38"/>
        <v>0</v>
      </c>
      <c r="BL35" s="31">
        <f t="shared" si="39"/>
        <v>0</v>
      </c>
      <c r="BM35" s="31"/>
      <c r="BN35" s="27"/>
      <c r="BO35" s="37" t="str">
        <f t="shared" si="8"/>
        <v/>
      </c>
      <c r="BP35" s="36">
        <v>0</v>
      </c>
      <c r="BQ35" s="31">
        <f t="shared" si="40"/>
        <v>0</v>
      </c>
      <c r="BR35" s="18">
        <f t="shared" si="41"/>
        <v>0</v>
      </c>
      <c r="BS35" s="31">
        <f t="shared" si="42"/>
        <v>0</v>
      </c>
      <c r="BT35" s="31"/>
      <c r="BU35" s="27"/>
      <c r="BV35" s="37" t="str">
        <f t="shared" si="9"/>
        <v/>
      </c>
      <c r="BW35" s="36">
        <v>0</v>
      </c>
      <c r="BX35" s="31">
        <f t="shared" si="43"/>
        <v>0</v>
      </c>
      <c r="BY35" s="18">
        <f t="shared" si="44"/>
        <v>0</v>
      </c>
      <c r="BZ35" s="31">
        <f t="shared" si="45"/>
        <v>0</v>
      </c>
      <c r="CA35" s="31"/>
      <c r="CB35" s="27"/>
      <c r="CC35" s="37" t="str">
        <f t="shared" si="10"/>
        <v/>
      </c>
      <c r="CD35" s="36">
        <v>0</v>
      </c>
      <c r="CE35" s="31">
        <f t="shared" si="46"/>
        <v>0</v>
      </c>
      <c r="CF35" s="18">
        <f t="shared" si="47"/>
        <v>0</v>
      </c>
      <c r="CG35" s="31">
        <f t="shared" si="48"/>
        <v>0</v>
      </c>
      <c r="CH35" s="31"/>
      <c r="CI35" s="27"/>
      <c r="CJ35" s="37" t="str">
        <f t="shared" si="11"/>
        <v/>
      </c>
      <c r="CK35" s="36">
        <v>0</v>
      </c>
      <c r="CL35" s="31">
        <f t="shared" si="49"/>
        <v>0</v>
      </c>
      <c r="CM35" s="18">
        <f t="shared" si="50"/>
        <v>0</v>
      </c>
      <c r="CN35" s="31">
        <f t="shared" si="51"/>
        <v>0</v>
      </c>
      <c r="CO35" s="31"/>
      <c r="CP35" s="27"/>
      <c r="CQ35" s="37" t="str">
        <f t="shared" si="12"/>
        <v/>
      </c>
    </row>
    <row r="36" spans="1:95" s="26" customFormat="1" ht="16" customHeight="1" thickBot="1" x14ac:dyDescent="0.25">
      <c r="A36" s="38" t="s">
        <v>60</v>
      </c>
      <c r="B36" s="30">
        <f t="shared" ref="B36:D54" si="52">+L36+S36+Z36+AG36+AN36+AU36+BB36+BI36+BP36+BW36+CD36+CK36</f>
        <v>17500.000000000004</v>
      </c>
      <c r="C36" s="31">
        <f t="shared" si="52"/>
        <v>17500.000000000004</v>
      </c>
      <c r="D36" s="32">
        <f t="shared" si="52"/>
        <v>0</v>
      </c>
      <c r="E36" s="30">
        <f t="shared" si="13"/>
        <v>5833.333333333333</v>
      </c>
      <c r="F36" s="33">
        <f t="shared" si="13"/>
        <v>5833.333333333333</v>
      </c>
      <c r="G36" s="34">
        <f t="shared" si="13"/>
        <v>0</v>
      </c>
      <c r="H36" s="31">
        <f t="shared" ref="H36:J54" si="53">+O36+V36+AC36+AJ36+AQ36+AX36+BE36+BL36+BS36+BZ36+CG36+CN36</f>
        <v>12101.329782802863</v>
      </c>
      <c r="I36" s="33">
        <f t="shared" si="53"/>
        <v>0</v>
      </c>
      <c r="J36" s="33">
        <f t="shared" si="53"/>
        <v>12101.329782802863</v>
      </c>
      <c r="K36" s="37">
        <f t="shared" si="14"/>
        <v>1.0745136770519195</v>
      </c>
      <c r="L36" s="36">
        <v>1458.3333333333333</v>
      </c>
      <c r="M36" s="31">
        <f t="shared" si="15"/>
        <v>1458.3333333333333</v>
      </c>
      <c r="N36" s="31">
        <f t="shared" si="16"/>
        <v>0</v>
      </c>
      <c r="O36" s="31">
        <f t="shared" si="17"/>
        <v>1832.8997388602238</v>
      </c>
      <c r="P36" s="31"/>
      <c r="Q36" s="33">
        <v>1832.8997388602238</v>
      </c>
      <c r="R36" s="37">
        <f t="shared" si="18"/>
        <v>0.25684553521843934</v>
      </c>
      <c r="S36" s="36">
        <v>1458.3333333333333</v>
      </c>
      <c r="T36" s="31">
        <f t="shared" si="19"/>
        <v>1458.3333333333333</v>
      </c>
      <c r="U36" s="18">
        <f t="shared" si="20"/>
        <v>0</v>
      </c>
      <c r="V36" s="31">
        <f t="shared" si="21"/>
        <v>2408.1209317813523</v>
      </c>
      <c r="W36" s="31"/>
      <c r="X36" s="33">
        <v>2408.1209317813523</v>
      </c>
      <c r="Y36" s="37">
        <f t="shared" si="2"/>
        <v>0.65128292465007021</v>
      </c>
      <c r="Z36" s="36">
        <v>1458.3333333333333</v>
      </c>
      <c r="AA36" s="31">
        <f t="shared" si="22"/>
        <v>1458.3333333333333</v>
      </c>
      <c r="AB36" s="18">
        <f t="shared" si="23"/>
        <v>0</v>
      </c>
      <c r="AC36" s="31">
        <f t="shared" si="24"/>
        <v>1890.4062815494322</v>
      </c>
      <c r="AD36" s="31"/>
      <c r="AE36" s="27">
        <v>1890.4062815494322</v>
      </c>
      <c r="AF36" s="37">
        <f t="shared" si="3"/>
        <v>0.29627859306246784</v>
      </c>
      <c r="AG36" s="36">
        <v>1458.3333333333333</v>
      </c>
      <c r="AH36" s="31">
        <f t="shared" si="25"/>
        <v>1458.3333333333333</v>
      </c>
      <c r="AI36" s="18">
        <f t="shared" si="26"/>
        <v>0</v>
      </c>
      <c r="AJ36" s="31">
        <f t="shared" si="27"/>
        <v>1743.0087386605605</v>
      </c>
      <c r="AK36" s="31"/>
      <c r="AL36" s="27">
        <v>1743.0087386605605</v>
      </c>
      <c r="AM36" s="37">
        <f t="shared" si="4"/>
        <v>0.19520599222438451</v>
      </c>
      <c r="AN36" s="36">
        <v>1458.3333333333333</v>
      </c>
      <c r="AO36" s="31">
        <f t="shared" si="28"/>
        <v>1458.3333333333333</v>
      </c>
      <c r="AP36" s="18">
        <f t="shared" si="29"/>
        <v>0</v>
      </c>
      <c r="AQ36" s="31">
        <f t="shared" si="30"/>
        <v>1842.0313035404624</v>
      </c>
      <c r="AR36" s="31"/>
      <c r="AS36" s="27">
        <v>1842.0313035404624</v>
      </c>
      <c r="AT36" s="37">
        <f t="shared" si="5"/>
        <v>0.26310717957060281</v>
      </c>
      <c r="AU36" s="36">
        <v>1458.3333333333333</v>
      </c>
      <c r="AV36" s="31">
        <f t="shared" si="31"/>
        <v>1458.3333333333333</v>
      </c>
      <c r="AW36" s="18">
        <f t="shared" si="32"/>
        <v>0</v>
      </c>
      <c r="AX36" s="31">
        <f t="shared" si="33"/>
        <v>2384.8627884108314</v>
      </c>
      <c r="AY36" s="31"/>
      <c r="AZ36" s="27">
        <v>2384.8627884108314</v>
      </c>
      <c r="BA36" s="37">
        <f t="shared" si="6"/>
        <v>0.63533448348171295</v>
      </c>
      <c r="BB36" s="36">
        <v>1458.3333333333333</v>
      </c>
      <c r="BC36" s="31">
        <f t="shared" si="34"/>
        <v>1458.3333333333333</v>
      </c>
      <c r="BD36" s="18">
        <f t="shared" si="35"/>
        <v>0</v>
      </c>
      <c r="BE36" s="31">
        <f t="shared" si="36"/>
        <v>0</v>
      </c>
      <c r="BF36" s="31"/>
      <c r="BG36" s="27">
        <v>0</v>
      </c>
      <c r="BH36" s="37">
        <f t="shared" si="7"/>
        <v>-1</v>
      </c>
      <c r="BI36" s="36">
        <v>1458.3333333333333</v>
      </c>
      <c r="BJ36" s="31">
        <f t="shared" si="37"/>
        <v>1458.3333333333333</v>
      </c>
      <c r="BK36" s="18">
        <f t="shared" si="38"/>
        <v>0</v>
      </c>
      <c r="BL36" s="31">
        <f t="shared" si="39"/>
        <v>0</v>
      </c>
      <c r="BM36" s="31"/>
      <c r="BN36" s="27">
        <v>0</v>
      </c>
      <c r="BO36" s="37">
        <f t="shared" si="8"/>
        <v>-1</v>
      </c>
      <c r="BP36" s="36">
        <v>1458.3333333333333</v>
      </c>
      <c r="BQ36" s="31">
        <f t="shared" si="40"/>
        <v>1458.3333333333333</v>
      </c>
      <c r="BR36" s="18">
        <f t="shared" si="41"/>
        <v>0</v>
      </c>
      <c r="BS36" s="31">
        <f t="shared" si="42"/>
        <v>0</v>
      </c>
      <c r="BT36" s="31"/>
      <c r="BU36" s="27">
        <v>0</v>
      </c>
      <c r="BV36" s="37">
        <f t="shared" si="9"/>
        <v>-1</v>
      </c>
      <c r="BW36" s="36">
        <v>1458.3333333333333</v>
      </c>
      <c r="BX36" s="31">
        <f t="shared" si="43"/>
        <v>1458.3333333333333</v>
      </c>
      <c r="BY36" s="18">
        <f t="shared" si="44"/>
        <v>0</v>
      </c>
      <c r="BZ36" s="31">
        <f t="shared" si="45"/>
        <v>0</v>
      </c>
      <c r="CA36" s="31"/>
      <c r="CB36" s="27">
        <v>0</v>
      </c>
      <c r="CC36" s="37">
        <f t="shared" si="10"/>
        <v>-1</v>
      </c>
      <c r="CD36" s="36">
        <v>1458.3333333333333</v>
      </c>
      <c r="CE36" s="31">
        <f t="shared" si="46"/>
        <v>1458.3333333333333</v>
      </c>
      <c r="CF36" s="18">
        <f t="shared" si="47"/>
        <v>0</v>
      </c>
      <c r="CG36" s="31">
        <f t="shared" si="48"/>
        <v>0</v>
      </c>
      <c r="CH36" s="31"/>
      <c r="CI36" s="27">
        <v>0</v>
      </c>
      <c r="CJ36" s="37">
        <f t="shared" si="11"/>
        <v>-1</v>
      </c>
      <c r="CK36" s="36">
        <v>1458.3333333333333</v>
      </c>
      <c r="CL36" s="31">
        <f t="shared" si="49"/>
        <v>1458.3333333333333</v>
      </c>
      <c r="CM36" s="18">
        <f t="shared" si="50"/>
        <v>0</v>
      </c>
      <c r="CN36" s="31">
        <f t="shared" si="51"/>
        <v>0</v>
      </c>
      <c r="CO36" s="31"/>
      <c r="CP36" s="27">
        <v>0</v>
      </c>
      <c r="CQ36" s="37">
        <f t="shared" si="12"/>
        <v>-1</v>
      </c>
    </row>
    <row r="37" spans="1:95" s="26" customFormat="1" ht="16" customHeight="1" thickBot="1" x14ac:dyDescent="0.25">
      <c r="A37" s="38" t="s">
        <v>61</v>
      </c>
      <c r="B37" s="30">
        <f t="shared" si="52"/>
        <v>26250</v>
      </c>
      <c r="C37" s="31">
        <f t="shared" si="52"/>
        <v>26250</v>
      </c>
      <c r="D37" s="32">
        <f t="shared" si="52"/>
        <v>0</v>
      </c>
      <c r="E37" s="30">
        <f t="shared" ref="E37:G54" si="54">+L37+S37+Z37+AG37</f>
        <v>8750</v>
      </c>
      <c r="F37" s="33">
        <f t="shared" si="54"/>
        <v>8750</v>
      </c>
      <c r="G37" s="34">
        <f t="shared" si="54"/>
        <v>0</v>
      </c>
      <c r="H37" s="31">
        <f t="shared" si="53"/>
        <v>22692.383651229167</v>
      </c>
      <c r="I37" s="33">
        <f t="shared" si="53"/>
        <v>0</v>
      </c>
      <c r="J37" s="33">
        <f t="shared" si="53"/>
        <v>22692.383651229167</v>
      </c>
      <c r="K37" s="37">
        <f t="shared" si="14"/>
        <v>1.5934152744261905</v>
      </c>
      <c r="L37" s="36">
        <v>2187.5</v>
      </c>
      <c r="M37" s="31">
        <f t="shared" si="15"/>
        <v>2187.5</v>
      </c>
      <c r="N37" s="31">
        <f t="shared" si="16"/>
        <v>0</v>
      </c>
      <c r="O37" s="31">
        <f t="shared" si="17"/>
        <v>3823.496830507394</v>
      </c>
      <c r="P37" s="31"/>
      <c r="Q37" s="33">
        <v>3823.496830507394</v>
      </c>
      <c r="R37" s="37">
        <f t="shared" si="18"/>
        <v>0.74788426537480857</v>
      </c>
      <c r="S37" s="36">
        <v>2187.5</v>
      </c>
      <c r="T37" s="31">
        <f t="shared" si="19"/>
        <v>2187.5</v>
      </c>
      <c r="U37" s="18">
        <f t="shared" si="20"/>
        <v>0</v>
      </c>
      <c r="V37" s="31">
        <f t="shared" si="21"/>
        <v>2872.2249402302864</v>
      </c>
      <c r="W37" s="31"/>
      <c r="X37" s="33">
        <v>2872.2249402302864</v>
      </c>
      <c r="Y37" s="37">
        <f t="shared" si="2"/>
        <v>0.31301711553384526</v>
      </c>
      <c r="Z37" s="36">
        <v>2187.5</v>
      </c>
      <c r="AA37" s="31">
        <f t="shared" si="22"/>
        <v>2187.5</v>
      </c>
      <c r="AB37" s="18">
        <f t="shared" si="23"/>
        <v>0</v>
      </c>
      <c r="AC37" s="31">
        <f t="shared" si="24"/>
        <v>4038.6814740024311</v>
      </c>
      <c r="AD37" s="31"/>
      <c r="AE37" s="27">
        <v>4038.6814740024311</v>
      </c>
      <c r="AF37" s="37">
        <f t="shared" si="3"/>
        <v>0.84625438811539699</v>
      </c>
      <c r="AG37" s="36">
        <v>2187.5</v>
      </c>
      <c r="AH37" s="31">
        <f t="shared" si="25"/>
        <v>2187.5</v>
      </c>
      <c r="AI37" s="18">
        <f t="shared" si="26"/>
        <v>0</v>
      </c>
      <c r="AJ37" s="31">
        <f t="shared" si="27"/>
        <v>6277.833018052308</v>
      </c>
      <c r="AK37" s="31"/>
      <c r="AL37" s="27">
        <v>6277.833018052308</v>
      </c>
      <c r="AM37" s="37">
        <f t="shared" si="4"/>
        <v>1.8698665225381981</v>
      </c>
      <c r="AN37" s="36">
        <v>2187.5</v>
      </c>
      <c r="AO37" s="31">
        <f t="shared" si="28"/>
        <v>2187.5</v>
      </c>
      <c r="AP37" s="18">
        <f t="shared" si="29"/>
        <v>0</v>
      </c>
      <c r="AQ37" s="31">
        <f t="shared" si="30"/>
        <v>2749.2117816073323</v>
      </c>
      <c r="AR37" s="31"/>
      <c r="AS37" s="27">
        <v>2749.2117816073323</v>
      </c>
      <c r="AT37" s="37">
        <f t="shared" si="5"/>
        <v>0.25678252873478047</v>
      </c>
      <c r="AU37" s="36">
        <v>2187.5</v>
      </c>
      <c r="AV37" s="31">
        <f t="shared" si="31"/>
        <v>2187.5</v>
      </c>
      <c r="AW37" s="18">
        <f t="shared" si="32"/>
        <v>0</v>
      </c>
      <c r="AX37" s="31">
        <f t="shared" si="33"/>
        <v>2930.9356068294146</v>
      </c>
      <c r="AY37" s="31"/>
      <c r="AZ37" s="27">
        <v>2930.9356068294146</v>
      </c>
      <c r="BA37" s="37">
        <f t="shared" si="6"/>
        <v>0.3398562774077325</v>
      </c>
      <c r="BB37" s="36">
        <v>2187.5</v>
      </c>
      <c r="BC37" s="31">
        <f t="shared" si="34"/>
        <v>2187.5</v>
      </c>
      <c r="BD37" s="18">
        <f t="shared" si="35"/>
        <v>0</v>
      </c>
      <c r="BE37" s="31">
        <f t="shared" si="36"/>
        <v>0</v>
      </c>
      <c r="BF37" s="31"/>
      <c r="BG37" s="27">
        <v>0</v>
      </c>
      <c r="BH37" s="37">
        <f t="shared" si="7"/>
        <v>-1</v>
      </c>
      <c r="BI37" s="36">
        <v>2187.5</v>
      </c>
      <c r="BJ37" s="31">
        <f t="shared" si="37"/>
        <v>2187.5</v>
      </c>
      <c r="BK37" s="18">
        <f t="shared" si="38"/>
        <v>0</v>
      </c>
      <c r="BL37" s="31">
        <f t="shared" si="39"/>
        <v>0</v>
      </c>
      <c r="BM37" s="31"/>
      <c r="BN37" s="27">
        <v>0</v>
      </c>
      <c r="BO37" s="37">
        <f t="shared" si="8"/>
        <v>-1</v>
      </c>
      <c r="BP37" s="36">
        <v>2187.5</v>
      </c>
      <c r="BQ37" s="31">
        <f t="shared" si="40"/>
        <v>2187.5</v>
      </c>
      <c r="BR37" s="18">
        <f t="shared" si="41"/>
        <v>0</v>
      </c>
      <c r="BS37" s="31">
        <f t="shared" si="42"/>
        <v>0</v>
      </c>
      <c r="BT37" s="31"/>
      <c r="BU37" s="27">
        <v>0</v>
      </c>
      <c r="BV37" s="37">
        <f t="shared" si="9"/>
        <v>-1</v>
      </c>
      <c r="BW37" s="36">
        <v>2187.5</v>
      </c>
      <c r="BX37" s="31">
        <f t="shared" si="43"/>
        <v>2187.5</v>
      </c>
      <c r="BY37" s="18">
        <f t="shared" si="44"/>
        <v>0</v>
      </c>
      <c r="BZ37" s="31">
        <f t="shared" si="45"/>
        <v>0</v>
      </c>
      <c r="CA37" s="31"/>
      <c r="CB37" s="27">
        <v>0</v>
      </c>
      <c r="CC37" s="37">
        <f t="shared" si="10"/>
        <v>-1</v>
      </c>
      <c r="CD37" s="36">
        <v>2187.5</v>
      </c>
      <c r="CE37" s="31">
        <f t="shared" si="46"/>
        <v>2187.5</v>
      </c>
      <c r="CF37" s="18">
        <f t="shared" si="47"/>
        <v>0</v>
      </c>
      <c r="CG37" s="31">
        <f t="shared" si="48"/>
        <v>0</v>
      </c>
      <c r="CH37" s="31"/>
      <c r="CI37" s="27">
        <v>0</v>
      </c>
      <c r="CJ37" s="37">
        <f t="shared" si="11"/>
        <v>-1</v>
      </c>
      <c r="CK37" s="36">
        <v>2187.5</v>
      </c>
      <c r="CL37" s="31">
        <f t="shared" si="49"/>
        <v>2187.5</v>
      </c>
      <c r="CM37" s="18">
        <f t="shared" si="50"/>
        <v>0</v>
      </c>
      <c r="CN37" s="31">
        <f t="shared" si="51"/>
        <v>0</v>
      </c>
      <c r="CO37" s="31"/>
      <c r="CP37" s="27">
        <v>0</v>
      </c>
      <c r="CQ37" s="37">
        <f t="shared" si="12"/>
        <v>-1</v>
      </c>
    </row>
    <row r="38" spans="1:95" s="26" customFormat="1" ht="16" customHeight="1" thickBot="1" x14ac:dyDescent="0.25">
      <c r="A38" s="38" t="s">
        <v>62</v>
      </c>
      <c r="B38" s="30">
        <f t="shared" si="52"/>
        <v>1749.9999999999998</v>
      </c>
      <c r="C38" s="31">
        <f t="shared" si="52"/>
        <v>1749.9999999999998</v>
      </c>
      <c r="D38" s="32">
        <f t="shared" si="52"/>
        <v>0</v>
      </c>
      <c r="E38" s="30">
        <f t="shared" si="54"/>
        <v>583.33333333333337</v>
      </c>
      <c r="F38" s="33">
        <f t="shared" si="54"/>
        <v>583.33333333333337</v>
      </c>
      <c r="G38" s="34">
        <f t="shared" si="54"/>
        <v>0</v>
      </c>
      <c r="H38" s="31">
        <f t="shared" si="53"/>
        <v>1451.6833849342931</v>
      </c>
      <c r="I38" s="33">
        <f t="shared" si="53"/>
        <v>0</v>
      </c>
      <c r="J38" s="33">
        <f t="shared" si="53"/>
        <v>1451.6833849342931</v>
      </c>
      <c r="K38" s="37">
        <f t="shared" si="14"/>
        <v>1.4886000884587882</v>
      </c>
      <c r="L38" s="36">
        <v>145.83333333333334</v>
      </c>
      <c r="M38" s="31">
        <f t="shared" si="15"/>
        <v>145.83333333333334</v>
      </c>
      <c r="N38" s="31">
        <f t="shared" si="16"/>
        <v>0</v>
      </c>
      <c r="O38" s="31">
        <f t="shared" si="17"/>
        <v>341.78042078602095</v>
      </c>
      <c r="P38" s="31"/>
      <c r="Q38" s="33">
        <v>341.78042078602095</v>
      </c>
      <c r="R38" s="37">
        <f t="shared" si="18"/>
        <v>1.3436371711041435</v>
      </c>
      <c r="S38" s="36">
        <v>145.83333333333334</v>
      </c>
      <c r="T38" s="31">
        <f t="shared" si="19"/>
        <v>145.83333333333334</v>
      </c>
      <c r="U38" s="18">
        <f t="shared" si="20"/>
        <v>0</v>
      </c>
      <c r="V38" s="31">
        <f t="shared" si="21"/>
        <v>94.848385337521577</v>
      </c>
      <c r="W38" s="31"/>
      <c r="X38" s="33">
        <v>94.848385337521577</v>
      </c>
      <c r="Y38" s="37">
        <f t="shared" si="2"/>
        <v>-0.34961107197128061</v>
      </c>
      <c r="Z38" s="36">
        <v>145.83333333333334</v>
      </c>
      <c r="AA38" s="31">
        <f t="shared" si="22"/>
        <v>145.83333333333334</v>
      </c>
      <c r="AB38" s="18">
        <f t="shared" si="23"/>
        <v>0</v>
      </c>
      <c r="AC38" s="31">
        <f t="shared" si="24"/>
        <v>370.84303646358779</v>
      </c>
      <c r="AD38" s="31"/>
      <c r="AE38" s="27">
        <v>370.84303646358779</v>
      </c>
      <c r="AF38" s="37">
        <f t="shared" si="3"/>
        <v>1.5429236786074592</v>
      </c>
      <c r="AG38" s="36">
        <v>145.83333333333334</v>
      </c>
      <c r="AH38" s="31">
        <f t="shared" si="25"/>
        <v>145.83333333333334</v>
      </c>
      <c r="AI38" s="18">
        <f t="shared" si="26"/>
        <v>0</v>
      </c>
      <c r="AJ38" s="31">
        <f t="shared" si="27"/>
        <v>181.14364051839215</v>
      </c>
      <c r="AK38" s="31"/>
      <c r="AL38" s="27">
        <v>181.14364051839215</v>
      </c>
      <c r="AM38" s="37">
        <f t="shared" si="4"/>
        <v>0.24212782069754613</v>
      </c>
      <c r="AN38" s="36">
        <v>145.83333333333334</v>
      </c>
      <c r="AO38" s="31">
        <f t="shared" si="28"/>
        <v>145.83333333333334</v>
      </c>
      <c r="AP38" s="18">
        <f t="shared" si="29"/>
        <v>0</v>
      </c>
      <c r="AQ38" s="31">
        <f t="shared" si="30"/>
        <v>381.15947307262797</v>
      </c>
      <c r="AR38" s="31"/>
      <c r="AS38" s="27">
        <v>381.15947307262797</v>
      </c>
      <c r="AT38" s="37">
        <f t="shared" si="5"/>
        <v>1.6136649582123059</v>
      </c>
      <c r="AU38" s="36">
        <v>145.83333333333334</v>
      </c>
      <c r="AV38" s="31">
        <f t="shared" si="31"/>
        <v>145.83333333333334</v>
      </c>
      <c r="AW38" s="18">
        <f t="shared" si="32"/>
        <v>0</v>
      </c>
      <c r="AX38" s="31">
        <f t="shared" si="33"/>
        <v>81.908428756142527</v>
      </c>
      <c r="AY38" s="31"/>
      <c r="AZ38" s="27">
        <v>81.908428756142527</v>
      </c>
      <c r="BA38" s="37">
        <f t="shared" si="6"/>
        <v>-0.43834220281502267</v>
      </c>
      <c r="BB38" s="36">
        <v>145.83333333333334</v>
      </c>
      <c r="BC38" s="31">
        <f t="shared" si="34"/>
        <v>145.83333333333334</v>
      </c>
      <c r="BD38" s="18">
        <f t="shared" si="35"/>
        <v>0</v>
      </c>
      <c r="BE38" s="31">
        <f t="shared" si="36"/>
        <v>0</v>
      </c>
      <c r="BF38" s="31"/>
      <c r="BG38" s="27">
        <v>0</v>
      </c>
      <c r="BH38" s="37">
        <f t="shared" si="7"/>
        <v>-1</v>
      </c>
      <c r="BI38" s="36">
        <v>145.83333333333334</v>
      </c>
      <c r="BJ38" s="31">
        <f t="shared" si="37"/>
        <v>145.83333333333334</v>
      </c>
      <c r="BK38" s="18">
        <f t="shared" si="38"/>
        <v>0</v>
      </c>
      <c r="BL38" s="31">
        <f t="shared" si="39"/>
        <v>0</v>
      </c>
      <c r="BM38" s="31"/>
      <c r="BN38" s="27">
        <v>0</v>
      </c>
      <c r="BO38" s="37">
        <f t="shared" si="8"/>
        <v>-1</v>
      </c>
      <c r="BP38" s="36">
        <v>145.83333333333334</v>
      </c>
      <c r="BQ38" s="31">
        <f t="shared" si="40"/>
        <v>145.83333333333334</v>
      </c>
      <c r="BR38" s="18">
        <f t="shared" si="41"/>
        <v>0</v>
      </c>
      <c r="BS38" s="31">
        <f t="shared" si="42"/>
        <v>0</v>
      </c>
      <c r="BT38" s="31"/>
      <c r="BU38" s="27">
        <v>0</v>
      </c>
      <c r="BV38" s="37">
        <f t="shared" si="9"/>
        <v>-1</v>
      </c>
      <c r="BW38" s="36">
        <v>145.83333333333334</v>
      </c>
      <c r="BX38" s="31">
        <f t="shared" si="43"/>
        <v>145.83333333333334</v>
      </c>
      <c r="BY38" s="18">
        <f t="shared" si="44"/>
        <v>0</v>
      </c>
      <c r="BZ38" s="31">
        <f t="shared" si="45"/>
        <v>0</v>
      </c>
      <c r="CA38" s="31"/>
      <c r="CB38" s="27">
        <v>0</v>
      </c>
      <c r="CC38" s="37">
        <f t="shared" si="10"/>
        <v>-1</v>
      </c>
      <c r="CD38" s="36">
        <v>145.83333333333334</v>
      </c>
      <c r="CE38" s="31">
        <f t="shared" si="46"/>
        <v>145.83333333333334</v>
      </c>
      <c r="CF38" s="18">
        <f t="shared" si="47"/>
        <v>0</v>
      </c>
      <c r="CG38" s="31">
        <f t="shared" si="48"/>
        <v>0</v>
      </c>
      <c r="CH38" s="31"/>
      <c r="CI38" s="27">
        <v>0</v>
      </c>
      <c r="CJ38" s="37">
        <f t="shared" si="11"/>
        <v>-1</v>
      </c>
      <c r="CK38" s="36">
        <v>145.83333333333334</v>
      </c>
      <c r="CL38" s="31">
        <f t="shared" si="49"/>
        <v>145.83333333333334</v>
      </c>
      <c r="CM38" s="18">
        <f t="shared" si="50"/>
        <v>0</v>
      </c>
      <c r="CN38" s="31">
        <f t="shared" si="51"/>
        <v>0</v>
      </c>
      <c r="CO38" s="31"/>
      <c r="CP38" s="27">
        <v>0</v>
      </c>
      <c r="CQ38" s="37">
        <f t="shared" si="12"/>
        <v>-1</v>
      </c>
    </row>
    <row r="39" spans="1:95" s="26" customFormat="1" ht="16" customHeight="1" thickBot="1" x14ac:dyDescent="0.25">
      <c r="A39" s="38" t="s">
        <v>63</v>
      </c>
      <c r="B39" s="30">
        <f t="shared" si="52"/>
        <v>5250</v>
      </c>
      <c r="C39" s="31">
        <f t="shared" si="52"/>
        <v>5250</v>
      </c>
      <c r="D39" s="32">
        <f t="shared" si="52"/>
        <v>0</v>
      </c>
      <c r="E39" s="30">
        <f t="shared" si="54"/>
        <v>1750</v>
      </c>
      <c r="F39" s="33">
        <f t="shared" si="54"/>
        <v>1750</v>
      </c>
      <c r="G39" s="34">
        <f t="shared" si="54"/>
        <v>0</v>
      </c>
      <c r="H39" s="31">
        <f t="shared" si="53"/>
        <v>19479.874694199752</v>
      </c>
      <c r="I39" s="33">
        <f t="shared" si="53"/>
        <v>0</v>
      </c>
      <c r="J39" s="33">
        <f t="shared" si="53"/>
        <v>19479.874694199752</v>
      </c>
      <c r="K39" s="37">
        <f t="shared" si="14"/>
        <v>10.131356968114144</v>
      </c>
      <c r="L39" s="36">
        <v>437.5</v>
      </c>
      <c r="M39" s="31">
        <f t="shared" si="15"/>
        <v>437.5</v>
      </c>
      <c r="N39" s="31">
        <f t="shared" si="16"/>
        <v>0</v>
      </c>
      <c r="O39" s="31">
        <f t="shared" si="17"/>
        <v>1814.3443294227745</v>
      </c>
      <c r="P39" s="31"/>
      <c r="Q39" s="33">
        <v>1814.3443294227745</v>
      </c>
      <c r="R39" s="37">
        <f t="shared" si="18"/>
        <v>3.1470727529663414</v>
      </c>
      <c r="S39" s="36">
        <v>437.5</v>
      </c>
      <c r="T39" s="31">
        <f t="shared" si="19"/>
        <v>437.5</v>
      </c>
      <c r="U39" s="18">
        <f t="shared" si="20"/>
        <v>0</v>
      </c>
      <c r="V39" s="31">
        <f t="shared" si="21"/>
        <v>936.27197171611363</v>
      </c>
      <c r="W39" s="31"/>
      <c r="X39" s="33">
        <v>936.27197171611363</v>
      </c>
      <c r="Y39" s="37">
        <f t="shared" si="2"/>
        <v>1.1400502210654024</v>
      </c>
      <c r="Z39" s="36">
        <v>437.5</v>
      </c>
      <c r="AA39" s="31">
        <f t="shared" si="22"/>
        <v>437.5</v>
      </c>
      <c r="AB39" s="18">
        <f t="shared" si="23"/>
        <v>0</v>
      </c>
      <c r="AC39" s="31">
        <f t="shared" si="24"/>
        <v>10432.522554820931</v>
      </c>
      <c r="AD39" s="31"/>
      <c r="AE39" s="27">
        <v>10432.522554820931</v>
      </c>
      <c r="AF39" s="37">
        <f t="shared" si="3"/>
        <v>22.845765839590701</v>
      </c>
      <c r="AG39" s="36">
        <v>437.5</v>
      </c>
      <c r="AH39" s="31">
        <f t="shared" si="25"/>
        <v>437.5</v>
      </c>
      <c r="AI39" s="18">
        <f t="shared" si="26"/>
        <v>0</v>
      </c>
      <c r="AJ39" s="31">
        <f t="shared" si="27"/>
        <v>653.99767438540982</v>
      </c>
      <c r="AK39" s="31"/>
      <c r="AL39" s="27">
        <v>653.99767438540982</v>
      </c>
      <c r="AM39" s="37">
        <f t="shared" si="4"/>
        <v>0.4948518271666511</v>
      </c>
      <c r="AN39" s="36">
        <v>437.5</v>
      </c>
      <c r="AO39" s="31">
        <f t="shared" si="28"/>
        <v>437.5</v>
      </c>
      <c r="AP39" s="18">
        <f t="shared" si="29"/>
        <v>0</v>
      </c>
      <c r="AQ39" s="31">
        <f t="shared" si="30"/>
        <v>573.30212043969493</v>
      </c>
      <c r="AR39" s="31"/>
      <c r="AS39" s="27">
        <v>573.30212043969493</v>
      </c>
      <c r="AT39" s="37">
        <f t="shared" si="5"/>
        <v>0.3104048467193028</v>
      </c>
      <c r="AU39" s="36">
        <v>437.5</v>
      </c>
      <c r="AV39" s="31">
        <f t="shared" si="31"/>
        <v>437.5</v>
      </c>
      <c r="AW39" s="18">
        <f t="shared" si="32"/>
        <v>0</v>
      </c>
      <c r="AX39" s="31">
        <f t="shared" si="33"/>
        <v>5069.4360434148257</v>
      </c>
      <c r="AY39" s="31"/>
      <c r="AZ39" s="27">
        <v>5069.4360434148257</v>
      </c>
      <c r="BA39" s="37">
        <f t="shared" si="6"/>
        <v>10.587282384948173</v>
      </c>
      <c r="BB39" s="36">
        <v>437.5</v>
      </c>
      <c r="BC39" s="31">
        <f t="shared" si="34"/>
        <v>437.5</v>
      </c>
      <c r="BD39" s="18">
        <f t="shared" si="35"/>
        <v>0</v>
      </c>
      <c r="BE39" s="31">
        <f t="shared" si="36"/>
        <v>0</v>
      </c>
      <c r="BF39" s="31"/>
      <c r="BG39" s="27">
        <v>0</v>
      </c>
      <c r="BH39" s="37">
        <f t="shared" si="7"/>
        <v>-1</v>
      </c>
      <c r="BI39" s="36">
        <v>437.5</v>
      </c>
      <c r="BJ39" s="31">
        <f t="shared" si="37"/>
        <v>437.5</v>
      </c>
      <c r="BK39" s="18">
        <f t="shared" si="38"/>
        <v>0</v>
      </c>
      <c r="BL39" s="31">
        <f t="shared" si="39"/>
        <v>0</v>
      </c>
      <c r="BM39" s="31"/>
      <c r="BN39" s="27">
        <v>0</v>
      </c>
      <c r="BO39" s="37">
        <f t="shared" si="8"/>
        <v>-1</v>
      </c>
      <c r="BP39" s="36">
        <v>437.5</v>
      </c>
      <c r="BQ39" s="31">
        <f t="shared" si="40"/>
        <v>437.5</v>
      </c>
      <c r="BR39" s="18">
        <f t="shared" si="41"/>
        <v>0</v>
      </c>
      <c r="BS39" s="31">
        <f t="shared" si="42"/>
        <v>0</v>
      </c>
      <c r="BT39" s="31"/>
      <c r="BU39" s="27">
        <v>0</v>
      </c>
      <c r="BV39" s="37">
        <f t="shared" si="9"/>
        <v>-1</v>
      </c>
      <c r="BW39" s="36">
        <v>437.5</v>
      </c>
      <c r="BX39" s="31">
        <f t="shared" si="43"/>
        <v>437.5</v>
      </c>
      <c r="BY39" s="18">
        <f t="shared" si="44"/>
        <v>0</v>
      </c>
      <c r="BZ39" s="31">
        <f t="shared" si="45"/>
        <v>0</v>
      </c>
      <c r="CA39" s="31"/>
      <c r="CB39" s="27">
        <v>0</v>
      </c>
      <c r="CC39" s="37">
        <f t="shared" si="10"/>
        <v>-1</v>
      </c>
      <c r="CD39" s="36">
        <v>437.5</v>
      </c>
      <c r="CE39" s="31">
        <f t="shared" si="46"/>
        <v>437.5</v>
      </c>
      <c r="CF39" s="18">
        <f t="shared" si="47"/>
        <v>0</v>
      </c>
      <c r="CG39" s="31">
        <f t="shared" si="48"/>
        <v>0</v>
      </c>
      <c r="CH39" s="31"/>
      <c r="CI39" s="27">
        <v>0</v>
      </c>
      <c r="CJ39" s="37">
        <f t="shared" si="11"/>
        <v>-1</v>
      </c>
      <c r="CK39" s="36">
        <v>437.5</v>
      </c>
      <c r="CL39" s="31">
        <f t="shared" si="49"/>
        <v>437.5</v>
      </c>
      <c r="CM39" s="18">
        <f t="shared" si="50"/>
        <v>0</v>
      </c>
      <c r="CN39" s="31">
        <f t="shared" si="51"/>
        <v>0</v>
      </c>
      <c r="CO39" s="31"/>
      <c r="CP39" s="27">
        <v>0</v>
      </c>
      <c r="CQ39" s="37">
        <f t="shared" si="12"/>
        <v>-1</v>
      </c>
    </row>
    <row r="40" spans="1:95" s="26" customFormat="1" ht="16" customHeight="1" thickBot="1" x14ac:dyDescent="0.25">
      <c r="A40" s="38" t="s">
        <v>64</v>
      </c>
      <c r="B40" s="30">
        <f t="shared" si="52"/>
        <v>11374.999999999998</v>
      </c>
      <c r="C40" s="31">
        <f t="shared" si="52"/>
        <v>11374.999999999998</v>
      </c>
      <c r="D40" s="32">
        <f t="shared" si="52"/>
        <v>0</v>
      </c>
      <c r="E40" s="30">
        <f t="shared" si="54"/>
        <v>3791.6666666666665</v>
      </c>
      <c r="F40" s="33">
        <f t="shared" si="54"/>
        <v>3791.6666666666665</v>
      </c>
      <c r="G40" s="34">
        <f t="shared" si="54"/>
        <v>0</v>
      </c>
      <c r="H40" s="31">
        <f t="shared" si="53"/>
        <v>4268.6813920577406</v>
      </c>
      <c r="I40" s="33">
        <f t="shared" si="53"/>
        <v>0</v>
      </c>
      <c r="J40" s="33">
        <f t="shared" si="53"/>
        <v>4268.6813920577406</v>
      </c>
      <c r="K40" s="37">
        <f t="shared" si="14"/>
        <v>0.12580608142182181</v>
      </c>
      <c r="L40" s="36">
        <v>947.91666666666663</v>
      </c>
      <c r="M40" s="31">
        <f t="shared" si="15"/>
        <v>947.91666666666663</v>
      </c>
      <c r="N40" s="31">
        <f t="shared" si="16"/>
        <v>0</v>
      </c>
      <c r="O40" s="31">
        <f t="shared" si="17"/>
        <v>930.65826904014511</v>
      </c>
      <c r="P40" s="31"/>
      <c r="Q40" s="33">
        <v>930.65826904014511</v>
      </c>
      <c r="R40" s="37">
        <f t="shared" si="18"/>
        <v>-1.8206661232374355E-2</v>
      </c>
      <c r="S40" s="36">
        <v>947.91666666666663</v>
      </c>
      <c r="T40" s="31">
        <f t="shared" si="19"/>
        <v>947.91666666666663</v>
      </c>
      <c r="U40" s="18">
        <f t="shared" si="20"/>
        <v>0</v>
      </c>
      <c r="V40" s="31">
        <f t="shared" si="21"/>
        <v>322.2396599513558</v>
      </c>
      <c r="W40" s="31"/>
      <c r="X40" s="33">
        <v>322.2396599513558</v>
      </c>
      <c r="Y40" s="37">
        <f t="shared" si="2"/>
        <v>-0.6600548642271411</v>
      </c>
      <c r="Z40" s="36">
        <v>947.91666666666663</v>
      </c>
      <c r="AA40" s="31">
        <f t="shared" si="22"/>
        <v>947.91666666666663</v>
      </c>
      <c r="AB40" s="18">
        <f t="shared" si="23"/>
        <v>0</v>
      </c>
      <c r="AC40" s="31">
        <f t="shared" si="24"/>
        <v>511.91542846517939</v>
      </c>
      <c r="AD40" s="31"/>
      <c r="AE40" s="27">
        <v>511.91542846517939</v>
      </c>
      <c r="AF40" s="37">
        <f t="shared" si="3"/>
        <v>-0.45995735019057993</v>
      </c>
      <c r="AG40" s="36">
        <v>947.91666666666663</v>
      </c>
      <c r="AH40" s="31">
        <f t="shared" si="25"/>
        <v>947.91666666666663</v>
      </c>
      <c r="AI40" s="18">
        <f t="shared" si="26"/>
        <v>0</v>
      </c>
      <c r="AJ40" s="31">
        <f t="shared" si="27"/>
        <v>717.5615904063493</v>
      </c>
      <c r="AK40" s="31"/>
      <c r="AL40" s="27">
        <v>717.5615904063493</v>
      </c>
      <c r="AM40" s="37">
        <f t="shared" si="4"/>
        <v>-0.24301194858231279</v>
      </c>
      <c r="AN40" s="36">
        <v>947.91666666666663</v>
      </c>
      <c r="AO40" s="31">
        <f t="shared" si="28"/>
        <v>947.91666666666663</v>
      </c>
      <c r="AP40" s="18">
        <f t="shared" si="29"/>
        <v>0</v>
      </c>
      <c r="AQ40" s="31">
        <f t="shared" si="30"/>
        <v>1099.458764391813</v>
      </c>
      <c r="AR40" s="31"/>
      <c r="AS40" s="27">
        <v>1099.458764391813</v>
      </c>
      <c r="AT40" s="37">
        <f t="shared" si="5"/>
        <v>0.15986858661114356</v>
      </c>
      <c r="AU40" s="36">
        <v>947.91666666666663</v>
      </c>
      <c r="AV40" s="31">
        <f t="shared" si="31"/>
        <v>947.91666666666663</v>
      </c>
      <c r="AW40" s="18">
        <f t="shared" si="32"/>
        <v>0</v>
      </c>
      <c r="AX40" s="31">
        <f t="shared" si="33"/>
        <v>686.84767980289746</v>
      </c>
      <c r="AY40" s="31"/>
      <c r="AZ40" s="27">
        <v>686.84767980289746</v>
      </c>
      <c r="BA40" s="37">
        <f t="shared" si="6"/>
        <v>-0.2754134366914488</v>
      </c>
      <c r="BB40" s="36">
        <v>947.91666666666663</v>
      </c>
      <c r="BC40" s="31">
        <f t="shared" si="34"/>
        <v>947.91666666666663</v>
      </c>
      <c r="BD40" s="18">
        <f t="shared" si="35"/>
        <v>0</v>
      </c>
      <c r="BE40" s="31">
        <f t="shared" si="36"/>
        <v>0</v>
      </c>
      <c r="BF40" s="31"/>
      <c r="BG40" s="27">
        <v>0</v>
      </c>
      <c r="BH40" s="37">
        <f t="shared" si="7"/>
        <v>-1</v>
      </c>
      <c r="BI40" s="36">
        <v>947.91666666666663</v>
      </c>
      <c r="BJ40" s="31">
        <f t="shared" si="37"/>
        <v>947.91666666666663</v>
      </c>
      <c r="BK40" s="18">
        <f t="shared" si="38"/>
        <v>0</v>
      </c>
      <c r="BL40" s="31">
        <f t="shared" si="39"/>
        <v>0</v>
      </c>
      <c r="BM40" s="31"/>
      <c r="BN40" s="27">
        <v>0</v>
      </c>
      <c r="BO40" s="37">
        <f t="shared" si="8"/>
        <v>-1</v>
      </c>
      <c r="BP40" s="36">
        <v>947.91666666666663</v>
      </c>
      <c r="BQ40" s="31">
        <f t="shared" si="40"/>
        <v>947.91666666666663</v>
      </c>
      <c r="BR40" s="18">
        <f t="shared" si="41"/>
        <v>0</v>
      </c>
      <c r="BS40" s="31">
        <f t="shared" si="42"/>
        <v>0</v>
      </c>
      <c r="BT40" s="31"/>
      <c r="BU40" s="27">
        <v>0</v>
      </c>
      <c r="BV40" s="37">
        <f t="shared" si="9"/>
        <v>-1</v>
      </c>
      <c r="BW40" s="36">
        <v>947.91666666666663</v>
      </c>
      <c r="BX40" s="31">
        <f t="shared" si="43"/>
        <v>947.91666666666663</v>
      </c>
      <c r="BY40" s="18">
        <f t="shared" si="44"/>
        <v>0</v>
      </c>
      <c r="BZ40" s="31">
        <f t="shared" si="45"/>
        <v>0</v>
      </c>
      <c r="CA40" s="31"/>
      <c r="CB40" s="27">
        <v>0</v>
      </c>
      <c r="CC40" s="37">
        <f t="shared" si="10"/>
        <v>-1</v>
      </c>
      <c r="CD40" s="36">
        <v>947.91666666666663</v>
      </c>
      <c r="CE40" s="31">
        <f t="shared" si="46"/>
        <v>947.91666666666663</v>
      </c>
      <c r="CF40" s="18">
        <f t="shared" si="47"/>
        <v>0</v>
      </c>
      <c r="CG40" s="31">
        <f t="shared" si="48"/>
        <v>0</v>
      </c>
      <c r="CH40" s="31"/>
      <c r="CI40" s="27">
        <v>0</v>
      </c>
      <c r="CJ40" s="37">
        <f t="shared" si="11"/>
        <v>-1</v>
      </c>
      <c r="CK40" s="36">
        <v>947.91666666666663</v>
      </c>
      <c r="CL40" s="31">
        <f t="shared" si="49"/>
        <v>947.91666666666663</v>
      </c>
      <c r="CM40" s="18">
        <f t="shared" si="50"/>
        <v>0</v>
      </c>
      <c r="CN40" s="31">
        <f t="shared" si="51"/>
        <v>0</v>
      </c>
      <c r="CO40" s="31"/>
      <c r="CP40" s="27">
        <v>0</v>
      </c>
      <c r="CQ40" s="37">
        <f t="shared" si="12"/>
        <v>-1</v>
      </c>
    </row>
    <row r="41" spans="1:95" s="26" customFormat="1" ht="16" customHeight="1" thickBot="1" x14ac:dyDescent="0.25">
      <c r="A41" s="29" t="s">
        <v>65</v>
      </c>
      <c r="B41" s="30">
        <f t="shared" si="52"/>
        <v>74987.5</v>
      </c>
      <c r="C41" s="31">
        <f t="shared" si="52"/>
        <v>74987.5</v>
      </c>
      <c r="D41" s="32">
        <f t="shared" si="52"/>
        <v>0</v>
      </c>
      <c r="E41" s="30">
        <f t="shared" si="54"/>
        <v>24995.833333333332</v>
      </c>
      <c r="F41" s="33">
        <f t="shared" si="54"/>
        <v>24995.833333333332</v>
      </c>
      <c r="G41" s="34">
        <f t="shared" si="54"/>
        <v>0</v>
      </c>
      <c r="H41" s="31">
        <f t="shared" si="53"/>
        <v>37493.75</v>
      </c>
      <c r="I41" s="33">
        <f t="shared" si="53"/>
        <v>0</v>
      </c>
      <c r="J41" s="33">
        <f t="shared" si="53"/>
        <v>37493.75</v>
      </c>
      <c r="K41" s="37">
        <f t="shared" si="14"/>
        <v>0.5</v>
      </c>
      <c r="L41" s="46">
        <v>6248.958333333333</v>
      </c>
      <c r="M41" s="47">
        <f t="shared" si="15"/>
        <v>6248.958333333333</v>
      </c>
      <c r="N41" s="47">
        <f t="shared" si="16"/>
        <v>0</v>
      </c>
      <c r="O41" s="47">
        <f t="shared" si="17"/>
        <v>6248.958333333333</v>
      </c>
      <c r="P41" s="47"/>
      <c r="Q41" s="45">
        <v>6248.958333333333</v>
      </c>
      <c r="R41" s="37">
        <f t="shared" si="18"/>
        <v>0</v>
      </c>
      <c r="S41" s="46">
        <v>6248.958333333333</v>
      </c>
      <c r="T41" s="47">
        <f t="shared" si="19"/>
        <v>6248.958333333333</v>
      </c>
      <c r="U41" s="18">
        <f t="shared" si="20"/>
        <v>0</v>
      </c>
      <c r="V41" s="47">
        <f t="shared" si="21"/>
        <v>6248.958333333333</v>
      </c>
      <c r="W41" s="47"/>
      <c r="X41" s="45">
        <v>6248.958333333333</v>
      </c>
      <c r="Y41" s="37">
        <f t="shared" si="2"/>
        <v>0</v>
      </c>
      <c r="Z41" s="46">
        <v>6248.958333333333</v>
      </c>
      <c r="AA41" s="47">
        <f t="shared" si="22"/>
        <v>6248.958333333333</v>
      </c>
      <c r="AB41" s="18">
        <f t="shared" si="23"/>
        <v>0</v>
      </c>
      <c r="AC41" s="47">
        <f t="shared" si="24"/>
        <v>6248.958333333333</v>
      </c>
      <c r="AD41" s="47"/>
      <c r="AE41" s="48">
        <v>6248.958333333333</v>
      </c>
      <c r="AF41" s="37">
        <f t="shared" si="3"/>
        <v>0</v>
      </c>
      <c r="AG41" s="46">
        <v>6248.958333333333</v>
      </c>
      <c r="AH41" s="47">
        <f t="shared" si="25"/>
        <v>6248.958333333333</v>
      </c>
      <c r="AI41" s="18">
        <f t="shared" si="26"/>
        <v>0</v>
      </c>
      <c r="AJ41" s="47">
        <f t="shared" si="27"/>
        <v>6248.958333333333</v>
      </c>
      <c r="AK41" s="47"/>
      <c r="AL41" s="48">
        <v>6248.958333333333</v>
      </c>
      <c r="AM41" s="37">
        <f t="shared" si="4"/>
        <v>0</v>
      </c>
      <c r="AN41" s="46">
        <v>6248.958333333333</v>
      </c>
      <c r="AO41" s="47">
        <f t="shared" si="28"/>
        <v>6248.958333333333</v>
      </c>
      <c r="AP41" s="18">
        <f t="shared" si="29"/>
        <v>0</v>
      </c>
      <c r="AQ41" s="47">
        <f t="shared" si="30"/>
        <v>6248.958333333333</v>
      </c>
      <c r="AR41" s="47"/>
      <c r="AS41" s="48">
        <v>6248.958333333333</v>
      </c>
      <c r="AT41" s="37">
        <f t="shared" si="5"/>
        <v>0</v>
      </c>
      <c r="AU41" s="46">
        <v>6248.958333333333</v>
      </c>
      <c r="AV41" s="47">
        <f t="shared" si="31"/>
        <v>6248.958333333333</v>
      </c>
      <c r="AW41" s="18">
        <f t="shared" si="32"/>
        <v>0</v>
      </c>
      <c r="AX41" s="47">
        <f t="shared" si="33"/>
        <v>6248.958333333333</v>
      </c>
      <c r="AY41" s="47"/>
      <c r="AZ41" s="48">
        <v>6248.958333333333</v>
      </c>
      <c r="BA41" s="37">
        <f t="shared" si="6"/>
        <v>0</v>
      </c>
      <c r="BB41" s="46">
        <v>6248.958333333333</v>
      </c>
      <c r="BC41" s="47">
        <f t="shared" si="34"/>
        <v>6248.958333333333</v>
      </c>
      <c r="BD41" s="18">
        <f t="shared" si="35"/>
        <v>0</v>
      </c>
      <c r="BE41" s="47">
        <f t="shared" si="36"/>
        <v>0</v>
      </c>
      <c r="BF41" s="47"/>
      <c r="BG41" s="48"/>
      <c r="BH41" s="37">
        <f t="shared" si="7"/>
        <v>-1</v>
      </c>
      <c r="BI41" s="46">
        <v>6248.958333333333</v>
      </c>
      <c r="BJ41" s="47">
        <f t="shared" si="37"/>
        <v>6248.958333333333</v>
      </c>
      <c r="BK41" s="18">
        <f t="shared" si="38"/>
        <v>0</v>
      </c>
      <c r="BL41" s="47">
        <f t="shared" si="39"/>
        <v>0</v>
      </c>
      <c r="BM41" s="47"/>
      <c r="BN41" s="48"/>
      <c r="BO41" s="37">
        <f t="shared" si="8"/>
        <v>-1</v>
      </c>
      <c r="BP41" s="46">
        <v>6248.958333333333</v>
      </c>
      <c r="BQ41" s="47">
        <f t="shared" si="40"/>
        <v>6248.958333333333</v>
      </c>
      <c r="BR41" s="18">
        <f t="shared" si="41"/>
        <v>0</v>
      </c>
      <c r="BS41" s="47">
        <f t="shared" si="42"/>
        <v>0</v>
      </c>
      <c r="BT41" s="47"/>
      <c r="BU41" s="48"/>
      <c r="BV41" s="37">
        <f t="shared" si="9"/>
        <v>-1</v>
      </c>
      <c r="BW41" s="46">
        <v>6248.958333333333</v>
      </c>
      <c r="BX41" s="47">
        <f t="shared" si="43"/>
        <v>6248.958333333333</v>
      </c>
      <c r="BY41" s="18">
        <f t="shared" si="44"/>
        <v>0</v>
      </c>
      <c r="BZ41" s="47">
        <f t="shared" si="45"/>
        <v>0</v>
      </c>
      <c r="CA41" s="47"/>
      <c r="CB41" s="48"/>
      <c r="CC41" s="37">
        <f t="shared" si="10"/>
        <v>-1</v>
      </c>
      <c r="CD41" s="46">
        <v>6248.958333333333</v>
      </c>
      <c r="CE41" s="47">
        <f t="shared" si="46"/>
        <v>6248.958333333333</v>
      </c>
      <c r="CF41" s="18">
        <f t="shared" si="47"/>
        <v>0</v>
      </c>
      <c r="CG41" s="47">
        <f t="shared" si="48"/>
        <v>0</v>
      </c>
      <c r="CH41" s="47"/>
      <c r="CI41" s="48"/>
      <c r="CJ41" s="37">
        <f t="shared" si="11"/>
        <v>-1</v>
      </c>
      <c r="CK41" s="46">
        <v>6248.958333333333</v>
      </c>
      <c r="CL41" s="47">
        <f t="shared" si="49"/>
        <v>6248.958333333333</v>
      </c>
      <c r="CM41" s="18">
        <f t="shared" si="50"/>
        <v>0</v>
      </c>
      <c r="CN41" s="47">
        <f t="shared" si="51"/>
        <v>0</v>
      </c>
      <c r="CO41" s="47"/>
      <c r="CP41" s="49"/>
      <c r="CQ41" s="37">
        <f t="shared" si="12"/>
        <v>-1</v>
      </c>
    </row>
    <row r="42" spans="1:95" s="26" customFormat="1" ht="16" customHeight="1" thickBot="1" x14ac:dyDescent="0.25">
      <c r="A42" s="29" t="s">
        <v>66</v>
      </c>
      <c r="B42" s="30">
        <f t="shared" si="52"/>
        <v>249431.99999999997</v>
      </c>
      <c r="C42" s="31">
        <f t="shared" si="52"/>
        <v>249431.99999999997</v>
      </c>
      <c r="D42" s="32">
        <f t="shared" si="52"/>
        <v>0</v>
      </c>
      <c r="E42" s="30">
        <f t="shared" si="54"/>
        <v>83143.999999999985</v>
      </c>
      <c r="F42" s="33">
        <f t="shared" si="54"/>
        <v>83143.999999999985</v>
      </c>
      <c r="G42" s="34">
        <f t="shared" si="54"/>
        <v>0</v>
      </c>
      <c r="H42" s="31">
        <f t="shared" si="53"/>
        <v>120000</v>
      </c>
      <c r="I42" s="33">
        <f t="shared" si="53"/>
        <v>0</v>
      </c>
      <c r="J42" s="33">
        <f t="shared" si="53"/>
        <v>120000</v>
      </c>
      <c r="K42" s="37">
        <f t="shared" si="14"/>
        <v>0.44327913018377774</v>
      </c>
      <c r="L42" s="36">
        <v>20785.999999999996</v>
      </c>
      <c r="M42" s="31">
        <f t="shared" si="15"/>
        <v>20785.999999999996</v>
      </c>
      <c r="N42" s="31">
        <f t="shared" si="16"/>
        <v>0</v>
      </c>
      <c r="O42" s="31">
        <f t="shared" si="17"/>
        <v>20000</v>
      </c>
      <c r="P42" s="31"/>
      <c r="Q42" s="33">
        <v>20000</v>
      </c>
      <c r="R42" s="37">
        <f t="shared" si="18"/>
        <v>-3.7813913210814842E-2</v>
      </c>
      <c r="S42" s="36">
        <v>20785.999999999996</v>
      </c>
      <c r="T42" s="31">
        <f t="shared" si="19"/>
        <v>20785.999999999996</v>
      </c>
      <c r="U42" s="18">
        <f t="shared" si="20"/>
        <v>0</v>
      </c>
      <c r="V42" s="31">
        <f t="shared" si="21"/>
        <v>20000</v>
      </c>
      <c r="W42" s="31"/>
      <c r="X42" s="33">
        <v>20000</v>
      </c>
      <c r="Y42" s="37">
        <f t="shared" si="2"/>
        <v>-3.7813913210814842E-2</v>
      </c>
      <c r="Z42" s="36">
        <v>20785.999999999996</v>
      </c>
      <c r="AA42" s="31">
        <f t="shared" si="22"/>
        <v>20785.999999999996</v>
      </c>
      <c r="AB42" s="18">
        <f t="shared" si="23"/>
        <v>0</v>
      </c>
      <c r="AC42" s="31">
        <f t="shared" si="24"/>
        <v>20000</v>
      </c>
      <c r="AD42" s="31"/>
      <c r="AE42" s="27">
        <v>20000</v>
      </c>
      <c r="AF42" s="37">
        <f t="shared" si="3"/>
        <v>-3.7813913210814842E-2</v>
      </c>
      <c r="AG42" s="36">
        <v>20785.999999999996</v>
      </c>
      <c r="AH42" s="31">
        <f t="shared" si="25"/>
        <v>20785.999999999996</v>
      </c>
      <c r="AI42" s="18">
        <f t="shared" si="26"/>
        <v>0</v>
      </c>
      <c r="AJ42" s="31">
        <f t="shared" si="27"/>
        <v>20000</v>
      </c>
      <c r="AK42" s="31"/>
      <c r="AL42" s="27">
        <v>20000</v>
      </c>
      <c r="AM42" s="37">
        <f t="shared" si="4"/>
        <v>-3.7813913210814842E-2</v>
      </c>
      <c r="AN42" s="36">
        <v>20785.999999999996</v>
      </c>
      <c r="AO42" s="31">
        <f t="shared" si="28"/>
        <v>20785.999999999996</v>
      </c>
      <c r="AP42" s="18">
        <f t="shared" si="29"/>
        <v>0</v>
      </c>
      <c r="AQ42" s="31">
        <f t="shared" si="30"/>
        <v>20000</v>
      </c>
      <c r="AR42" s="31"/>
      <c r="AS42" s="27">
        <v>20000</v>
      </c>
      <c r="AT42" s="37">
        <f t="shared" si="5"/>
        <v>-3.7813913210814842E-2</v>
      </c>
      <c r="AU42" s="36">
        <v>20785.999999999996</v>
      </c>
      <c r="AV42" s="31">
        <f t="shared" si="31"/>
        <v>20785.999999999996</v>
      </c>
      <c r="AW42" s="18">
        <f t="shared" si="32"/>
        <v>0</v>
      </c>
      <c r="AX42" s="31">
        <f t="shared" si="33"/>
        <v>20000</v>
      </c>
      <c r="AY42" s="31"/>
      <c r="AZ42" s="27">
        <v>20000</v>
      </c>
      <c r="BA42" s="37">
        <f t="shared" si="6"/>
        <v>-3.7813913210814842E-2</v>
      </c>
      <c r="BB42" s="36">
        <v>20785.999999999996</v>
      </c>
      <c r="BC42" s="31">
        <f t="shared" si="34"/>
        <v>20785.999999999996</v>
      </c>
      <c r="BD42" s="18">
        <f t="shared" si="35"/>
        <v>0</v>
      </c>
      <c r="BE42" s="31">
        <f t="shared" si="36"/>
        <v>0</v>
      </c>
      <c r="BF42" s="31"/>
      <c r="BG42" s="27"/>
      <c r="BH42" s="37">
        <f t="shared" si="7"/>
        <v>-1</v>
      </c>
      <c r="BI42" s="36">
        <v>20785.999999999996</v>
      </c>
      <c r="BJ42" s="31">
        <f t="shared" si="37"/>
        <v>20785.999999999996</v>
      </c>
      <c r="BK42" s="18">
        <f t="shared" si="38"/>
        <v>0</v>
      </c>
      <c r="BL42" s="31">
        <f t="shared" si="39"/>
        <v>0</v>
      </c>
      <c r="BM42" s="31"/>
      <c r="BN42" s="27"/>
      <c r="BO42" s="37">
        <f t="shared" si="8"/>
        <v>-1</v>
      </c>
      <c r="BP42" s="36">
        <v>20785.999999999996</v>
      </c>
      <c r="BQ42" s="31">
        <f t="shared" si="40"/>
        <v>20785.999999999996</v>
      </c>
      <c r="BR42" s="18">
        <f t="shared" si="41"/>
        <v>0</v>
      </c>
      <c r="BS42" s="31">
        <f t="shared" si="42"/>
        <v>0</v>
      </c>
      <c r="BT42" s="31"/>
      <c r="BU42" s="27"/>
      <c r="BV42" s="37">
        <f t="shared" si="9"/>
        <v>-1</v>
      </c>
      <c r="BW42" s="36">
        <v>20785.999999999996</v>
      </c>
      <c r="BX42" s="31">
        <f t="shared" si="43"/>
        <v>20785.999999999996</v>
      </c>
      <c r="BY42" s="18">
        <f t="shared" si="44"/>
        <v>0</v>
      </c>
      <c r="BZ42" s="31">
        <f t="shared" si="45"/>
        <v>0</v>
      </c>
      <c r="CA42" s="31"/>
      <c r="CB42" s="27"/>
      <c r="CC42" s="37">
        <f t="shared" si="10"/>
        <v>-1</v>
      </c>
      <c r="CD42" s="36">
        <v>20785.999999999996</v>
      </c>
      <c r="CE42" s="31">
        <f t="shared" si="46"/>
        <v>20785.999999999996</v>
      </c>
      <c r="CF42" s="18">
        <f t="shared" si="47"/>
        <v>0</v>
      </c>
      <c r="CG42" s="31">
        <f t="shared" si="48"/>
        <v>0</v>
      </c>
      <c r="CH42" s="31"/>
      <c r="CI42" s="27"/>
      <c r="CJ42" s="37">
        <f t="shared" si="11"/>
        <v>-1</v>
      </c>
      <c r="CK42" s="36">
        <v>20785.999999999996</v>
      </c>
      <c r="CL42" s="31">
        <f t="shared" si="49"/>
        <v>20785.999999999996</v>
      </c>
      <c r="CM42" s="18">
        <f t="shared" si="50"/>
        <v>0</v>
      </c>
      <c r="CN42" s="31">
        <f t="shared" si="51"/>
        <v>0</v>
      </c>
      <c r="CO42" s="31"/>
      <c r="CP42" s="27"/>
      <c r="CQ42" s="37">
        <f t="shared" si="12"/>
        <v>-1</v>
      </c>
    </row>
    <row r="43" spans="1:95" s="26" customFormat="1" ht="16" customHeight="1" thickBot="1" x14ac:dyDescent="0.25">
      <c r="A43" s="38" t="s">
        <v>67</v>
      </c>
      <c r="B43" s="30">
        <f t="shared" si="52"/>
        <v>12108.599999999999</v>
      </c>
      <c r="C43" s="31">
        <f t="shared" si="52"/>
        <v>12108.599999999999</v>
      </c>
      <c r="D43" s="32">
        <f t="shared" si="52"/>
        <v>0</v>
      </c>
      <c r="E43" s="30">
        <f t="shared" si="54"/>
        <v>4036.2000000000003</v>
      </c>
      <c r="F43" s="33">
        <f t="shared" si="54"/>
        <v>4036.2000000000003</v>
      </c>
      <c r="G43" s="34">
        <f t="shared" si="54"/>
        <v>0</v>
      </c>
      <c r="H43" s="31">
        <f t="shared" si="53"/>
        <v>9653.3765020885821</v>
      </c>
      <c r="I43" s="33">
        <f t="shared" si="53"/>
        <v>0</v>
      </c>
      <c r="J43" s="33">
        <f t="shared" si="53"/>
        <v>9653.3765020885821</v>
      </c>
      <c r="K43" s="37">
        <f t="shared" si="14"/>
        <v>1.3916992473337748</v>
      </c>
      <c r="L43" s="36">
        <v>1009.0500000000001</v>
      </c>
      <c r="M43" s="31">
        <f t="shared" si="15"/>
        <v>1009.0500000000001</v>
      </c>
      <c r="N43" s="31">
        <f t="shared" si="16"/>
        <v>0</v>
      </c>
      <c r="O43" s="31">
        <f t="shared" si="17"/>
        <v>1215.0669110047829</v>
      </c>
      <c r="P43" s="31"/>
      <c r="Q43" s="33">
        <v>1215.0669110047829</v>
      </c>
      <c r="R43" s="37">
        <f t="shared" si="18"/>
        <v>0.20416917992644845</v>
      </c>
      <c r="S43" s="36">
        <v>1009.0500000000001</v>
      </c>
      <c r="T43" s="31">
        <f t="shared" si="19"/>
        <v>1009.0500000000001</v>
      </c>
      <c r="U43" s="18">
        <f t="shared" si="20"/>
        <v>0</v>
      </c>
      <c r="V43" s="31">
        <f t="shared" si="21"/>
        <v>1037.408754158781</v>
      </c>
      <c r="W43" s="31"/>
      <c r="X43" s="33">
        <v>1037.408754158781</v>
      </c>
      <c r="Y43" s="37">
        <f t="shared" si="2"/>
        <v>2.8104409255022889E-2</v>
      </c>
      <c r="Z43" s="36">
        <v>1009.0500000000001</v>
      </c>
      <c r="AA43" s="31">
        <f t="shared" si="22"/>
        <v>1009.0500000000001</v>
      </c>
      <c r="AB43" s="18">
        <f t="shared" si="23"/>
        <v>0</v>
      </c>
      <c r="AC43" s="31">
        <f t="shared" si="24"/>
        <v>1086.5161825402815</v>
      </c>
      <c r="AD43" s="31"/>
      <c r="AE43" s="27">
        <v>1086.5161825402815</v>
      </c>
      <c r="AF43" s="37">
        <f t="shared" si="3"/>
        <v>7.6771401357991653E-2</v>
      </c>
      <c r="AG43" s="36">
        <v>1009.0500000000001</v>
      </c>
      <c r="AH43" s="31">
        <f t="shared" si="25"/>
        <v>1009.0500000000001</v>
      </c>
      <c r="AI43" s="18">
        <f t="shared" si="26"/>
        <v>0</v>
      </c>
      <c r="AJ43" s="31">
        <f t="shared" si="27"/>
        <v>1179.0158261814197</v>
      </c>
      <c r="AK43" s="31"/>
      <c r="AL43" s="27">
        <v>1179.0158261814197</v>
      </c>
      <c r="AM43" s="37">
        <f t="shared" si="4"/>
        <v>0.16844143122879895</v>
      </c>
      <c r="AN43" s="36">
        <v>1009.0500000000001</v>
      </c>
      <c r="AO43" s="31">
        <f t="shared" si="28"/>
        <v>1009.0500000000001</v>
      </c>
      <c r="AP43" s="18">
        <f t="shared" si="29"/>
        <v>0</v>
      </c>
      <c r="AQ43" s="31">
        <f t="shared" si="30"/>
        <v>1008.6725470701676</v>
      </c>
      <c r="AR43" s="31"/>
      <c r="AS43" s="27">
        <v>1008.6725470701676</v>
      </c>
      <c r="AT43" s="37">
        <f t="shared" si="5"/>
        <v>-3.7406761789049447E-4</v>
      </c>
      <c r="AU43" s="36">
        <v>1009.0500000000001</v>
      </c>
      <c r="AV43" s="31">
        <f t="shared" si="31"/>
        <v>1009.0500000000001</v>
      </c>
      <c r="AW43" s="18">
        <f t="shared" si="32"/>
        <v>0</v>
      </c>
      <c r="AX43" s="31">
        <f t="shared" si="33"/>
        <v>4126.6962811331496</v>
      </c>
      <c r="AY43" s="31"/>
      <c r="AZ43" s="27">
        <v>4126.6962811331496</v>
      </c>
      <c r="BA43" s="37">
        <f t="shared" si="6"/>
        <v>3.0896846351847271</v>
      </c>
      <c r="BB43" s="36">
        <v>1009.0500000000001</v>
      </c>
      <c r="BC43" s="31">
        <f t="shared" si="34"/>
        <v>1009.0500000000001</v>
      </c>
      <c r="BD43" s="18">
        <f t="shared" si="35"/>
        <v>0</v>
      </c>
      <c r="BE43" s="31">
        <f t="shared" si="36"/>
        <v>0</v>
      </c>
      <c r="BF43" s="31"/>
      <c r="BG43" s="27">
        <v>0</v>
      </c>
      <c r="BH43" s="37">
        <f t="shared" si="7"/>
        <v>-1</v>
      </c>
      <c r="BI43" s="36">
        <v>1009.0500000000001</v>
      </c>
      <c r="BJ43" s="31">
        <f t="shared" si="37"/>
        <v>1009.0500000000001</v>
      </c>
      <c r="BK43" s="18">
        <f t="shared" si="38"/>
        <v>0</v>
      </c>
      <c r="BL43" s="31">
        <f t="shared" si="39"/>
        <v>0</v>
      </c>
      <c r="BM43" s="31"/>
      <c r="BN43" s="27">
        <v>0</v>
      </c>
      <c r="BO43" s="37">
        <f t="shared" si="8"/>
        <v>-1</v>
      </c>
      <c r="BP43" s="36">
        <v>1009.0500000000001</v>
      </c>
      <c r="BQ43" s="31">
        <f t="shared" si="40"/>
        <v>1009.0500000000001</v>
      </c>
      <c r="BR43" s="18">
        <f t="shared" si="41"/>
        <v>0</v>
      </c>
      <c r="BS43" s="31">
        <f t="shared" si="42"/>
        <v>0</v>
      </c>
      <c r="BT43" s="31"/>
      <c r="BU43" s="27">
        <v>0</v>
      </c>
      <c r="BV43" s="37">
        <f t="shared" si="9"/>
        <v>-1</v>
      </c>
      <c r="BW43" s="36">
        <v>1009.0500000000001</v>
      </c>
      <c r="BX43" s="31">
        <f t="shared" si="43"/>
        <v>1009.0500000000001</v>
      </c>
      <c r="BY43" s="18">
        <f t="shared" si="44"/>
        <v>0</v>
      </c>
      <c r="BZ43" s="31">
        <f t="shared" si="45"/>
        <v>0</v>
      </c>
      <c r="CA43" s="31"/>
      <c r="CB43" s="27">
        <v>0</v>
      </c>
      <c r="CC43" s="37">
        <f t="shared" si="10"/>
        <v>-1</v>
      </c>
      <c r="CD43" s="36">
        <v>1009.0500000000001</v>
      </c>
      <c r="CE43" s="31">
        <f t="shared" si="46"/>
        <v>1009.0500000000001</v>
      </c>
      <c r="CF43" s="18">
        <f t="shared" si="47"/>
        <v>0</v>
      </c>
      <c r="CG43" s="31">
        <f t="shared" si="48"/>
        <v>0</v>
      </c>
      <c r="CH43" s="31"/>
      <c r="CI43" s="27">
        <v>0</v>
      </c>
      <c r="CJ43" s="37">
        <f t="shared" si="11"/>
        <v>-1</v>
      </c>
      <c r="CK43" s="36">
        <v>1009.0500000000001</v>
      </c>
      <c r="CL43" s="31">
        <f t="shared" si="49"/>
        <v>1009.0500000000001</v>
      </c>
      <c r="CM43" s="18">
        <f t="shared" si="50"/>
        <v>0</v>
      </c>
      <c r="CN43" s="31">
        <f t="shared" si="51"/>
        <v>0</v>
      </c>
      <c r="CO43" s="31"/>
      <c r="CP43" s="27">
        <v>0</v>
      </c>
      <c r="CQ43" s="37">
        <f t="shared" si="12"/>
        <v>-1</v>
      </c>
    </row>
    <row r="44" spans="1:95" s="26" customFormat="1" ht="16" customHeight="1" thickBot="1" x14ac:dyDescent="0.25">
      <c r="A44" s="29" t="s">
        <v>68</v>
      </c>
      <c r="B44" s="30">
        <f t="shared" si="52"/>
        <v>0</v>
      </c>
      <c r="C44" s="31">
        <f t="shared" si="52"/>
        <v>0</v>
      </c>
      <c r="D44" s="32">
        <f t="shared" si="52"/>
        <v>0</v>
      </c>
      <c r="E44" s="30">
        <f t="shared" si="54"/>
        <v>0</v>
      </c>
      <c r="F44" s="33">
        <f t="shared" si="54"/>
        <v>0</v>
      </c>
      <c r="G44" s="34">
        <f t="shared" si="54"/>
        <v>0</v>
      </c>
      <c r="H44" s="31">
        <f t="shared" si="53"/>
        <v>0</v>
      </c>
      <c r="I44" s="33">
        <f t="shared" si="53"/>
        <v>0</v>
      </c>
      <c r="J44" s="33">
        <f t="shared" si="53"/>
        <v>0</v>
      </c>
      <c r="K44" s="37" t="str">
        <f t="shared" si="14"/>
        <v/>
      </c>
      <c r="L44" s="36">
        <v>0</v>
      </c>
      <c r="M44" s="31">
        <f t="shared" si="15"/>
        <v>0</v>
      </c>
      <c r="N44" s="31">
        <f t="shared" si="16"/>
        <v>0</v>
      </c>
      <c r="O44" s="31">
        <f t="shared" si="17"/>
        <v>0</v>
      </c>
      <c r="P44" s="31"/>
      <c r="Q44" s="33">
        <v>0</v>
      </c>
      <c r="R44" s="37" t="str">
        <f t="shared" si="18"/>
        <v/>
      </c>
      <c r="S44" s="36">
        <v>0</v>
      </c>
      <c r="T44" s="31">
        <f t="shared" si="19"/>
        <v>0</v>
      </c>
      <c r="U44" s="18">
        <f t="shared" si="20"/>
        <v>0</v>
      </c>
      <c r="V44" s="31">
        <f t="shared" si="21"/>
        <v>0</v>
      </c>
      <c r="W44" s="31"/>
      <c r="X44" s="33">
        <v>0</v>
      </c>
      <c r="Y44" s="37" t="str">
        <f t="shared" si="2"/>
        <v/>
      </c>
      <c r="Z44" s="36">
        <v>0</v>
      </c>
      <c r="AA44" s="31">
        <f t="shared" si="22"/>
        <v>0</v>
      </c>
      <c r="AB44" s="18">
        <f t="shared" si="23"/>
        <v>0</v>
      </c>
      <c r="AC44" s="31">
        <f t="shared" si="24"/>
        <v>0</v>
      </c>
      <c r="AD44" s="31"/>
      <c r="AE44" s="27">
        <v>0</v>
      </c>
      <c r="AF44" s="37" t="str">
        <f t="shared" si="3"/>
        <v/>
      </c>
      <c r="AG44" s="36">
        <v>0</v>
      </c>
      <c r="AH44" s="31">
        <f t="shared" si="25"/>
        <v>0</v>
      </c>
      <c r="AI44" s="18">
        <f t="shared" si="26"/>
        <v>0</v>
      </c>
      <c r="AJ44" s="31">
        <f t="shared" si="27"/>
        <v>0</v>
      </c>
      <c r="AK44" s="31"/>
      <c r="AL44" s="27">
        <v>0</v>
      </c>
      <c r="AM44" s="37" t="str">
        <f t="shared" si="4"/>
        <v/>
      </c>
      <c r="AN44" s="36">
        <v>0</v>
      </c>
      <c r="AO44" s="31">
        <f t="shared" si="28"/>
        <v>0</v>
      </c>
      <c r="AP44" s="18">
        <f t="shared" si="29"/>
        <v>0</v>
      </c>
      <c r="AQ44" s="31">
        <f t="shared" si="30"/>
        <v>0</v>
      </c>
      <c r="AR44" s="31"/>
      <c r="AS44" s="27">
        <v>0</v>
      </c>
      <c r="AT44" s="37" t="str">
        <f t="shared" si="5"/>
        <v/>
      </c>
      <c r="AU44" s="36">
        <v>0</v>
      </c>
      <c r="AV44" s="31">
        <f t="shared" si="31"/>
        <v>0</v>
      </c>
      <c r="AW44" s="18">
        <f t="shared" si="32"/>
        <v>0</v>
      </c>
      <c r="AX44" s="31">
        <f t="shared" si="33"/>
        <v>0</v>
      </c>
      <c r="AY44" s="31"/>
      <c r="AZ44" s="27">
        <v>0</v>
      </c>
      <c r="BA44" s="37" t="str">
        <f t="shared" si="6"/>
        <v/>
      </c>
      <c r="BB44" s="36">
        <v>0</v>
      </c>
      <c r="BC44" s="31">
        <f t="shared" si="34"/>
        <v>0</v>
      </c>
      <c r="BD44" s="18">
        <f t="shared" si="35"/>
        <v>0</v>
      </c>
      <c r="BE44" s="31">
        <f t="shared" si="36"/>
        <v>0</v>
      </c>
      <c r="BF44" s="31"/>
      <c r="BG44" s="27">
        <v>0</v>
      </c>
      <c r="BH44" s="37" t="str">
        <f t="shared" si="7"/>
        <v/>
      </c>
      <c r="BI44" s="36">
        <v>0</v>
      </c>
      <c r="BJ44" s="31">
        <f t="shared" si="37"/>
        <v>0</v>
      </c>
      <c r="BK44" s="18">
        <f t="shared" si="38"/>
        <v>0</v>
      </c>
      <c r="BL44" s="31">
        <f t="shared" si="39"/>
        <v>0</v>
      </c>
      <c r="BM44" s="31"/>
      <c r="BN44" s="27">
        <v>0</v>
      </c>
      <c r="BO44" s="37" t="str">
        <f t="shared" si="8"/>
        <v/>
      </c>
      <c r="BP44" s="36">
        <v>0</v>
      </c>
      <c r="BQ44" s="31">
        <f t="shared" si="40"/>
        <v>0</v>
      </c>
      <c r="BR44" s="18">
        <f t="shared" si="41"/>
        <v>0</v>
      </c>
      <c r="BS44" s="31">
        <f t="shared" si="42"/>
        <v>0</v>
      </c>
      <c r="BT44" s="31"/>
      <c r="BU44" s="27">
        <v>0</v>
      </c>
      <c r="BV44" s="37" t="str">
        <f t="shared" si="9"/>
        <v/>
      </c>
      <c r="BW44" s="36">
        <v>0</v>
      </c>
      <c r="BX44" s="31">
        <f t="shared" si="43"/>
        <v>0</v>
      </c>
      <c r="BY44" s="18">
        <f t="shared" si="44"/>
        <v>0</v>
      </c>
      <c r="BZ44" s="31">
        <f t="shared" si="45"/>
        <v>0</v>
      </c>
      <c r="CA44" s="31"/>
      <c r="CB44" s="27">
        <v>0</v>
      </c>
      <c r="CC44" s="37" t="str">
        <f t="shared" si="10"/>
        <v/>
      </c>
      <c r="CD44" s="36">
        <v>0</v>
      </c>
      <c r="CE44" s="31">
        <f t="shared" si="46"/>
        <v>0</v>
      </c>
      <c r="CF44" s="18">
        <f t="shared" si="47"/>
        <v>0</v>
      </c>
      <c r="CG44" s="31">
        <f t="shared" si="48"/>
        <v>0</v>
      </c>
      <c r="CH44" s="31"/>
      <c r="CI44" s="27">
        <v>0</v>
      </c>
      <c r="CJ44" s="37" t="str">
        <f t="shared" si="11"/>
        <v/>
      </c>
      <c r="CK44" s="36">
        <v>0</v>
      </c>
      <c r="CL44" s="31">
        <f t="shared" si="49"/>
        <v>0</v>
      </c>
      <c r="CM44" s="18">
        <f t="shared" si="50"/>
        <v>0</v>
      </c>
      <c r="CN44" s="31">
        <f t="shared" si="51"/>
        <v>0</v>
      </c>
      <c r="CO44" s="31"/>
      <c r="CP44" s="27">
        <v>0</v>
      </c>
      <c r="CQ44" s="37" t="str">
        <f t="shared" si="12"/>
        <v/>
      </c>
    </row>
    <row r="45" spans="1:95" s="26" customFormat="1" ht="16" customHeight="1" thickBot="1" x14ac:dyDescent="0.25">
      <c r="A45" s="39" t="s">
        <v>69</v>
      </c>
      <c r="B45" s="30">
        <f t="shared" si="52"/>
        <v>0</v>
      </c>
      <c r="C45" s="31">
        <f t="shared" si="52"/>
        <v>0</v>
      </c>
      <c r="D45" s="32">
        <f t="shared" si="52"/>
        <v>0</v>
      </c>
      <c r="E45" s="30">
        <f t="shared" si="54"/>
        <v>0</v>
      </c>
      <c r="F45" s="33">
        <f t="shared" si="54"/>
        <v>0</v>
      </c>
      <c r="G45" s="34">
        <f t="shared" si="54"/>
        <v>0</v>
      </c>
      <c r="H45" s="31">
        <f t="shared" si="53"/>
        <v>0</v>
      </c>
      <c r="I45" s="33">
        <f t="shared" si="53"/>
        <v>0</v>
      </c>
      <c r="J45" s="33">
        <f t="shared" si="53"/>
        <v>0</v>
      </c>
      <c r="K45" s="37" t="str">
        <f t="shared" si="14"/>
        <v/>
      </c>
      <c r="L45" s="36">
        <v>0</v>
      </c>
      <c r="M45" s="31">
        <f t="shared" si="15"/>
        <v>0</v>
      </c>
      <c r="N45" s="31">
        <f t="shared" si="16"/>
        <v>0</v>
      </c>
      <c r="O45" s="31">
        <f t="shared" si="17"/>
        <v>0</v>
      </c>
      <c r="P45" s="31"/>
      <c r="Q45" s="33">
        <v>0</v>
      </c>
      <c r="R45" s="37" t="str">
        <f t="shared" si="18"/>
        <v/>
      </c>
      <c r="S45" s="36">
        <v>0</v>
      </c>
      <c r="T45" s="31">
        <f t="shared" si="19"/>
        <v>0</v>
      </c>
      <c r="U45" s="18">
        <f t="shared" si="20"/>
        <v>0</v>
      </c>
      <c r="V45" s="31">
        <f t="shared" si="21"/>
        <v>0</v>
      </c>
      <c r="W45" s="31"/>
      <c r="X45" s="33">
        <v>0</v>
      </c>
      <c r="Y45" s="37" t="str">
        <f t="shared" si="2"/>
        <v/>
      </c>
      <c r="Z45" s="36">
        <v>0</v>
      </c>
      <c r="AA45" s="31">
        <f t="shared" si="22"/>
        <v>0</v>
      </c>
      <c r="AB45" s="18">
        <f t="shared" si="23"/>
        <v>0</v>
      </c>
      <c r="AC45" s="31">
        <f t="shared" si="24"/>
        <v>0</v>
      </c>
      <c r="AD45" s="31"/>
      <c r="AE45" s="27">
        <v>0</v>
      </c>
      <c r="AF45" s="37" t="str">
        <f t="shared" si="3"/>
        <v/>
      </c>
      <c r="AG45" s="36">
        <v>0</v>
      </c>
      <c r="AH45" s="31">
        <f t="shared" si="25"/>
        <v>0</v>
      </c>
      <c r="AI45" s="18">
        <f t="shared" si="26"/>
        <v>0</v>
      </c>
      <c r="AJ45" s="31">
        <f t="shared" si="27"/>
        <v>0</v>
      </c>
      <c r="AK45" s="31"/>
      <c r="AL45" s="27">
        <v>0</v>
      </c>
      <c r="AM45" s="37" t="str">
        <f t="shared" si="4"/>
        <v/>
      </c>
      <c r="AN45" s="36">
        <v>0</v>
      </c>
      <c r="AO45" s="31">
        <f t="shared" si="28"/>
        <v>0</v>
      </c>
      <c r="AP45" s="18">
        <f t="shared" si="29"/>
        <v>0</v>
      </c>
      <c r="AQ45" s="31">
        <f t="shared" si="30"/>
        <v>0</v>
      </c>
      <c r="AR45" s="31"/>
      <c r="AS45" s="27">
        <v>0</v>
      </c>
      <c r="AT45" s="37" t="str">
        <f t="shared" si="5"/>
        <v/>
      </c>
      <c r="AU45" s="36">
        <v>0</v>
      </c>
      <c r="AV45" s="31">
        <f t="shared" si="31"/>
        <v>0</v>
      </c>
      <c r="AW45" s="18">
        <f t="shared" si="32"/>
        <v>0</v>
      </c>
      <c r="AX45" s="31">
        <f t="shared" si="33"/>
        <v>0</v>
      </c>
      <c r="AY45" s="31"/>
      <c r="AZ45" s="27">
        <v>0</v>
      </c>
      <c r="BA45" s="37" t="str">
        <f t="shared" si="6"/>
        <v/>
      </c>
      <c r="BB45" s="36">
        <v>0</v>
      </c>
      <c r="BC45" s="31">
        <f t="shared" si="34"/>
        <v>0</v>
      </c>
      <c r="BD45" s="18">
        <f t="shared" si="35"/>
        <v>0</v>
      </c>
      <c r="BE45" s="31">
        <f t="shared" si="36"/>
        <v>0</v>
      </c>
      <c r="BF45" s="31"/>
      <c r="BG45" s="27">
        <v>0</v>
      </c>
      <c r="BH45" s="37" t="str">
        <f t="shared" si="7"/>
        <v/>
      </c>
      <c r="BI45" s="36">
        <v>0</v>
      </c>
      <c r="BJ45" s="31">
        <f t="shared" si="37"/>
        <v>0</v>
      </c>
      <c r="BK45" s="18">
        <f t="shared" si="38"/>
        <v>0</v>
      </c>
      <c r="BL45" s="31">
        <f t="shared" si="39"/>
        <v>0</v>
      </c>
      <c r="BM45" s="31"/>
      <c r="BN45" s="27">
        <v>0</v>
      </c>
      <c r="BO45" s="37" t="str">
        <f t="shared" si="8"/>
        <v/>
      </c>
      <c r="BP45" s="36">
        <v>0</v>
      </c>
      <c r="BQ45" s="31">
        <f t="shared" si="40"/>
        <v>0</v>
      </c>
      <c r="BR45" s="18">
        <f t="shared" si="41"/>
        <v>0</v>
      </c>
      <c r="BS45" s="31">
        <f t="shared" si="42"/>
        <v>0</v>
      </c>
      <c r="BT45" s="31"/>
      <c r="BU45" s="27">
        <v>0</v>
      </c>
      <c r="BV45" s="37" t="str">
        <f t="shared" si="9"/>
        <v/>
      </c>
      <c r="BW45" s="36">
        <v>0</v>
      </c>
      <c r="BX45" s="31">
        <f t="shared" si="43"/>
        <v>0</v>
      </c>
      <c r="BY45" s="18">
        <f t="shared" si="44"/>
        <v>0</v>
      </c>
      <c r="BZ45" s="31">
        <f t="shared" si="45"/>
        <v>0</v>
      </c>
      <c r="CA45" s="31"/>
      <c r="CB45" s="27">
        <v>0</v>
      </c>
      <c r="CC45" s="37" t="str">
        <f t="shared" si="10"/>
        <v/>
      </c>
      <c r="CD45" s="36">
        <v>0</v>
      </c>
      <c r="CE45" s="31">
        <f t="shared" si="46"/>
        <v>0</v>
      </c>
      <c r="CF45" s="18">
        <f t="shared" si="47"/>
        <v>0</v>
      </c>
      <c r="CG45" s="31">
        <f t="shared" si="48"/>
        <v>0</v>
      </c>
      <c r="CH45" s="31"/>
      <c r="CI45" s="27">
        <v>0</v>
      </c>
      <c r="CJ45" s="37" t="str">
        <f t="shared" si="11"/>
        <v/>
      </c>
      <c r="CK45" s="36">
        <v>0</v>
      </c>
      <c r="CL45" s="31">
        <f t="shared" si="49"/>
        <v>0</v>
      </c>
      <c r="CM45" s="18">
        <f t="shared" si="50"/>
        <v>0</v>
      </c>
      <c r="CN45" s="31">
        <f t="shared" si="51"/>
        <v>0</v>
      </c>
      <c r="CO45" s="31"/>
      <c r="CP45" s="27">
        <v>0</v>
      </c>
      <c r="CQ45" s="37" t="str">
        <f t="shared" si="12"/>
        <v/>
      </c>
    </row>
    <row r="46" spans="1:95" s="26" customFormat="1" ht="16" customHeight="1" thickBot="1" x14ac:dyDescent="0.25">
      <c r="A46" s="38" t="s">
        <v>70</v>
      </c>
      <c r="B46" s="30">
        <f t="shared" si="52"/>
        <v>0</v>
      </c>
      <c r="C46" s="31">
        <f t="shared" si="52"/>
        <v>0</v>
      </c>
      <c r="D46" s="32">
        <f t="shared" si="52"/>
        <v>0</v>
      </c>
      <c r="E46" s="30">
        <f t="shared" si="54"/>
        <v>0</v>
      </c>
      <c r="F46" s="33">
        <f t="shared" si="54"/>
        <v>0</v>
      </c>
      <c r="G46" s="34">
        <f t="shared" si="54"/>
        <v>0</v>
      </c>
      <c r="H46" s="31">
        <f t="shared" si="53"/>
        <v>0</v>
      </c>
      <c r="I46" s="33">
        <f t="shared" si="53"/>
        <v>0</v>
      </c>
      <c r="J46" s="33">
        <f t="shared" si="53"/>
        <v>0</v>
      </c>
      <c r="K46" s="37" t="str">
        <f t="shared" si="14"/>
        <v/>
      </c>
      <c r="L46" s="36">
        <v>0</v>
      </c>
      <c r="M46" s="31">
        <f t="shared" si="15"/>
        <v>0</v>
      </c>
      <c r="N46" s="31">
        <f t="shared" si="16"/>
        <v>0</v>
      </c>
      <c r="O46" s="31">
        <f t="shared" si="17"/>
        <v>0</v>
      </c>
      <c r="P46" s="31"/>
      <c r="Q46" s="33">
        <v>0</v>
      </c>
      <c r="R46" s="37" t="str">
        <f t="shared" si="18"/>
        <v/>
      </c>
      <c r="S46" s="36">
        <v>0</v>
      </c>
      <c r="T46" s="31">
        <f t="shared" si="19"/>
        <v>0</v>
      </c>
      <c r="U46" s="18">
        <f t="shared" si="20"/>
        <v>0</v>
      </c>
      <c r="V46" s="31">
        <f t="shared" si="21"/>
        <v>0</v>
      </c>
      <c r="W46" s="31"/>
      <c r="X46" s="33">
        <v>0</v>
      </c>
      <c r="Y46" s="37" t="str">
        <f t="shared" si="2"/>
        <v/>
      </c>
      <c r="Z46" s="36">
        <v>0</v>
      </c>
      <c r="AA46" s="31">
        <f t="shared" si="22"/>
        <v>0</v>
      </c>
      <c r="AB46" s="18">
        <f t="shared" si="23"/>
        <v>0</v>
      </c>
      <c r="AC46" s="31">
        <f t="shared" si="24"/>
        <v>0</v>
      </c>
      <c r="AD46" s="31"/>
      <c r="AE46" s="27">
        <v>0</v>
      </c>
      <c r="AF46" s="37" t="str">
        <f t="shared" si="3"/>
        <v/>
      </c>
      <c r="AG46" s="36">
        <v>0</v>
      </c>
      <c r="AH46" s="31">
        <f t="shared" si="25"/>
        <v>0</v>
      </c>
      <c r="AI46" s="18">
        <f t="shared" si="26"/>
        <v>0</v>
      </c>
      <c r="AJ46" s="31">
        <f t="shared" si="27"/>
        <v>0</v>
      </c>
      <c r="AK46" s="31"/>
      <c r="AL46" s="27">
        <v>0</v>
      </c>
      <c r="AM46" s="37" t="str">
        <f t="shared" si="4"/>
        <v/>
      </c>
      <c r="AN46" s="36">
        <v>0</v>
      </c>
      <c r="AO46" s="31">
        <f t="shared" si="28"/>
        <v>0</v>
      </c>
      <c r="AP46" s="18">
        <f t="shared" si="29"/>
        <v>0</v>
      </c>
      <c r="AQ46" s="31">
        <f t="shared" si="30"/>
        <v>0</v>
      </c>
      <c r="AR46" s="31"/>
      <c r="AS46" s="27">
        <v>0</v>
      </c>
      <c r="AT46" s="37" t="str">
        <f t="shared" si="5"/>
        <v/>
      </c>
      <c r="AU46" s="36">
        <v>0</v>
      </c>
      <c r="AV46" s="31">
        <f t="shared" si="31"/>
        <v>0</v>
      </c>
      <c r="AW46" s="18">
        <f t="shared" si="32"/>
        <v>0</v>
      </c>
      <c r="AX46" s="31">
        <f t="shared" si="33"/>
        <v>0</v>
      </c>
      <c r="AY46" s="31"/>
      <c r="AZ46" s="27">
        <v>0</v>
      </c>
      <c r="BA46" s="37" t="str">
        <f t="shared" si="6"/>
        <v/>
      </c>
      <c r="BB46" s="36">
        <v>0</v>
      </c>
      <c r="BC46" s="31">
        <f t="shared" si="34"/>
        <v>0</v>
      </c>
      <c r="BD46" s="18">
        <f t="shared" si="35"/>
        <v>0</v>
      </c>
      <c r="BE46" s="31">
        <f t="shared" si="36"/>
        <v>0</v>
      </c>
      <c r="BF46" s="31"/>
      <c r="BG46" s="27">
        <v>0</v>
      </c>
      <c r="BH46" s="37" t="str">
        <f t="shared" si="7"/>
        <v/>
      </c>
      <c r="BI46" s="36">
        <v>0</v>
      </c>
      <c r="BJ46" s="31">
        <f t="shared" si="37"/>
        <v>0</v>
      </c>
      <c r="BK46" s="18">
        <f t="shared" si="38"/>
        <v>0</v>
      </c>
      <c r="BL46" s="31">
        <f t="shared" si="39"/>
        <v>0</v>
      </c>
      <c r="BM46" s="31"/>
      <c r="BN46" s="27">
        <v>0</v>
      </c>
      <c r="BO46" s="37" t="str">
        <f t="shared" si="8"/>
        <v/>
      </c>
      <c r="BP46" s="36">
        <v>0</v>
      </c>
      <c r="BQ46" s="31">
        <f t="shared" si="40"/>
        <v>0</v>
      </c>
      <c r="BR46" s="18">
        <f t="shared" si="41"/>
        <v>0</v>
      </c>
      <c r="BS46" s="31">
        <f t="shared" si="42"/>
        <v>0</v>
      </c>
      <c r="BT46" s="31"/>
      <c r="BU46" s="27">
        <v>0</v>
      </c>
      <c r="BV46" s="37" t="str">
        <f t="shared" si="9"/>
        <v/>
      </c>
      <c r="BW46" s="36">
        <v>0</v>
      </c>
      <c r="BX46" s="31">
        <f t="shared" si="43"/>
        <v>0</v>
      </c>
      <c r="BY46" s="18">
        <f t="shared" si="44"/>
        <v>0</v>
      </c>
      <c r="BZ46" s="31">
        <f t="shared" si="45"/>
        <v>0</v>
      </c>
      <c r="CA46" s="31"/>
      <c r="CB46" s="27">
        <v>0</v>
      </c>
      <c r="CC46" s="37" t="str">
        <f t="shared" si="10"/>
        <v/>
      </c>
      <c r="CD46" s="36">
        <v>0</v>
      </c>
      <c r="CE46" s="31">
        <f t="shared" si="46"/>
        <v>0</v>
      </c>
      <c r="CF46" s="18">
        <f t="shared" si="47"/>
        <v>0</v>
      </c>
      <c r="CG46" s="31">
        <f t="shared" si="48"/>
        <v>0</v>
      </c>
      <c r="CH46" s="31"/>
      <c r="CI46" s="27">
        <v>0</v>
      </c>
      <c r="CJ46" s="37" t="str">
        <f t="shared" si="11"/>
        <v/>
      </c>
      <c r="CK46" s="36">
        <v>0</v>
      </c>
      <c r="CL46" s="31">
        <f t="shared" si="49"/>
        <v>0</v>
      </c>
      <c r="CM46" s="18">
        <f t="shared" si="50"/>
        <v>0</v>
      </c>
      <c r="CN46" s="31">
        <f t="shared" si="51"/>
        <v>0</v>
      </c>
      <c r="CO46" s="31"/>
      <c r="CP46" s="27">
        <v>0</v>
      </c>
      <c r="CQ46" s="37" t="str">
        <f t="shared" si="12"/>
        <v/>
      </c>
    </row>
    <row r="47" spans="1:95" s="26" customFormat="1" ht="16" customHeight="1" thickBot="1" x14ac:dyDescent="0.25">
      <c r="A47" s="29" t="s">
        <v>71</v>
      </c>
      <c r="B47" s="30">
        <f t="shared" si="52"/>
        <v>0</v>
      </c>
      <c r="C47" s="31">
        <f t="shared" si="52"/>
        <v>0</v>
      </c>
      <c r="D47" s="32">
        <f t="shared" si="52"/>
        <v>0</v>
      </c>
      <c r="E47" s="30">
        <f t="shared" si="54"/>
        <v>0</v>
      </c>
      <c r="F47" s="33">
        <f t="shared" si="54"/>
        <v>0</v>
      </c>
      <c r="G47" s="34">
        <f t="shared" si="54"/>
        <v>0</v>
      </c>
      <c r="H47" s="31">
        <f t="shared" si="53"/>
        <v>0</v>
      </c>
      <c r="I47" s="33">
        <f t="shared" si="53"/>
        <v>0</v>
      </c>
      <c r="J47" s="33">
        <f t="shared" si="53"/>
        <v>0</v>
      </c>
      <c r="K47" s="37" t="str">
        <f t="shared" si="14"/>
        <v/>
      </c>
      <c r="L47" s="36">
        <v>0</v>
      </c>
      <c r="M47" s="31">
        <f t="shared" si="15"/>
        <v>0</v>
      </c>
      <c r="N47" s="31">
        <f t="shared" si="16"/>
        <v>0</v>
      </c>
      <c r="O47" s="31">
        <f t="shared" si="17"/>
        <v>0</v>
      </c>
      <c r="P47" s="31"/>
      <c r="Q47" s="33">
        <v>0</v>
      </c>
      <c r="R47" s="37" t="str">
        <f t="shared" si="18"/>
        <v/>
      </c>
      <c r="S47" s="36">
        <v>0</v>
      </c>
      <c r="T47" s="31">
        <f t="shared" si="19"/>
        <v>0</v>
      </c>
      <c r="U47" s="18">
        <f t="shared" si="20"/>
        <v>0</v>
      </c>
      <c r="V47" s="31">
        <f t="shared" si="21"/>
        <v>0</v>
      </c>
      <c r="W47" s="31"/>
      <c r="X47" s="33">
        <v>0</v>
      </c>
      <c r="Y47" s="37" t="str">
        <f t="shared" si="2"/>
        <v/>
      </c>
      <c r="Z47" s="36">
        <v>0</v>
      </c>
      <c r="AA47" s="31">
        <f t="shared" si="22"/>
        <v>0</v>
      </c>
      <c r="AB47" s="18">
        <f t="shared" si="23"/>
        <v>0</v>
      </c>
      <c r="AC47" s="31">
        <f t="shared" si="24"/>
        <v>0</v>
      </c>
      <c r="AD47" s="31"/>
      <c r="AE47" s="27">
        <v>0</v>
      </c>
      <c r="AF47" s="37" t="str">
        <f t="shared" si="3"/>
        <v/>
      </c>
      <c r="AG47" s="36">
        <v>0</v>
      </c>
      <c r="AH47" s="31">
        <f t="shared" si="25"/>
        <v>0</v>
      </c>
      <c r="AI47" s="18">
        <f t="shared" si="26"/>
        <v>0</v>
      </c>
      <c r="AJ47" s="31">
        <f t="shared" si="27"/>
        <v>0</v>
      </c>
      <c r="AK47" s="31"/>
      <c r="AL47" s="27">
        <v>0</v>
      </c>
      <c r="AM47" s="37" t="str">
        <f t="shared" si="4"/>
        <v/>
      </c>
      <c r="AN47" s="36">
        <v>0</v>
      </c>
      <c r="AO47" s="31">
        <f t="shared" si="28"/>
        <v>0</v>
      </c>
      <c r="AP47" s="18">
        <f t="shared" si="29"/>
        <v>0</v>
      </c>
      <c r="AQ47" s="31">
        <f t="shared" si="30"/>
        <v>0</v>
      </c>
      <c r="AR47" s="31"/>
      <c r="AS47" s="27">
        <v>0</v>
      </c>
      <c r="AT47" s="37" t="str">
        <f t="shared" si="5"/>
        <v/>
      </c>
      <c r="AU47" s="36">
        <v>0</v>
      </c>
      <c r="AV47" s="31">
        <f t="shared" si="31"/>
        <v>0</v>
      </c>
      <c r="AW47" s="18">
        <f t="shared" si="32"/>
        <v>0</v>
      </c>
      <c r="AX47" s="31">
        <f t="shared" si="33"/>
        <v>0</v>
      </c>
      <c r="AY47" s="31"/>
      <c r="AZ47" s="27">
        <v>0</v>
      </c>
      <c r="BA47" s="37" t="str">
        <f t="shared" si="6"/>
        <v/>
      </c>
      <c r="BB47" s="36">
        <v>0</v>
      </c>
      <c r="BC47" s="31">
        <f t="shared" si="34"/>
        <v>0</v>
      </c>
      <c r="BD47" s="18">
        <f t="shared" si="35"/>
        <v>0</v>
      </c>
      <c r="BE47" s="31">
        <f t="shared" si="36"/>
        <v>0</v>
      </c>
      <c r="BF47" s="31"/>
      <c r="BG47" s="27">
        <v>0</v>
      </c>
      <c r="BH47" s="37" t="str">
        <f t="shared" si="7"/>
        <v/>
      </c>
      <c r="BI47" s="36">
        <v>0</v>
      </c>
      <c r="BJ47" s="31">
        <f t="shared" si="37"/>
        <v>0</v>
      </c>
      <c r="BK47" s="18">
        <f t="shared" si="38"/>
        <v>0</v>
      </c>
      <c r="BL47" s="31">
        <f t="shared" si="39"/>
        <v>0</v>
      </c>
      <c r="BM47" s="31"/>
      <c r="BN47" s="27">
        <v>0</v>
      </c>
      <c r="BO47" s="37" t="str">
        <f t="shared" si="8"/>
        <v/>
      </c>
      <c r="BP47" s="36">
        <v>0</v>
      </c>
      <c r="BQ47" s="31">
        <f t="shared" si="40"/>
        <v>0</v>
      </c>
      <c r="BR47" s="18">
        <f t="shared" si="41"/>
        <v>0</v>
      </c>
      <c r="BS47" s="31">
        <f t="shared" si="42"/>
        <v>0</v>
      </c>
      <c r="BT47" s="31"/>
      <c r="BU47" s="27">
        <v>0</v>
      </c>
      <c r="BV47" s="37" t="str">
        <f t="shared" si="9"/>
        <v/>
      </c>
      <c r="BW47" s="36">
        <v>0</v>
      </c>
      <c r="BX47" s="31">
        <f t="shared" si="43"/>
        <v>0</v>
      </c>
      <c r="BY47" s="18">
        <f t="shared" si="44"/>
        <v>0</v>
      </c>
      <c r="BZ47" s="31">
        <f t="shared" si="45"/>
        <v>0</v>
      </c>
      <c r="CA47" s="31"/>
      <c r="CB47" s="27">
        <v>0</v>
      </c>
      <c r="CC47" s="37" t="str">
        <f t="shared" si="10"/>
        <v/>
      </c>
      <c r="CD47" s="36">
        <v>0</v>
      </c>
      <c r="CE47" s="31">
        <f t="shared" si="46"/>
        <v>0</v>
      </c>
      <c r="CF47" s="18">
        <f t="shared" si="47"/>
        <v>0</v>
      </c>
      <c r="CG47" s="31">
        <f t="shared" si="48"/>
        <v>0</v>
      </c>
      <c r="CH47" s="31"/>
      <c r="CI47" s="27">
        <v>0</v>
      </c>
      <c r="CJ47" s="37" t="str">
        <f t="shared" si="11"/>
        <v/>
      </c>
      <c r="CK47" s="36">
        <v>0</v>
      </c>
      <c r="CL47" s="31">
        <f t="shared" si="49"/>
        <v>0</v>
      </c>
      <c r="CM47" s="18">
        <f t="shared" si="50"/>
        <v>0</v>
      </c>
      <c r="CN47" s="31">
        <f t="shared" si="51"/>
        <v>0</v>
      </c>
      <c r="CO47" s="31"/>
      <c r="CP47" s="27">
        <v>0</v>
      </c>
      <c r="CQ47" s="37" t="str">
        <f t="shared" si="12"/>
        <v/>
      </c>
    </row>
    <row r="48" spans="1:95" s="26" customFormat="1" ht="16" customHeight="1" thickBot="1" x14ac:dyDescent="0.25">
      <c r="A48" s="38" t="s">
        <v>72</v>
      </c>
      <c r="B48" s="30">
        <f t="shared" si="52"/>
        <v>8750.0000000000018</v>
      </c>
      <c r="C48" s="31">
        <f t="shared" si="52"/>
        <v>8750.0000000000018</v>
      </c>
      <c r="D48" s="32">
        <f t="shared" si="52"/>
        <v>0</v>
      </c>
      <c r="E48" s="30">
        <f t="shared" si="54"/>
        <v>2916.6666666666665</v>
      </c>
      <c r="F48" s="33">
        <f t="shared" si="54"/>
        <v>2916.6666666666665</v>
      </c>
      <c r="G48" s="34">
        <f t="shared" si="54"/>
        <v>0</v>
      </c>
      <c r="H48" s="31">
        <f t="shared" si="53"/>
        <v>3615.6830705103594</v>
      </c>
      <c r="I48" s="33">
        <f t="shared" si="53"/>
        <v>0</v>
      </c>
      <c r="J48" s="33">
        <f t="shared" si="53"/>
        <v>3615.6830705103594</v>
      </c>
      <c r="K48" s="37">
        <f t="shared" si="14"/>
        <v>0.23966276703212319</v>
      </c>
      <c r="L48" s="36">
        <v>729.16666666666663</v>
      </c>
      <c r="M48" s="31">
        <f t="shared" si="15"/>
        <v>729.16666666666663</v>
      </c>
      <c r="N48" s="31">
        <f t="shared" si="16"/>
        <v>0</v>
      </c>
      <c r="O48" s="31">
        <f t="shared" si="17"/>
        <v>738.12533151041544</v>
      </c>
      <c r="P48" s="31"/>
      <c r="Q48" s="33">
        <v>738.12533151041544</v>
      </c>
      <c r="R48" s="37">
        <f t="shared" si="18"/>
        <v>1.2286168928569818E-2</v>
      </c>
      <c r="S48" s="36">
        <v>729.16666666666663</v>
      </c>
      <c r="T48" s="31">
        <f t="shared" si="19"/>
        <v>729.16666666666663</v>
      </c>
      <c r="U48" s="18">
        <f t="shared" si="20"/>
        <v>0</v>
      </c>
      <c r="V48" s="31">
        <f t="shared" si="21"/>
        <v>169.57495004663781</v>
      </c>
      <c r="W48" s="31"/>
      <c r="X48" s="33">
        <v>169.57495004663781</v>
      </c>
      <c r="Y48" s="37">
        <f t="shared" si="2"/>
        <v>-0.76744006850746815</v>
      </c>
      <c r="Z48" s="36">
        <v>729.16666666666663</v>
      </c>
      <c r="AA48" s="31">
        <f t="shared" si="22"/>
        <v>729.16666666666663</v>
      </c>
      <c r="AB48" s="18">
        <f t="shared" si="23"/>
        <v>0</v>
      </c>
      <c r="AC48" s="31">
        <f t="shared" si="24"/>
        <v>128.87013633304841</v>
      </c>
      <c r="AD48" s="31"/>
      <c r="AE48" s="27">
        <v>128.87013633304841</v>
      </c>
      <c r="AF48" s="37">
        <f t="shared" si="3"/>
        <v>-0.82326381302896223</v>
      </c>
      <c r="AG48" s="36">
        <v>729.16666666666663</v>
      </c>
      <c r="AH48" s="31">
        <f t="shared" si="25"/>
        <v>729.16666666666663</v>
      </c>
      <c r="AI48" s="18">
        <f t="shared" si="26"/>
        <v>0</v>
      </c>
      <c r="AJ48" s="31">
        <f t="shared" si="27"/>
        <v>939.94647483947938</v>
      </c>
      <c r="AK48" s="31"/>
      <c r="AL48" s="27">
        <v>939.94647483947938</v>
      </c>
      <c r="AM48" s="37">
        <f t="shared" si="4"/>
        <v>0.28906945120842886</v>
      </c>
      <c r="AN48" s="36">
        <v>729.16666666666663</v>
      </c>
      <c r="AO48" s="31">
        <f t="shared" si="28"/>
        <v>729.16666666666663</v>
      </c>
      <c r="AP48" s="18">
        <f t="shared" si="29"/>
        <v>0</v>
      </c>
      <c r="AQ48" s="31">
        <f t="shared" si="30"/>
        <v>1023.2471718664663</v>
      </c>
      <c r="AR48" s="31"/>
      <c r="AS48" s="27">
        <v>1023.2471718664663</v>
      </c>
      <c r="AT48" s="37">
        <f t="shared" si="5"/>
        <v>0.40331040713115374</v>
      </c>
      <c r="AU48" s="36">
        <v>729.16666666666663</v>
      </c>
      <c r="AV48" s="31">
        <f t="shared" si="31"/>
        <v>729.16666666666663</v>
      </c>
      <c r="AW48" s="18">
        <f t="shared" si="32"/>
        <v>0</v>
      </c>
      <c r="AX48" s="31">
        <f t="shared" si="33"/>
        <v>615.91900591431181</v>
      </c>
      <c r="AY48" s="31"/>
      <c r="AZ48" s="27">
        <v>615.91900591431181</v>
      </c>
      <c r="BA48" s="37">
        <f t="shared" si="6"/>
        <v>-0.15531107760322949</v>
      </c>
      <c r="BB48" s="36">
        <v>729.16666666666663</v>
      </c>
      <c r="BC48" s="31">
        <f t="shared" si="34"/>
        <v>729.16666666666663</v>
      </c>
      <c r="BD48" s="18">
        <f t="shared" si="35"/>
        <v>0</v>
      </c>
      <c r="BE48" s="31">
        <f t="shared" si="36"/>
        <v>0</v>
      </c>
      <c r="BF48" s="31"/>
      <c r="BG48" s="27">
        <v>0</v>
      </c>
      <c r="BH48" s="37">
        <f t="shared" si="7"/>
        <v>-1</v>
      </c>
      <c r="BI48" s="36">
        <v>729.16666666666663</v>
      </c>
      <c r="BJ48" s="31">
        <f t="shared" si="37"/>
        <v>729.16666666666663</v>
      </c>
      <c r="BK48" s="18">
        <f t="shared" si="38"/>
        <v>0</v>
      </c>
      <c r="BL48" s="31">
        <f t="shared" si="39"/>
        <v>0</v>
      </c>
      <c r="BM48" s="31"/>
      <c r="BN48" s="27">
        <v>0</v>
      </c>
      <c r="BO48" s="37">
        <f t="shared" si="8"/>
        <v>-1</v>
      </c>
      <c r="BP48" s="36">
        <v>729.16666666666663</v>
      </c>
      <c r="BQ48" s="31">
        <f t="shared" si="40"/>
        <v>729.16666666666663</v>
      </c>
      <c r="BR48" s="18">
        <f t="shared" si="41"/>
        <v>0</v>
      </c>
      <c r="BS48" s="31">
        <f t="shared" si="42"/>
        <v>0</v>
      </c>
      <c r="BT48" s="31"/>
      <c r="BU48" s="27">
        <v>0</v>
      </c>
      <c r="BV48" s="37">
        <f t="shared" si="9"/>
        <v>-1</v>
      </c>
      <c r="BW48" s="36">
        <v>729.16666666666663</v>
      </c>
      <c r="BX48" s="31">
        <f t="shared" si="43"/>
        <v>729.16666666666663</v>
      </c>
      <c r="BY48" s="18">
        <f t="shared" si="44"/>
        <v>0</v>
      </c>
      <c r="BZ48" s="31">
        <f t="shared" si="45"/>
        <v>0</v>
      </c>
      <c r="CA48" s="31"/>
      <c r="CB48" s="27">
        <v>0</v>
      </c>
      <c r="CC48" s="37">
        <f t="shared" si="10"/>
        <v>-1</v>
      </c>
      <c r="CD48" s="36">
        <v>729.16666666666663</v>
      </c>
      <c r="CE48" s="31">
        <f t="shared" si="46"/>
        <v>729.16666666666663</v>
      </c>
      <c r="CF48" s="18">
        <f t="shared" si="47"/>
        <v>0</v>
      </c>
      <c r="CG48" s="31">
        <f t="shared" si="48"/>
        <v>0</v>
      </c>
      <c r="CH48" s="31"/>
      <c r="CI48" s="27">
        <v>0</v>
      </c>
      <c r="CJ48" s="37">
        <f t="shared" si="11"/>
        <v>-1</v>
      </c>
      <c r="CK48" s="36">
        <v>729.16666666666663</v>
      </c>
      <c r="CL48" s="31">
        <f t="shared" si="49"/>
        <v>729.16666666666663</v>
      </c>
      <c r="CM48" s="18">
        <f t="shared" si="50"/>
        <v>0</v>
      </c>
      <c r="CN48" s="31">
        <f t="shared" si="51"/>
        <v>0</v>
      </c>
      <c r="CO48" s="31"/>
      <c r="CP48" s="27">
        <v>0</v>
      </c>
      <c r="CQ48" s="37">
        <f t="shared" si="12"/>
        <v>-1</v>
      </c>
    </row>
    <row r="49" spans="1:95" s="26" customFormat="1" ht="16" customHeight="1" thickBot="1" x14ac:dyDescent="0.25">
      <c r="A49" s="29" t="s">
        <v>73</v>
      </c>
      <c r="B49" s="30">
        <f t="shared" si="52"/>
        <v>14262.499999999998</v>
      </c>
      <c r="C49" s="31">
        <f t="shared" si="52"/>
        <v>14262.499999999998</v>
      </c>
      <c r="D49" s="32">
        <f t="shared" si="52"/>
        <v>0</v>
      </c>
      <c r="E49" s="30">
        <f t="shared" si="54"/>
        <v>4754.166666666667</v>
      </c>
      <c r="F49" s="33">
        <f t="shared" si="54"/>
        <v>4754.166666666667</v>
      </c>
      <c r="G49" s="34">
        <f t="shared" si="54"/>
        <v>0</v>
      </c>
      <c r="H49" s="31">
        <f t="shared" si="53"/>
        <v>10350.366475580409</v>
      </c>
      <c r="I49" s="33">
        <f t="shared" si="53"/>
        <v>0</v>
      </c>
      <c r="J49" s="33">
        <f t="shared" si="53"/>
        <v>10350.366475580409</v>
      </c>
      <c r="K49" s="37">
        <f t="shared" si="14"/>
        <v>1.1771147713753707</v>
      </c>
      <c r="L49" s="36">
        <v>1188.5416666666667</v>
      </c>
      <c r="M49" s="31">
        <f t="shared" si="15"/>
        <v>1188.5416666666667</v>
      </c>
      <c r="N49" s="31">
        <f t="shared" si="16"/>
        <v>0</v>
      </c>
      <c r="O49" s="31">
        <f t="shared" si="17"/>
        <v>2126.9912522371128</v>
      </c>
      <c r="P49" s="40"/>
      <c r="Q49" s="33">
        <v>2126.9912522371128</v>
      </c>
      <c r="R49" s="37">
        <f t="shared" si="18"/>
        <v>0.78958072055006845</v>
      </c>
      <c r="S49" s="36">
        <v>1188.5416666666667</v>
      </c>
      <c r="T49" s="31">
        <f t="shared" si="19"/>
        <v>1188.5416666666667</v>
      </c>
      <c r="U49" s="18">
        <f t="shared" si="20"/>
        <v>0</v>
      </c>
      <c r="V49" s="31">
        <f t="shared" si="21"/>
        <v>1502.2478382503978</v>
      </c>
      <c r="W49" s="31"/>
      <c r="X49" s="33">
        <v>1502.2478382503978</v>
      </c>
      <c r="Y49" s="37">
        <f t="shared" si="2"/>
        <v>0.26394209002662739</v>
      </c>
      <c r="Z49" s="36">
        <v>1188.5416666666667</v>
      </c>
      <c r="AA49" s="31">
        <f t="shared" si="22"/>
        <v>1188.5416666666667</v>
      </c>
      <c r="AB49" s="18">
        <f t="shared" si="23"/>
        <v>0</v>
      </c>
      <c r="AC49" s="31">
        <f t="shared" si="24"/>
        <v>2820.0616973913452</v>
      </c>
      <c r="AD49" s="31"/>
      <c r="AE49" s="27">
        <v>2820.0616973913452</v>
      </c>
      <c r="AF49" s="37">
        <f t="shared" si="3"/>
        <v>1.3727074754563464</v>
      </c>
      <c r="AG49" s="36">
        <v>1188.5416666666667</v>
      </c>
      <c r="AH49" s="31">
        <f t="shared" si="25"/>
        <v>1188.5416666666667</v>
      </c>
      <c r="AI49" s="18">
        <f t="shared" si="26"/>
        <v>0</v>
      </c>
      <c r="AJ49" s="31">
        <f t="shared" si="27"/>
        <v>972.29680383795278</v>
      </c>
      <c r="AK49" s="31"/>
      <c r="AL49" s="27">
        <v>972.29680383795278</v>
      </c>
      <c r="AM49" s="37">
        <f t="shared" si="4"/>
        <v>-0.18194133945273039</v>
      </c>
      <c r="AN49" s="36">
        <v>1188.5416666666667</v>
      </c>
      <c r="AO49" s="31">
        <f t="shared" si="28"/>
        <v>1188.5416666666667</v>
      </c>
      <c r="AP49" s="18">
        <f t="shared" si="29"/>
        <v>0</v>
      </c>
      <c r="AQ49" s="31">
        <f t="shared" si="30"/>
        <v>1300.0224033178579</v>
      </c>
      <c r="AR49" s="31"/>
      <c r="AS49" s="27">
        <v>1300.0224033178579</v>
      </c>
      <c r="AT49" s="37">
        <f t="shared" si="5"/>
        <v>9.379623767321954E-2</v>
      </c>
      <c r="AU49" s="36">
        <v>1188.5416666666667</v>
      </c>
      <c r="AV49" s="31">
        <f t="shared" si="31"/>
        <v>1188.5416666666667</v>
      </c>
      <c r="AW49" s="18">
        <f t="shared" si="32"/>
        <v>0</v>
      </c>
      <c r="AX49" s="31">
        <f t="shared" si="33"/>
        <v>1628.7464805457419</v>
      </c>
      <c r="AY49" s="31"/>
      <c r="AZ49" s="27">
        <v>1628.7464805457419</v>
      </c>
      <c r="BA49" s="37">
        <f t="shared" si="6"/>
        <v>0.370373901247951</v>
      </c>
      <c r="BB49" s="36">
        <v>1188.5416666666667</v>
      </c>
      <c r="BC49" s="31">
        <f t="shared" si="34"/>
        <v>1188.5416666666667</v>
      </c>
      <c r="BD49" s="18">
        <f t="shared" si="35"/>
        <v>0</v>
      </c>
      <c r="BE49" s="31">
        <f t="shared" si="36"/>
        <v>0</v>
      </c>
      <c r="BF49" s="31"/>
      <c r="BG49" s="27">
        <v>0</v>
      </c>
      <c r="BH49" s="37">
        <f t="shared" si="7"/>
        <v>-1</v>
      </c>
      <c r="BI49" s="36">
        <v>1188.5416666666667</v>
      </c>
      <c r="BJ49" s="31">
        <f t="shared" si="37"/>
        <v>1188.5416666666667</v>
      </c>
      <c r="BK49" s="18">
        <f t="shared" si="38"/>
        <v>0</v>
      </c>
      <c r="BL49" s="31">
        <f t="shared" si="39"/>
        <v>0</v>
      </c>
      <c r="BM49" s="31"/>
      <c r="BN49" s="27">
        <v>0</v>
      </c>
      <c r="BO49" s="37">
        <f t="shared" si="8"/>
        <v>-1</v>
      </c>
      <c r="BP49" s="36">
        <v>1188.5416666666667</v>
      </c>
      <c r="BQ49" s="31">
        <f t="shared" si="40"/>
        <v>1188.5416666666667</v>
      </c>
      <c r="BR49" s="18">
        <f t="shared" si="41"/>
        <v>0</v>
      </c>
      <c r="BS49" s="31">
        <f t="shared" si="42"/>
        <v>0</v>
      </c>
      <c r="BT49" s="31"/>
      <c r="BU49" s="27">
        <v>0</v>
      </c>
      <c r="BV49" s="37">
        <f t="shared" si="9"/>
        <v>-1</v>
      </c>
      <c r="BW49" s="36">
        <v>1188.5416666666667</v>
      </c>
      <c r="BX49" s="31">
        <f t="shared" si="43"/>
        <v>1188.5416666666667</v>
      </c>
      <c r="BY49" s="18">
        <f t="shared" si="44"/>
        <v>0</v>
      </c>
      <c r="BZ49" s="31">
        <f t="shared" si="45"/>
        <v>0</v>
      </c>
      <c r="CA49" s="31"/>
      <c r="CB49" s="27">
        <v>0</v>
      </c>
      <c r="CC49" s="37">
        <f t="shared" si="10"/>
        <v>-1</v>
      </c>
      <c r="CD49" s="36">
        <v>1188.5416666666667</v>
      </c>
      <c r="CE49" s="31">
        <f t="shared" si="46"/>
        <v>1188.5416666666667</v>
      </c>
      <c r="CF49" s="18">
        <f t="shared" si="47"/>
        <v>0</v>
      </c>
      <c r="CG49" s="31">
        <f t="shared" si="48"/>
        <v>0</v>
      </c>
      <c r="CH49" s="31"/>
      <c r="CI49" s="27">
        <v>0</v>
      </c>
      <c r="CJ49" s="37">
        <f t="shared" si="11"/>
        <v>-1</v>
      </c>
      <c r="CK49" s="36">
        <v>1188.5416666666667</v>
      </c>
      <c r="CL49" s="31">
        <f t="shared" si="49"/>
        <v>1188.5416666666667</v>
      </c>
      <c r="CM49" s="18">
        <f t="shared" si="50"/>
        <v>0</v>
      </c>
      <c r="CN49" s="31">
        <f t="shared" si="51"/>
        <v>0</v>
      </c>
      <c r="CO49" s="31"/>
      <c r="CP49" s="27">
        <v>0</v>
      </c>
      <c r="CQ49" s="37">
        <f t="shared" si="12"/>
        <v>-1</v>
      </c>
    </row>
    <row r="50" spans="1:95" s="26" customFormat="1" ht="16" customHeight="1" thickBot="1" x14ac:dyDescent="0.25">
      <c r="A50" s="29" t="s">
        <v>74</v>
      </c>
      <c r="B50" s="30">
        <f t="shared" si="52"/>
        <v>1441.3349999999998</v>
      </c>
      <c r="C50" s="31">
        <f t="shared" si="52"/>
        <v>1441.3349999999998</v>
      </c>
      <c r="D50" s="32">
        <f t="shared" si="52"/>
        <v>0</v>
      </c>
      <c r="E50" s="30">
        <f t="shared" si="54"/>
        <v>480.44499999999999</v>
      </c>
      <c r="F50" s="33">
        <f t="shared" si="54"/>
        <v>480.44499999999999</v>
      </c>
      <c r="G50" s="34">
        <f t="shared" si="54"/>
        <v>0</v>
      </c>
      <c r="H50" s="31">
        <f t="shared" si="53"/>
        <v>749.85066310126535</v>
      </c>
      <c r="I50" s="33">
        <f t="shared" si="53"/>
        <v>0</v>
      </c>
      <c r="J50" s="33">
        <f t="shared" si="53"/>
        <v>749.85066310126535</v>
      </c>
      <c r="K50" s="37">
        <f t="shared" si="14"/>
        <v>0.56074194361740748</v>
      </c>
      <c r="L50" s="36">
        <v>120.11125</v>
      </c>
      <c r="M50" s="28">
        <f t="shared" si="15"/>
        <v>120.11125</v>
      </c>
      <c r="N50" s="28">
        <f t="shared" si="16"/>
        <v>0</v>
      </c>
      <c r="O50" s="28">
        <f t="shared" si="17"/>
        <v>112.26092716860838</v>
      </c>
      <c r="P50" s="117"/>
      <c r="Q50" s="28">
        <v>112.26092716860838</v>
      </c>
      <c r="R50" s="37">
        <f t="shared" si="18"/>
        <v>-6.5358763907557571E-2</v>
      </c>
      <c r="S50" s="36">
        <v>120.11125</v>
      </c>
      <c r="T50" s="28">
        <f t="shared" si="19"/>
        <v>120.11125</v>
      </c>
      <c r="U50" s="18">
        <f t="shared" si="20"/>
        <v>0</v>
      </c>
      <c r="V50" s="28">
        <f t="shared" si="21"/>
        <v>125.1851321290728</v>
      </c>
      <c r="W50" s="28"/>
      <c r="X50" s="28">
        <v>125.1851321290728</v>
      </c>
      <c r="Y50" s="37">
        <f t="shared" si="2"/>
        <v>4.2243188119953867E-2</v>
      </c>
      <c r="Z50" s="36">
        <v>120.11125</v>
      </c>
      <c r="AA50" s="28">
        <f t="shared" si="22"/>
        <v>120.11125</v>
      </c>
      <c r="AB50" s="18">
        <f t="shared" si="23"/>
        <v>0</v>
      </c>
      <c r="AC50" s="28">
        <f t="shared" si="24"/>
        <v>229.31472254552222</v>
      </c>
      <c r="AD50" s="28"/>
      <c r="AE50" s="118">
        <v>229.31472254552222</v>
      </c>
      <c r="AF50" s="37">
        <f t="shared" si="3"/>
        <v>0.90918604664860458</v>
      </c>
      <c r="AG50" s="36">
        <v>120.11125</v>
      </c>
      <c r="AH50" s="28">
        <f t="shared" si="25"/>
        <v>120.11125</v>
      </c>
      <c r="AI50" s="18">
        <f t="shared" si="26"/>
        <v>0</v>
      </c>
      <c r="AJ50" s="28">
        <f t="shared" si="27"/>
        <v>106.16329969454</v>
      </c>
      <c r="AK50" s="28"/>
      <c r="AL50" s="118">
        <v>106.16329969454</v>
      </c>
      <c r="AM50" s="37">
        <f t="shared" si="4"/>
        <v>-0.11612526141772728</v>
      </c>
      <c r="AN50" s="36">
        <v>120.11125</v>
      </c>
      <c r="AO50" s="28">
        <f t="shared" si="28"/>
        <v>120.11125</v>
      </c>
      <c r="AP50" s="18">
        <f t="shared" si="29"/>
        <v>0</v>
      </c>
      <c r="AQ50" s="28">
        <f t="shared" si="30"/>
        <v>96.319411712939043</v>
      </c>
      <c r="AR50" s="28"/>
      <c r="AS50" s="118">
        <v>96.319411712939043</v>
      </c>
      <c r="AT50" s="37">
        <f t="shared" si="5"/>
        <v>-0.19808168083390154</v>
      </c>
      <c r="AU50" s="36">
        <v>120.11125</v>
      </c>
      <c r="AV50" s="28">
        <f t="shared" si="31"/>
        <v>120.11125</v>
      </c>
      <c r="AW50" s="18">
        <f t="shared" si="32"/>
        <v>0</v>
      </c>
      <c r="AX50" s="28">
        <f t="shared" si="33"/>
        <v>80.607169850582878</v>
      </c>
      <c r="AY50" s="28"/>
      <c r="AZ50" s="118">
        <v>80.607169850582878</v>
      </c>
      <c r="BA50" s="37">
        <f t="shared" si="6"/>
        <v>-0.32889575413974226</v>
      </c>
      <c r="BB50" s="36">
        <v>120.11125</v>
      </c>
      <c r="BC50" s="28">
        <f t="shared" si="34"/>
        <v>120.11125</v>
      </c>
      <c r="BD50" s="18">
        <f t="shared" si="35"/>
        <v>0</v>
      </c>
      <c r="BE50" s="28">
        <f t="shared" si="36"/>
        <v>0</v>
      </c>
      <c r="BF50" s="28"/>
      <c r="BG50" s="118">
        <v>0</v>
      </c>
      <c r="BH50" s="37">
        <f t="shared" si="7"/>
        <v>-1</v>
      </c>
      <c r="BI50" s="36">
        <v>120.11125</v>
      </c>
      <c r="BJ50" s="28">
        <f t="shared" si="37"/>
        <v>120.11125</v>
      </c>
      <c r="BK50" s="18">
        <f t="shared" si="38"/>
        <v>0</v>
      </c>
      <c r="BL50" s="28">
        <f t="shared" si="39"/>
        <v>0</v>
      </c>
      <c r="BM50" s="28"/>
      <c r="BN50" s="118">
        <v>0</v>
      </c>
      <c r="BO50" s="37">
        <f t="shared" si="8"/>
        <v>-1</v>
      </c>
      <c r="BP50" s="36">
        <v>120.11125</v>
      </c>
      <c r="BQ50" s="28">
        <f t="shared" si="40"/>
        <v>120.11125</v>
      </c>
      <c r="BR50" s="18">
        <f t="shared" si="41"/>
        <v>0</v>
      </c>
      <c r="BS50" s="28">
        <f t="shared" si="42"/>
        <v>0</v>
      </c>
      <c r="BT50" s="28"/>
      <c r="BU50" s="118">
        <v>0</v>
      </c>
      <c r="BV50" s="37">
        <f t="shared" si="9"/>
        <v>-1</v>
      </c>
      <c r="BW50" s="36">
        <v>120.11125</v>
      </c>
      <c r="BX50" s="28">
        <f t="shared" si="43"/>
        <v>120.11125</v>
      </c>
      <c r="BY50" s="18">
        <f t="shared" si="44"/>
        <v>0</v>
      </c>
      <c r="BZ50" s="28">
        <f t="shared" si="45"/>
        <v>0</v>
      </c>
      <c r="CA50" s="28"/>
      <c r="CB50" s="118">
        <v>0</v>
      </c>
      <c r="CC50" s="37">
        <f t="shared" si="10"/>
        <v>-1</v>
      </c>
      <c r="CD50" s="36">
        <v>120.11125</v>
      </c>
      <c r="CE50" s="28">
        <f t="shared" si="46"/>
        <v>120.11125</v>
      </c>
      <c r="CF50" s="18">
        <f t="shared" si="47"/>
        <v>0</v>
      </c>
      <c r="CG50" s="28">
        <f t="shared" si="48"/>
        <v>0</v>
      </c>
      <c r="CH50" s="28"/>
      <c r="CI50" s="27">
        <v>0</v>
      </c>
      <c r="CJ50" s="37">
        <f t="shared" si="11"/>
        <v>-1</v>
      </c>
      <c r="CK50" s="36">
        <v>120.11125</v>
      </c>
      <c r="CL50" s="28">
        <f t="shared" si="49"/>
        <v>120.11125</v>
      </c>
      <c r="CM50" s="18">
        <f t="shared" si="50"/>
        <v>0</v>
      </c>
      <c r="CN50" s="28">
        <f t="shared" si="51"/>
        <v>0</v>
      </c>
      <c r="CO50" s="28"/>
      <c r="CP50" s="118">
        <v>0</v>
      </c>
      <c r="CQ50" s="37">
        <f t="shared" si="12"/>
        <v>-1</v>
      </c>
    </row>
    <row r="51" spans="1:95" s="26" customFormat="1" ht="16" customHeight="1" thickBot="1" x14ac:dyDescent="0.25">
      <c r="A51" s="29" t="s">
        <v>75</v>
      </c>
      <c r="B51" s="30">
        <f t="shared" si="52"/>
        <v>1083.3264224999996</v>
      </c>
      <c r="C51" s="31">
        <f t="shared" si="52"/>
        <v>1083.3264224999996</v>
      </c>
      <c r="D51" s="32">
        <f t="shared" si="52"/>
        <v>0</v>
      </c>
      <c r="E51" s="30">
        <f t="shared" si="54"/>
        <v>361.1088074999999</v>
      </c>
      <c r="F51" s="33">
        <f t="shared" si="54"/>
        <v>361.1088074999999</v>
      </c>
      <c r="G51" s="34">
        <f t="shared" si="54"/>
        <v>0</v>
      </c>
      <c r="H51" s="31">
        <f t="shared" si="53"/>
        <v>533.87493820029306</v>
      </c>
      <c r="I51" s="33">
        <f t="shared" si="53"/>
        <v>0</v>
      </c>
      <c r="J51" s="33">
        <f t="shared" si="53"/>
        <v>533.87493820029306</v>
      </c>
      <c r="K51" s="37">
        <f t="shared" si="14"/>
        <v>0.47843233704648203</v>
      </c>
      <c r="L51" s="36">
        <v>90.277201874999975</v>
      </c>
      <c r="M51" s="31">
        <f t="shared" si="15"/>
        <v>90.277201874999975</v>
      </c>
      <c r="N51" s="31">
        <f t="shared" si="16"/>
        <v>0</v>
      </c>
      <c r="O51" s="31">
        <f t="shared" si="17"/>
        <v>89.365946169175089</v>
      </c>
      <c r="P51" s="76"/>
      <c r="Q51" s="45">
        <v>89.365946169175089</v>
      </c>
      <c r="R51" s="37">
        <f t="shared" si="18"/>
        <v>-1.0093973748617424E-2</v>
      </c>
      <c r="S51" s="36">
        <v>90.277201874999975</v>
      </c>
      <c r="T51" s="31">
        <f t="shared" si="19"/>
        <v>90.277201874999975</v>
      </c>
      <c r="U51" s="18">
        <f t="shared" si="20"/>
        <v>0</v>
      </c>
      <c r="V51" s="31">
        <f t="shared" si="21"/>
        <v>87.038206634011203</v>
      </c>
      <c r="W51" s="31"/>
      <c r="X51" s="45">
        <v>87.038206634011203</v>
      </c>
      <c r="Y51" s="37">
        <f t="shared" si="2"/>
        <v>-3.5878330007099279E-2</v>
      </c>
      <c r="Z51" s="36">
        <v>90.277201874999975</v>
      </c>
      <c r="AA51" s="31">
        <f t="shared" si="22"/>
        <v>90.277201874999975</v>
      </c>
      <c r="AB51" s="18">
        <f t="shared" si="23"/>
        <v>0</v>
      </c>
      <c r="AC51" s="31">
        <f t="shared" si="24"/>
        <v>80.953705510705021</v>
      </c>
      <c r="AD51" s="31"/>
      <c r="AE51" s="48">
        <v>80.953705510705021</v>
      </c>
      <c r="AF51" s="37">
        <f t="shared" si="3"/>
        <v>-0.10327631085868716</v>
      </c>
      <c r="AG51" s="36">
        <v>90.277201874999975</v>
      </c>
      <c r="AH51" s="31">
        <f t="shared" si="25"/>
        <v>90.277201874999975</v>
      </c>
      <c r="AI51" s="18">
        <f t="shared" si="26"/>
        <v>0</v>
      </c>
      <c r="AJ51" s="31">
        <f t="shared" si="27"/>
        <v>107.96248483901253</v>
      </c>
      <c r="AK51" s="31"/>
      <c r="AL51" s="48">
        <v>107.96248483901253</v>
      </c>
      <c r="AM51" s="37">
        <f t="shared" si="4"/>
        <v>0.19589976867581727</v>
      </c>
      <c r="AN51" s="36">
        <v>90.277201874999975</v>
      </c>
      <c r="AO51" s="31">
        <f t="shared" si="28"/>
        <v>90.277201874999975</v>
      </c>
      <c r="AP51" s="18">
        <f t="shared" si="29"/>
        <v>0</v>
      </c>
      <c r="AQ51" s="31">
        <f t="shared" si="30"/>
        <v>88.66849939867673</v>
      </c>
      <c r="AR51" s="31"/>
      <c r="AS51" s="48">
        <v>88.66849939867673</v>
      </c>
      <c r="AT51" s="37">
        <f t="shared" si="5"/>
        <v>-1.7819587259147562E-2</v>
      </c>
      <c r="AU51" s="36">
        <v>90.277201874999975</v>
      </c>
      <c r="AV51" s="31">
        <f t="shared" si="31"/>
        <v>90.277201874999975</v>
      </c>
      <c r="AW51" s="18">
        <f t="shared" si="32"/>
        <v>0</v>
      </c>
      <c r="AX51" s="31">
        <f t="shared" si="33"/>
        <v>79.886095648712555</v>
      </c>
      <c r="AY51" s="31"/>
      <c r="AZ51" s="48">
        <v>79.886095648712555</v>
      </c>
      <c r="BA51" s="37">
        <f t="shared" si="6"/>
        <v>-0.11510221861633685</v>
      </c>
      <c r="BB51" s="36">
        <v>90.277201874999975</v>
      </c>
      <c r="BC51" s="31">
        <f t="shared" si="34"/>
        <v>90.277201874999975</v>
      </c>
      <c r="BD51" s="18">
        <f t="shared" si="35"/>
        <v>0</v>
      </c>
      <c r="BE51" s="31">
        <f t="shared" si="36"/>
        <v>0</v>
      </c>
      <c r="BF51" s="31"/>
      <c r="BG51" s="48">
        <v>0</v>
      </c>
      <c r="BH51" s="37">
        <f t="shared" si="7"/>
        <v>-1</v>
      </c>
      <c r="BI51" s="36">
        <v>90.277201874999975</v>
      </c>
      <c r="BJ51" s="31">
        <f t="shared" si="37"/>
        <v>90.277201874999975</v>
      </c>
      <c r="BK51" s="18">
        <f t="shared" si="38"/>
        <v>0</v>
      </c>
      <c r="BL51" s="31">
        <f t="shared" si="39"/>
        <v>0</v>
      </c>
      <c r="BM51" s="31"/>
      <c r="BN51" s="48">
        <v>0</v>
      </c>
      <c r="BO51" s="37">
        <f t="shared" si="8"/>
        <v>-1</v>
      </c>
      <c r="BP51" s="36">
        <v>90.277201874999975</v>
      </c>
      <c r="BQ51" s="31">
        <f t="shared" si="40"/>
        <v>90.277201874999975</v>
      </c>
      <c r="BR51" s="18">
        <f t="shared" si="41"/>
        <v>0</v>
      </c>
      <c r="BS51" s="31">
        <f t="shared" si="42"/>
        <v>0</v>
      </c>
      <c r="BT51" s="31"/>
      <c r="BU51" s="48">
        <v>0</v>
      </c>
      <c r="BV51" s="37">
        <f t="shared" si="9"/>
        <v>-1</v>
      </c>
      <c r="BW51" s="36">
        <v>90.277201874999975</v>
      </c>
      <c r="BX51" s="31">
        <f t="shared" si="43"/>
        <v>90.277201874999975</v>
      </c>
      <c r="BY51" s="18">
        <f t="shared" si="44"/>
        <v>0</v>
      </c>
      <c r="BZ51" s="31">
        <f t="shared" si="45"/>
        <v>0</v>
      </c>
      <c r="CA51" s="31"/>
      <c r="CB51" s="48">
        <v>0</v>
      </c>
      <c r="CC51" s="37">
        <f t="shared" si="10"/>
        <v>-1</v>
      </c>
      <c r="CD51" s="36">
        <v>90.277201874999975</v>
      </c>
      <c r="CE51" s="31">
        <f t="shared" si="46"/>
        <v>90.277201874999975</v>
      </c>
      <c r="CF51" s="18">
        <f t="shared" si="47"/>
        <v>0</v>
      </c>
      <c r="CG51" s="31">
        <f t="shared" si="48"/>
        <v>0</v>
      </c>
      <c r="CH51" s="31"/>
      <c r="CI51" s="27">
        <v>0</v>
      </c>
      <c r="CJ51" s="37">
        <f t="shared" si="11"/>
        <v>-1</v>
      </c>
      <c r="CK51" s="36">
        <v>90.277201874999975</v>
      </c>
      <c r="CL51" s="31">
        <f t="shared" si="49"/>
        <v>90.277201874999975</v>
      </c>
      <c r="CM51" s="18">
        <f t="shared" si="50"/>
        <v>0</v>
      </c>
      <c r="CN51" s="31">
        <f t="shared" si="51"/>
        <v>0</v>
      </c>
      <c r="CO51" s="31"/>
      <c r="CP51" s="48">
        <v>0</v>
      </c>
      <c r="CQ51" s="37">
        <f t="shared" si="12"/>
        <v>-1</v>
      </c>
    </row>
    <row r="52" spans="1:95" s="26" customFormat="1" ht="16" customHeight="1" thickBot="1" x14ac:dyDescent="0.25">
      <c r="A52" s="29" t="s">
        <v>76</v>
      </c>
      <c r="B52" s="30">
        <f t="shared" si="52"/>
        <v>3499.9999999999995</v>
      </c>
      <c r="C52" s="31">
        <f t="shared" si="52"/>
        <v>3499.9999999999995</v>
      </c>
      <c r="D52" s="32">
        <f t="shared" si="52"/>
        <v>0</v>
      </c>
      <c r="E52" s="30">
        <f t="shared" si="54"/>
        <v>1166.6666666666667</v>
      </c>
      <c r="F52" s="33">
        <f t="shared" si="54"/>
        <v>1166.6666666666667</v>
      </c>
      <c r="G52" s="34">
        <f t="shared" si="54"/>
        <v>0</v>
      </c>
      <c r="H52" s="31">
        <f t="shared" si="53"/>
        <v>2112.8419212055096</v>
      </c>
      <c r="I52" s="33">
        <f t="shared" si="53"/>
        <v>0</v>
      </c>
      <c r="J52" s="33">
        <f t="shared" si="53"/>
        <v>2112.8419212055096</v>
      </c>
      <c r="K52" s="37">
        <f t="shared" si="14"/>
        <v>0.81100736103329374</v>
      </c>
      <c r="L52" s="36">
        <v>291.66666666666669</v>
      </c>
      <c r="M52" s="31">
        <f t="shared" si="15"/>
        <v>291.66666666666669</v>
      </c>
      <c r="N52" s="31">
        <f t="shared" si="16"/>
        <v>0</v>
      </c>
      <c r="O52" s="31">
        <f t="shared" si="17"/>
        <v>181.6328158567969</v>
      </c>
      <c r="P52" s="31"/>
      <c r="Q52" s="33">
        <v>181.6328158567969</v>
      </c>
      <c r="R52" s="37">
        <f t="shared" si="18"/>
        <v>-0.37725891706241066</v>
      </c>
      <c r="S52" s="36">
        <v>291.66666666666669</v>
      </c>
      <c r="T52" s="31">
        <f t="shared" si="19"/>
        <v>291.66666666666669</v>
      </c>
      <c r="U52" s="18">
        <f t="shared" si="20"/>
        <v>0</v>
      </c>
      <c r="V52" s="31">
        <f t="shared" si="21"/>
        <v>121.48962684448743</v>
      </c>
      <c r="W52" s="31"/>
      <c r="X52" s="33">
        <v>121.48962684448743</v>
      </c>
      <c r="Y52" s="37">
        <f t="shared" si="2"/>
        <v>-0.58346413653318596</v>
      </c>
      <c r="Z52" s="36">
        <v>291.66666666666669</v>
      </c>
      <c r="AA52" s="31">
        <f t="shared" si="22"/>
        <v>291.66666666666669</v>
      </c>
      <c r="AB52" s="18">
        <f t="shared" si="23"/>
        <v>0</v>
      </c>
      <c r="AC52" s="31">
        <f t="shared" si="24"/>
        <v>557.86378176324331</v>
      </c>
      <c r="AD52" s="31"/>
      <c r="AE52" s="27">
        <v>557.86378176324331</v>
      </c>
      <c r="AF52" s="37">
        <f t="shared" si="3"/>
        <v>0.91267582318826257</v>
      </c>
      <c r="AG52" s="36">
        <v>291.66666666666669</v>
      </c>
      <c r="AH52" s="31">
        <f t="shared" si="25"/>
        <v>291.66666666666669</v>
      </c>
      <c r="AI52" s="18">
        <f t="shared" si="26"/>
        <v>0</v>
      </c>
      <c r="AJ52" s="31">
        <f t="shared" si="27"/>
        <v>363.69880128874644</v>
      </c>
      <c r="AK52" s="31"/>
      <c r="AL52" s="27">
        <v>363.69880128874644</v>
      </c>
      <c r="AM52" s="37">
        <f t="shared" si="4"/>
        <v>0.24696731870427335</v>
      </c>
      <c r="AN52" s="36">
        <v>291.66666666666669</v>
      </c>
      <c r="AO52" s="31">
        <f t="shared" si="28"/>
        <v>291.66666666666669</v>
      </c>
      <c r="AP52" s="18">
        <f t="shared" si="29"/>
        <v>0</v>
      </c>
      <c r="AQ52" s="31">
        <f t="shared" si="30"/>
        <v>540.64025938313216</v>
      </c>
      <c r="AR52" s="31"/>
      <c r="AS52" s="27">
        <v>540.64025938313216</v>
      </c>
      <c r="AT52" s="37">
        <f t="shared" si="5"/>
        <v>0.85362374645645289</v>
      </c>
      <c r="AU52" s="36">
        <v>291.66666666666669</v>
      </c>
      <c r="AV52" s="31">
        <f t="shared" si="31"/>
        <v>291.66666666666669</v>
      </c>
      <c r="AW52" s="18">
        <f t="shared" si="32"/>
        <v>0</v>
      </c>
      <c r="AX52" s="31">
        <f t="shared" si="33"/>
        <v>347.51663606910341</v>
      </c>
      <c r="AY52" s="31"/>
      <c r="AZ52" s="27">
        <v>347.51663606910341</v>
      </c>
      <c r="BA52" s="37">
        <f t="shared" si="6"/>
        <v>0.19148560937978298</v>
      </c>
      <c r="BB52" s="36">
        <v>291.66666666666669</v>
      </c>
      <c r="BC52" s="31">
        <f t="shared" si="34"/>
        <v>291.66666666666669</v>
      </c>
      <c r="BD52" s="18">
        <f t="shared" si="35"/>
        <v>0</v>
      </c>
      <c r="BE52" s="31">
        <f t="shared" si="36"/>
        <v>0</v>
      </c>
      <c r="BF52" s="31"/>
      <c r="BG52" s="27">
        <v>0</v>
      </c>
      <c r="BH52" s="37">
        <f t="shared" si="7"/>
        <v>-1</v>
      </c>
      <c r="BI52" s="36">
        <v>291.66666666666669</v>
      </c>
      <c r="BJ52" s="31">
        <f t="shared" si="37"/>
        <v>291.66666666666669</v>
      </c>
      <c r="BK52" s="18">
        <f t="shared" si="38"/>
        <v>0</v>
      </c>
      <c r="BL52" s="31">
        <f t="shared" si="39"/>
        <v>0</v>
      </c>
      <c r="BM52" s="31"/>
      <c r="BN52" s="27">
        <v>0</v>
      </c>
      <c r="BO52" s="37">
        <f t="shared" si="8"/>
        <v>-1</v>
      </c>
      <c r="BP52" s="36">
        <v>291.66666666666669</v>
      </c>
      <c r="BQ52" s="31">
        <f t="shared" si="40"/>
        <v>291.66666666666669</v>
      </c>
      <c r="BR52" s="18">
        <f t="shared" si="41"/>
        <v>0</v>
      </c>
      <c r="BS52" s="31">
        <f t="shared" si="42"/>
        <v>0</v>
      </c>
      <c r="BT52" s="31"/>
      <c r="BU52" s="27">
        <v>0</v>
      </c>
      <c r="BV52" s="37">
        <f t="shared" si="9"/>
        <v>-1</v>
      </c>
      <c r="BW52" s="36">
        <v>291.66666666666669</v>
      </c>
      <c r="BX52" s="31">
        <f t="shared" si="43"/>
        <v>291.66666666666669</v>
      </c>
      <c r="BY52" s="18">
        <f t="shared" si="44"/>
        <v>0</v>
      </c>
      <c r="BZ52" s="31">
        <f t="shared" si="45"/>
        <v>0</v>
      </c>
      <c r="CA52" s="31"/>
      <c r="CB52" s="27">
        <v>0</v>
      </c>
      <c r="CC52" s="37">
        <f t="shared" si="10"/>
        <v>-1</v>
      </c>
      <c r="CD52" s="36">
        <v>291.66666666666669</v>
      </c>
      <c r="CE52" s="31">
        <f t="shared" si="46"/>
        <v>291.66666666666669</v>
      </c>
      <c r="CF52" s="18">
        <f t="shared" si="47"/>
        <v>0</v>
      </c>
      <c r="CG52" s="31">
        <f t="shared" si="48"/>
        <v>0</v>
      </c>
      <c r="CH52" s="31"/>
      <c r="CI52" s="27">
        <v>0</v>
      </c>
      <c r="CJ52" s="37">
        <f t="shared" si="11"/>
        <v>-1</v>
      </c>
      <c r="CK52" s="36">
        <v>291.66666666666669</v>
      </c>
      <c r="CL52" s="31">
        <f t="shared" si="49"/>
        <v>291.66666666666669</v>
      </c>
      <c r="CM52" s="18">
        <f t="shared" si="50"/>
        <v>0</v>
      </c>
      <c r="CN52" s="31">
        <f t="shared" si="51"/>
        <v>0</v>
      </c>
      <c r="CO52" s="31"/>
      <c r="CP52" s="27">
        <v>0</v>
      </c>
      <c r="CQ52" s="37">
        <f t="shared" si="12"/>
        <v>-1</v>
      </c>
    </row>
    <row r="53" spans="1:95" s="26" customFormat="1" ht="16" customHeight="1" thickBot="1" x14ac:dyDescent="0.25">
      <c r="A53" s="38" t="s">
        <v>77</v>
      </c>
      <c r="B53" s="30">
        <f t="shared" si="52"/>
        <v>3062.5</v>
      </c>
      <c r="C53" s="31">
        <f t="shared" si="52"/>
        <v>3062.5</v>
      </c>
      <c r="D53" s="32">
        <f t="shared" si="52"/>
        <v>0</v>
      </c>
      <c r="E53" s="30">
        <f t="shared" si="54"/>
        <v>1020.8333333333333</v>
      </c>
      <c r="F53" s="33">
        <f t="shared" si="54"/>
        <v>1020.8333333333333</v>
      </c>
      <c r="G53" s="34">
        <f t="shared" si="54"/>
        <v>0</v>
      </c>
      <c r="H53" s="31">
        <f t="shared" si="53"/>
        <v>2705.537787351333</v>
      </c>
      <c r="I53" s="33">
        <f t="shared" si="53"/>
        <v>0</v>
      </c>
      <c r="J53" s="33">
        <f t="shared" si="53"/>
        <v>2705.537787351333</v>
      </c>
      <c r="K53" s="37">
        <f t="shared" si="14"/>
        <v>1.6503227304666122</v>
      </c>
      <c r="L53" s="36">
        <v>255.20833333333331</v>
      </c>
      <c r="M53" s="31">
        <f t="shared" si="15"/>
        <v>255.20833333333331</v>
      </c>
      <c r="N53" s="31">
        <f t="shared" si="16"/>
        <v>0</v>
      </c>
      <c r="O53" s="31">
        <f t="shared" si="17"/>
        <v>0</v>
      </c>
      <c r="P53" s="31"/>
      <c r="Q53" s="33">
        <v>0</v>
      </c>
      <c r="R53" s="37">
        <f t="shared" si="18"/>
        <v>-1</v>
      </c>
      <c r="S53" s="36">
        <v>255.20833333333331</v>
      </c>
      <c r="T53" s="31">
        <f t="shared" si="19"/>
        <v>255.20833333333331</v>
      </c>
      <c r="U53" s="18">
        <f t="shared" si="20"/>
        <v>0</v>
      </c>
      <c r="V53" s="31">
        <f t="shared" si="21"/>
        <v>9.436096017921848</v>
      </c>
      <c r="W53" s="31"/>
      <c r="X53" s="33">
        <v>9.436096017921848</v>
      </c>
      <c r="Y53" s="37">
        <f t="shared" si="2"/>
        <v>-0.96302590948079603</v>
      </c>
      <c r="Z53" s="36">
        <v>255.20833333333331</v>
      </c>
      <c r="AA53" s="31">
        <f t="shared" si="22"/>
        <v>255.20833333333331</v>
      </c>
      <c r="AB53" s="18">
        <f t="shared" si="23"/>
        <v>0</v>
      </c>
      <c r="AC53" s="31">
        <f t="shared" si="24"/>
        <v>38.503962235793495</v>
      </c>
      <c r="AD53" s="31"/>
      <c r="AE53" s="27">
        <v>38.503962235793495</v>
      </c>
      <c r="AF53" s="37">
        <f t="shared" si="3"/>
        <v>-0.84912733164750298</v>
      </c>
      <c r="AG53" s="36">
        <v>255.20833333333331</v>
      </c>
      <c r="AH53" s="31">
        <f t="shared" si="25"/>
        <v>255.20833333333331</v>
      </c>
      <c r="AI53" s="18">
        <f t="shared" si="26"/>
        <v>0</v>
      </c>
      <c r="AJ53" s="31">
        <f t="shared" si="27"/>
        <v>0</v>
      </c>
      <c r="AK53" s="31"/>
      <c r="AL53" s="27">
        <v>0</v>
      </c>
      <c r="AM53" s="37">
        <f t="shared" si="4"/>
        <v>-1</v>
      </c>
      <c r="AN53" s="36">
        <v>255.20833333333331</v>
      </c>
      <c r="AO53" s="31">
        <f t="shared" si="28"/>
        <v>255.20833333333331</v>
      </c>
      <c r="AP53" s="18">
        <f t="shared" si="29"/>
        <v>0</v>
      </c>
      <c r="AQ53" s="31">
        <f t="shared" si="30"/>
        <v>2657.5977290976175</v>
      </c>
      <c r="AR53" s="31"/>
      <c r="AS53" s="27">
        <v>2657.5977290976175</v>
      </c>
      <c r="AT53" s="37">
        <f t="shared" si="5"/>
        <v>9.4134441629947467</v>
      </c>
      <c r="AU53" s="36">
        <v>255.20833333333331</v>
      </c>
      <c r="AV53" s="31">
        <f t="shared" si="31"/>
        <v>255.20833333333331</v>
      </c>
      <c r="AW53" s="18">
        <f t="shared" si="32"/>
        <v>0</v>
      </c>
      <c r="AX53" s="31">
        <f t="shared" si="33"/>
        <v>0</v>
      </c>
      <c r="AY53" s="31"/>
      <c r="AZ53" s="27">
        <v>0</v>
      </c>
      <c r="BA53" s="37">
        <f t="shared" si="6"/>
        <v>-1</v>
      </c>
      <c r="BB53" s="36">
        <v>255.20833333333331</v>
      </c>
      <c r="BC53" s="31">
        <f t="shared" si="34"/>
        <v>255.20833333333331</v>
      </c>
      <c r="BD53" s="18">
        <f t="shared" si="35"/>
        <v>0</v>
      </c>
      <c r="BE53" s="31">
        <f t="shared" si="36"/>
        <v>0</v>
      </c>
      <c r="BF53" s="31"/>
      <c r="BG53" s="27">
        <v>0</v>
      </c>
      <c r="BH53" s="37">
        <f t="shared" si="7"/>
        <v>-1</v>
      </c>
      <c r="BI53" s="36">
        <v>255.20833333333331</v>
      </c>
      <c r="BJ53" s="31">
        <f t="shared" si="37"/>
        <v>255.20833333333331</v>
      </c>
      <c r="BK53" s="18">
        <f t="shared" si="38"/>
        <v>0</v>
      </c>
      <c r="BL53" s="31">
        <f t="shared" si="39"/>
        <v>0</v>
      </c>
      <c r="BM53" s="31"/>
      <c r="BN53" s="27">
        <v>0</v>
      </c>
      <c r="BO53" s="37">
        <f t="shared" si="8"/>
        <v>-1</v>
      </c>
      <c r="BP53" s="36">
        <v>255.20833333333331</v>
      </c>
      <c r="BQ53" s="31">
        <f t="shared" si="40"/>
        <v>255.20833333333331</v>
      </c>
      <c r="BR53" s="18">
        <f t="shared" si="41"/>
        <v>0</v>
      </c>
      <c r="BS53" s="31">
        <f t="shared" si="42"/>
        <v>0</v>
      </c>
      <c r="BT53" s="31"/>
      <c r="BU53" s="27">
        <v>0</v>
      </c>
      <c r="BV53" s="37">
        <f t="shared" si="9"/>
        <v>-1</v>
      </c>
      <c r="BW53" s="36">
        <v>255.20833333333331</v>
      </c>
      <c r="BX53" s="31">
        <f t="shared" si="43"/>
        <v>255.20833333333331</v>
      </c>
      <c r="BY53" s="18">
        <f t="shared" si="44"/>
        <v>0</v>
      </c>
      <c r="BZ53" s="31">
        <f t="shared" si="45"/>
        <v>0</v>
      </c>
      <c r="CA53" s="31"/>
      <c r="CB53" s="27">
        <v>0</v>
      </c>
      <c r="CC53" s="37">
        <f t="shared" si="10"/>
        <v>-1</v>
      </c>
      <c r="CD53" s="36">
        <v>255.20833333333331</v>
      </c>
      <c r="CE53" s="31">
        <f t="shared" si="46"/>
        <v>255.20833333333331</v>
      </c>
      <c r="CF53" s="18">
        <f t="shared" si="47"/>
        <v>0</v>
      </c>
      <c r="CG53" s="31">
        <f t="shared" si="48"/>
        <v>0</v>
      </c>
      <c r="CH53" s="31"/>
      <c r="CI53" s="27">
        <v>0</v>
      </c>
      <c r="CJ53" s="37">
        <f t="shared" si="11"/>
        <v>-1</v>
      </c>
      <c r="CK53" s="36">
        <v>255.20833333333331</v>
      </c>
      <c r="CL53" s="31">
        <f t="shared" si="49"/>
        <v>255.20833333333331</v>
      </c>
      <c r="CM53" s="18">
        <f t="shared" si="50"/>
        <v>0</v>
      </c>
      <c r="CN53" s="31">
        <f t="shared" si="51"/>
        <v>0</v>
      </c>
      <c r="CO53" s="31"/>
      <c r="CP53" s="27">
        <v>0</v>
      </c>
      <c r="CQ53" s="37">
        <f t="shared" si="12"/>
        <v>-1</v>
      </c>
    </row>
    <row r="54" spans="1:95" s="26" customFormat="1" ht="16" customHeight="1" thickBot="1" x14ac:dyDescent="0.25">
      <c r="A54" s="39" t="s">
        <v>78</v>
      </c>
      <c r="B54" s="50">
        <f t="shared" si="52"/>
        <v>52991.466167594772</v>
      </c>
      <c r="C54" s="40">
        <f t="shared" si="52"/>
        <v>52991.466167594772</v>
      </c>
      <c r="D54" s="51">
        <f t="shared" si="52"/>
        <v>0</v>
      </c>
      <c r="E54" s="52">
        <f t="shared" si="54"/>
        <v>30280.837810054156</v>
      </c>
      <c r="F54" s="53">
        <f t="shared" si="54"/>
        <v>30280.837810054156</v>
      </c>
      <c r="G54" s="54">
        <f t="shared" si="54"/>
        <v>0</v>
      </c>
      <c r="H54" s="40">
        <f t="shared" si="53"/>
        <v>7823.857184940307</v>
      </c>
      <c r="I54" s="53">
        <f t="shared" si="53"/>
        <v>0</v>
      </c>
      <c r="J54" s="53">
        <f t="shared" si="53"/>
        <v>7823.857184940307</v>
      </c>
      <c r="K54" s="60">
        <f t="shared" si="14"/>
        <v>-0.74162349027401908</v>
      </c>
      <c r="L54" s="87">
        <v>7570.209452513539</v>
      </c>
      <c r="M54" s="40">
        <f t="shared" si="15"/>
        <v>7570.209452513539</v>
      </c>
      <c r="N54" s="40">
        <f t="shared" si="16"/>
        <v>0</v>
      </c>
      <c r="O54" s="40">
        <f t="shared" si="17"/>
        <v>0</v>
      </c>
      <c r="P54" s="40"/>
      <c r="Q54" s="58">
        <v>0</v>
      </c>
      <c r="R54" s="60">
        <f t="shared" si="18"/>
        <v>-1</v>
      </c>
      <c r="S54" s="87">
        <v>7570.209452513539</v>
      </c>
      <c r="T54" s="40">
        <f t="shared" si="19"/>
        <v>7570.209452513539</v>
      </c>
      <c r="U54" s="18">
        <f t="shared" si="20"/>
        <v>0</v>
      </c>
      <c r="V54" s="40">
        <f t="shared" si="21"/>
        <v>4690.014499183113</v>
      </c>
      <c r="W54" s="40"/>
      <c r="X54" s="58">
        <v>4690.014499183113</v>
      </c>
      <c r="Y54" s="60">
        <f t="shared" si="2"/>
        <v>-0.38046436778233583</v>
      </c>
      <c r="Z54" s="87">
        <v>7570.209452513539</v>
      </c>
      <c r="AA54" s="40">
        <f t="shared" si="22"/>
        <v>7570.209452513539</v>
      </c>
      <c r="AB54" s="18">
        <f t="shared" si="23"/>
        <v>0</v>
      </c>
      <c r="AC54" s="40">
        <f t="shared" si="24"/>
        <v>4194.6355962538137</v>
      </c>
      <c r="AD54" s="40"/>
      <c r="AE54" s="59">
        <v>4194.6355962538137</v>
      </c>
      <c r="AF54" s="60">
        <f t="shared" si="3"/>
        <v>-0.44590230659191765</v>
      </c>
      <c r="AG54" s="87">
        <v>7570.209452513539</v>
      </c>
      <c r="AH54" s="40">
        <f t="shared" si="25"/>
        <v>7570.209452513539</v>
      </c>
      <c r="AI54" s="18">
        <f t="shared" si="26"/>
        <v>0</v>
      </c>
      <c r="AJ54" s="40">
        <f t="shared" si="27"/>
        <v>0</v>
      </c>
      <c r="AK54" s="40"/>
      <c r="AL54" s="59">
        <v>0</v>
      </c>
      <c r="AM54" s="60">
        <f t="shared" si="4"/>
        <v>-1</v>
      </c>
      <c r="AN54" s="56">
        <v>7570.209452513539</v>
      </c>
      <c r="AO54" s="40">
        <f t="shared" si="28"/>
        <v>7570.209452513539</v>
      </c>
      <c r="AP54" s="18">
        <f t="shared" si="29"/>
        <v>0</v>
      </c>
      <c r="AQ54" s="40">
        <f t="shared" si="30"/>
        <v>0</v>
      </c>
      <c r="AR54" s="40"/>
      <c r="AS54" s="59">
        <v>0</v>
      </c>
      <c r="AT54" s="60">
        <f t="shared" si="5"/>
        <v>-1</v>
      </c>
      <c r="AU54" s="56">
        <v>7570.209452513539</v>
      </c>
      <c r="AV54" s="40">
        <f t="shared" si="31"/>
        <v>7570.209452513539</v>
      </c>
      <c r="AW54" s="18">
        <f t="shared" si="32"/>
        <v>0</v>
      </c>
      <c r="AX54" s="40">
        <f t="shared" si="33"/>
        <v>-1060.792910496619</v>
      </c>
      <c r="AY54" s="40"/>
      <c r="AZ54" s="59">
        <v>-1060.792910496619</v>
      </c>
      <c r="BA54" s="60">
        <f t="shared" si="6"/>
        <v>-1.1401272867218228</v>
      </c>
      <c r="BB54" s="56">
        <v>7570.209452513539</v>
      </c>
      <c r="BC54" s="40">
        <f t="shared" si="34"/>
        <v>7570.209452513539</v>
      </c>
      <c r="BD54" s="18">
        <f t="shared" si="35"/>
        <v>0</v>
      </c>
      <c r="BE54" s="40">
        <f t="shared" si="36"/>
        <v>0</v>
      </c>
      <c r="BF54" s="40"/>
      <c r="BG54" s="59">
        <v>0</v>
      </c>
      <c r="BH54" s="60">
        <f t="shared" si="7"/>
        <v>-1</v>
      </c>
      <c r="BI54" s="56">
        <v>0</v>
      </c>
      <c r="BJ54" s="40">
        <f t="shared" si="37"/>
        <v>0</v>
      </c>
      <c r="BK54" s="18">
        <f t="shared" si="38"/>
        <v>0</v>
      </c>
      <c r="BL54" s="40">
        <f t="shared" si="39"/>
        <v>0</v>
      </c>
      <c r="BM54" s="40"/>
      <c r="BN54" s="59">
        <v>0</v>
      </c>
      <c r="BO54" s="60" t="str">
        <f t="shared" si="8"/>
        <v/>
      </c>
      <c r="BP54" s="56">
        <v>0</v>
      </c>
      <c r="BQ54" s="40">
        <f t="shared" si="40"/>
        <v>0</v>
      </c>
      <c r="BR54" s="18">
        <f t="shared" si="41"/>
        <v>0</v>
      </c>
      <c r="BS54" s="40">
        <f t="shared" si="42"/>
        <v>0</v>
      </c>
      <c r="BT54" s="40"/>
      <c r="BU54" s="59">
        <v>0</v>
      </c>
      <c r="BV54" s="60" t="str">
        <f t="shared" si="9"/>
        <v/>
      </c>
      <c r="BW54" s="87">
        <v>0</v>
      </c>
      <c r="BX54" s="40">
        <f t="shared" si="43"/>
        <v>0</v>
      </c>
      <c r="BY54" s="18">
        <f t="shared" si="44"/>
        <v>0</v>
      </c>
      <c r="BZ54" s="40">
        <f t="shared" si="45"/>
        <v>0</v>
      </c>
      <c r="CA54" s="40"/>
      <c r="CB54" s="61">
        <v>0</v>
      </c>
      <c r="CC54" s="60" t="str">
        <f t="shared" si="10"/>
        <v/>
      </c>
      <c r="CD54" s="87">
        <v>0</v>
      </c>
      <c r="CE54" s="40">
        <f t="shared" si="46"/>
        <v>0</v>
      </c>
      <c r="CF54" s="18">
        <f t="shared" si="47"/>
        <v>0</v>
      </c>
      <c r="CG54" s="40">
        <f t="shared" si="48"/>
        <v>0</v>
      </c>
      <c r="CH54" s="40"/>
      <c r="CI54" s="27">
        <v>0</v>
      </c>
      <c r="CJ54" s="60" t="str">
        <f t="shared" si="11"/>
        <v/>
      </c>
      <c r="CK54" s="87">
        <v>0</v>
      </c>
      <c r="CL54" s="40">
        <f t="shared" si="49"/>
        <v>0</v>
      </c>
      <c r="CM54" s="18">
        <f t="shared" si="50"/>
        <v>0</v>
      </c>
      <c r="CN54" s="40">
        <f t="shared" si="51"/>
        <v>0</v>
      </c>
      <c r="CO54" s="40"/>
      <c r="CP54" s="61">
        <v>0</v>
      </c>
      <c r="CQ54" s="60" t="str">
        <f t="shared" si="12"/>
        <v/>
      </c>
    </row>
    <row r="55" spans="1:95" s="26" customFormat="1" ht="16" customHeight="1" thickBot="1" x14ac:dyDescent="0.25">
      <c r="A55" s="119" t="s">
        <v>79</v>
      </c>
      <c r="B55" s="63">
        <f t="shared" ref="B55:J55" si="55">SUM(B4:B54)</f>
        <v>2711088.0327408952</v>
      </c>
      <c r="C55" s="64">
        <f t="shared" si="55"/>
        <v>2711088.0327408952</v>
      </c>
      <c r="D55" s="65">
        <f t="shared" si="55"/>
        <v>0</v>
      </c>
      <c r="E55" s="63">
        <f t="shared" si="55"/>
        <v>1124626.1861461482</v>
      </c>
      <c r="F55" s="66">
        <f t="shared" si="55"/>
        <v>1124626.1861461482</v>
      </c>
      <c r="G55" s="67">
        <f t="shared" si="55"/>
        <v>0</v>
      </c>
      <c r="H55" s="64">
        <f t="shared" si="55"/>
        <v>1607165.8441136712</v>
      </c>
      <c r="I55" s="66">
        <f t="shared" si="55"/>
        <v>0</v>
      </c>
      <c r="J55" s="66">
        <f t="shared" si="55"/>
        <v>1607165.8441136712</v>
      </c>
      <c r="K55" s="120">
        <f>+J55/E55-1</f>
        <v>0.42906671026493037</v>
      </c>
      <c r="L55" s="121">
        <f t="shared" ref="L55:Q55" si="56">SUM(L4:L54)</f>
        <v>260913.19771637121</v>
      </c>
      <c r="M55" s="121">
        <f t="shared" si="56"/>
        <v>260913.19771637121</v>
      </c>
      <c r="N55" s="121">
        <f t="shared" si="16"/>
        <v>0</v>
      </c>
      <c r="O55" s="122">
        <f t="shared" si="56"/>
        <v>443991.65135255264</v>
      </c>
      <c r="P55" s="122">
        <f t="shared" si="56"/>
        <v>0</v>
      </c>
      <c r="Q55" s="123">
        <f t="shared" si="56"/>
        <v>443991.65135255264</v>
      </c>
      <c r="R55" s="120">
        <f>+Q55/L55-1</f>
        <v>0.70168337684166904</v>
      </c>
      <c r="S55" s="121">
        <f t="shared" ref="S55:X55" si="57">SUM(S4:S54)</f>
        <v>248976.63411795493</v>
      </c>
      <c r="T55" s="121">
        <f t="shared" si="57"/>
        <v>248976.63411795493</v>
      </c>
      <c r="U55" s="18">
        <f t="shared" si="20"/>
        <v>0</v>
      </c>
      <c r="V55" s="122">
        <f t="shared" si="57"/>
        <v>128033.52191674826</v>
      </c>
      <c r="W55" s="122">
        <f t="shared" si="57"/>
        <v>0</v>
      </c>
      <c r="X55" s="123">
        <f t="shared" si="57"/>
        <v>128033.52191674826</v>
      </c>
      <c r="Y55" s="120">
        <f>+X55/S55-1</f>
        <v>-0.48576089330498695</v>
      </c>
      <c r="Z55" s="121">
        <f t="shared" ref="Z55:AE55" si="58">SUM(Z4:Z54)</f>
        <v>334922.78064451489</v>
      </c>
      <c r="AA55" s="121">
        <f t="shared" si="58"/>
        <v>334922.78064451489</v>
      </c>
      <c r="AB55" s="18">
        <f t="shared" si="23"/>
        <v>0</v>
      </c>
      <c r="AC55" s="122">
        <f t="shared" si="58"/>
        <v>177865.96865407957</v>
      </c>
      <c r="AD55" s="122">
        <f t="shared" si="58"/>
        <v>0</v>
      </c>
      <c r="AE55" s="124">
        <f t="shared" si="58"/>
        <v>177865.96865407957</v>
      </c>
      <c r="AF55" s="120">
        <f>+AE55/Z55-1</f>
        <v>-0.46893439642475232</v>
      </c>
      <c r="AG55" s="121">
        <f t="shared" ref="AG55:AL55" si="59">SUM(AG4:AG54)</f>
        <v>279813.57366730674</v>
      </c>
      <c r="AH55" s="121">
        <f t="shared" si="59"/>
        <v>279813.57366730674</v>
      </c>
      <c r="AI55" s="18">
        <f t="shared" si="26"/>
        <v>0</v>
      </c>
      <c r="AJ55" s="122">
        <f t="shared" si="59"/>
        <v>494870.70551659312</v>
      </c>
      <c r="AK55" s="122">
        <f t="shared" si="59"/>
        <v>0</v>
      </c>
      <c r="AL55" s="124">
        <f t="shared" si="59"/>
        <v>494870.70551659312</v>
      </c>
      <c r="AM55" s="120">
        <f>+AL55/AG55-1</f>
        <v>0.76857290742080075</v>
      </c>
      <c r="AN55" s="121">
        <f t="shared" ref="AN55:AS55" si="60">SUM(AN4:AN54)</f>
        <v>293418.0712995386</v>
      </c>
      <c r="AO55" s="121">
        <f t="shared" si="60"/>
        <v>293418.0712995386</v>
      </c>
      <c r="AP55" s="18">
        <f t="shared" si="29"/>
        <v>0</v>
      </c>
      <c r="AQ55" s="121">
        <f t="shared" si="60"/>
        <v>192458.3854533523</v>
      </c>
      <c r="AR55" s="122">
        <f t="shared" si="60"/>
        <v>0</v>
      </c>
      <c r="AS55" s="124">
        <f t="shared" si="60"/>
        <v>192458.3854533523</v>
      </c>
      <c r="AT55" s="120">
        <f>+AS55/AN55-1</f>
        <v>-0.34408134917879907</v>
      </c>
      <c r="AU55" s="121">
        <f t="shared" ref="AU55:AZ55" si="61">SUM(AU4:AU54)</f>
        <v>272744.40346051502</v>
      </c>
      <c r="AV55" s="121">
        <f t="shared" si="61"/>
        <v>272744.40346051502</v>
      </c>
      <c r="AW55" s="18">
        <f t="shared" si="32"/>
        <v>0</v>
      </c>
      <c r="AX55" s="122">
        <f t="shared" si="61"/>
        <v>169945.61122034551</v>
      </c>
      <c r="AY55" s="122">
        <f t="shared" si="61"/>
        <v>0</v>
      </c>
      <c r="AZ55" s="124">
        <f t="shared" si="61"/>
        <v>169945.61122034551</v>
      </c>
      <c r="BA55" s="120">
        <f>+AZ55/AU55-1</f>
        <v>-0.37690523044976654</v>
      </c>
      <c r="BB55" s="121">
        <f t="shared" ref="BB55:BG55" si="62">SUM(BB4:BB54)</f>
        <v>285340.35513175913</v>
      </c>
      <c r="BC55" s="121">
        <f t="shared" si="62"/>
        <v>285340.35513175913</v>
      </c>
      <c r="BD55" s="18">
        <f t="shared" si="35"/>
        <v>0</v>
      </c>
      <c r="BE55" s="122">
        <f t="shared" si="62"/>
        <v>0</v>
      </c>
      <c r="BF55" s="122">
        <f t="shared" si="62"/>
        <v>0</v>
      </c>
      <c r="BG55" s="124">
        <f t="shared" si="62"/>
        <v>0</v>
      </c>
      <c r="BH55" s="120">
        <f>+BG55/BB55-1</f>
        <v>-1</v>
      </c>
      <c r="BI55" s="121">
        <f t="shared" ref="BI55:BN55" si="63">SUM(BI4:BI54)</f>
        <v>190235.55430642058</v>
      </c>
      <c r="BJ55" s="121">
        <f t="shared" si="63"/>
        <v>190235.55430642058</v>
      </c>
      <c r="BK55" s="18">
        <f t="shared" si="38"/>
        <v>0</v>
      </c>
      <c r="BL55" s="122">
        <f t="shared" si="63"/>
        <v>0</v>
      </c>
      <c r="BM55" s="122">
        <f t="shared" si="63"/>
        <v>0</v>
      </c>
      <c r="BN55" s="124">
        <f t="shared" si="63"/>
        <v>0</v>
      </c>
      <c r="BO55" s="120">
        <f>+BN55/BI55-1</f>
        <v>-1</v>
      </c>
      <c r="BP55" s="121">
        <f t="shared" ref="BP55:BU55" si="64">SUM(BP4:BP54)</f>
        <v>169115.81454390849</v>
      </c>
      <c r="BQ55" s="121">
        <f t="shared" si="64"/>
        <v>169115.81454390849</v>
      </c>
      <c r="BR55" s="18">
        <f t="shared" si="41"/>
        <v>0</v>
      </c>
      <c r="BS55" s="122">
        <f t="shared" si="64"/>
        <v>0</v>
      </c>
      <c r="BT55" s="122">
        <f t="shared" si="64"/>
        <v>0</v>
      </c>
      <c r="BU55" s="124">
        <f t="shared" si="64"/>
        <v>0</v>
      </c>
      <c r="BV55" s="120">
        <f>+BU55/BP55-1</f>
        <v>-1</v>
      </c>
      <c r="BW55" s="121">
        <f t="shared" ref="BW55:CB55" si="65">SUM(BW4:BW54)</f>
        <v>135523.16974334852</v>
      </c>
      <c r="BX55" s="121">
        <f t="shared" si="65"/>
        <v>135523.16974334852</v>
      </c>
      <c r="BY55" s="18">
        <f t="shared" si="44"/>
        <v>0</v>
      </c>
      <c r="BZ55" s="122">
        <f t="shared" si="65"/>
        <v>0</v>
      </c>
      <c r="CA55" s="122">
        <f t="shared" si="65"/>
        <v>0</v>
      </c>
      <c r="CB55" s="124">
        <f t="shared" si="65"/>
        <v>0</v>
      </c>
      <c r="CC55" s="120">
        <f>+CB55/BW55-1</f>
        <v>-1</v>
      </c>
      <c r="CD55" s="121">
        <f t="shared" ref="CD55:CI55" si="66">SUM(CD4:CD54)</f>
        <v>119479.88323790858</v>
      </c>
      <c r="CE55" s="121">
        <f t="shared" si="66"/>
        <v>119479.88323790858</v>
      </c>
      <c r="CF55" s="18">
        <f t="shared" si="47"/>
        <v>0</v>
      </c>
      <c r="CG55" s="122">
        <f t="shared" si="66"/>
        <v>0</v>
      </c>
      <c r="CH55" s="122">
        <f t="shared" si="66"/>
        <v>0</v>
      </c>
      <c r="CI55" s="124">
        <f t="shared" si="66"/>
        <v>0</v>
      </c>
      <c r="CJ55" s="120">
        <f>+CI55/CD55-1</f>
        <v>-1</v>
      </c>
      <c r="CK55" s="121">
        <f t="shared" ref="CK55:CP55" si="67">SUM(CK4:CK54)</f>
        <v>120604.59487134859</v>
      </c>
      <c r="CL55" s="121">
        <f t="shared" si="67"/>
        <v>120604.59487134859</v>
      </c>
      <c r="CM55" s="18">
        <f t="shared" si="50"/>
        <v>0</v>
      </c>
      <c r="CN55" s="122">
        <f t="shared" si="67"/>
        <v>0</v>
      </c>
      <c r="CO55" s="122">
        <f t="shared" si="67"/>
        <v>0</v>
      </c>
      <c r="CP55" s="124">
        <f t="shared" si="67"/>
        <v>0</v>
      </c>
      <c r="CQ55" s="120">
        <f>+CP55/CK55-1</f>
        <v>-1</v>
      </c>
    </row>
    <row r="56" spans="1:95" s="26" customFormat="1" ht="16" customHeight="1" thickBot="1" x14ac:dyDescent="0.25">
      <c r="A56" s="125" t="s">
        <v>80</v>
      </c>
      <c r="B56" s="75">
        <f>+L56+S56+Z56+AG56+AN56+AU56+BB56+BI56+BP56+BW56+CD56+CK56</f>
        <v>-33657.631920415224</v>
      </c>
      <c r="C56" s="76">
        <f t="shared" ref="C56:D57" si="68">+M56+T56+AA56+AH56+AO56+AV56+BC56+BJ56+BQ56+BX56+CE56+CL56</f>
        <v>-33657.631920415224</v>
      </c>
      <c r="D56" s="77">
        <f t="shared" si="68"/>
        <v>0</v>
      </c>
      <c r="E56" s="75">
        <f>+L56+S56+Z56+AG56</f>
        <v>-11219.210640138408</v>
      </c>
      <c r="F56" s="78">
        <f t="shared" ref="F56:G57" si="69">+M56+T56+AA56+AH56</f>
        <v>-11219.210640138408</v>
      </c>
      <c r="G56" s="79">
        <f t="shared" si="69"/>
        <v>0</v>
      </c>
      <c r="H56" s="76">
        <f t="shared" ref="H56:J57" si="70">+O56+V56+AC56+AJ56+AQ56+AX56+BE56+BL56+BS56+BZ56+CG56+CN56</f>
        <v>-47058.370023918716</v>
      </c>
      <c r="I56" s="78">
        <f t="shared" si="70"/>
        <v>0</v>
      </c>
      <c r="J56" s="78">
        <f t="shared" si="70"/>
        <v>-47058.370023918716</v>
      </c>
      <c r="K56" s="25">
        <f t="shared" ref="K56:K57" si="71">IF(E56=0,"",(+J56/E56-1))</f>
        <v>3.1944457175588044</v>
      </c>
      <c r="L56" s="23">
        <v>-2804.802660034602</v>
      </c>
      <c r="M56" s="18">
        <f t="shared" ref="M56:M57" si="72">L56-N56</f>
        <v>-2804.802660034602</v>
      </c>
      <c r="N56" s="18">
        <f t="shared" si="16"/>
        <v>0</v>
      </c>
      <c r="O56" s="18">
        <f t="shared" ref="O56:O57" si="73">+Q56-P56</f>
        <v>0</v>
      </c>
      <c r="P56" s="18"/>
      <c r="Q56" s="20">
        <v>0</v>
      </c>
      <c r="R56" s="25">
        <f t="shared" ref="R56:R57" si="74">IF(L56=0,"",(+Q56/L56-1))</f>
        <v>-1</v>
      </c>
      <c r="S56" s="23">
        <v>-2804.802660034602</v>
      </c>
      <c r="T56" s="18">
        <f t="shared" ref="T56:T57" si="75">S56-U56</f>
        <v>-2804.802660034602</v>
      </c>
      <c r="U56" s="18">
        <f t="shared" si="20"/>
        <v>0</v>
      </c>
      <c r="V56" s="18">
        <f t="shared" ref="V56:V57" si="76">+X56-W56</f>
        <v>-10199.306680828882</v>
      </c>
      <c r="W56" s="18"/>
      <c r="X56" s="20">
        <v>-10199.306680828882</v>
      </c>
      <c r="Y56" s="25">
        <f>IF(S56=0,"",(+X56/S56-1))</f>
        <v>2.6363722931947935</v>
      </c>
      <c r="Z56" s="23">
        <v>-2804.802660034602</v>
      </c>
      <c r="AA56" s="18">
        <f t="shared" ref="AA56:AA57" si="77">Z56-AB56</f>
        <v>-2804.802660034602</v>
      </c>
      <c r="AB56" s="18">
        <f t="shared" si="23"/>
        <v>0</v>
      </c>
      <c r="AC56" s="18">
        <f t="shared" ref="AC56:AC57" si="78">+AE56-AD56</f>
        <v>1406.711632132937</v>
      </c>
      <c r="AD56" s="18"/>
      <c r="AE56" s="24">
        <v>1406.711632132937</v>
      </c>
      <c r="AF56" s="25">
        <f t="shared" ref="AF56:AF57" si="79">IF(Z56=0,"",(+AE56/Z56-1))</f>
        <v>-1.5015367577109981</v>
      </c>
      <c r="AG56" s="23">
        <v>-2804.802660034602</v>
      </c>
      <c r="AH56" s="18">
        <f t="shared" ref="AH56:AH57" si="80">AG56-AI56</f>
        <v>-2804.802660034602</v>
      </c>
      <c r="AI56" s="18">
        <f t="shared" si="26"/>
        <v>0</v>
      </c>
      <c r="AJ56" s="18">
        <f t="shared" ref="AJ56:AJ57" si="81">+AL56-AK56</f>
        <v>-17157.136298676269</v>
      </c>
      <c r="AK56" s="18"/>
      <c r="AL56" s="24">
        <v>-17157.136298676269</v>
      </c>
      <c r="AM56" s="25">
        <f t="shared" ref="AM56:AM57" si="82">IF(AG56=0,"",(+AL56/AG56-1))</f>
        <v>5.1170564842749426</v>
      </c>
      <c r="AN56" s="23">
        <v>-2804.802660034602</v>
      </c>
      <c r="AO56" s="18">
        <f t="shared" ref="AO56:AO57" si="83">AN56-AP56</f>
        <v>-2804.802660034602</v>
      </c>
      <c r="AP56" s="18">
        <f t="shared" si="29"/>
        <v>0</v>
      </c>
      <c r="AQ56" s="18">
        <f t="shared" ref="AQ56:AQ57" si="84">+AS56-AR56</f>
        <v>-23044.210105798524</v>
      </c>
      <c r="AR56" s="18"/>
      <c r="AS56" s="24">
        <v>-23044.210105798524</v>
      </c>
      <c r="AT56" s="25">
        <f t="shared" ref="AT56:AT57" si="85">IF(AN56=0,"",(+AS56/AN56-1))</f>
        <v>7.2159826907445375</v>
      </c>
      <c r="AU56" s="23">
        <v>-2804.802660034602</v>
      </c>
      <c r="AV56" s="18">
        <f t="shared" ref="AV56:AV57" si="86">AU56-AW56</f>
        <v>-2804.802660034602</v>
      </c>
      <c r="AW56" s="18">
        <f t="shared" si="32"/>
        <v>0</v>
      </c>
      <c r="AX56" s="18">
        <f t="shared" ref="AX56:AX57" si="87">+AZ56-AY56</f>
        <v>1935.5714292520181</v>
      </c>
      <c r="AY56" s="18"/>
      <c r="AZ56" s="24">
        <v>1935.5714292520181</v>
      </c>
      <c r="BA56" s="25">
        <f t="shared" ref="BA56:BA57" si="88">IF(AU56=0,"",(+AZ56/AU56-1))</f>
        <v>-1.6900918402680563</v>
      </c>
      <c r="BB56" s="23">
        <v>-2804.802660034602</v>
      </c>
      <c r="BC56" s="18">
        <f t="shared" ref="BC56:BC57" si="89">BB56-BD56</f>
        <v>-2804.802660034602</v>
      </c>
      <c r="BD56" s="18">
        <f t="shared" si="35"/>
        <v>0</v>
      </c>
      <c r="BE56" s="18">
        <f t="shared" ref="BE56:BE57" si="90">+BG56-BF56</f>
        <v>0</v>
      </c>
      <c r="BF56" s="18"/>
      <c r="BG56" s="24">
        <v>0</v>
      </c>
      <c r="BH56" s="25">
        <f t="shared" ref="BH56:BH57" si="91">IF(BB56=0,"",(+BG56/BB56-1))</f>
        <v>-1</v>
      </c>
      <c r="BI56" s="23">
        <v>-2804.802660034602</v>
      </c>
      <c r="BJ56" s="18">
        <f t="shared" ref="BJ56:BJ57" si="92">BI56-BK56</f>
        <v>-2804.802660034602</v>
      </c>
      <c r="BK56" s="18">
        <f t="shared" si="38"/>
        <v>0</v>
      </c>
      <c r="BL56" s="18">
        <f t="shared" ref="BL56:BL57" si="93">+BN56-BM56</f>
        <v>0</v>
      </c>
      <c r="BM56" s="18"/>
      <c r="BN56" s="24">
        <v>0</v>
      </c>
      <c r="BO56" s="25">
        <f t="shared" ref="BO56:BO57" si="94">IF(BI56=0,"",(+BN56/BI56-1))</f>
        <v>-1</v>
      </c>
      <c r="BP56" s="23">
        <v>-2804.802660034602</v>
      </c>
      <c r="BQ56" s="18">
        <f t="shared" ref="BQ56:BQ57" si="95">BP56-BR56</f>
        <v>-2804.802660034602</v>
      </c>
      <c r="BR56" s="18">
        <f t="shared" si="41"/>
        <v>0</v>
      </c>
      <c r="BS56" s="18">
        <f t="shared" ref="BS56:BS57" si="96">+BU56-BT56</f>
        <v>0</v>
      </c>
      <c r="BT56" s="18"/>
      <c r="BU56" s="24">
        <v>0</v>
      </c>
      <c r="BV56" s="25">
        <f t="shared" ref="BV56:BV57" si="97">IF(BP56=0,"",(+BU56/BP56-1))</f>
        <v>-1</v>
      </c>
      <c r="BW56" s="23">
        <v>-2804.802660034602</v>
      </c>
      <c r="BX56" s="18">
        <f t="shared" ref="BX56:BX57" si="98">BW56-BY56</f>
        <v>-2804.802660034602</v>
      </c>
      <c r="BY56" s="18">
        <f t="shared" si="44"/>
        <v>0</v>
      </c>
      <c r="BZ56" s="18">
        <f t="shared" ref="BZ56:BZ57" si="99">+CB56-CA56</f>
        <v>0</v>
      </c>
      <c r="CA56" s="18"/>
      <c r="CB56" s="24">
        <v>0</v>
      </c>
      <c r="CC56" s="25">
        <f t="shared" ref="CC56:CC57" si="100">IF(BW56=0,"",(+CB56/BW56-1))</f>
        <v>-1</v>
      </c>
      <c r="CD56" s="23">
        <v>-2804.802660034602</v>
      </c>
      <c r="CE56" s="18">
        <f t="shared" ref="CE56:CE57" si="101">CD56-CF56</f>
        <v>-2804.802660034602</v>
      </c>
      <c r="CF56" s="18">
        <f t="shared" si="47"/>
        <v>0</v>
      </c>
      <c r="CG56" s="18">
        <f t="shared" ref="CG56:CG57" si="102">+CI56-CH56</f>
        <v>0</v>
      </c>
      <c r="CH56" s="18"/>
      <c r="CI56" s="27">
        <v>0</v>
      </c>
      <c r="CJ56" s="25">
        <f t="shared" ref="CJ56:CJ57" si="103">IF(CD56=0,"",(+CI56/CD56-1))</f>
        <v>-1</v>
      </c>
      <c r="CK56" s="23">
        <v>-2804.802660034602</v>
      </c>
      <c r="CL56" s="18">
        <f t="shared" ref="CL56:CL57" si="104">CK56-CM56</f>
        <v>-2804.802660034602</v>
      </c>
      <c r="CM56" s="18">
        <f t="shared" si="50"/>
        <v>0</v>
      </c>
      <c r="CN56" s="18">
        <f t="shared" ref="CN56:CN57" si="105">+CP56-CO56</f>
        <v>0</v>
      </c>
      <c r="CO56" s="18"/>
      <c r="CP56" s="24">
        <v>0</v>
      </c>
      <c r="CQ56" s="25">
        <f t="shared" ref="CQ56:CQ57" si="106">IF(CK56=0,"",(+CP56/CK56-1))</f>
        <v>-1</v>
      </c>
    </row>
    <row r="57" spans="1:95" s="26" customFormat="1" ht="16" customHeight="1" thickBot="1" x14ac:dyDescent="0.25">
      <c r="A57" s="126" t="s">
        <v>81</v>
      </c>
      <c r="B57" s="52">
        <f>+L57+S57+Z57+AG57+AN57+AU57+BB57+BI57+BP57+BW57+CD57+CK57</f>
        <v>-11219.210640138406</v>
      </c>
      <c r="C57" s="40">
        <f t="shared" si="68"/>
        <v>-11219.210640138406</v>
      </c>
      <c r="D57" s="51">
        <f t="shared" si="68"/>
        <v>0</v>
      </c>
      <c r="E57" s="50">
        <f>+L57+S57+Z57+AG57</f>
        <v>-3739.7368800461359</v>
      </c>
      <c r="F57" s="58">
        <f t="shared" si="69"/>
        <v>-3739.7368800461359</v>
      </c>
      <c r="G57" s="85">
        <f t="shared" si="69"/>
        <v>0</v>
      </c>
      <c r="H57" s="57">
        <f t="shared" si="70"/>
        <v>-5804.9562318439694</v>
      </c>
      <c r="I57" s="58">
        <f t="shared" si="70"/>
        <v>0</v>
      </c>
      <c r="J57" s="58">
        <f t="shared" si="70"/>
        <v>-5804.9562318439694</v>
      </c>
      <c r="K57" s="127">
        <f t="shared" si="71"/>
        <v>0.55223653910441839</v>
      </c>
      <c r="L57" s="87">
        <v>-934.93422001153397</v>
      </c>
      <c r="M57" s="128">
        <f t="shared" si="72"/>
        <v>-934.93422001153397</v>
      </c>
      <c r="N57" s="128">
        <f t="shared" si="16"/>
        <v>0</v>
      </c>
      <c r="O57" s="128">
        <f t="shared" si="73"/>
        <v>-3686.7333819160081</v>
      </c>
      <c r="P57" s="128"/>
      <c r="Q57" s="129">
        <v>-3686.7333819160081</v>
      </c>
      <c r="R57" s="60">
        <f t="shared" si="74"/>
        <v>2.9433077782419024</v>
      </c>
      <c r="S57" s="56">
        <v>-934.93422001153397</v>
      </c>
      <c r="T57" s="128">
        <f t="shared" si="75"/>
        <v>-934.93422001153397</v>
      </c>
      <c r="U57" s="18">
        <f t="shared" si="20"/>
        <v>0</v>
      </c>
      <c r="V57" s="128">
        <f t="shared" si="76"/>
        <v>-544.71905410997385</v>
      </c>
      <c r="W57" s="128"/>
      <c r="X57" s="129">
        <v>-544.71905410997385</v>
      </c>
      <c r="Y57" s="127">
        <f>IF(S57=0,"",(+X57/S57-1))</f>
        <v>-0.41737178675174191</v>
      </c>
      <c r="Z57" s="56">
        <v>-934.93422001153397</v>
      </c>
      <c r="AA57" s="128">
        <f t="shared" si="77"/>
        <v>-934.93422001153397</v>
      </c>
      <c r="AB57" s="18">
        <f t="shared" si="23"/>
        <v>0</v>
      </c>
      <c r="AC57" s="128">
        <f t="shared" si="78"/>
        <v>-2394.9525766967113</v>
      </c>
      <c r="AD57" s="128"/>
      <c r="AE57" s="130">
        <v>-2394.9525766967113</v>
      </c>
      <c r="AF57" s="127">
        <f t="shared" si="79"/>
        <v>1.5616268240424076</v>
      </c>
      <c r="AG57" s="56">
        <v>-934.93422001153397</v>
      </c>
      <c r="AH57" s="128">
        <f t="shared" si="80"/>
        <v>-934.93422001153397</v>
      </c>
      <c r="AI57" s="18">
        <f t="shared" si="26"/>
        <v>0</v>
      </c>
      <c r="AJ57" s="128">
        <f t="shared" si="81"/>
        <v>0</v>
      </c>
      <c r="AK57" s="128"/>
      <c r="AL57" s="130">
        <v>0</v>
      </c>
      <c r="AM57" s="127">
        <f t="shared" si="82"/>
        <v>-1</v>
      </c>
      <c r="AN57" s="56">
        <v>-934.93422001153397</v>
      </c>
      <c r="AO57" s="128">
        <f t="shared" si="83"/>
        <v>-934.93422001153397</v>
      </c>
      <c r="AP57" s="18">
        <f t="shared" si="29"/>
        <v>0</v>
      </c>
      <c r="AQ57" s="128">
        <f t="shared" si="84"/>
        <v>346.90844848378805</v>
      </c>
      <c r="AR57" s="128"/>
      <c r="AS57" s="130">
        <v>346.90844848378805</v>
      </c>
      <c r="AT57" s="127">
        <f t="shared" si="85"/>
        <v>-1.3710511831297696</v>
      </c>
      <c r="AU57" s="56">
        <v>-934.93422001153397</v>
      </c>
      <c r="AV57" s="128">
        <f t="shared" si="86"/>
        <v>-934.93422001153397</v>
      </c>
      <c r="AW57" s="18">
        <f t="shared" si="32"/>
        <v>0</v>
      </c>
      <c r="AX57" s="128">
        <f t="shared" si="87"/>
        <v>474.54033239493538</v>
      </c>
      <c r="AY57" s="128"/>
      <c r="AZ57" s="130">
        <v>474.54033239493538</v>
      </c>
      <c r="BA57" s="127">
        <f t="shared" si="88"/>
        <v>-1.5075654759851247</v>
      </c>
      <c r="BB57" s="56">
        <v>-934.93422001153397</v>
      </c>
      <c r="BC57" s="128">
        <f t="shared" si="89"/>
        <v>-934.93422001153397</v>
      </c>
      <c r="BD57" s="18">
        <f t="shared" si="35"/>
        <v>0</v>
      </c>
      <c r="BE57" s="128">
        <f t="shared" si="90"/>
        <v>0</v>
      </c>
      <c r="BF57" s="128"/>
      <c r="BG57" s="130">
        <v>0</v>
      </c>
      <c r="BH57" s="127">
        <f t="shared" si="91"/>
        <v>-1</v>
      </c>
      <c r="BI57" s="87">
        <v>-934.93422001153397</v>
      </c>
      <c r="BJ57" s="128">
        <f t="shared" si="92"/>
        <v>-934.93422001153397</v>
      </c>
      <c r="BK57" s="18">
        <f t="shared" si="38"/>
        <v>0</v>
      </c>
      <c r="BL57" s="128">
        <f t="shared" si="93"/>
        <v>0</v>
      </c>
      <c r="BM57" s="128"/>
      <c r="BN57" s="130">
        <v>0</v>
      </c>
      <c r="BO57" s="127">
        <f t="shared" si="94"/>
        <v>-1</v>
      </c>
      <c r="BP57" s="56">
        <v>-934.93422001153397</v>
      </c>
      <c r="BQ57" s="128">
        <f t="shared" si="95"/>
        <v>-934.93422001153397</v>
      </c>
      <c r="BR57" s="18">
        <f t="shared" si="41"/>
        <v>0</v>
      </c>
      <c r="BS57" s="128">
        <f t="shared" si="96"/>
        <v>0</v>
      </c>
      <c r="BT57" s="128"/>
      <c r="BU57" s="59">
        <v>0</v>
      </c>
      <c r="BV57" s="127">
        <f t="shared" si="97"/>
        <v>-1</v>
      </c>
      <c r="BW57" s="56">
        <v>-934.93422001153397</v>
      </c>
      <c r="BX57" s="128">
        <f t="shared" si="98"/>
        <v>-934.93422001153397</v>
      </c>
      <c r="BY57" s="18">
        <f t="shared" si="44"/>
        <v>0</v>
      </c>
      <c r="BZ57" s="128">
        <f t="shared" si="99"/>
        <v>0</v>
      </c>
      <c r="CA57" s="128"/>
      <c r="CB57" s="59">
        <v>0</v>
      </c>
      <c r="CC57" s="127">
        <f t="shared" si="100"/>
        <v>-1</v>
      </c>
      <c r="CD57" s="56">
        <v>-934.93422001153397</v>
      </c>
      <c r="CE57" s="128">
        <f t="shared" si="101"/>
        <v>-934.93422001153397</v>
      </c>
      <c r="CF57" s="18">
        <f t="shared" si="47"/>
        <v>0</v>
      </c>
      <c r="CG57" s="128">
        <f t="shared" si="102"/>
        <v>0</v>
      </c>
      <c r="CH57" s="128"/>
      <c r="CI57" s="27">
        <v>0</v>
      </c>
      <c r="CJ57" s="127">
        <f t="shared" si="103"/>
        <v>-1</v>
      </c>
      <c r="CK57" s="56">
        <v>-934.93422001153397</v>
      </c>
      <c r="CL57" s="128">
        <f t="shared" si="104"/>
        <v>-934.93422001153397</v>
      </c>
      <c r="CM57" s="18">
        <f t="shared" si="50"/>
        <v>0</v>
      </c>
      <c r="CN57" s="128">
        <f t="shared" si="105"/>
        <v>0</v>
      </c>
      <c r="CO57" s="128"/>
      <c r="CP57" s="59">
        <v>0</v>
      </c>
      <c r="CQ57" s="127">
        <f t="shared" si="106"/>
        <v>-1</v>
      </c>
    </row>
    <row r="58" spans="1:95" s="26" customFormat="1" ht="16" customHeight="1" thickBot="1" x14ac:dyDescent="0.25">
      <c r="A58" s="131" t="s">
        <v>82</v>
      </c>
      <c r="B58" s="89">
        <f>+B55+B56+B57</f>
        <v>2666211.1901803412</v>
      </c>
      <c r="C58" s="90">
        <f t="shared" ref="C58:D58" si="107">+C55+C56+C57</f>
        <v>2666211.1901803412</v>
      </c>
      <c r="D58" s="91">
        <f t="shared" si="107"/>
        <v>0</v>
      </c>
      <c r="E58" s="92">
        <f t="shared" ref="E58:J58" si="108">SUM(E55:E57)</f>
        <v>1109667.2386259637</v>
      </c>
      <c r="F58" s="93">
        <f t="shared" si="108"/>
        <v>1109667.2386259637</v>
      </c>
      <c r="G58" s="94">
        <f t="shared" si="108"/>
        <v>0</v>
      </c>
      <c r="H58" s="95">
        <f t="shared" si="108"/>
        <v>1554302.5178579085</v>
      </c>
      <c r="I58" s="96">
        <f t="shared" si="108"/>
        <v>0</v>
      </c>
      <c r="J58" s="96">
        <f t="shared" si="108"/>
        <v>1554302.5178579085</v>
      </c>
      <c r="K58" s="132">
        <f>+J58/E55-1</f>
        <v>0.38206146807248764</v>
      </c>
      <c r="L58" s="98">
        <f>+L55+L56+L57</f>
        <v>257173.4608363251</v>
      </c>
      <c r="M58" s="98">
        <f>+M55+M56+M57</f>
        <v>257173.4608363251</v>
      </c>
      <c r="N58" s="98">
        <f t="shared" si="16"/>
        <v>0</v>
      </c>
      <c r="O58" s="99">
        <f t="shared" ref="O58:P58" si="109">+O55+O56+O57</f>
        <v>440304.91797063663</v>
      </c>
      <c r="P58" s="99">
        <f t="shared" si="109"/>
        <v>0</v>
      </c>
      <c r="Q58" s="100">
        <f>SUM(Q55:Q57)</f>
        <v>440304.91797063663</v>
      </c>
      <c r="R58" s="103">
        <f>+Q58/L55-1</f>
        <v>0.68755326225113111</v>
      </c>
      <c r="S58" s="133">
        <f>+S55+S56+S57</f>
        <v>245236.89723790882</v>
      </c>
      <c r="T58" s="133">
        <f>+T55+T56+T57</f>
        <v>245236.89723790882</v>
      </c>
      <c r="U58" s="18">
        <f t="shared" si="20"/>
        <v>0</v>
      </c>
      <c r="V58" s="99">
        <f t="shared" ref="V58:W58" si="110">+V55+V56+V57</f>
        <v>117289.4961818094</v>
      </c>
      <c r="W58" s="99">
        <f t="shared" si="110"/>
        <v>0</v>
      </c>
      <c r="X58" s="134">
        <f>SUM(X55:X57)</f>
        <v>117289.4961818094</v>
      </c>
      <c r="Y58" s="132">
        <f>+X58/S55-1</f>
        <v>-0.52891364044128553</v>
      </c>
      <c r="Z58" s="133">
        <f>+Z55+Z56+Z57</f>
        <v>331183.04376446875</v>
      </c>
      <c r="AA58" s="133">
        <f>+AA55+AA56+AA57</f>
        <v>331183.04376446875</v>
      </c>
      <c r="AB58" s="18">
        <f t="shared" si="23"/>
        <v>0</v>
      </c>
      <c r="AC58" s="99">
        <f t="shared" ref="AC58:AD58" si="111">+AC55+AC56+AC57</f>
        <v>176877.72770951581</v>
      </c>
      <c r="AD58" s="99">
        <f t="shared" si="111"/>
        <v>0</v>
      </c>
      <c r="AE58" s="135">
        <f>SUM(AE55:AE57)</f>
        <v>176877.72770951581</v>
      </c>
      <c r="AF58" s="132">
        <f>+AE58/Z55-1</f>
        <v>-0.47188504953548438</v>
      </c>
      <c r="AG58" s="133">
        <f>+AG55+AG56+AG57</f>
        <v>276073.8367872606</v>
      </c>
      <c r="AH58" s="133">
        <f>+AH55+AH56+AH57</f>
        <v>276073.8367872606</v>
      </c>
      <c r="AI58" s="18">
        <f t="shared" si="26"/>
        <v>0</v>
      </c>
      <c r="AJ58" s="99">
        <f t="shared" ref="AJ58:AK58" si="112">+AJ55+AJ56+AJ57</f>
        <v>477713.56921791687</v>
      </c>
      <c r="AK58" s="99">
        <f t="shared" si="112"/>
        <v>0</v>
      </c>
      <c r="AL58" s="135">
        <f>SUM(AL55:AL57)</f>
        <v>477713.56921791687</v>
      </c>
      <c r="AM58" s="132">
        <f>+AL58/AG55-1</f>
        <v>0.70725659572866051</v>
      </c>
      <c r="AN58" s="133">
        <f>+AN55+AN56+AN57</f>
        <v>289678.33441949246</v>
      </c>
      <c r="AO58" s="133">
        <f>+AO55+AO56+AO57</f>
        <v>289678.33441949246</v>
      </c>
      <c r="AP58" s="18">
        <f t="shared" si="29"/>
        <v>0</v>
      </c>
      <c r="AQ58" s="99">
        <f t="shared" ref="AQ58:AR58" si="113">+AQ55+AQ56+AQ57</f>
        <v>169761.08379603756</v>
      </c>
      <c r="AR58" s="99">
        <f t="shared" si="113"/>
        <v>0</v>
      </c>
      <c r="AS58" s="135">
        <f>SUM(AS55:AS57)</f>
        <v>169761.08379603756</v>
      </c>
      <c r="AT58" s="132">
        <f>+AS58/AN55-1</f>
        <v>-0.42143616770374259</v>
      </c>
      <c r="AU58" s="133">
        <f>+AU55+AU56+AU57</f>
        <v>269004.66658046888</v>
      </c>
      <c r="AV58" s="133">
        <f>+AV55+AV56+AV57</f>
        <v>269004.66658046888</v>
      </c>
      <c r="AW58" s="18">
        <f t="shared" si="32"/>
        <v>0</v>
      </c>
      <c r="AX58" s="99">
        <f t="shared" ref="AX58:AY58" si="114">+AX55+AX56+AX57</f>
        <v>172355.72298199247</v>
      </c>
      <c r="AY58" s="99">
        <f t="shared" si="114"/>
        <v>0</v>
      </c>
      <c r="AZ58" s="135">
        <f>SUM(AZ55:AZ57)</f>
        <v>172355.72298199247</v>
      </c>
      <c r="BA58" s="132">
        <f>+AZ58/AU55-1</f>
        <v>-0.36806870903606181</v>
      </c>
      <c r="BB58" s="133">
        <f>+BB55+BB56+BB57</f>
        <v>281600.61825171299</v>
      </c>
      <c r="BC58" s="133">
        <f>+BC55+BC56+BC57</f>
        <v>281600.61825171299</v>
      </c>
      <c r="BD58" s="18">
        <f t="shared" si="35"/>
        <v>0</v>
      </c>
      <c r="BE58" s="99">
        <f t="shared" ref="BE58:BF58" si="115">+BE55+BE56+BE57</f>
        <v>0</v>
      </c>
      <c r="BF58" s="99">
        <f t="shared" si="115"/>
        <v>0</v>
      </c>
      <c r="BG58" s="135">
        <f>SUM(BG55:BG57)</f>
        <v>0</v>
      </c>
      <c r="BH58" s="132">
        <f>+BG58/BB55-1</f>
        <v>-1</v>
      </c>
      <c r="BI58" s="136">
        <f>+BI55+BI56+BI57</f>
        <v>186495.81742637447</v>
      </c>
      <c r="BJ58" s="133">
        <f>+BJ55+BJ56+BJ57</f>
        <v>186495.81742637447</v>
      </c>
      <c r="BK58" s="18">
        <f t="shared" si="38"/>
        <v>0</v>
      </c>
      <c r="BL58" s="99">
        <f t="shared" ref="BL58:BM58" si="116">+BL55+BL56+BL57</f>
        <v>0</v>
      </c>
      <c r="BM58" s="99">
        <f t="shared" si="116"/>
        <v>0</v>
      </c>
      <c r="BN58" s="135">
        <f>SUM(BN55:BN57)</f>
        <v>0</v>
      </c>
      <c r="BO58" s="132">
        <f>+BN58/BI55-1</f>
        <v>-1</v>
      </c>
      <c r="BP58" s="133">
        <f>+BP55+BP56+BP57</f>
        <v>165376.07766386238</v>
      </c>
      <c r="BQ58" s="133">
        <f>+BQ55+BQ56+BQ57</f>
        <v>165376.07766386238</v>
      </c>
      <c r="BR58" s="18">
        <f t="shared" si="41"/>
        <v>0</v>
      </c>
      <c r="BS58" s="99">
        <f t="shared" ref="BS58:BT58" si="117">+BS55+BS56+BS57</f>
        <v>0</v>
      </c>
      <c r="BT58" s="99">
        <f t="shared" si="117"/>
        <v>0</v>
      </c>
      <c r="BU58" s="137">
        <f>SUM(BU55:BU57)</f>
        <v>0</v>
      </c>
      <c r="BV58" s="132">
        <f>+BU58/BP55-1</f>
        <v>-1</v>
      </c>
      <c r="BW58" s="133">
        <f>+BW55+BW56+BW57</f>
        <v>131783.43286330241</v>
      </c>
      <c r="BX58" s="133">
        <f>+BX55+BX56+BX57</f>
        <v>131783.43286330241</v>
      </c>
      <c r="BY58" s="18">
        <f t="shared" si="44"/>
        <v>0</v>
      </c>
      <c r="BZ58" s="99">
        <f t="shared" ref="BZ58:CA58" si="118">+BZ55+BZ56+BZ57</f>
        <v>0</v>
      </c>
      <c r="CA58" s="99">
        <f t="shared" si="118"/>
        <v>0</v>
      </c>
      <c r="CB58" s="137">
        <f>SUM(CB55:CB57)</f>
        <v>0</v>
      </c>
      <c r="CC58" s="132">
        <f>+CB58/BW55-1</f>
        <v>-1</v>
      </c>
      <c r="CD58" s="133">
        <f>+CD55+CD56+CD57</f>
        <v>115740.14635786244</v>
      </c>
      <c r="CE58" s="133">
        <f>+CE55+CE56+CE57</f>
        <v>115740.14635786244</v>
      </c>
      <c r="CF58" s="18">
        <f t="shared" si="47"/>
        <v>0</v>
      </c>
      <c r="CG58" s="99">
        <f t="shared" ref="CG58:CH58" si="119">+CG55+CG56+CG57</f>
        <v>0</v>
      </c>
      <c r="CH58" s="99">
        <f t="shared" si="119"/>
        <v>0</v>
      </c>
      <c r="CI58" s="137">
        <f>SUM(CI55:CI57)</f>
        <v>0</v>
      </c>
      <c r="CJ58" s="132">
        <f>+CI58/CD55-1</f>
        <v>-1</v>
      </c>
      <c r="CK58" s="133">
        <f>+CK55+CK56+CK57</f>
        <v>116864.85799130244</v>
      </c>
      <c r="CL58" s="133">
        <f>+CL55+CL56+CL57</f>
        <v>116864.85799130244</v>
      </c>
      <c r="CM58" s="18">
        <f t="shared" si="50"/>
        <v>0</v>
      </c>
      <c r="CN58" s="99">
        <f t="shared" ref="CN58:CO58" si="120">+CN55+CN56+CN57</f>
        <v>0</v>
      </c>
      <c r="CO58" s="99">
        <f t="shared" si="120"/>
        <v>0</v>
      </c>
      <c r="CP58" s="137">
        <f>SUM(CP55:CP57)</f>
        <v>0</v>
      </c>
      <c r="CQ58" s="132">
        <f>+CP58/CK55-1</f>
        <v>-1</v>
      </c>
    </row>
    <row r="59" spans="1:95" ht="14.25" customHeight="1" x14ac:dyDescent="0.2">
      <c r="A59" s="104"/>
      <c r="B59" s="104"/>
      <c r="C59" s="104"/>
      <c r="D59" s="104"/>
      <c r="E59" s="104"/>
      <c r="F59" s="104"/>
      <c r="G59" s="104"/>
      <c r="H59" s="104"/>
      <c r="I59" s="104"/>
      <c r="J59" s="104">
        <v>0</v>
      </c>
      <c r="K59" s="104"/>
      <c r="L59" s="104"/>
      <c r="M59" s="104"/>
      <c r="N59" s="104"/>
      <c r="O59" s="104"/>
      <c r="P59" s="104"/>
      <c r="Q59" s="104">
        <v>0</v>
      </c>
      <c r="R59" s="104"/>
      <c r="S59" s="104"/>
      <c r="T59" s="104"/>
      <c r="U59" s="104"/>
      <c r="V59" s="104"/>
      <c r="W59" s="104"/>
      <c r="X59" s="104">
        <v>0</v>
      </c>
      <c r="Y59" s="104"/>
      <c r="Z59" s="104"/>
      <c r="AA59" s="104"/>
      <c r="AB59" s="104"/>
      <c r="AC59" s="104"/>
      <c r="AD59" s="104"/>
      <c r="AE59" s="104">
        <v>0</v>
      </c>
      <c r="AF59" s="104"/>
      <c r="AG59" s="104"/>
      <c r="AH59" s="104"/>
      <c r="AI59" s="104"/>
      <c r="AJ59" s="104"/>
      <c r="AK59" s="104"/>
      <c r="AL59" s="104">
        <v>0</v>
      </c>
      <c r="AM59" s="104"/>
      <c r="AN59" s="104"/>
      <c r="AO59" s="104"/>
      <c r="AP59" s="104"/>
      <c r="AQ59" s="104"/>
      <c r="AR59" s="104"/>
      <c r="AS59" s="104">
        <v>0</v>
      </c>
      <c r="AT59" s="104"/>
      <c r="AU59" s="104"/>
      <c r="AV59" s="104"/>
      <c r="AW59" s="104"/>
      <c r="AX59" s="104"/>
      <c r="AY59" s="104"/>
      <c r="AZ59" s="104">
        <v>0</v>
      </c>
      <c r="BA59" s="104"/>
      <c r="BB59" s="104"/>
      <c r="BC59" s="104"/>
      <c r="BD59" s="104"/>
      <c r="BE59" s="104"/>
      <c r="BF59" s="104"/>
      <c r="BG59" s="104">
        <v>0</v>
      </c>
      <c r="BH59" s="104"/>
      <c r="BI59" s="104"/>
      <c r="BJ59" s="104"/>
      <c r="BK59" s="104"/>
      <c r="BL59" s="104"/>
      <c r="BM59" s="104"/>
      <c r="BN59" s="104">
        <v>0</v>
      </c>
      <c r="BO59" s="104"/>
      <c r="BP59" s="104"/>
      <c r="BQ59" s="104"/>
      <c r="BR59" s="104"/>
      <c r="BS59" s="104"/>
      <c r="BT59" s="104"/>
      <c r="BU59" s="104">
        <v>0</v>
      </c>
      <c r="BV59" s="104"/>
      <c r="BW59" s="104"/>
      <c r="BX59" s="104"/>
      <c r="BY59" s="104"/>
      <c r="BZ59" s="104"/>
      <c r="CA59" s="104"/>
      <c r="CB59" s="104">
        <v>0</v>
      </c>
      <c r="CC59" s="104"/>
      <c r="CD59" s="104"/>
      <c r="CE59" s="104"/>
      <c r="CF59" s="104"/>
      <c r="CG59" s="104"/>
      <c r="CH59" s="104"/>
      <c r="CI59" s="104">
        <v>0</v>
      </c>
      <c r="CJ59" s="104"/>
      <c r="CK59" s="104"/>
      <c r="CL59" s="104"/>
      <c r="CM59" s="104"/>
      <c r="CN59" s="104"/>
      <c r="CO59" s="104"/>
      <c r="CP59" s="104">
        <v>0</v>
      </c>
      <c r="CQ59" s="104"/>
    </row>
    <row r="60" spans="1:95" ht="14.25" customHeight="1" x14ac:dyDescent="0.2">
      <c r="S60" s="256"/>
      <c r="T60" s="256"/>
      <c r="U60" s="256"/>
      <c r="V60" s="256"/>
      <c r="W60" s="256"/>
      <c r="X60" s="257"/>
      <c r="Y60" s="257"/>
      <c r="Z60" s="256"/>
      <c r="AA60" s="256"/>
      <c r="AB60" s="256"/>
      <c r="AC60" s="256"/>
      <c r="AD60" s="256"/>
      <c r="AE60" s="257"/>
      <c r="AF60" s="257"/>
      <c r="AG60" s="256"/>
      <c r="AH60" s="256"/>
      <c r="AI60" s="256"/>
      <c r="AJ60" s="256"/>
      <c r="AK60" s="256"/>
      <c r="AL60" s="257"/>
      <c r="AM60" s="257"/>
      <c r="AN60" s="256"/>
      <c r="AO60" s="256"/>
      <c r="AP60" s="256"/>
      <c r="AQ60" s="256"/>
      <c r="AR60" s="256"/>
      <c r="AS60" s="257"/>
      <c r="AT60" s="257"/>
      <c r="AU60" s="256"/>
      <c r="AV60" s="256"/>
      <c r="AW60" s="256"/>
      <c r="AX60" s="256"/>
      <c r="AY60" s="256"/>
      <c r="AZ60" s="257"/>
      <c r="BA60" s="257"/>
    </row>
    <row r="61" spans="1:95" ht="14.25" customHeight="1" x14ac:dyDescent="0.2">
      <c r="Q61" s="138"/>
      <c r="Y61" s="111"/>
      <c r="AF61" s="111"/>
      <c r="AM61" s="139"/>
      <c r="AT61" s="139"/>
      <c r="BA61" s="139"/>
    </row>
    <row r="62" spans="1:95" ht="14.25" customHeight="1" x14ac:dyDescent="0.2">
      <c r="Y62" s="111"/>
      <c r="AF62" s="111"/>
      <c r="AM62" s="139"/>
      <c r="AT62" s="139"/>
      <c r="BA62" s="139"/>
    </row>
    <row r="63" spans="1:95" ht="14.25" customHeight="1" x14ac:dyDescent="0.2">
      <c r="Y63" s="111"/>
      <c r="AF63" s="111"/>
      <c r="AM63" s="139"/>
      <c r="AT63" s="139"/>
      <c r="BA63" s="139"/>
    </row>
    <row r="64" spans="1:95" ht="14.25" customHeight="1" x14ac:dyDescent="0.2">
      <c r="Y64" s="111"/>
      <c r="AF64" s="111"/>
      <c r="AM64" s="139"/>
      <c r="AT64" s="139"/>
    </row>
    <row r="65" spans="25:53" ht="14.25" customHeight="1" x14ac:dyDescent="0.2">
      <c r="Y65" s="111"/>
      <c r="AF65" s="111"/>
      <c r="AM65" s="139"/>
      <c r="AT65" s="139"/>
    </row>
    <row r="66" spans="25:53" ht="14.25" customHeight="1" x14ac:dyDescent="0.2">
      <c r="Y66" s="111"/>
      <c r="AF66" s="111"/>
      <c r="AM66" s="139"/>
      <c r="AT66" s="139"/>
    </row>
    <row r="67" spans="25:53" ht="14.25" customHeight="1" x14ac:dyDescent="0.2">
      <c r="Y67" s="111"/>
      <c r="AF67" s="111"/>
      <c r="AM67" s="139"/>
      <c r="AT67" s="139"/>
    </row>
    <row r="68" spans="25:53" ht="14.25" customHeight="1" x14ac:dyDescent="0.2">
      <c r="Y68" s="111"/>
      <c r="AF68" s="111"/>
      <c r="AM68" s="139"/>
      <c r="AT68" s="139"/>
    </row>
    <row r="69" spans="25:53" ht="14.25" customHeight="1" x14ac:dyDescent="0.2">
      <c r="Y69" s="111"/>
      <c r="AF69" s="111"/>
      <c r="AM69" s="139"/>
    </row>
    <row r="70" spans="25:53" ht="14.25" customHeight="1" x14ac:dyDescent="0.2">
      <c r="Y70" s="111"/>
      <c r="AF70" s="111"/>
      <c r="AM70" s="139"/>
      <c r="AT70" s="139"/>
    </row>
    <row r="71" spans="25:53" ht="14.25" customHeight="1" x14ac:dyDescent="0.2">
      <c r="Y71" s="111"/>
      <c r="AF71" s="111"/>
      <c r="AM71" s="139"/>
      <c r="AT71" s="139"/>
      <c r="BA71" s="139"/>
    </row>
    <row r="72" spans="25:53" ht="14.25" customHeight="1" x14ac:dyDescent="0.2">
      <c r="Y72" s="111"/>
      <c r="AF72" s="111"/>
      <c r="AM72" s="139"/>
      <c r="AT72" s="139"/>
    </row>
    <row r="73" spans="25:53" ht="14.25" customHeight="1" x14ac:dyDescent="0.2">
      <c r="AF73" s="104"/>
      <c r="AM73" s="140"/>
      <c r="AT73" s="139"/>
      <c r="BA73" s="139"/>
    </row>
    <row r="74" spans="25:53" ht="14.25" customHeight="1" x14ac:dyDescent="0.2">
      <c r="Y74" s="141"/>
      <c r="AF74" s="104"/>
      <c r="AT74" s="140"/>
      <c r="BA74" s="140"/>
    </row>
    <row r="75" spans="25:53" ht="14.25" customHeight="1" x14ac:dyDescent="0.2">
      <c r="AF75" s="142"/>
    </row>
    <row r="76" spans="25:53" ht="14.25" customHeight="1" x14ac:dyDescent="0.2"/>
    <row r="77" spans="25:53" ht="14.25" customHeight="1" x14ac:dyDescent="0.2"/>
    <row r="78" spans="25:53" ht="14.25" customHeight="1" x14ac:dyDescent="0.2"/>
    <row r="79" spans="25:53" ht="14.25" customHeight="1" x14ac:dyDescent="0.2"/>
    <row r="80" spans="25:53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mergeCells count="18">
    <mergeCell ref="B2:K2"/>
    <mergeCell ref="L2:R2"/>
    <mergeCell ref="S2:Y2"/>
    <mergeCell ref="Z2:AF2"/>
    <mergeCell ref="AG2:AM2"/>
    <mergeCell ref="CK2:CQ2"/>
    <mergeCell ref="S60:Y60"/>
    <mergeCell ref="Z60:AF60"/>
    <mergeCell ref="AG60:AM60"/>
    <mergeCell ref="AN60:AT60"/>
    <mergeCell ref="AU60:BA60"/>
    <mergeCell ref="AU2:BA2"/>
    <mergeCell ref="BB2:BH2"/>
    <mergeCell ref="BI2:BO2"/>
    <mergeCell ref="BP2:BV2"/>
    <mergeCell ref="BW2:CC2"/>
    <mergeCell ref="CD2:CJ2"/>
    <mergeCell ref="AN2:AT2"/>
  </mergeCells>
  <printOptions horizontalCentered="1"/>
  <pageMargins left="9.8425196850393706E-2" right="9.8425196850393706E-2" top="0.59055118110236227" bottom="0.39370078740157483" header="0" footer="0"/>
  <pageSetup paperSize="9" scale="43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AD066-460B-3B4D-90CD-09443EE35AD8}">
  <sheetPr>
    <pageSetUpPr fitToPage="1"/>
  </sheetPr>
  <dimension ref="A1:CU1000"/>
  <sheetViews>
    <sheetView zoomScale="85" zoomScaleNormal="85" workbookViewId="0">
      <pane xSplit="1" ySplit="3" topLeftCell="AS26" activePane="bottomRight" state="frozen"/>
      <selection pane="topRight" activeCell="B1" sqref="B1"/>
      <selection pane="bottomLeft" activeCell="A4" sqref="A4"/>
      <selection pane="bottomRight" activeCell="AZ56" sqref="AZ56:AZ57"/>
    </sheetView>
  </sheetViews>
  <sheetFormatPr baseColWidth="10" defaultColWidth="14.5" defaultRowHeight="15" customHeight="1" x14ac:dyDescent="0.2"/>
  <cols>
    <col min="1" max="1" width="32.33203125" customWidth="1"/>
    <col min="2" max="37" width="11.5" customWidth="1"/>
    <col min="38" max="38" width="12" customWidth="1"/>
    <col min="39" max="96" width="11.5" customWidth="1"/>
    <col min="97" max="98" width="10.5" customWidth="1"/>
    <col min="99" max="99" width="2.6640625" customWidth="1"/>
  </cols>
  <sheetData>
    <row r="1" spans="1:99" ht="20" customHeight="1" thickBot="1" x14ac:dyDescent="0.25">
      <c r="A1" s="1" t="s">
        <v>106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45"/>
    </row>
    <row r="2" spans="1:99" ht="14.25" customHeight="1" thickBot="1" x14ac:dyDescent="0.25">
      <c r="A2" s="5"/>
      <c r="B2" s="245"/>
      <c r="C2" s="246"/>
      <c r="D2" s="246"/>
      <c r="E2" s="247"/>
      <c r="F2" s="247"/>
      <c r="G2" s="247"/>
      <c r="H2" s="247"/>
      <c r="I2" s="247"/>
      <c r="J2" s="247"/>
      <c r="K2" s="248"/>
      <c r="L2" s="245" t="s">
        <v>2</v>
      </c>
      <c r="M2" s="246"/>
      <c r="N2" s="246"/>
      <c r="O2" s="246"/>
      <c r="P2" s="246"/>
      <c r="Q2" s="247"/>
      <c r="R2" s="248"/>
      <c r="S2" s="245" t="s">
        <v>3</v>
      </c>
      <c r="T2" s="246"/>
      <c r="U2" s="246"/>
      <c r="V2" s="246"/>
      <c r="W2" s="246"/>
      <c r="X2" s="247"/>
      <c r="Y2" s="248"/>
      <c r="Z2" s="245" t="s">
        <v>4</v>
      </c>
      <c r="AA2" s="246"/>
      <c r="AB2" s="246"/>
      <c r="AC2" s="246"/>
      <c r="AD2" s="246"/>
      <c r="AE2" s="247"/>
      <c r="AF2" s="248"/>
      <c r="AG2" s="245" t="s">
        <v>5</v>
      </c>
      <c r="AH2" s="246"/>
      <c r="AI2" s="246"/>
      <c r="AJ2" s="246"/>
      <c r="AK2" s="246"/>
      <c r="AL2" s="247"/>
      <c r="AM2" s="248"/>
      <c r="AN2" s="245" t="s">
        <v>6</v>
      </c>
      <c r="AO2" s="246"/>
      <c r="AP2" s="246"/>
      <c r="AQ2" s="246"/>
      <c r="AR2" s="246"/>
      <c r="AS2" s="247"/>
      <c r="AT2" s="248"/>
      <c r="AU2" s="245" t="s">
        <v>7</v>
      </c>
      <c r="AV2" s="246"/>
      <c r="AW2" s="246"/>
      <c r="AX2" s="246"/>
      <c r="AY2" s="246"/>
      <c r="AZ2" s="247"/>
      <c r="BA2" s="248"/>
      <c r="BB2" s="245" t="s">
        <v>8</v>
      </c>
      <c r="BC2" s="246"/>
      <c r="BD2" s="246"/>
      <c r="BE2" s="246"/>
      <c r="BF2" s="246"/>
      <c r="BG2" s="247"/>
      <c r="BH2" s="248"/>
      <c r="BI2" s="245" t="s">
        <v>9</v>
      </c>
      <c r="BJ2" s="246"/>
      <c r="BK2" s="246"/>
      <c r="BL2" s="246"/>
      <c r="BM2" s="246"/>
      <c r="BN2" s="247"/>
      <c r="BO2" s="248"/>
      <c r="BP2" s="245" t="s">
        <v>10</v>
      </c>
      <c r="BQ2" s="246"/>
      <c r="BR2" s="246"/>
      <c r="BS2" s="246"/>
      <c r="BT2" s="246"/>
      <c r="BU2" s="247"/>
      <c r="BV2" s="248"/>
      <c r="BW2" s="245" t="s">
        <v>11</v>
      </c>
      <c r="BX2" s="246"/>
      <c r="BY2" s="246"/>
      <c r="BZ2" s="246"/>
      <c r="CA2" s="246"/>
      <c r="CB2" s="247"/>
      <c r="CC2" s="248"/>
      <c r="CD2" s="245" t="s">
        <v>12</v>
      </c>
      <c r="CE2" s="246"/>
      <c r="CF2" s="246"/>
      <c r="CG2" s="246"/>
      <c r="CH2" s="246"/>
      <c r="CI2" s="247"/>
      <c r="CJ2" s="248"/>
      <c r="CK2" s="245" t="s">
        <v>13</v>
      </c>
      <c r="CL2" s="246"/>
      <c r="CM2" s="246"/>
      <c r="CN2" s="246"/>
      <c r="CO2" s="246"/>
      <c r="CP2" s="247"/>
      <c r="CQ2" s="248"/>
    </row>
    <row r="3" spans="1:99" ht="45" customHeight="1" thickBot="1" x14ac:dyDescent="0.25">
      <c r="A3" s="5"/>
      <c r="B3" s="8" t="s">
        <v>14</v>
      </c>
      <c r="C3" s="9" t="s">
        <v>15</v>
      </c>
      <c r="D3" s="10" t="s">
        <v>16</v>
      </c>
      <c r="E3" s="8" t="s">
        <v>17</v>
      </c>
      <c r="F3" s="11" t="s">
        <v>18</v>
      </c>
      <c r="G3" s="12" t="s">
        <v>19</v>
      </c>
      <c r="H3" s="13" t="s">
        <v>20</v>
      </c>
      <c r="I3" s="14" t="s">
        <v>21</v>
      </c>
      <c r="J3" s="14" t="s">
        <v>22</v>
      </c>
      <c r="K3" s="15" t="s">
        <v>23</v>
      </c>
      <c r="L3" s="6" t="s">
        <v>24</v>
      </c>
      <c r="M3" s="14" t="s">
        <v>25</v>
      </c>
      <c r="N3" s="14" t="s">
        <v>26</v>
      </c>
      <c r="O3" s="14" t="s">
        <v>20</v>
      </c>
      <c r="P3" s="14" t="s">
        <v>21</v>
      </c>
      <c r="Q3" s="14" t="s">
        <v>22</v>
      </c>
      <c r="R3" s="15" t="s">
        <v>23</v>
      </c>
      <c r="S3" s="6" t="s">
        <v>24</v>
      </c>
      <c r="T3" s="14" t="s">
        <v>25</v>
      </c>
      <c r="U3" s="14" t="s">
        <v>26</v>
      </c>
      <c r="V3" s="14" t="s">
        <v>20</v>
      </c>
      <c r="W3" s="14" t="s">
        <v>21</v>
      </c>
      <c r="X3" s="14" t="s">
        <v>22</v>
      </c>
      <c r="Y3" s="15" t="s">
        <v>23</v>
      </c>
      <c r="Z3" s="6" t="s">
        <v>24</v>
      </c>
      <c r="AA3" s="14" t="s">
        <v>25</v>
      </c>
      <c r="AB3" s="14" t="s">
        <v>26</v>
      </c>
      <c r="AC3" s="14" t="s">
        <v>20</v>
      </c>
      <c r="AD3" s="14" t="s">
        <v>21</v>
      </c>
      <c r="AE3" s="14" t="s">
        <v>22</v>
      </c>
      <c r="AF3" s="15" t="s">
        <v>23</v>
      </c>
      <c r="AG3" s="6" t="s">
        <v>24</v>
      </c>
      <c r="AH3" s="14" t="s">
        <v>25</v>
      </c>
      <c r="AI3" s="14" t="s">
        <v>26</v>
      </c>
      <c r="AJ3" s="14" t="s">
        <v>20</v>
      </c>
      <c r="AK3" s="14" t="s">
        <v>21</v>
      </c>
      <c r="AL3" s="14" t="s">
        <v>22</v>
      </c>
      <c r="AM3" s="15" t="s">
        <v>23</v>
      </c>
      <c r="AN3" s="6" t="s">
        <v>24</v>
      </c>
      <c r="AO3" s="14" t="s">
        <v>25</v>
      </c>
      <c r="AP3" s="14" t="s">
        <v>26</v>
      </c>
      <c r="AQ3" s="14" t="s">
        <v>20</v>
      </c>
      <c r="AR3" s="14" t="s">
        <v>21</v>
      </c>
      <c r="AS3" s="14" t="s">
        <v>22</v>
      </c>
      <c r="AT3" s="15" t="s">
        <v>23</v>
      </c>
      <c r="AU3" s="6" t="s">
        <v>24</v>
      </c>
      <c r="AV3" s="14" t="s">
        <v>25</v>
      </c>
      <c r="AW3" s="14" t="s">
        <v>26</v>
      </c>
      <c r="AX3" s="14" t="s">
        <v>20</v>
      </c>
      <c r="AY3" s="14" t="s">
        <v>21</v>
      </c>
      <c r="AZ3" s="14" t="s">
        <v>22</v>
      </c>
      <c r="BA3" s="15" t="s">
        <v>23</v>
      </c>
      <c r="BB3" s="6" t="s">
        <v>24</v>
      </c>
      <c r="BC3" s="14" t="s">
        <v>25</v>
      </c>
      <c r="BD3" s="14" t="s">
        <v>26</v>
      </c>
      <c r="BE3" s="14" t="s">
        <v>20</v>
      </c>
      <c r="BF3" s="14" t="s">
        <v>21</v>
      </c>
      <c r="BG3" s="14" t="s">
        <v>22</v>
      </c>
      <c r="BH3" s="15" t="s">
        <v>23</v>
      </c>
      <c r="BI3" s="6" t="s">
        <v>24</v>
      </c>
      <c r="BJ3" s="14" t="s">
        <v>25</v>
      </c>
      <c r="BK3" s="14" t="s">
        <v>26</v>
      </c>
      <c r="BL3" s="14" t="s">
        <v>20</v>
      </c>
      <c r="BM3" s="14" t="s">
        <v>21</v>
      </c>
      <c r="BN3" s="14" t="s">
        <v>22</v>
      </c>
      <c r="BO3" s="15" t="s">
        <v>23</v>
      </c>
      <c r="BP3" s="6" t="s">
        <v>24</v>
      </c>
      <c r="BQ3" s="14" t="s">
        <v>25</v>
      </c>
      <c r="BR3" s="14" t="s">
        <v>26</v>
      </c>
      <c r="BS3" s="14" t="s">
        <v>20</v>
      </c>
      <c r="BT3" s="14" t="s">
        <v>21</v>
      </c>
      <c r="BU3" s="14" t="s">
        <v>22</v>
      </c>
      <c r="BV3" s="15" t="s">
        <v>23</v>
      </c>
      <c r="BW3" s="6" t="s">
        <v>24</v>
      </c>
      <c r="BX3" s="14" t="s">
        <v>25</v>
      </c>
      <c r="BY3" s="14" t="s">
        <v>26</v>
      </c>
      <c r="BZ3" s="14" t="s">
        <v>20</v>
      </c>
      <c r="CA3" s="14" t="s">
        <v>21</v>
      </c>
      <c r="CB3" s="14" t="s">
        <v>22</v>
      </c>
      <c r="CC3" s="15" t="s">
        <v>23</v>
      </c>
      <c r="CD3" s="6" t="s">
        <v>24</v>
      </c>
      <c r="CE3" s="14" t="s">
        <v>25</v>
      </c>
      <c r="CF3" s="14" t="s">
        <v>26</v>
      </c>
      <c r="CG3" s="14" t="s">
        <v>20</v>
      </c>
      <c r="CH3" s="14" t="s">
        <v>21</v>
      </c>
      <c r="CI3" s="14" t="s">
        <v>22</v>
      </c>
      <c r="CJ3" s="15" t="s">
        <v>23</v>
      </c>
      <c r="CK3" s="6" t="s">
        <v>24</v>
      </c>
      <c r="CL3" s="14" t="s">
        <v>25</v>
      </c>
      <c r="CM3" s="14" t="s">
        <v>26</v>
      </c>
      <c r="CN3" s="14" t="s">
        <v>20</v>
      </c>
      <c r="CO3" s="14" t="s">
        <v>21</v>
      </c>
      <c r="CP3" s="14" t="s">
        <v>22</v>
      </c>
      <c r="CQ3" s="15" t="s">
        <v>23</v>
      </c>
    </row>
    <row r="4" spans="1:99" s="26" customFormat="1" ht="14.25" customHeight="1" x14ac:dyDescent="0.2">
      <c r="A4" s="16" t="s">
        <v>28</v>
      </c>
      <c r="B4" s="17">
        <f t="shared" ref="B4:D35" si="0">+L4+S4+Z4+AG4+AN4+AU4+BB4+BI4+BP4+BW4+CD4+CK4</f>
        <v>1599741.5344800001</v>
      </c>
      <c r="C4" s="18">
        <f t="shared" si="0"/>
        <v>1163012.0955669598</v>
      </c>
      <c r="D4" s="19">
        <f t="shared" si="0"/>
        <v>436729.43891304004</v>
      </c>
      <c r="E4" s="17">
        <f>+L4+S4+Z4+AG4</f>
        <v>563488.72080000001</v>
      </c>
      <c r="F4" s="20">
        <f>+M4+T4+AA4+AH4</f>
        <v>409656.30002159998</v>
      </c>
      <c r="G4" s="21">
        <f>+N4+U4+AB4+AI4</f>
        <v>153832.4207784</v>
      </c>
      <c r="H4" s="18">
        <f t="shared" ref="H4:J35" si="1">+O4+V4+AC4+AJ4+AQ4+AX4+BE4+BL4+BS4+BZ4+CG4+CN4</f>
        <v>609203.14311999991</v>
      </c>
      <c r="I4" s="20">
        <f t="shared" si="1"/>
        <v>228765.41688</v>
      </c>
      <c r="J4" s="20">
        <f t="shared" si="1"/>
        <v>837968.56</v>
      </c>
      <c r="K4" s="25">
        <f t="shared" ref="K4:K54" si="2">IF(E4=0,"",(+J4/E4-1))</f>
        <v>0.48710795632308956</v>
      </c>
      <c r="L4" s="23">
        <v>123363.4302</v>
      </c>
      <c r="M4" s="18">
        <f>L4-N4</f>
        <v>89685.213755400007</v>
      </c>
      <c r="N4" s="18">
        <f>+L4*27.3%</f>
        <v>33678.216444600002</v>
      </c>
      <c r="O4" s="18">
        <f>+Q4-P4</f>
        <v>98962.293399999995</v>
      </c>
      <c r="P4" s="18">
        <f>+Q4*27.3%</f>
        <v>37161.906600000009</v>
      </c>
      <c r="Q4" s="20">
        <f>193323.03-Q5-Q6-Q7-Q8-Q9</f>
        <v>136124.20000000001</v>
      </c>
      <c r="R4" s="25">
        <f t="shared" ref="R4:R54" si="3">IF(L4=0,"",(+Q4/L4-1))</f>
        <v>0.10344045864574225</v>
      </c>
      <c r="S4" s="23">
        <v>193398.4302</v>
      </c>
      <c r="T4" s="18">
        <f>S4-U4</f>
        <v>140600.65875539999</v>
      </c>
      <c r="U4" s="18">
        <f>+S4*27.3%</f>
        <v>52797.771444600003</v>
      </c>
      <c r="V4" s="18">
        <f>+X4-W4</f>
        <v>90163.492369999993</v>
      </c>
      <c r="W4" s="18">
        <f>+X4*27.3%</f>
        <v>33857.817629999998</v>
      </c>
      <c r="X4" s="146">
        <f>178751.68-X5-X6-X7-X8-X9</f>
        <v>124021.30999999998</v>
      </c>
      <c r="Y4" s="25">
        <f t="shared" ref="Y4:Y54" si="4">IF(S4=0,"",(+X4/S4-1))</f>
        <v>-0.35872638742855745</v>
      </c>
      <c r="Z4" s="23">
        <v>123363.4302</v>
      </c>
      <c r="AA4" s="18">
        <f>Z4-AB4</f>
        <v>89685.213755400007</v>
      </c>
      <c r="AB4" s="18">
        <f>+Z4*27.3%</f>
        <v>33678.216444600002</v>
      </c>
      <c r="AC4" s="18">
        <f>+AE4-AD4</f>
        <v>66070.566970000014</v>
      </c>
      <c r="AD4" s="18">
        <f>+AE4*27.3%</f>
        <v>24810.543030000004</v>
      </c>
      <c r="AE4" s="24">
        <f>136039.67-AE5-AE6-AE7-AE8-AE9</f>
        <v>90881.110000000015</v>
      </c>
      <c r="AF4" s="25">
        <f t="shared" ref="AF4:AF54" si="5">IF(Z4=0,"",(+AE4/Z4-1))</f>
        <v>-0.2633059095984831</v>
      </c>
      <c r="AG4" s="23">
        <v>123363.4302</v>
      </c>
      <c r="AH4" s="18">
        <f>AG4-AI4</f>
        <v>89685.213755400007</v>
      </c>
      <c r="AI4" s="18">
        <f>+AG4*27.3%</f>
        <v>33678.216444600002</v>
      </c>
      <c r="AJ4" s="18">
        <f>+AL4-AK4</f>
        <v>124791.99999</v>
      </c>
      <c r="AK4" s="18">
        <f>+AL4*27.3%</f>
        <v>46861.370009999999</v>
      </c>
      <c r="AL4" s="24">
        <f>209291.89-AL5-AL6-AL7-AL8-AL9</f>
        <v>171653.37</v>
      </c>
      <c r="AM4" s="25">
        <f t="shared" ref="AM4:AM54" si="6">IF(AG4=0,"",(+AL4/AG4-1))</f>
        <v>0.39144452875305991</v>
      </c>
      <c r="AN4" s="23">
        <v>123363.4302</v>
      </c>
      <c r="AO4" s="18">
        <f>AN4-AP4</f>
        <v>89685.213755400007</v>
      </c>
      <c r="AP4" s="18">
        <f>+AN4*27.3%</f>
        <v>33678.216444600002</v>
      </c>
      <c r="AQ4" s="18">
        <f>+AS4-AR4</f>
        <v>112385.14885</v>
      </c>
      <c r="AR4" s="18">
        <f>+AS4*27.3%</f>
        <v>42202.401149999998</v>
      </c>
      <c r="AS4" s="24">
        <v>154587.54999999999</v>
      </c>
      <c r="AT4" s="25">
        <f t="shared" ref="AT4:AT54" si="7">IF(AN4=0,"",(+AS4/AN4-1))</f>
        <v>0.25310677361498968</v>
      </c>
      <c r="AU4" s="23">
        <v>123363.4302</v>
      </c>
      <c r="AV4" s="18">
        <f>AU4-AW4</f>
        <v>89685.213755400007</v>
      </c>
      <c r="AW4" s="18">
        <f>+AU4*27.3%</f>
        <v>33678.216444600002</v>
      </c>
      <c r="AX4" s="18">
        <f>+AZ4-AY4</f>
        <v>116829.64153999998</v>
      </c>
      <c r="AY4" s="18">
        <f>+AZ4*27.3%</f>
        <v>43871.37846</v>
      </c>
      <c r="AZ4" s="24">
        <v>160701.01999999999</v>
      </c>
      <c r="BA4" s="25">
        <f t="shared" ref="BA4:BA54" si="8">IF(AU4=0,"",(+AZ4/AU4-1))</f>
        <v>0.30266335606481842</v>
      </c>
      <c r="BB4" s="23">
        <v>123363.4302</v>
      </c>
      <c r="BC4" s="18">
        <f>BB4-BD4</f>
        <v>89685.213755400007</v>
      </c>
      <c r="BD4" s="18">
        <f>+BB4*27.3%</f>
        <v>33678.216444600002</v>
      </c>
      <c r="BE4" s="18">
        <f>+BG4-BF4</f>
        <v>0</v>
      </c>
      <c r="BF4" s="18">
        <f>+BG4*27.3%</f>
        <v>0</v>
      </c>
      <c r="BG4" s="24"/>
      <c r="BH4" s="25">
        <f t="shared" ref="BH4:BH54" si="9">IF(BB4=0,"",(+BG4/BB4-1))</f>
        <v>-1</v>
      </c>
      <c r="BI4" s="23">
        <v>133232.50461599999</v>
      </c>
      <c r="BJ4" s="18">
        <f>BI4-BK4</f>
        <v>96860.030855831981</v>
      </c>
      <c r="BK4" s="18">
        <f>+BI4*27.3%</f>
        <v>36372.473760168003</v>
      </c>
      <c r="BL4" s="18">
        <f>+BN4-BM4</f>
        <v>0</v>
      </c>
      <c r="BM4" s="18">
        <f>+BN4*27.3%</f>
        <v>0</v>
      </c>
      <c r="BN4" s="24"/>
      <c r="BO4" s="25">
        <f t="shared" ref="BO4:BO54" si="10">IF(BI4=0,"",(+BN4/BI4-1))</f>
        <v>-1</v>
      </c>
      <c r="BP4" s="23">
        <v>133232.50461599999</v>
      </c>
      <c r="BQ4" s="18">
        <f>BP4-BR4</f>
        <v>96860.030855831981</v>
      </c>
      <c r="BR4" s="18">
        <f>+BP4*27.3%</f>
        <v>36372.473760168003</v>
      </c>
      <c r="BS4" s="18">
        <f>+BU4-BT4</f>
        <v>0</v>
      </c>
      <c r="BT4" s="18">
        <f>+BU4*27.3%</f>
        <v>0</v>
      </c>
      <c r="BU4" s="24"/>
      <c r="BV4" s="25">
        <f t="shared" ref="BV4:BV54" si="11">IF(BP4=0,"",(+BU4/BP4-1))</f>
        <v>-1</v>
      </c>
      <c r="BW4" s="23">
        <v>133232.50461599999</v>
      </c>
      <c r="BX4" s="18">
        <f>BW4-BY4</f>
        <v>96860.030855831981</v>
      </c>
      <c r="BY4" s="18">
        <f>+BW4*27.3%</f>
        <v>36372.473760168003</v>
      </c>
      <c r="BZ4" s="18">
        <f>+CB4-CA4</f>
        <v>0</v>
      </c>
      <c r="CA4" s="18">
        <f>+CB4*27.3%</f>
        <v>0</v>
      </c>
      <c r="CB4" s="24"/>
      <c r="CC4" s="25">
        <f t="shared" ref="CC4:CC54" si="12">IF(BW4=0,"",(+CB4/BW4-1))</f>
        <v>-1</v>
      </c>
      <c r="CD4" s="23">
        <v>133232.50461599999</v>
      </c>
      <c r="CE4" s="18">
        <f>CD4-CF4</f>
        <v>96860.030855831981</v>
      </c>
      <c r="CF4" s="18">
        <f>+CD4*27.3%</f>
        <v>36372.473760168003</v>
      </c>
      <c r="CG4" s="18">
        <f>+CI4-CH4</f>
        <v>0</v>
      </c>
      <c r="CH4" s="18">
        <f>+CI4*27.3%</f>
        <v>0</v>
      </c>
      <c r="CI4" s="24"/>
      <c r="CJ4" s="25">
        <f t="shared" ref="CJ4:CJ54" si="13">IF(CD4=0,"",(+CI4/CD4-1))</f>
        <v>-1</v>
      </c>
      <c r="CK4" s="23">
        <v>133232.50461599999</v>
      </c>
      <c r="CL4" s="18">
        <f>CK4-CM4</f>
        <v>96860.030855831981</v>
      </c>
      <c r="CM4" s="18">
        <f>+CK4*27.3%</f>
        <v>36372.473760168003</v>
      </c>
      <c r="CN4" s="18">
        <f>+CP4-CO4</f>
        <v>0</v>
      </c>
      <c r="CO4" s="18">
        <f>+CP4*27.3%</f>
        <v>0</v>
      </c>
      <c r="CP4" s="24"/>
      <c r="CQ4" s="25">
        <f t="shared" ref="CQ4:CQ54" si="14">IF(CK4=0,"",(+CP4/CK4-1))</f>
        <v>-1</v>
      </c>
    </row>
    <row r="5" spans="1:99" s="26" customFormat="1" ht="14.25" customHeight="1" x14ac:dyDescent="0.2">
      <c r="A5" s="29" t="s">
        <v>29</v>
      </c>
      <c r="B5" s="30">
        <f t="shared" si="0"/>
        <v>95000.000000000015</v>
      </c>
      <c r="C5" s="31">
        <f t="shared" si="0"/>
        <v>69064.999999999985</v>
      </c>
      <c r="D5" s="32">
        <f t="shared" si="0"/>
        <v>25935.000000000004</v>
      </c>
      <c r="E5" s="30">
        <f t="shared" ref="E5:G36" si="15">+L5+S5+Z5+AG5</f>
        <v>31666.666666666668</v>
      </c>
      <c r="F5" s="33">
        <f t="shared" si="15"/>
        <v>23021.666666666664</v>
      </c>
      <c r="G5" s="34">
        <f t="shared" si="15"/>
        <v>8645.0000000000018</v>
      </c>
      <c r="H5" s="31">
        <f t="shared" si="1"/>
        <v>60119.882949999999</v>
      </c>
      <c r="I5" s="33">
        <f t="shared" si="1"/>
        <v>22575.967050000003</v>
      </c>
      <c r="J5" s="33">
        <f t="shared" si="1"/>
        <v>82695.850000000006</v>
      </c>
      <c r="K5" s="37">
        <f t="shared" si="2"/>
        <v>1.611447894736842</v>
      </c>
      <c r="L5" s="36">
        <v>7916.666666666667</v>
      </c>
      <c r="M5" s="31">
        <f t="shared" ref="M5:M54" si="16">L5-N5</f>
        <v>5755.4166666666661</v>
      </c>
      <c r="N5" s="31">
        <f t="shared" ref="N5:N57" si="17">+L5*27.3%</f>
        <v>2161.2500000000005</v>
      </c>
      <c r="O5" s="31">
        <f t="shared" ref="O5:O54" si="18">+Q5-P5</f>
        <v>10064.4426</v>
      </c>
      <c r="P5" s="31">
        <f t="shared" ref="P5:P54" si="19">+Q5*27.3%</f>
        <v>3779.3574000000008</v>
      </c>
      <c r="Q5" s="33">
        <f>241.36+8349.26+5253.18</f>
        <v>13843.800000000001</v>
      </c>
      <c r="R5" s="37">
        <f t="shared" si="3"/>
        <v>0.74869052631578947</v>
      </c>
      <c r="S5" s="36">
        <v>7916.666666666667</v>
      </c>
      <c r="T5" s="31">
        <f t="shared" ref="T5:T54" si="20">S5-U5</f>
        <v>5755.4166666666661</v>
      </c>
      <c r="U5" s="31">
        <f t="shared" ref="U5:U57" si="21">+S5*27.3%</f>
        <v>2161.2500000000005</v>
      </c>
      <c r="V5" s="31">
        <f t="shared" ref="V5:V54" si="22">+X5-W5</f>
        <v>11527.660959999999</v>
      </c>
      <c r="W5" s="31">
        <f t="shared" ref="W5:W54" si="23">+X5*27.3%</f>
        <v>4328.8190400000003</v>
      </c>
      <c r="X5" s="147">
        <f>168.95+8164.38+7523.15</f>
        <v>15856.48</v>
      </c>
      <c r="Y5" s="37">
        <f t="shared" si="4"/>
        <v>1.0029237894736842</v>
      </c>
      <c r="Z5" s="36">
        <v>7916.666666666667</v>
      </c>
      <c r="AA5" s="31">
        <f t="shared" ref="AA5:AA54" si="24">Z5-AB5</f>
        <v>5755.4166666666661</v>
      </c>
      <c r="AB5" s="31">
        <f t="shared" ref="AB5:AB57" si="25">+Z5*27.3%</f>
        <v>2161.2500000000005</v>
      </c>
      <c r="AC5" s="31">
        <f t="shared" ref="AC5:AC54" si="26">+AE5-AD5</f>
        <v>7604.5217799999991</v>
      </c>
      <c r="AD5" s="31">
        <f t="shared" ref="AD5:AD54" si="27">+AE5*27.3%</f>
        <v>2855.6182199999998</v>
      </c>
      <c r="AE5" s="27">
        <f>6576.11+3884.03</f>
        <v>10460.14</v>
      </c>
      <c r="AF5" s="37">
        <f t="shared" si="5"/>
        <v>0.32128084210526309</v>
      </c>
      <c r="AG5" s="36">
        <v>7916.666666666667</v>
      </c>
      <c r="AH5" s="31">
        <f t="shared" ref="AH5:AH54" si="28">AG5-AI5</f>
        <v>5755.4166666666661</v>
      </c>
      <c r="AI5" s="31">
        <f t="shared" ref="AI5:AI57" si="29">+AG5*27.3%</f>
        <v>2161.2500000000005</v>
      </c>
      <c r="AJ5" s="31">
        <f t="shared" ref="AJ5:AJ54" si="30">+AL5-AK5</f>
        <v>7922.2862099999993</v>
      </c>
      <c r="AK5" s="31">
        <f t="shared" ref="AK5:AK54" si="31">+AL5*27.3%</f>
        <v>2974.9437900000003</v>
      </c>
      <c r="AL5" s="27">
        <f>7939.36+2957.87</f>
        <v>10897.23</v>
      </c>
      <c r="AM5" s="37">
        <f t="shared" si="6"/>
        <v>0.37649221052631576</v>
      </c>
      <c r="AN5" s="36">
        <v>7916.666666666667</v>
      </c>
      <c r="AO5" s="31">
        <f t="shared" ref="AO5:AO54" si="32">AN5-AP5</f>
        <v>5755.4166666666661</v>
      </c>
      <c r="AP5" s="31">
        <f t="shared" ref="AP5:AP57" si="33">+AN5*27.3%</f>
        <v>2161.2500000000005</v>
      </c>
      <c r="AQ5" s="31">
        <f t="shared" ref="AQ5:AQ54" si="34">+AS5-AR5</f>
        <v>11500.485700000001</v>
      </c>
      <c r="AR5" s="31">
        <f t="shared" ref="AR5:AR54" si="35">+AS5*27.3%</f>
        <v>4318.6143000000002</v>
      </c>
      <c r="AS5" s="27">
        <v>15819.1</v>
      </c>
      <c r="AT5" s="37">
        <f t="shared" si="7"/>
        <v>0.99820210526315778</v>
      </c>
      <c r="AU5" s="36">
        <v>7916.666666666667</v>
      </c>
      <c r="AV5" s="31">
        <f t="shared" ref="AV5:AV54" si="36">AU5-AW5</f>
        <v>5755.4166666666661</v>
      </c>
      <c r="AW5" s="31">
        <f t="shared" ref="AW5:AW57" si="37">+AU5*27.3%</f>
        <v>2161.2500000000005</v>
      </c>
      <c r="AX5" s="31">
        <f t="shared" ref="AX5:AX54" si="38">+AZ5-AY5</f>
        <v>11500.485700000001</v>
      </c>
      <c r="AY5" s="31">
        <f t="shared" ref="AY5:AY54" si="39">+AZ5*27.3%</f>
        <v>4318.6143000000002</v>
      </c>
      <c r="AZ5" s="27">
        <v>15819.1</v>
      </c>
      <c r="BA5" s="37">
        <f t="shared" si="8"/>
        <v>0.99820210526315778</v>
      </c>
      <c r="BB5" s="36">
        <v>7916.666666666667</v>
      </c>
      <c r="BC5" s="31">
        <f t="shared" ref="BC5:BC54" si="40">BB5-BD5</f>
        <v>5755.4166666666661</v>
      </c>
      <c r="BD5" s="31">
        <f t="shared" ref="BD5:BD57" si="41">+BB5*27.3%</f>
        <v>2161.2500000000005</v>
      </c>
      <c r="BE5" s="31">
        <f t="shared" ref="BE5:BE54" si="42">+BG5-BF5</f>
        <v>0</v>
      </c>
      <c r="BF5" s="31">
        <f t="shared" ref="BF5:BF54" si="43">+BG5*27.3%</f>
        <v>0</v>
      </c>
      <c r="BG5" s="27"/>
      <c r="BH5" s="37">
        <f t="shared" si="9"/>
        <v>-1</v>
      </c>
      <c r="BI5" s="36">
        <v>7916.666666666667</v>
      </c>
      <c r="BJ5" s="31">
        <f t="shared" ref="BJ5:BJ54" si="44">BI5-BK5</f>
        <v>5755.4166666666661</v>
      </c>
      <c r="BK5" s="31">
        <f t="shared" ref="BK5:BK57" si="45">+BI5*27.3%</f>
        <v>2161.2500000000005</v>
      </c>
      <c r="BL5" s="31">
        <f t="shared" ref="BL5:BL54" si="46">+BN5-BM5</f>
        <v>0</v>
      </c>
      <c r="BM5" s="31">
        <f t="shared" ref="BM5:BM54" si="47">+BN5*27.3%</f>
        <v>0</v>
      </c>
      <c r="BN5" s="27"/>
      <c r="BO5" s="37">
        <f t="shared" si="10"/>
        <v>-1</v>
      </c>
      <c r="BP5" s="36">
        <v>7916.666666666667</v>
      </c>
      <c r="BQ5" s="31">
        <f t="shared" ref="BQ5:BQ54" si="48">BP5-BR5</f>
        <v>5755.4166666666661</v>
      </c>
      <c r="BR5" s="31">
        <f t="shared" ref="BR5:BR57" si="49">+BP5*27.3%</f>
        <v>2161.2500000000005</v>
      </c>
      <c r="BS5" s="31">
        <f t="shared" ref="BS5:BS54" si="50">+BU5-BT5</f>
        <v>0</v>
      </c>
      <c r="BT5" s="31">
        <f t="shared" ref="BT5:BT54" si="51">+BU5*27.3%</f>
        <v>0</v>
      </c>
      <c r="BU5" s="27"/>
      <c r="BV5" s="37">
        <f t="shared" si="11"/>
        <v>-1</v>
      </c>
      <c r="BW5" s="36">
        <v>7916.666666666667</v>
      </c>
      <c r="BX5" s="31">
        <f t="shared" ref="BX5:BX54" si="52">BW5-BY5</f>
        <v>5755.4166666666661</v>
      </c>
      <c r="BY5" s="31">
        <f t="shared" ref="BY5:BY57" si="53">+BW5*27.3%</f>
        <v>2161.2500000000005</v>
      </c>
      <c r="BZ5" s="31">
        <f t="shared" ref="BZ5:BZ54" si="54">+CB5-CA5</f>
        <v>0</v>
      </c>
      <c r="CA5" s="31">
        <f t="shared" ref="CA5:CA54" si="55">+CB5*27.3%</f>
        <v>0</v>
      </c>
      <c r="CB5" s="27"/>
      <c r="CC5" s="37">
        <f t="shared" si="12"/>
        <v>-1</v>
      </c>
      <c r="CD5" s="36">
        <v>7916.666666666667</v>
      </c>
      <c r="CE5" s="31">
        <f t="shared" ref="CE5:CE54" si="56">CD5-CF5</f>
        <v>5755.4166666666661</v>
      </c>
      <c r="CF5" s="31">
        <f t="shared" ref="CF5:CF58" si="57">+CD5*27.3%</f>
        <v>2161.2500000000005</v>
      </c>
      <c r="CG5" s="31">
        <f t="shared" ref="CG5:CG54" si="58">+CI5-CH5</f>
        <v>0</v>
      </c>
      <c r="CH5" s="31">
        <f t="shared" ref="CH5:CH54" si="59">+CI5*27.3%</f>
        <v>0</v>
      </c>
      <c r="CI5" s="27"/>
      <c r="CJ5" s="37">
        <f t="shared" si="13"/>
        <v>-1</v>
      </c>
      <c r="CK5" s="36">
        <v>7916.666666666667</v>
      </c>
      <c r="CL5" s="31">
        <f t="shared" ref="CL5:CL54" si="60">CK5-CM5</f>
        <v>5755.4166666666661</v>
      </c>
      <c r="CM5" s="31">
        <f t="shared" ref="CM5:CM58" si="61">+CK5*27.3%</f>
        <v>2161.2500000000005</v>
      </c>
      <c r="CN5" s="31">
        <f t="shared" ref="CN5:CN54" si="62">+CP5-CO5</f>
        <v>0</v>
      </c>
      <c r="CO5" s="31">
        <f t="shared" ref="CO5:CO54" si="63">+CP5*27.3%</f>
        <v>0</v>
      </c>
      <c r="CP5" s="27"/>
      <c r="CQ5" s="37">
        <f t="shared" si="14"/>
        <v>-1</v>
      </c>
    </row>
    <row r="6" spans="1:99" s="26" customFormat="1" ht="14.25" customHeight="1" x14ac:dyDescent="0.2">
      <c r="A6" s="29" t="s">
        <v>30</v>
      </c>
      <c r="B6" s="30">
        <f t="shared" si="0"/>
        <v>193701.23923880002</v>
      </c>
      <c r="C6" s="31">
        <f t="shared" si="0"/>
        <v>140820.80092660757</v>
      </c>
      <c r="D6" s="32">
        <f t="shared" si="0"/>
        <v>52880.438312192404</v>
      </c>
      <c r="E6" s="30">
        <f t="shared" si="15"/>
        <v>62596.84061466666</v>
      </c>
      <c r="F6" s="33">
        <f t="shared" si="15"/>
        <v>45507.903126862657</v>
      </c>
      <c r="G6" s="34">
        <f t="shared" si="15"/>
        <v>17088.937487804</v>
      </c>
      <c r="H6" s="31">
        <f t="shared" si="1"/>
        <v>72337.728629999998</v>
      </c>
      <c r="I6" s="33">
        <f t="shared" si="1"/>
        <v>27163.961370000005</v>
      </c>
      <c r="J6" s="33">
        <f t="shared" si="1"/>
        <v>99501.69</v>
      </c>
      <c r="K6" s="37">
        <f t="shared" si="2"/>
        <v>0.58956409018327371</v>
      </c>
      <c r="L6" s="36">
        <v>15649.210153666665</v>
      </c>
      <c r="M6" s="31">
        <f t="shared" si="16"/>
        <v>11376.975781715664</v>
      </c>
      <c r="N6" s="31">
        <f t="shared" si="17"/>
        <v>4272.234371951</v>
      </c>
      <c r="O6" s="31">
        <f t="shared" si="18"/>
        <v>12063.85254</v>
      </c>
      <c r="P6" s="31">
        <f t="shared" si="19"/>
        <v>4530.1674600000006</v>
      </c>
      <c r="Q6" s="33">
        <v>16594.02</v>
      </c>
      <c r="R6" s="37">
        <f t="shared" si="3"/>
        <v>6.0374283242145887E-2</v>
      </c>
      <c r="S6" s="36">
        <v>15649.210153666665</v>
      </c>
      <c r="T6" s="31">
        <f t="shared" si="20"/>
        <v>11376.975781715664</v>
      </c>
      <c r="U6" s="31">
        <f t="shared" si="21"/>
        <v>4272.234371951</v>
      </c>
      <c r="V6" s="31">
        <f t="shared" si="22"/>
        <v>11650.42218</v>
      </c>
      <c r="W6" s="31">
        <f t="shared" si="23"/>
        <v>4374.9178200000006</v>
      </c>
      <c r="X6" s="147">
        <v>16025.34</v>
      </c>
      <c r="Y6" s="37">
        <f t="shared" si="4"/>
        <v>2.4035069031596246E-2</v>
      </c>
      <c r="Z6" s="36">
        <v>15649.210153666665</v>
      </c>
      <c r="AA6" s="31">
        <f t="shared" si="24"/>
        <v>11376.975781715664</v>
      </c>
      <c r="AB6" s="31">
        <f t="shared" si="25"/>
        <v>4272.234371951</v>
      </c>
      <c r="AC6" s="31">
        <f t="shared" si="26"/>
        <v>12056.160879999999</v>
      </c>
      <c r="AD6" s="31">
        <f t="shared" si="27"/>
        <v>4527.2791200000001</v>
      </c>
      <c r="AE6" s="27">
        <v>16583.439999999999</v>
      </c>
      <c r="AF6" s="37">
        <f t="shared" si="5"/>
        <v>5.9698210782506589E-2</v>
      </c>
      <c r="AG6" s="36">
        <v>15649.210153666665</v>
      </c>
      <c r="AH6" s="31">
        <f t="shared" si="28"/>
        <v>11376.975781715664</v>
      </c>
      <c r="AI6" s="31">
        <f t="shared" si="29"/>
        <v>4272.234371951</v>
      </c>
      <c r="AJ6" s="31">
        <f t="shared" si="30"/>
        <v>11171.554550000001</v>
      </c>
      <c r="AK6" s="31">
        <f t="shared" si="31"/>
        <v>4195.0954499999998</v>
      </c>
      <c r="AL6" s="27">
        <v>15366.65</v>
      </c>
      <c r="AM6" s="37">
        <f t="shared" si="6"/>
        <v>-1.8055873164976366E-2</v>
      </c>
      <c r="AN6" s="36">
        <v>15649.210153666665</v>
      </c>
      <c r="AO6" s="31">
        <f t="shared" si="32"/>
        <v>11376.975781715664</v>
      </c>
      <c r="AP6" s="31">
        <f t="shared" si="33"/>
        <v>4272.234371951</v>
      </c>
      <c r="AQ6" s="31">
        <f t="shared" si="34"/>
        <v>13223.11947</v>
      </c>
      <c r="AR6" s="31">
        <f t="shared" si="35"/>
        <v>4965.4905300000009</v>
      </c>
      <c r="AS6" s="27">
        <v>18188.61</v>
      </c>
      <c r="AT6" s="37">
        <f t="shared" si="7"/>
        <v>0.16227016069167854</v>
      </c>
      <c r="AU6" s="36">
        <v>15649.210153666665</v>
      </c>
      <c r="AV6" s="31">
        <f t="shared" si="36"/>
        <v>11376.975781715664</v>
      </c>
      <c r="AW6" s="31">
        <f t="shared" si="37"/>
        <v>4272.234371951</v>
      </c>
      <c r="AX6" s="31">
        <f t="shared" si="38"/>
        <v>12172.61901</v>
      </c>
      <c r="AY6" s="31">
        <f t="shared" si="39"/>
        <v>4571.0109900000007</v>
      </c>
      <c r="AZ6" s="27">
        <v>16743.63</v>
      </c>
      <c r="BA6" s="37">
        <f t="shared" si="8"/>
        <v>6.9934510150143847E-2</v>
      </c>
      <c r="BB6" s="36">
        <v>15649.210153666665</v>
      </c>
      <c r="BC6" s="31">
        <f t="shared" si="40"/>
        <v>11376.975781715664</v>
      </c>
      <c r="BD6" s="31">
        <f t="shared" si="41"/>
        <v>4272.234371951</v>
      </c>
      <c r="BE6" s="31">
        <f t="shared" si="42"/>
        <v>0</v>
      </c>
      <c r="BF6" s="31">
        <f t="shared" si="43"/>
        <v>0</v>
      </c>
      <c r="BG6" s="27"/>
      <c r="BH6" s="37">
        <f t="shared" si="9"/>
        <v>-1</v>
      </c>
      <c r="BI6" s="36">
        <v>16831.353632626666</v>
      </c>
      <c r="BJ6" s="31">
        <f t="shared" si="44"/>
        <v>12236.394090919584</v>
      </c>
      <c r="BK6" s="31">
        <f t="shared" si="45"/>
        <v>4594.9595417070805</v>
      </c>
      <c r="BL6" s="31">
        <f t="shared" si="46"/>
        <v>0</v>
      </c>
      <c r="BM6" s="31">
        <f t="shared" si="47"/>
        <v>0</v>
      </c>
      <c r="BN6" s="27"/>
      <c r="BO6" s="37">
        <f t="shared" si="10"/>
        <v>-1</v>
      </c>
      <c r="BP6" s="36">
        <v>16831.353632626666</v>
      </c>
      <c r="BQ6" s="31">
        <f t="shared" si="48"/>
        <v>12236.394090919584</v>
      </c>
      <c r="BR6" s="31">
        <f t="shared" si="49"/>
        <v>4594.9595417070805</v>
      </c>
      <c r="BS6" s="31">
        <f t="shared" si="50"/>
        <v>0</v>
      </c>
      <c r="BT6" s="31">
        <f t="shared" si="51"/>
        <v>0</v>
      </c>
      <c r="BU6" s="27"/>
      <c r="BV6" s="37">
        <f t="shared" si="11"/>
        <v>-1</v>
      </c>
      <c r="BW6" s="36">
        <v>16831.353632626666</v>
      </c>
      <c r="BX6" s="31">
        <f t="shared" si="52"/>
        <v>12236.394090919584</v>
      </c>
      <c r="BY6" s="31">
        <f t="shared" si="53"/>
        <v>4594.9595417070805</v>
      </c>
      <c r="BZ6" s="31">
        <f t="shared" si="54"/>
        <v>0</v>
      </c>
      <c r="CA6" s="31">
        <f t="shared" si="55"/>
        <v>0</v>
      </c>
      <c r="CB6" s="27"/>
      <c r="CC6" s="37">
        <f t="shared" si="12"/>
        <v>-1</v>
      </c>
      <c r="CD6" s="36">
        <v>16831.353632626666</v>
      </c>
      <c r="CE6" s="31">
        <f t="shared" si="56"/>
        <v>12236.394090919584</v>
      </c>
      <c r="CF6" s="31">
        <f t="shared" si="57"/>
        <v>4594.9595417070805</v>
      </c>
      <c r="CG6" s="31">
        <f t="shared" si="58"/>
        <v>0</v>
      </c>
      <c r="CH6" s="31">
        <f t="shared" si="59"/>
        <v>0</v>
      </c>
      <c r="CI6" s="27"/>
      <c r="CJ6" s="37">
        <f t="shared" si="13"/>
        <v>-1</v>
      </c>
      <c r="CK6" s="36">
        <v>16831.353632626666</v>
      </c>
      <c r="CL6" s="31">
        <f t="shared" si="60"/>
        <v>12236.394090919584</v>
      </c>
      <c r="CM6" s="31">
        <f t="shared" si="61"/>
        <v>4594.9595417070805</v>
      </c>
      <c r="CN6" s="31">
        <f t="shared" si="62"/>
        <v>0</v>
      </c>
      <c r="CO6" s="31">
        <f t="shared" si="63"/>
        <v>0</v>
      </c>
      <c r="CP6" s="27"/>
      <c r="CQ6" s="37">
        <f t="shared" si="14"/>
        <v>-1</v>
      </c>
    </row>
    <row r="7" spans="1:99" s="26" customFormat="1" ht="14.25" customHeight="1" x14ac:dyDescent="0.2">
      <c r="A7" s="29" t="s">
        <v>31</v>
      </c>
      <c r="B7" s="30">
        <f t="shared" si="0"/>
        <v>150285.44423699996</v>
      </c>
      <c r="C7" s="31">
        <f t="shared" si="0"/>
        <v>109257.51796029895</v>
      </c>
      <c r="D7" s="32">
        <f t="shared" si="0"/>
        <v>41027.926276701</v>
      </c>
      <c r="E7" s="30">
        <f t="shared" si="15"/>
        <v>48566.514269999992</v>
      </c>
      <c r="F7" s="33">
        <f t="shared" si="15"/>
        <v>35307.855874289991</v>
      </c>
      <c r="G7" s="34">
        <f t="shared" si="15"/>
        <v>13258.658395709999</v>
      </c>
      <c r="H7" s="31">
        <f t="shared" si="1"/>
        <v>52718.019689999994</v>
      </c>
      <c r="I7" s="33">
        <f t="shared" si="1"/>
        <v>19796.450310000004</v>
      </c>
      <c r="J7" s="33">
        <f t="shared" si="1"/>
        <v>72514.47</v>
      </c>
      <c r="K7" s="37">
        <f t="shared" si="2"/>
        <v>0.49309603725859508</v>
      </c>
      <c r="L7" s="36">
        <v>12141.628567499998</v>
      </c>
      <c r="M7" s="31">
        <f t="shared" si="16"/>
        <v>8826.9639685724978</v>
      </c>
      <c r="N7" s="31">
        <f t="shared" si="17"/>
        <v>3314.6645989274998</v>
      </c>
      <c r="O7" s="31">
        <f t="shared" si="18"/>
        <v>9077.8963299999996</v>
      </c>
      <c r="P7" s="31">
        <f t="shared" si="19"/>
        <v>3408.8936700000004</v>
      </c>
      <c r="Q7" s="33">
        <v>12486.79</v>
      </c>
      <c r="R7" s="37">
        <f t="shared" si="3"/>
        <v>2.8427935394425674E-2</v>
      </c>
      <c r="S7" s="36">
        <v>12141.628567499998</v>
      </c>
      <c r="T7" s="31">
        <f t="shared" si="20"/>
        <v>8826.9639685724978</v>
      </c>
      <c r="U7" s="31">
        <f t="shared" si="21"/>
        <v>3314.6645989274998</v>
      </c>
      <c r="V7" s="31">
        <f t="shared" si="22"/>
        <v>8362.0267000000003</v>
      </c>
      <c r="W7" s="31">
        <f t="shared" si="23"/>
        <v>3140.0733000000005</v>
      </c>
      <c r="X7" s="147">
        <f>11502.1</f>
        <v>11502.1</v>
      </c>
      <c r="Y7" s="37">
        <f t="shared" si="4"/>
        <v>-5.2672387723328162E-2</v>
      </c>
      <c r="Z7" s="36">
        <v>12141.628567499998</v>
      </c>
      <c r="AA7" s="31">
        <f t="shared" si="24"/>
        <v>8826.9639685724978</v>
      </c>
      <c r="AB7" s="31">
        <f t="shared" si="25"/>
        <v>3314.6645989274998</v>
      </c>
      <c r="AC7" s="31">
        <f t="shared" si="26"/>
        <v>8601.0715700000001</v>
      </c>
      <c r="AD7" s="31">
        <f t="shared" si="27"/>
        <v>3229.8384300000002</v>
      </c>
      <c r="AE7" s="27">
        <v>11830.91</v>
      </c>
      <c r="AF7" s="37">
        <f t="shared" si="5"/>
        <v>-2.559117714502579E-2</v>
      </c>
      <c r="AG7" s="36">
        <v>12141.628567499998</v>
      </c>
      <c r="AH7" s="31">
        <f t="shared" si="28"/>
        <v>8826.9639685724978</v>
      </c>
      <c r="AI7" s="31">
        <f t="shared" si="29"/>
        <v>3314.6645989274998</v>
      </c>
      <c r="AJ7" s="31">
        <f t="shared" si="30"/>
        <v>8269.3632799999996</v>
      </c>
      <c r="AK7" s="31">
        <f t="shared" si="31"/>
        <v>3105.2767200000003</v>
      </c>
      <c r="AL7" s="27">
        <v>11374.64</v>
      </c>
      <c r="AM7" s="37">
        <f t="shared" si="6"/>
        <v>-6.3170155736194111E-2</v>
      </c>
      <c r="AN7" s="36">
        <v>12141.628567499998</v>
      </c>
      <c r="AO7" s="31">
        <f t="shared" si="32"/>
        <v>8826.9639685724978</v>
      </c>
      <c r="AP7" s="31">
        <f t="shared" si="33"/>
        <v>3314.6645989274998</v>
      </c>
      <c r="AQ7" s="31">
        <f t="shared" si="34"/>
        <v>9462.68289</v>
      </c>
      <c r="AR7" s="31">
        <f t="shared" si="35"/>
        <v>3553.3871100000001</v>
      </c>
      <c r="AS7" s="27">
        <v>13016.07</v>
      </c>
      <c r="AT7" s="37">
        <f t="shared" si="7"/>
        <v>7.2020110616845434E-2</v>
      </c>
      <c r="AU7" s="36">
        <v>12141.628567499998</v>
      </c>
      <c r="AV7" s="31">
        <f t="shared" si="36"/>
        <v>8826.9639685724978</v>
      </c>
      <c r="AW7" s="31">
        <f t="shared" si="37"/>
        <v>3314.6645989274998</v>
      </c>
      <c r="AX7" s="31">
        <f t="shared" si="38"/>
        <v>8944.9789199999996</v>
      </c>
      <c r="AY7" s="31">
        <f t="shared" si="39"/>
        <v>3358.98108</v>
      </c>
      <c r="AZ7" s="27">
        <v>12303.96</v>
      </c>
      <c r="BA7" s="37">
        <f t="shared" si="8"/>
        <v>1.3369823627657373E-2</v>
      </c>
      <c r="BB7" s="36">
        <v>12141.628567499998</v>
      </c>
      <c r="BC7" s="31">
        <f t="shared" si="40"/>
        <v>8826.9639685724978</v>
      </c>
      <c r="BD7" s="31">
        <f t="shared" si="41"/>
        <v>3314.6645989274998</v>
      </c>
      <c r="BE7" s="31">
        <f t="shared" si="42"/>
        <v>0</v>
      </c>
      <c r="BF7" s="31">
        <f t="shared" si="43"/>
        <v>0</v>
      </c>
      <c r="BG7" s="27"/>
      <c r="BH7" s="37">
        <f t="shared" si="9"/>
        <v>-1</v>
      </c>
      <c r="BI7" s="36">
        <v>13058.808852899998</v>
      </c>
      <c r="BJ7" s="31">
        <f t="shared" si="44"/>
        <v>9493.7540360582971</v>
      </c>
      <c r="BK7" s="31">
        <f t="shared" si="45"/>
        <v>3565.0548168416999</v>
      </c>
      <c r="BL7" s="31">
        <f t="shared" si="46"/>
        <v>0</v>
      </c>
      <c r="BM7" s="31">
        <f t="shared" si="47"/>
        <v>0</v>
      </c>
      <c r="BN7" s="27"/>
      <c r="BO7" s="37">
        <f t="shared" si="10"/>
        <v>-1</v>
      </c>
      <c r="BP7" s="36">
        <v>13058.808852899998</v>
      </c>
      <c r="BQ7" s="31">
        <f t="shared" si="48"/>
        <v>9493.7540360582971</v>
      </c>
      <c r="BR7" s="31">
        <f t="shared" si="49"/>
        <v>3565.0548168416999</v>
      </c>
      <c r="BS7" s="31">
        <f t="shared" si="50"/>
        <v>0</v>
      </c>
      <c r="BT7" s="31">
        <f t="shared" si="51"/>
        <v>0</v>
      </c>
      <c r="BU7" s="27"/>
      <c r="BV7" s="37">
        <f t="shared" si="11"/>
        <v>-1</v>
      </c>
      <c r="BW7" s="36">
        <v>13058.808852899998</v>
      </c>
      <c r="BX7" s="31">
        <f t="shared" si="52"/>
        <v>9493.7540360582971</v>
      </c>
      <c r="BY7" s="31">
        <f t="shared" si="53"/>
        <v>3565.0548168416999</v>
      </c>
      <c r="BZ7" s="31">
        <f t="shared" si="54"/>
        <v>0</v>
      </c>
      <c r="CA7" s="31">
        <f t="shared" si="55"/>
        <v>0</v>
      </c>
      <c r="CB7" s="27"/>
      <c r="CC7" s="37">
        <f t="shared" si="12"/>
        <v>-1</v>
      </c>
      <c r="CD7" s="36">
        <v>13058.808852899998</v>
      </c>
      <c r="CE7" s="31">
        <f t="shared" si="56"/>
        <v>9493.7540360582971</v>
      </c>
      <c r="CF7" s="31">
        <f t="shared" si="57"/>
        <v>3565.0548168416999</v>
      </c>
      <c r="CG7" s="31">
        <f t="shared" si="58"/>
        <v>0</v>
      </c>
      <c r="CH7" s="31">
        <f t="shared" si="59"/>
        <v>0</v>
      </c>
      <c r="CI7" s="27"/>
      <c r="CJ7" s="37">
        <f t="shared" si="13"/>
        <v>-1</v>
      </c>
      <c r="CK7" s="36">
        <v>13058.808852899998</v>
      </c>
      <c r="CL7" s="31">
        <f t="shared" si="60"/>
        <v>9493.7540360582971</v>
      </c>
      <c r="CM7" s="31">
        <f t="shared" si="61"/>
        <v>3565.0548168416999</v>
      </c>
      <c r="CN7" s="31">
        <f t="shared" si="62"/>
        <v>0</v>
      </c>
      <c r="CO7" s="31">
        <f t="shared" si="63"/>
        <v>0</v>
      </c>
      <c r="CP7" s="27"/>
      <c r="CQ7" s="37">
        <f t="shared" si="14"/>
        <v>-1</v>
      </c>
    </row>
    <row r="8" spans="1:99" s="26" customFormat="1" ht="14.25" customHeight="1" x14ac:dyDescent="0.2">
      <c r="A8" s="38" t="s">
        <v>32</v>
      </c>
      <c r="B8" s="30">
        <f t="shared" si="0"/>
        <v>127256.74847026668</v>
      </c>
      <c r="C8" s="31">
        <f t="shared" si="0"/>
        <v>92515.656137883867</v>
      </c>
      <c r="D8" s="32">
        <f t="shared" si="0"/>
        <v>34741.09233238281</v>
      </c>
      <c r="E8" s="30">
        <f t="shared" si="15"/>
        <v>0</v>
      </c>
      <c r="F8" s="33">
        <f t="shared" si="15"/>
        <v>0</v>
      </c>
      <c r="G8" s="34">
        <f t="shared" si="15"/>
        <v>0</v>
      </c>
      <c r="H8" s="31">
        <f t="shared" si="1"/>
        <v>0</v>
      </c>
      <c r="I8" s="33">
        <f t="shared" si="1"/>
        <v>0</v>
      </c>
      <c r="J8" s="33">
        <f t="shared" si="1"/>
        <v>0</v>
      </c>
      <c r="K8" s="37" t="str">
        <f t="shared" si="2"/>
        <v/>
      </c>
      <c r="L8" s="36">
        <v>0</v>
      </c>
      <c r="M8" s="31">
        <f t="shared" si="16"/>
        <v>0</v>
      </c>
      <c r="N8" s="31">
        <f t="shared" si="17"/>
        <v>0</v>
      </c>
      <c r="O8" s="31">
        <f t="shared" si="18"/>
        <v>0</v>
      </c>
      <c r="P8" s="31">
        <f t="shared" si="19"/>
        <v>0</v>
      </c>
      <c r="Q8" s="33"/>
      <c r="R8" s="37" t="str">
        <f t="shared" si="3"/>
        <v/>
      </c>
      <c r="S8" s="36">
        <v>0</v>
      </c>
      <c r="T8" s="31">
        <f t="shared" si="20"/>
        <v>0</v>
      </c>
      <c r="U8" s="31">
        <f t="shared" si="21"/>
        <v>0</v>
      </c>
      <c r="V8" s="31">
        <f t="shared" si="22"/>
        <v>0</v>
      </c>
      <c r="W8" s="31">
        <f t="shared" si="23"/>
        <v>0</v>
      </c>
      <c r="X8" s="147"/>
      <c r="Y8" s="37" t="str">
        <f t="shared" si="4"/>
        <v/>
      </c>
      <c r="Z8" s="36">
        <v>0</v>
      </c>
      <c r="AA8" s="31">
        <f t="shared" si="24"/>
        <v>0</v>
      </c>
      <c r="AB8" s="31">
        <f t="shared" si="25"/>
        <v>0</v>
      </c>
      <c r="AC8" s="31">
        <f t="shared" si="26"/>
        <v>0</v>
      </c>
      <c r="AD8" s="31">
        <f t="shared" si="27"/>
        <v>0</v>
      </c>
      <c r="AE8" s="27"/>
      <c r="AF8" s="37" t="str">
        <f t="shared" si="5"/>
        <v/>
      </c>
      <c r="AG8" s="36">
        <v>0</v>
      </c>
      <c r="AH8" s="31">
        <f t="shared" si="28"/>
        <v>0</v>
      </c>
      <c r="AI8" s="31">
        <f t="shared" si="29"/>
        <v>0</v>
      </c>
      <c r="AJ8" s="31">
        <f t="shared" si="30"/>
        <v>0</v>
      </c>
      <c r="AK8" s="31">
        <f t="shared" si="31"/>
        <v>0</v>
      </c>
      <c r="AL8" s="27"/>
      <c r="AM8" s="37" t="str">
        <f t="shared" si="6"/>
        <v/>
      </c>
      <c r="AN8" s="36">
        <v>0</v>
      </c>
      <c r="AO8" s="31">
        <f t="shared" si="32"/>
        <v>0</v>
      </c>
      <c r="AP8" s="31">
        <f t="shared" si="33"/>
        <v>0</v>
      </c>
      <c r="AQ8" s="31">
        <f t="shared" si="34"/>
        <v>0</v>
      </c>
      <c r="AR8" s="31">
        <f t="shared" si="35"/>
        <v>0</v>
      </c>
      <c r="AS8" s="27"/>
      <c r="AT8" s="37" t="str">
        <f t="shared" si="7"/>
        <v/>
      </c>
      <c r="AU8" s="36">
        <v>0</v>
      </c>
      <c r="AV8" s="31">
        <f t="shared" si="36"/>
        <v>0</v>
      </c>
      <c r="AW8" s="31">
        <f t="shared" si="37"/>
        <v>0</v>
      </c>
      <c r="AX8" s="31">
        <f t="shared" si="38"/>
        <v>0</v>
      </c>
      <c r="AY8" s="31">
        <f t="shared" si="39"/>
        <v>0</v>
      </c>
      <c r="AZ8" s="27"/>
      <c r="BA8" s="37" t="str">
        <f t="shared" si="8"/>
        <v/>
      </c>
      <c r="BB8" s="36">
        <v>127256.74847026668</v>
      </c>
      <c r="BC8" s="31">
        <f t="shared" si="40"/>
        <v>92515.656137883867</v>
      </c>
      <c r="BD8" s="31">
        <f t="shared" si="41"/>
        <v>34741.09233238281</v>
      </c>
      <c r="BE8" s="31">
        <f t="shared" si="42"/>
        <v>0</v>
      </c>
      <c r="BF8" s="31">
        <f t="shared" si="43"/>
        <v>0</v>
      </c>
      <c r="BG8" s="27"/>
      <c r="BH8" s="37">
        <f t="shared" si="9"/>
        <v>-1</v>
      </c>
      <c r="BI8" s="36">
        <v>0</v>
      </c>
      <c r="BJ8" s="31">
        <f t="shared" si="44"/>
        <v>0</v>
      </c>
      <c r="BK8" s="31">
        <f t="shared" si="45"/>
        <v>0</v>
      </c>
      <c r="BL8" s="31">
        <f t="shared" si="46"/>
        <v>0</v>
      </c>
      <c r="BM8" s="31">
        <f t="shared" si="47"/>
        <v>0</v>
      </c>
      <c r="BN8" s="27"/>
      <c r="BO8" s="37" t="str">
        <f t="shared" si="10"/>
        <v/>
      </c>
      <c r="BP8" s="36">
        <v>0</v>
      </c>
      <c r="BQ8" s="31">
        <f t="shared" si="48"/>
        <v>0</v>
      </c>
      <c r="BR8" s="31">
        <f t="shared" si="49"/>
        <v>0</v>
      </c>
      <c r="BS8" s="31">
        <f t="shared" si="50"/>
        <v>0</v>
      </c>
      <c r="BT8" s="31">
        <f t="shared" si="51"/>
        <v>0</v>
      </c>
      <c r="BU8" s="27"/>
      <c r="BV8" s="37" t="str">
        <f t="shared" si="11"/>
        <v/>
      </c>
      <c r="BW8" s="36">
        <v>0</v>
      </c>
      <c r="BX8" s="31">
        <f t="shared" si="52"/>
        <v>0</v>
      </c>
      <c r="BY8" s="31">
        <f t="shared" si="53"/>
        <v>0</v>
      </c>
      <c r="BZ8" s="31">
        <f t="shared" si="54"/>
        <v>0</v>
      </c>
      <c r="CA8" s="31">
        <f t="shared" si="55"/>
        <v>0</v>
      </c>
      <c r="CB8" s="27"/>
      <c r="CC8" s="37" t="str">
        <f t="shared" si="12"/>
        <v/>
      </c>
      <c r="CD8" s="36">
        <v>0</v>
      </c>
      <c r="CE8" s="31">
        <f t="shared" si="56"/>
        <v>0</v>
      </c>
      <c r="CF8" s="31">
        <f t="shared" si="57"/>
        <v>0</v>
      </c>
      <c r="CG8" s="31">
        <f t="shared" si="58"/>
        <v>0</v>
      </c>
      <c r="CH8" s="31">
        <f t="shared" si="59"/>
        <v>0</v>
      </c>
      <c r="CI8" s="27"/>
      <c r="CJ8" s="37" t="str">
        <f t="shared" si="13"/>
        <v/>
      </c>
      <c r="CK8" s="36">
        <v>0</v>
      </c>
      <c r="CL8" s="31">
        <f t="shared" si="60"/>
        <v>0</v>
      </c>
      <c r="CM8" s="31">
        <f t="shared" si="61"/>
        <v>0</v>
      </c>
      <c r="CN8" s="31">
        <f t="shared" si="62"/>
        <v>0</v>
      </c>
      <c r="CO8" s="31">
        <f t="shared" si="63"/>
        <v>0</v>
      </c>
      <c r="CP8" s="27"/>
      <c r="CQ8" s="37" t="str">
        <f t="shared" si="14"/>
        <v/>
      </c>
    </row>
    <row r="9" spans="1:99" s="26" customFormat="1" ht="14.25" customHeight="1" x14ac:dyDescent="0.2">
      <c r="A9" s="38" t="s">
        <v>33</v>
      </c>
      <c r="B9" s="30">
        <f t="shared" si="0"/>
        <v>70660.524658799986</v>
      </c>
      <c r="C9" s="31">
        <f t="shared" si="0"/>
        <v>51370.201426947606</v>
      </c>
      <c r="D9" s="32">
        <f t="shared" si="0"/>
        <v>19290.323231852395</v>
      </c>
      <c r="E9" s="30">
        <f t="shared" si="15"/>
        <v>22834.782147999998</v>
      </c>
      <c r="F9" s="33">
        <f t="shared" si="15"/>
        <v>16600.886621596001</v>
      </c>
      <c r="G9" s="34">
        <f t="shared" si="15"/>
        <v>6233.8955264039996</v>
      </c>
      <c r="H9" s="31">
        <f t="shared" si="1"/>
        <v>23194.74598</v>
      </c>
      <c r="I9" s="33">
        <f t="shared" si="1"/>
        <v>8709.9940200000001</v>
      </c>
      <c r="J9" s="33">
        <f t="shared" si="1"/>
        <v>31904.739999999998</v>
      </c>
      <c r="K9" s="37">
        <f t="shared" si="2"/>
        <v>0.39719922849337963</v>
      </c>
      <c r="L9" s="36">
        <v>5708.6955369999996</v>
      </c>
      <c r="M9" s="31">
        <f t="shared" si="16"/>
        <v>4150.2216553990002</v>
      </c>
      <c r="N9" s="31">
        <f t="shared" si="17"/>
        <v>1558.4738816009999</v>
      </c>
      <c r="O9" s="31">
        <f t="shared" si="18"/>
        <v>10377.35794</v>
      </c>
      <c r="P9" s="31">
        <f t="shared" si="19"/>
        <v>3896.8620599999999</v>
      </c>
      <c r="Q9" s="33">
        <f>14274.22</f>
        <v>14274.22</v>
      </c>
      <c r="R9" s="37">
        <f t="shared" si="3"/>
        <v>1.5004346277505816</v>
      </c>
      <c r="S9" s="36">
        <v>5708.6955369999996</v>
      </c>
      <c r="T9" s="31">
        <f t="shared" si="20"/>
        <v>4150.2216553990002</v>
      </c>
      <c r="U9" s="31">
        <f t="shared" si="21"/>
        <v>1558.4738816009999</v>
      </c>
      <c r="V9" s="31">
        <f t="shared" si="22"/>
        <v>8248.8691500000004</v>
      </c>
      <c r="W9" s="31">
        <f t="shared" si="23"/>
        <v>3097.5808500000003</v>
      </c>
      <c r="X9" s="147">
        <f>11346.45</f>
        <v>11346.45</v>
      </c>
      <c r="Y9" s="37">
        <f t="shared" si="4"/>
        <v>0.98757315510343724</v>
      </c>
      <c r="Z9" s="36">
        <v>5708.6955369999996</v>
      </c>
      <c r="AA9" s="31">
        <f t="shared" si="24"/>
        <v>4150.2216553990002</v>
      </c>
      <c r="AB9" s="31">
        <f t="shared" si="25"/>
        <v>1558.4738816009999</v>
      </c>
      <c r="AC9" s="31">
        <f t="shared" si="26"/>
        <v>4568.5188899999994</v>
      </c>
      <c r="AD9" s="31">
        <f t="shared" si="27"/>
        <v>1715.5511100000001</v>
      </c>
      <c r="AE9" s="27">
        <f>6284.07</f>
        <v>6284.07</v>
      </c>
      <c r="AF9" s="37">
        <f t="shared" si="5"/>
        <v>0.10078913111950039</v>
      </c>
      <c r="AG9" s="36">
        <v>5708.6955369999996</v>
      </c>
      <c r="AH9" s="31">
        <f t="shared" si="28"/>
        <v>4150.2216553990002</v>
      </c>
      <c r="AI9" s="31">
        <f t="shared" si="29"/>
        <v>1558.4738816009999</v>
      </c>
      <c r="AJ9" s="31">
        <f t="shared" si="30"/>
        <v>0</v>
      </c>
      <c r="AK9" s="31">
        <f t="shared" si="31"/>
        <v>0</v>
      </c>
      <c r="AL9" s="27"/>
      <c r="AM9" s="37">
        <f t="shared" si="6"/>
        <v>-1</v>
      </c>
      <c r="AN9" s="36">
        <v>5708.6955369999996</v>
      </c>
      <c r="AO9" s="31">
        <f t="shared" si="32"/>
        <v>4150.2216553990002</v>
      </c>
      <c r="AP9" s="31">
        <f t="shared" si="33"/>
        <v>1558.4738816009999</v>
      </c>
      <c r="AQ9" s="31">
        <f t="shared" si="34"/>
        <v>0</v>
      </c>
      <c r="AR9" s="31">
        <f t="shared" si="35"/>
        <v>0</v>
      </c>
      <c r="AS9" s="27"/>
      <c r="AT9" s="37">
        <f t="shared" si="7"/>
        <v>-1</v>
      </c>
      <c r="AU9" s="36">
        <v>5708.6955369999996</v>
      </c>
      <c r="AV9" s="31">
        <f t="shared" si="36"/>
        <v>4150.2216553990002</v>
      </c>
      <c r="AW9" s="31">
        <f t="shared" si="37"/>
        <v>1558.4738816009999</v>
      </c>
      <c r="AX9" s="31">
        <f t="shared" si="38"/>
        <v>0</v>
      </c>
      <c r="AY9" s="31">
        <f t="shared" si="39"/>
        <v>0</v>
      </c>
      <c r="AZ9" s="27"/>
      <c r="BA9" s="37">
        <f t="shared" si="8"/>
        <v>-1</v>
      </c>
      <c r="BB9" s="36">
        <v>5708.6955369999996</v>
      </c>
      <c r="BC9" s="31">
        <f t="shared" si="40"/>
        <v>4150.2216553990002</v>
      </c>
      <c r="BD9" s="31">
        <f t="shared" si="41"/>
        <v>1558.4738816009999</v>
      </c>
      <c r="BE9" s="31">
        <f t="shared" si="42"/>
        <v>0</v>
      </c>
      <c r="BF9" s="31">
        <f t="shared" si="43"/>
        <v>0</v>
      </c>
      <c r="BG9" s="27"/>
      <c r="BH9" s="37">
        <f t="shared" si="9"/>
        <v>-1</v>
      </c>
      <c r="BI9" s="36">
        <v>6139.9311799599991</v>
      </c>
      <c r="BJ9" s="31">
        <f t="shared" si="44"/>
        <v>4463.7299678309191</v>
      </c>
      <c r="BK9" s="31">
        <f t="shared" si="45"/>
        <v>1676.20121212908</v>
      </c>
      <c r="BL9" s="31">
        <f t="shared" si="46"/>
        <v>0</v>
      </c>
      <c r="BM9" s="31">
        <f t="shared" si="47"/>
        <v>0</v>
      </c>
      <c r="BN9" s="27"/>
      <c r="BO9" s="37">
        <f t="shared" si="10"/>
        <v>-1</v>
      </c>
      <c r="BP9" s="36">
        <v>6139.9311799599991</v>
      </c>
      <c r="BQ9" s="31">
        <f t="shared" si="48"/>
        <v>4463.7299678309191</v>
      </c>
      <c r="BR9" s="31">
        <f t="shared" si="49"/>
        <v>1676.20121212908</v>
      </c>
      <c r="BS9" s="31">
        <f t="shared" si="50"/>
        <v>0</v>
      </c>
      <c r="BT9" s="31">
        <f t="shared" si="51"/>
        <v>0</v>
      </c>
      <c r="BU9" s="27"/>
      <c r="BV9" s="37">
        <f t="shared" si="11"/>
        <v>-1</v>
      </c>
      <c r="BW9" s="36">
        <v>6139.9311799599991</v>
      </c>
      <c r="BX9" s="31">
        <f t="shared" si="52"/>
        <v>4463.7299678309191</v>
      </c>
      <c r="BY9" s="31">
        <f t="shared" si="53"/>
        <v>1676.20121212908</v>
      </c>
      <c r="BZ9" s="31">
        <f t="shared" si="54"/>
        <v>0</v>
      </c>
      <c r="CA9" s="31">
        <f t="shared" si="55"/>
        <v>0</v>
      </c>
      <c r="CB9" s="27"/>
      <c r="CC9" s="37">
        <f t="shared" si="12"/>
        <v>-1</v>
      </c>
      <c r="CD9" s="36">
        <v>6139.9311799599991</v>
      </c>
      <c r="CE9" s="31">
        <f t="shared" si="56"/>
        <v>4463.7299678309191</v>
      </c>
      <c r="CF9" s="31">
        <f t="shared" si="57"/>
        <v>1676.20121212908</v>
      </c>
      <c r="CG9" s="31">
        <f t="shared" si="58"/>
        <v>0</v>
      </c>
      <c r="CH9" s="31">
        <f t="shared" si="59"/>
        <v>0</v>
      </c>
      <c r="CI9" s="27"/>
      <c r="CJ9" s="37">
        <f t="shared" si="13"/>
        <v>-1</v>
      </c>
      <c r="CK9" s="36">
        <v>6139.9311799599991</v>
      </c>
      <c r="CL9" s="31">
        <f t="shared" si="60"/>
        <v>4463.7299678309191</v>
      </c>
      <c r="CM9" s="31">
        <f t="shared" si="61"/>
        <v>1676.20121212908</v>
      </c>
      <c r="CN9" s="31">
        <f t="shared" si="62"/>
        <v>0</v>
      </c>
      <c r="CO9" s="31">
        <f t="shared" si="63"/>
        <v>0</v>
      </c>
      <c r="CP9" s="27"/>
      <c r="CQ9" s="37">
        <f t="shared" si="14"/>
        <v>-1</v>
      </c>
    </row>
    <row r="10" spans="1:99" s="26" customFormat="1" ht="14.25" customHeight="1" x14ac:dyDescent="0.2">
      <c r="A10" s="38" t="s">
        <v>34</v>
      </c>
      <c r="B10" s="30">
        <f t="shared" si="0"/>
        <v>86400</v>
      </c>
      <c r="C10" s="31">
        <f t="shared" si="0"/>
        <v>62812.80000000001</v>
      </c>
      <c r="D10" s="32">
        <f t="shared" si="0"/>
        <v>23587.199999999997</v>
      </c>
      <c r="E10" s="30">
        <f t="shared" si="15"/>
        <v>28800</v>
      </c>
      <c r="F10" s="33">
        <f t="shared" si="15"/>
        <v>20937.599999999999</v>
      </c>
      <c r="G10" s="34">
        <f t="shared" si="15"/>
        <v>7862.4000000000005</v>
      </c>
      <c r="H10" s="31">
        <f t="shared" si="1"/>
        <v>41115.019720000004</v>
      </c>
      <c r="I10" s="33">
        <f t="shared" si="1"/>
        <v>15439.34028</v>
      </c>
      <c r="J10" s="33">
        <f t="shared" si="1"/>
        <v>56554.36</v>
      </c>
      <c r="K10" s="37">
        <f t="shared" si="2"/>
        <v>0.96369305555555562</v>
      </c>
      <c r="L10" s="36">
        <v>7200</v>
      </c>
      <c r="M10" s="31">
        <f t="shared" si="16"/>
        <v>5234.3999999999996</v>
      </c>
      <c r="N10" s="31">
        <f t="shared" si="17"/>
        <v>1965.6000000000001</v>
      </c>
      <c r="O10" s="31">
        <f t="shared" si="18"/>
        <v>12988.240309999999</v>
      </c>
      <c r="P10" s="31">
        <f t="shared" si="19"/>
        <v>4877.2896899999996</v>
      </c>
      <c r="Q10" s="33">
        <f>5058.31+1400+2800+8607.22</f>
        <v>17865.53</v>
      </c>
      <c r="R10" s="37">
        <f t="shared" si="3"/>
        <v>1.4813236111111108</v>
      </c>
      <c r="S10" s="36">
        <v>7200</v>
      </c>
      <c r="T10" s="31">
        <f t="shared" si="20"/>
        <v>5234.3999999999996</v>
      </c>
      <c r="U10" s="31">
        <f t="shared" si="21"/>
        <v>1965.6000000000001</v>
      </c>
      <c r="V10" s="31">
        <f t="shared" si="22"/>
        <v>4537.3378599999996</v>
      </c>
      <c r="W10" s="31">
        <f t="shared" si="23"/>
        <v>1703.8421400000002</v>
      </c>
      <c r="X10" s="147">
        <f>6241.18</f>
        <v>6241.18</v>
      </c>
      <c r="Y10" s="37">
        <f t="shared" si="4"/>
        <v>-0.13316944444444445</v>
      </c>
      <c r="Z10" s="36">
        <v>7200</v>
      </c>
      <c r="AA10" s="31">
        <f t="shared" si="24"/>
        <v>5234.3999999999996</v>
      </c>
      <c r="AB10" s="31">
        <f t="shared" si="25"/>
        <v>1965.6000000000001</v>
      </c>
      <c r="AC10" s="31">
        <f t="shared" si="26"/>
        <v>6349.8215600000003</v>
      </c>
      <c r="AD10" s="31">
        <f t="shared" si="27"/>
        <v>2384.4584400000003</v>
      </c>
      <c r="AE10" s="27">
        <v>8734.2800000000007</v>
      </c>
      <c r="AF10" s="37">
        <f t="shared" si="5"/>
        <v>0.21309444444444448</v>
      </c>
      <c r="AG10" s="36">
        <v>7200</v>
      </c>
      <c r="AH10" s="31">
        <f t="shared" si="28"/>
        <v>5234.3999999999996</v>
      </c>
      <c r="AI10" s="31">
        <f t="shared" si="29"/>
        <v>1965.6000000000001</v>
      </c>
      <c r="AJ10" s="31">
        <f t="shared" si="30"/>
        <v>6347.2334400000009</v>
      </c>
      <c r="AK10" s="31">
        <f t="shared" si="31"/>
        <v>2383.4865600000003</v>
      </c>
      <c r="AL10" s="27">
        <f>1460.7+7270.02</f>
        <v>8730.7200000000012</v>
      </c>
      <c r="AM10" s="37">
        <f t="shared" si="6"/>
        <v>0.21260000000000012</v>
      </c>
      <c r="AN10" s="36">
        <v>7200</v>
      </c>
      <c r="AO10" s="31">
        <f t="shared" si="32"/>
        <v>5234.3999999999996</v>
      </c>
      <c r="AP10" s="31">
        <f t="shared" si="33"/>
        <v>1965.6000000000001</v>
      </c>
      <c r="AQ10" s="31">
        <f t="shared" si="34"/>
        <v>5021.4907800000001</v>
      </c>
      <c r="AR10" s="31">
        <f t="shared" si="35"/>
        <v>1885.6492200000002</v>
      </c>
      <c r="AS10" s="27">
        <v>6907.14</v>
      </c>
      <c r="AT10" s="37">
        <f t="shared" si="7"/>
        <v>-4.0674999999999906E-2</v>
      </c>
      <c r="AU10" s="36">
        <v>7200</v>
      </c>
      <c r="AV10" s="31">
        <f t="shared" si="36"/>
        <v>5234.3999999999996</v>
      </c>
      <c r="AW10" s="31">
        <f t="shared" si="37"/>
        <v>1965.6000000000001</v>
      </c>
      <c r="AX10" s="31">
        <f t="shared" si="38"/>
        <v>5870.8957700000001</v>
      </c>
      <c r="AY10" s="31">
        <f t="shared" si="39"/>
        <v>2204.6142300000001</v>
      </c>
      <c r="AZ10" s="27">
        <v>8075.51</v>
      </c>
      <c r="BA10" s="37">
        <f t="shared" si="8"/>
        <v>0.12159861111111114</v>
      </c>
      <c r="BB10" s="36">
        <v>7200</v>
      </c>
      <c r="BC10" s="31">
        <f t="shared" si="40"/>
        <v>5234.3999999999996</v>
      </c>
      <c r="BD10" s="31">
        <f t="shared" si="41"/>
        <v>1965.6000000000001</v>
      </c>
      <c r="BE10" s="31">
        <f t="shared" si="42"/>
        <v>0</v>
      </c>
      <c r="BF10" s="31">
        <f t="shared" si="43"/>
        <v>0</v>
      </c>
      <c r="BG10" s="27"/>
      <c r="BH10" s="37">
        <f t="shared" si="9"/>
        <v>-1</v>
      </c>
      <c r="BI10" s="36">
        <v>7200</v>
      </c>
      <c r="BJ10" s="31">
        <f t="shared" si="44"/>
        <v>5234.3999999999996</v>
      </c>
      <c r="BK10" s="31">
        <f t="shared" si="45"/>
        <v>1965.6000000000001</v>
      </c>
      <c r="BL10" s="31">
        <f t="shared" si="46"/>
        <v>0</v>
      </c>
      <c r="BM10" s="31">
        <f t="shared" si="47"/>
        <v>0</v>
      </c>
      <c r="BN10" s="27"/>
      <c r="BO10" s="37">
        <f t="shared" si="10"/>
        <v>-1</v>
      </c>
      <c r="BP10" s="36">
        <v>7200</v>
      </c>
      <c r="BQ10" s="31">
        <f t="shared" si="48"/>
        <v>5234.3999999999996</v>
      </c>
      <c r="BR10" s="31">
        <f t="shared" si="49"/>
        <v>1965.6000000000001</v>
      </c>
      <c r="BS10" s="31">
        <f t="shared" si="50"/>
        <v>0</v>
      </c>
      <c r="BT10" s="31">
        <f t="shared" si="51"/>
        <v>0</v>
      </c>
      <c r="BU10" s="27"/>
      <c r="BV10" s="37">
        <f t="shared" si="11"/>
        <v>-1</v>
      </c>
      <c r="BW10" s="36">
        <v>7200</v>
      </c>
      <c r="BX10" s="31">
        <f t="shared" si="52"/>
        <v>5234.3999999999996</v>
      </c>
      <c r="BY10" s="31">
        <f t="shared" si="53"/>
        <v>1965.6000000000001</v>
      </c>
      <c r="BZ10" s="31">
        <f t="shared" si="54"/>
        <v>0</v>
      </c>
      <c r="CA10" s="31">
        <f t="shared" si="55"/>
        <v>0</v>
      </c>
      <c r="CB10" s="27"/>
      <c r="CC10" s="37">
        <f t="shared" si="12"/>
        <v>-1</v>
      </c>
      <c r="CD10" s="36">
        <v>7200</v>
      </c>
      <c r="CE10" s="31">
        <f t="shared" si="56"/>
        <v>5234.3999999999996</v>
      </c>
      <c r="CF10" s="31">
        <f t="shared" si="57"/>
        <v>1965.6000000000001</v>
      </c>
      <c r="CG10" s="31">
        <f t="shared" si="58"/>
        <v>0</v>
      </c>
      <c r="CH10" s="31">
        <f t="shared" si="59"/>
        <v>0</v>
      </c>
      <c r="CI10" s="27"/>
      <c r="CJ10" s="37">
        <f t="shared" si="13"/>
        <v>-1</v>
      </c>
      <c r="CK10" s="36">
        <v>7200</v>
      </c>
      <c r="CL10" s="31">
        <f t="shared" si="60"/>
        <v>5234.3999999999996</v>
      </c>
      <c r="CM10" s="31">
        <f t="shared" si="61"/>
        <v>1965.6000000000001</v>
      </c>
      <c r="CN10" s="31">
        <f t="shared" si="62"/>
        <v>0</v>
      </c>
      <c r="CO10" s="31">
        <f t="shared" si="63"/>
        <v>0</v>
      </c>
      <c r="CP10" s="27"/>
      <c r="CQ10" s="37">
        <f t="shared" si="14"/>
        <v>-1</v>
      </c>
    </row>
    <row r="11" spans="1:99" s="26" customFormat="1" ht="14.25" customHeight="1" x14ac:dyDescent="0.2">
      <c r="A11" s="38" t="s">
        <v>35</v>
      </c>
      <c r="B11" s="30">
        <f t="shared" si="0"/>
        <v>0</v>
      </c>
      <c r="C11" s="31">
        <f t="shared" si="0"/>
        <v>0</v>
      </c>
      <c r="D11" s="32">
        <f t="shared" si="0"/>
        <v>0</v>
      </c>
      <c r="E11" s="30">
        <f t="shared" si="15"/>
        <v>0</v>
      </c>
      <c r="F11" s="33">
        <f t="shared" si="15"/>
        <v>0</v>
      </c>
      <c r="G11" s="34">
        <f t="shared" si="15"/>
        <v>0</v>
      </c>
      <c r="H11" s="31">
        <f t="shared" si="1"/>
        <v>2196.6523099999999</v>
      </c>
      <c r="I11" s="33">
        <f t="shared" si="1"/>
        <v>824.87769000000014</v>
      </c>
      <c r="J11" s="33">
        <f t="shared" si="1"/>
        <v>3021.53</v>
      </c>
      <c r="K11" s="37" t="str">
        <f t="shared" si="2"/>
        <v/>
      </c>
      <c r="L11" s="36">
        <v>0</v>
      </c>
      <c r="M11" s="31">
        <f t="shared" si="16"/>
        <v>0</v>
      </c>
      <c r="N11" s="31">
        <f t="shared" si="17"/>
        <v>0</v>
      </c>
      <c r="O11" s="31">
        <f t="shared" si="18"/>
        <v>0</v>
      </c>
      <c r="P11" s="31">
        <f t="shared" si="19"/>
        <v>0</v>
      </c>
      <c r="Q11" s="33"/>
      <c r="R11" s="37" t="str">
        <f t="shared" si="3"/>
        <v/>
      </c>
      <c r="S11" s="36">
        <v>0</v>
      </c>
      <c r="T11" s="31">
        <f t="shared" si="20"/>
        <v>0</v>
      </c>
      <c r="U11" s="31">
        <f t="shared" si="21"/>
        <v>0</v>
      </c>
      <c r="V11" s="31">
        <f t="shared" si="22"/>
        <v>0</v>
      </c>
      <c r="W11" s="31">
        <f t="shared" si="23"/>
        <v>0</v>
      </c>
      <c r="X11" s="147"/>
      <c r="Y11" s="37" t="str">
        <f t="shared" si="4"/>
        <v/>
      </c>
      <c r="Z11" s="36">
        <v>0</v>
      </c>
      <c r="AA11" s="31">
        <f t="shared" si="24"/>
        <v>0</v>
      </c>
      <c r="AB11" s="31">
        <f t="shared" si="25"/>
        <v>0</v>
      </c>
      <c r="AC11" s="31">
        <f t="shared" si="26"/>
        <v>2196.6523099999999</v>
      </c>
      <c r="AD11" s="31">
        <f t="shared" si="27"/>
        <v>824.87769000000014</v>
      </c>
      <c r="AE11" s="33">
        <f>3021.53</f>
        <v>3021.53</v>
      </c>
      <c r="AF11" s="37" t="str">
        <f t="shared" si="5"/>
        <v/>
      </c>
      <c r="AG11" s="36">
        <v>0</v>
      </c>
      <c r="AH11" s="31">
        <f t="shared" si="28"/>
        <v>0</v>
      </c>
      <c r="AI11" s="31">
        <f t="shared" si="29"/>
        <v>0</v>
      </c>
      <c r="AJ11" s="31">
        <f t="shared" si="30"/>
        <v>0</v>
      </c>
      <c r="AK11" s="31">
        <f t="shared" si="31"/>
        <v>0</v>
      </c>
      <c r="AL11" s="27"/>
      <c r="AM11" s="37" t="str">
        <f t="shared" si="6"/>
        <v/>
      </c>
      <c r="AN11" s="36">
        <v>0</v>
      </c>
      <c r="AO11" s="31">
        <f t="shared" si="32"/>
        <v>0</v>
      </c>
      <c r="AP11" s="31">
        <f t="shared" si="33"/>
        <v>0</v>
      </c>
      <c r="AQ11" s="31">
        <f t="shared" si="34"/>
        <v>0</v>
      </c>
      <c r="AR11" s="31">
        <f t="shared" si="35"/>
        <v>0</v>
      </c>
      <c r="AS11" s="27"/>
      <c r="AT11" s="37" t="str">
        <f t="shared" si="7"/>
        <v/>
      </c>
      <c r="AU11" s="36">
        <v>0</v>
      </c>
      <c r="AV11" s="31">
        <f t="shared" si="36"/>
        <v>0</v>
      </c>
      <c r="AW11" s="31">
        <f t="shared" si="37"/>
        <v>0</v>
      </c>
      <c r="AX11" s="31">
        <f t="shared" si="38"/>
        <v>0</v>
      </c>
      <c r="AY11" s="31">
        <f t="shared" si="39"/>
        <v>0</v>
      </c>
      <c r="AZ11" s="27"/>
      <c r="BA11" s="37" t="str">
        <f t="shared" si="8"/>
        <v/>
      </c>
      <c r="BB11" s="36">
        <v>0</v>
      </c>
      <c r="BC11" s="31">
        <f t="shared" si="40"/>
        <v>0</v>
      </c>
      <c r="BD11" s="31">
        <f t="shared" si="41"/>
        <v>0</v>
      </c>
      <c r="BE11" s="31">
        <f t="shared" si="42"/>
        <v>0</v>
      </c>
      <c r="BF11" s="31">
        <f t="shared" si="43"/>
        <v>0</v>
      </c>
      <c r="BG11" s="27"/>
      <c r="BH11" s="37" t="str">
        <f t="shared" si="9"/>
        <v/>
      </c>
      <c r="BI11" s="36">
        <v>0</v>
      </c>
      <c r="BJ11" s="31">
        <f t="shared" si="44"/>
        <v>0</v>
      </c>
      <c r="BK11" s="31">
        <f t="shared" si="45"/>
        <v>0</v>
      </c>
      <c r="BL11" s="31">
        <f t="shared" si="46"/>
        <v>0</v>
      </c>
      <c r="BM11" s="31">
        <f t="shared" si="47"/>
        <v>0</v>
      </c>
      <c r="BN11" s="27"/>
      <c r="BO11" s="37" t="str">
        <f t="shared" si="10"/>
        <v/>
      </c>
      <c r="BP11" s="36">
        <v>0</v>
      </c>
      <c r="BQ11" s="31">
        <f t="shared" si="48"/>
        <v>0</v>
      </c>
      <c r="BR11" s="31">
        <f t="shared" si="49"/>
        <v>0</v>
      </c>
      <c r="BS11" s="31">
        <f t="shared" si="50"/>
        <v>0</v>
      </c>
      <c r="BT11" s="31">
        <f t="shared" si="51"/>
        <v>0</v>
      </c>
      <c r="BU11" s="27"/>
      <c r="BV11" s="37" t="str">
        <f t="shared" si="11"/>
        <v/>
      </c>
      <c r="BW11" s="36">
        <v>0</v>
      </c>
      <c r="BX11" s="31">
        <f t="shared" si="52"/>
        <v>0</v>
      </c>
      <c r="BY11" s="31">
        <f t="shared" si="53"/>
        <v>0</v>
      </c>
      <c r="BZ11" s="31">
        <f t="shared" si="54"/>
        <v>0</v>
      </c>
      <c r="CA11" s="31">
        <f t="shared" si="55"/>
        <v>0</v>
      </c>
      <c r="CB11" s="27"/>
      <c r="CC11" s="37" t="str">
        <f t="shared" si="12"/>
        <v/>
      </c>
      <c r="CD11" s="36">
        <v>0</v>
      </c>
      <c r="CE11" s="31">
        <f t="shared" si="56"/>
        <v>0</v>
      </c>
      <c r="CF11" s="31">
        <f t="shared" si="57"/>
        <v>0</v>
      </c>
      <c r="CG11" s="31">
        <f t="shared" si="58"/>
        <v>0</v>
      </c>
      <c r="CH11" s="31">
        <f t="shared" si="59"/>
        <v>0</v>
      </c>
      <c r="CI11" s="27"/>
      <c r="CJ11" s="37" t="str">
        <f t="shared" si="13"/>
        <v/>
      </c>
      <c r="CK11" s="36">
        <v>0</v>
      </c>
      <c r="CL11" s="31">
        <f t="shared" si="60"/>
        <v>0</v>
      </c>
      <c r="CM11" s="31">
        <f t="shared" si="61"/>
        <v>0</v>
      </c>
      <c r="CN11" s="31">
        <f t="shared" si="62"/>
        <v>0</v>
      </c>
      <c r="CO11" s="31">
        <f t="shared" si="63"/>
        <v>0</v>
      </c>
      <c r="CP11" s="27"/>
      <c r="CQ11" s="37" t="str">
        <f t="shared" si="14"/>
        <v/>
      </c>
    </row>
    <row r="12" spans="1:99" s="26" customFormat="1" ht="14.25" customHeight="1" x14ac:dyDescent="0.2">
      <c r="A12" s="29" t="s">
        <v>36</v>
      </c>
      <c r="B12" s="30">
        <f t="shared" si="0"/>
        <v>37260</v>
      </c>
      <c r="C12" s="31">
        <f t="shared" si="0"/>
        <v>27088.019999999993</v>
      </c>
      <c r="D12" s="32">
        <f t="shared" si="0"/>
        <v>10171.980000000003</v>
      </c>
      <c r="E12" s="30">
        <f t="shared" si="15"/>
        <v>12420</v>
      </c>
      <c r="F12" s="33">
        <f t="shared" si="15"/>
        <v>9029.34</v>
      </c>
      <c r="G12" s="34">
        <f t="shared" si="15"/>
        <v>3390.6600000000003</v>
      </c>
      <c r="H12" s="31">
        <f t="shared" si="1"/>
        <v>15071.960439999999</v>
      </c>
      <c r="I12" s="33">
        <f t="shared" si="1"/>
        <v>5659.7595600000004</v>
      </c>
      <c r="J12" s="33">
        <f t="shared" si="1"/>
        <v>20731.719999999998</v>
      </c>
      <c r="K12" s="37">
        <f t="shared" si="2"/>
        <v>0.66922061191626381</v>
      </c>
      <c r="L12" s="36">
        <v>3105</v>
      </c>
      <c r="M12" s="31">
        <f t="shared" si="16"/>
        <v>2257.335</v>
      </c>
      <c r="N12" s="31">
        <f t="shared" si="17"/>
        <v>847.66500000000008</v>
      </c>
      <c r="O12" s="31">
        <f t="shared" si="18"/>
        <v>4457.9058399999994</v>
      </c>
      <c r="P12" s="31">
        <f t="shared" si="19"/>
        <v>1674.0141600000002</v>
      </c>
      <c r="Q12" s="33">
        <f>2919.96+3211.96</f>
        <v>6131.92</v>
      </c>
      <c r="R12" s="37">
        <f t="shared" si="3"/>
        <v>0.97485346215780999</v>
      </c>
      <c r="S12" s="36">
        <v>3105</v>
      </c>
      <c r="T12" s="31">
        <f t="shared" si="20"/>
        <v>2257.335</v>
      </c>
      <c r="U12" s="31">
        <f t="shared" si="21"/>
        <v>847.66500000000008</v>
      </c>
      <c r="V12" s="31">
        <f t="shared" si="22"/>
        <v>2122.8109199999999</v>
      </c>
      <c r="W12" s="31">
        <f t="shared" si="23"/>
        <v>797.14908000000003</v>
      </c>
      <c r="X12" s="147">
        <f>2919.96</f>
        <v>2919.96</v>
      </c>
      <c r="Y12" s="37">
        <f t="shared" si="4"/>
        <v>-5.9594202898550663E-2</v>
      </c>
      <c r="Z12" s="36">
        <v>3105</v>
      </c>
      <c r="AA12" s="31">
        <f t="shared" si="24"/>
        <v>2257.335</v>
      </c>
      <c r="AB12" s="31">
        <f t="shared" si="25"/>
        <v>847.66500000000008</v>
      </c>
      <c r="AC12" s="31">
        <f t="shared" si="26"/>
        <v>2122.8109199999999</v>
      </c>
      <c r="AD12" s="31">
        <f t="shared" si="27"/>
        <v>797.14908000000003</v>
      </c>
      <c r="AE12" s="27">
        <f>2919.96</f>
        <v>2919.96</v>
      </c>
      <c r="AF12" s="37">
        <f t="shared" si="5"/>
        <v>-5.9594202898550663E-2</v>
      </c>
      <c r="AG12" s="36">
        <v>3105</v>
      </c>
      <c r="AH12" s="31">
        <f t="shared" si="28"/>
        <v>2257.335</v>
      </c>
      <c r="AI12" s="31">
        <f t="shared" si="29"/>
        <v>847.66500000000008</v>
      </c>
      <c r="AJ12" s="31">
        <f t="shared" si="30"/>
        <v>2122.8109199999999</v>
      </c>
      <c r="AK12" s="31">
        <f t="shared" si="31"/>
        <v>797.14908000000003</v>
      </c>
      <c r="AL12" s="33">
        <f>2919.96</f>
        <v>2919.96</v>
      </c>
      <c r="AM12" s="37">
        <f t="shared" si="6"/>
        <v>-5.9594202898550663E-2</v>
      </c>
      <c r="AN12" s="36">
        <v>3105</v>
      </c>
      <c r="AO12" s="31">
        <f t="shared" si="32"/>
        <v>2257.335</v>
      </c>
      <c r="AP12" s="31">
        <f t="shared" si="33"/>
        <v>847.66500000000008</v>
      </c>
      <c r="AQ12" s="31">
        <f t="shared" si="34"/>
        <v>2122.8109199999999</v>
      </c>
      <c r="AR12" s="31">
        <f t="shared" si="35"/>
        <v>797.14908000000003</v>
      </c>
      <c r="AS12" s="27">
        <v>2919.96</v>
      </c>
      <c r="AT12" s="37">
        <f t="shared" si="7"/>
        <v>-5.9594202898550663E-2</v>
      </c>
      <c r="AU12" s="36">
        <v>3105</v>
      </c>
      <c r="AV12" s="31">
        <f t="shared" si="36"/>
        <v>2257.335</v>
      </c>
      <c r="AW12" s="31">
        <f t="shared" si="37"/>
        <v>847.66500000000008</v>
      </c>
      <c r="AX12" s="31">
        <f t="shared" si="38"/>
        <v>2122.8109199999999</v>
      </c>
      <c r="AY12" s="31">
        <f t="shared" si="39"/>
        <v>797.14908000000003</v>
      </c>
      <c r="AZ12" s="27">
        <v>2919.96</v>
      </c>
      <c r="BA12" s="37">
        <f t="shared" si="8"/>
        <v>-5.9594202898550663E-2</v>
      </c>
      <c r="BB12" s="36">
        <v>3105</v>
      </c>
      <c r="BC12" s="31">
        <f t="shared" si="40"/>
        <v>2257.335</v>
      </c>
      <c r="BD12" s="31">
        <f t="shared" si="41"/>
        <v>847.66500000000008</v>
      </c>
      <c r="BE12" s="31">
        <f t="shared" si="42"/>
        <v>0</v>
      </c>
      <c r="BF12" s="31">
        <f t="shared" si="43"/>
        <v>0</v>
      </c>
      <c r="BG12" s="27"/>
      <c r="BH12" s="37">
        <f t="shared" si="9"/>
        <v>-1</v>
      </c>
      <c r="BI12" s="36">
        <v>3105</v>
      </c>
      <c r="BJ12" s="31">
        <f t="shared" si="44"/>
        <v>2257.335</v>
      </c>
      <c r="BK12" s="31">
        <f t="shared" si="45"/>
        <v>847.66500000000008</v>
      </c>
      <c r="BL12" s="31">
        <f t="shared" si="46"/>
        <v>0</v>
      </c>
      <c r="BM12" s="31">
        <f t="shared" si="47"/>
        <v>0</v>
      </c>
      <c r="BN12" s="27"/>
      <c r="BO12" s="37">
        <f t="shared" si="10"/>
        <v>-1</v>
      </c>
      <c r="BP12" s="36">
        <v>3105</v>
      </c>
      <c r="BQ12" s="31">
        <f t="shared" si="48"/>
        <v>2257.335</v>
      </c>
      <c r="BR12" s="31">
        <f t="shared" si="49"/>
        <v>847.66500000000008</v>
      </c>
      <c r="BS12" s="31">
        <f t="shared" si="50"/>
        <v>0</v>
      </c>
      <c r="BT12" s="31">
        <f t="shared" si="51"/>
        <v>0</v>
      </c>
      <c r="BU12" s="27"/>
      <c r="BV12" s="37">
        <f t="shared" si="11"/>
        <v>-1</v>
      </c>
      <c r="BW12" s="36">
        <v>3105</v>
      </c>
      <c r="BX12" s="31">
        <f t="shared" si="52"/>
        <v>2257.335</v>
      </c>
      <c r="BY12" s="31">
        <f t="shared" si="53"/>
        <v>847.66500000000008</v>
      </c>
      <c r="BZ12" s="31">
        <f t="shared" si="54"/>
        <v>0</v>
      </c>
      <c r="CA12" s="31">
        <f t="shared" si="55"/>
        <v>0</v>
      </c>
      <c r="CB12" s="27"/>
      <c r="CC12" s="37">
        <f t="shared" si="12"/>
        <v>-1</v>
      </c>
      <c r="CD12" s="36">
        <v>3105</v>
      </c>
      <c r="CE12" s="31">
        <f t="shared" si="56"/>
        <v>2257.335</v>
      </c>
      <c r="CF12" s="31">
        <f t="shared" si="57"/>
        <v>847.66500000000008</v>
      </c>
      <c r="CG12" s="31">
        <f t="shared" si="58"/>
        <v>0</v>
      </c>
      <c r="CH12" s="31">
        <f t="shared" si="59"/>
        <v>0</v>
      </c>
      <c r="CI12" s="27"/>
      <c r="CJ12" s="37">
        <f t="shared" si="13"/>
        <v>-1</v>
      </c>
      <c r="CK12" s="36">
        <v>3105</v>
      </c>
      <c r="CL12" s="31">
        <f t="shared" si="60"/>
        <v>2257.335</v>
      </c>
      <c r="CM12" s="31">
        <f t="shared" si="61"/>
        <v>847.66500000000008</v>
      </c>
      <c r="CN12" s="31">
        <f t="shared" si="62"/>
        <v>0</v>
      </c>
      <c r="CO12" s="31">
        <f t="shared" si="63"/>
        <v>0</v>
      </c>
      <c r="CP12" s="27"/>
      <c r="CQ12" s="37">
        <f t="shared" si="14"/>
        <v>-1</v>
      </c>
    </row>
    <row r="13" spans="1:99" s="26" customFormat="1" ht="16" customHeight="1" x14ac:dyDescent="0.2">
      <c r="A13" s="38" t="s">
        <v>37</v>
      </c>
      <c r="B13" s="30">
        <f t="shared" si="0"/>
        <v>12000</v>
      </c>
      <c r="C13" s="31">
        <f t="shared" si="0"/>
        <v>8724</v>
      </c>
      <c r="D13" s="32">
        <f t="shared" si="0"/>
        <v>3276</v>
      </c>
      <c r="E13" s="30">
        <f t="shared" si="15"/>
        <v>4000</v>
      </c>
      <c r="F13" s="33">
        <f t="shared" si="15"/>
        <v>2908</v>
      </c>
      <c r="G13" s="34">
        <f t="shared" si="15"/>
        <v>1092</v>
      </c>
      <c r="H13" s="31">
        <f t="shared" si="1"/>
        <v>9809.7454199999993</v>
      </c>
      <c r="I13" s="33">
        <f t="shared" si="1"/>
        <v>3683.7145799999998</v>
      </c>
      <c r="J13" s="33">
        <f t="shared" si="1"/>
        <v>13493.46</v>
      </c>
      <c r="K13" s="37">
        <f t="shared" si="2"/>
        <v>2.3733649999999997</v>
      </c>
      <c r="L13" s="36">
        <v>1000</v>
      </c>
      <c r="M13" s="31">
        <f t="shared" si="16"/>
        <v>727</v>
      </c>
      <c r="N13" s="31">
        <f t="shared" si="17"/>
        <v>273</v>
      </c>
      <c r="O13" s="31">
        <f t="shared" si="18"/>
        <v>0</v>
      </c>
      <c r="P13" s="31">
        <f t="shared" si="19"/>
        <v>0</v>
      </c>
      <c r="Q13" s="33"/>
      <c r="R13" s="37">
        <f t="shared" si="3"/>
        <v>-1</v>
      </c>
      <c r="S13" s="36">
        <v>1000</v>
      </c>
      <c r="T13" s="31">
        <f t="shared" si="20"/>
        <v>727</v>
      </c>
      <c r="U13" s="31">
        <f t="shared" si="21"/>
        <v>273</v>
      </c>
      <c r="V13" s="31">
        <f t="shared" si="22"/>
        <v>0</v>
      </c>
      <c r="W13" s="31">
        <f t="shared" si="23"/>
        <v>0</v>
      </c>
      <c r="X13" s="147"/>
      <c r="Y13" s="37">
        <f t="shared" si="4"/>
        <v>-1</v>
      </c>
      <c r="Z13" s="36">
        <v>1000</v>
      </c>
      <c r="AA13" s="31">
        <f t="shared" si="24"/>
        <v>727</v>
      </c>
      <c r="AB13" s="31">
        <f t="shared" si="25"/>
        <v>273</v>
      </c>
      <c r="AC13" s="31">
        <f t="shared" si="26"/>
        <v>9809.7454199999993</v>
      </c>
      <c r="AD13" s="31">
        <f t="shared" si="27"/>
        <v>3683.7145799999998</v>
      </c>
      <c r="AE13" s="27">
        <f>13493.46</f>
        <v>13493.46</v>
      </c>
      <c r="AF13" s="37">
        <f t="shared" si="5"/>
        <v>12.493459999999999</v>
      </c>
      <c r="AG13" s="36">
        <v>1000</v>
      </c>
      <c r="AH13" s="31">
        <f t="shared" si="28"/>
        <v>727</v>
      </c>
      <c r="AI13" s="31">
        <f t="shared" si="29"/>
        <v>273</v>
      </c>
      <c r="AJ13" s="31">
        <f t="shared" si="30"/>
        <v>0</v>
      </c>
      <c r="AK13" s="31">
        <f t="shared" si="31"/>
        <v>0</v>
      </c>
      <c r="AL13" s="27"/>
      <c r="AM13" s="37">
        <f t="shared" si="6"/>
        <v>-1</v>
      </c>
      <c r="AN13" s="36">
        <v>1000</v>
      </c>
      <c r="AO13" s="31">
        <f t="shared" si="32"/>
        <v>727</v>
      </c>
      <c r="AP13" s="31">
        <f t="shared" si="33"/>
        <v>273</v>
      </c>
      <c r="AQ13" s="31">
        <f t="shared" si="34"/>
        <v>0</v>
      </c>
      <c r="AR13" s="31">
        <f t="shared" si="35"/>
        <v>0</v>
      </c>
      <c r="AS13" s="27"/>
      <c r="AT13" s="37">
        <f t="shared" si="7"/>
        <v>-1</v>
      </c>
      <c r="AU13" s="36">
        <v>1000</v>
      </c>
      <c r="AV13" s="31">
        <f t="shared" si="36"/>
        <v>727</v>
      </c>
      <c r="AW13" s="31">
        <f t="shared" si="37"/>
        <v>273</v>
      </c>
      <c r="AX13" s="31">
        <f t="shared" si="38"/>
        <v>0</v>
      </c>
      <c r="AY13" s="31">
        <f t="shared" si="39"/>
        <v>0</v>
      </c>
      <c r="AZ13" s="27"/>
      <c r="BA13" s="37">
        <f t="shared" si="8"/>
        <v>-1</v>
      </c>
      <c r="BB13" s="36">
        <v>1000</v>
      </c>
      <c r="BC13" s="31">
        <f t="shared" si="40"/>
        <v>727</v>
      </c>
      <c r="BD13" s="31">
        <f t="shared" si="41"/>
        <v>273</v>
      </c>
      <c r="BE13" s="31">
        <f t="shared" si="42"/>
        <v>0</v>
      </c>
      <c r="BF13" s="31">
        <f t="shared" si="43"/>
        <v>0</v>
      </c>
      <c r="BG13" s="27"/>
      <c r="BH13" s="37">
        <f t="shared" si="9"/>
        <v>-1</v>
      </c>
      <c r="BI13" s="36">
        <v>1000</v>
      </c>
      <c r="BJ13" s="31">
        <f t="shared" si="44"/>
        <v>727</v>
      </c>
      <c r="BK13" s="31">
        <f t="shared" si="45"/>
        <v>273</v>
      </c>
      <c r="BL13" s="31">
        <f t="shared" si="46"/>
        <v>0</v>
      </c>
      <c r="BM13" s="31">
        <f t="shared" si="47"/>
        <v>0</v>
      </c>
      <c r="BN13" s="27"/>
      <c r="BO13" s="37">
        <f t="shared" si="10"/>
        <v>-1</v>
      </c>
      <c r="BP13" s="36">
        <v>1000</v>
      </c>
      <c r="BQ13" s="31">
        <f t="shared" si="48"/>
        <v>727</v>
      </c>
      <c r="BR13" s="31">
        <f t="shared" si="49"/>
        <v>273</v>
      </c>
      <c r="BS13" s="31">
        <f t="shared" si="50"/>
        <v>0</v>
      </c>
      <c r="BT13" s="31">
        <f t="shared" si="51"/>
        <v>0</v>
      </c>
      <c r="BU13" s="27"/>
      <c r="BV13" s="37">
        <f t="shared" si="11"/>
        <v>-1</v>
      </c>
      <c r="BW13" s="36">
        <v>1000</v>
      </c>
      <c r="BX13" s="31">
        <f t="shared" si="52"/>
        <v>727</v>
      </c>
      <c r="BY13" s="31">
        <f t="shared" si="53"/>
        <v>273</v>
      </c>
      <c r="BZ13" s="31">
        <f t="shared" si="54"/>
        <v>0</v>
      </c>
      <c r="CA13" s="31">
        <f t="shared" si="55"/>
        <v>0</v>
      </c>
      <c r="CB13" s="27"/>
      <c r="CC13" s="37">
        <f t="shared" si="12"/>
        <v>-1</v>
      </c>
      <c r="CD13" s="36">
        <v>1000</v>
      </c>
      <c r="CE13" s="31">
        <f t="shared" si="56"/>
        <v>727</v>
      </c>
      <c r="CF13" s="31">
        <f t="shared" si="57"/>
        <v>273</v>
      </c>
      <c r="CG13" s="31">
        <f t="shared" si="58"/>
        <v>0</v>
      </c>
      <c r="CH13" s="31">
        <f t="shared" si="59"/>
        <v>0</v>
      </c>
      <c r="CI13" s="27"/>
      <c r="CJ13" s="37">
        <f t="shared" si="13"/>
        <v>-1</v>
      </c>
      <c r="CK13" s="36">
        <v>1000</v>
      </c>
      <c r="CL13" s="31">
        <f t="shared" si="60"/>
        <v>727</v>
      </c>
      <c r="CM13" s="31">
        <f t="shared" si="61"/>
        <v>273</v>
      </c>
      <c r="CN13" s="31">
        <f t="shared" si="62"/>
        <v>0</v>
      </c>
      <c r="CO13" s="31">
        <f t="shared" si="63"/>
        <v>0</v>
      </c>
      <c r="CP13" s="27"/>
      <c r="CQ13" s="37">
        <f t="shared" si="14"/>
        <v>-1</v>
      </c>
    </row>
    <row r="14" spans="1:99" s="26" customFormat="1" ht="16" customHeight="1" x14ac:dyDescent="0.2">
      <c r="A14" s="39" t="s">
        <v>38</v>
      </c>
      <c r="B14" s="30">
        <f t="shared" si="0"/>
        <v>85472.759999999966</v>
      </c>
      <c r="C14" s="31">
        <f t="shared" si="0"/>
        <v>62138.696520000005</v>
      </c>
      <c r="D14" s="32">
        <f t="shared" si="0"/>
        <v>23334.063480000008</v>
      </c>
      <c r="E14" s="30">
        <f t="shared" si="15"/>
        <v>28490.92</v>
      </c>
      <c r="F14" s="33">
        <f t="shared" si="15"/>
        <v>20712.898839999998</v>
      </c>
      <c r="G14" s="34">
        <f t="shared" si="15"/>
        <v>7778.0211600000002</v>
      </c>
      <c r="H14" s="31">
        <f t="shared" si="1"/>
        <v>37736.51986</v>
      </c>
      <c r="I14" s="33">
        <f t="shared" si="1"/>
        <v>14170.660140000002</v>
      </c>
      <c r="J14" s="33">
        <f t="shared" si="1"/>
        <v>51907.179999999993</v>
      </c>
      <c r="K14" s="37">
        <f t="shared" si="2"/>
        <v>0.82188500757434291</v>
      </c>
      <c r="L14" s="36">
        <v>7122.73</v>
      </c>
      <c r="M14" s="31">
        <f t="shared" si="16"/>
        <v>5178.2247099999995</v>
      </c>
      <c r="N14" s="31">
        <f t="shared" si="17"/>
        <v>1944.5052900000001</v>
      </c>
      <c r="O14" s="31">
        <f t="shared" si="18"/>
        <v>4441.72282</v>
      </c>
      <c r="P14" s="31">
        <f t="shared" si="19"/>
        <v>1667.9371800000001</v>
      </c>
      <c r="Q14" s="33">
        <f>6109.66</f>
        <v>6109.66</v>
      </c>
      <c r="R14" s="37">
        <f t="shared" si="3"/>
        <v>-0.14223057732077449</v>
      </c>
      <c r="S14" s="36">
        <v>7122.73</v>
      </c>
      <c r="T14" s="31">
        <f t="shared" si="20"/>
        <v>5178.2247099999995</v>
      </c>
      <c r="U14" s="31">
        <f t="shared" si="21"/>
        <v>1944.5052900000001</v>
      </c>
      <c r="V14" s="31">
        <f t="shared" si="22"/>
        <v>12196.297399999999</v>
      </c>
      <c r="W14" s="31">
        <f t="shared" si="23"/>
        <v>4579.9026000000003</v>
      </c>
      <c r="X14" s="147">
        <f>16776.2</f>
        <v>16776.2</v>
      </c>
      <c r="Y14" s="37">
        <f t="shared" si="4"/>
        <v>1.355304777802893</v>
      </c>
      <c r="Z14" s="87">
        <v>7122.73</v>
      </c>
      <c r="AA14" s="40">
        <f t="shared" si="24"/>
        <v>5178.2247099999995</v>
      </c>
      <c r="AB14" s="40">
        <f t="shared" si="25"/>
        <v>1944.5052900000001</v>
      </c>
      <c r="AC14" s="31">
        <f t="shared" si="26"/>
        <v>4985.5042800000001</v>
      </c>
      <c r="AD14" s="31">
        <f t="shared" si="27"/>
        <v>1872.1357200000002</v>
      </c>
      <c r="AE14" s="27">
        <f>6857.64</f>
        <v>6857.64</v>
      </c>
      <c r="AF14" s="37">
        <f t="shared" si="5"/>
        <v>-3.721747139088516E-2</v>
      </c>
      <c r="AG14" s="36">
        <v>7122.73</v>
      </c>
      <c r="AH14" s="31">
        <f t="shared" si="28"/>
        <v>5178.2247099999995</v>
      </c>
      <c r="AI14" s="31">
        <f t="shared" si="29"/>
        <v>1944.5052900000001</v>
      </c>
      <c r="AJ14" s="31">
        <f t="shared" si="30"/>
        <v>5113.2963399999999</v>
      </c>
      <c r="AK14" s="31">
        <f t="shared" si="31"/>
        <v>1920.1236600000002</v>
      </c>
      <c r="AL14" s="33">
        <f>2343.42+4690</f>
        <v>7033.42</v>
      </c>
      <c r="AM14" s="37">
        <f t="shared" si="6"/>
        <v>-1.2538731638009559E-2</v>
      </c>
      <c r="AN14" s="36">
        <v>7122.73</v>
      </c>
      <c r="AO14" s="31">
        <f t="shared" si="32"/>
        <v>5178.2247099999995</v>
      </c>
      <c r="AP14" s="31">
        <f t="shared" si="33"/>
        <v>1944.5052900000001</v>
      </c>
      <c r="AQ14" s="31">
        <f t="shared" si="34"/>
        <v>5162.4488099999999</v>
      </c>
      <c r="AR14" s="31">
        <f t="shared" si="35"/>
        <v>1938.5811900000001</v>
      </c>
      <c r="AS14" s="27">
        <v>7101.03</v>
      </c>
      <c r="AT14" s="37">
        <f t="shared" si="7"/>
        <v>-3.0465846662726115E-3</v>
      </c>
      <c r="AU14" s="36">
        <v>7122.73</v>
      </c>
      <c r="AV14" s="31">
        <f t="shared" si="36"/>
        <v>5178.2247099999995</v>
      </c>
      <c r="AW14" s="31">
        <f t="shared" si="37"/>
        <v>1944.5052900000001</v>
      </c>
      <c r="AX14" s="31">
        <f t="shared" si="38"/>
        <v>5837.2502100000002</v>
      </c>
      <c r="AY14" s="31">
        <f t="shared" si="39"/>
        <v>2191.9797899999999</v>
      </c>
      <c r="AZ14" s="27">
        <v>8029.23</v>
      </c>
      <c r="BA14" s="37">
        <f t="shared" si="8"/>
        <v>0.12726861751042096</v>
      </c>
      <c r="BB14" s="36">
        <v>7122.73</v>
      </c>
      <c r="BC14" s="31">
        <f t="shared" si="40"/>
        <v>5178.2247099999995</v>
      </c>
      <c r="BD14" s="31">
        <f t="shared" si="41"/>
        <v>1944.5052900000001</v>
      </c>
      <c r="BE14" s="31">
        <f t="shared" si="42"/>
        <v>0</v>
      </c>
      <c r="BF14" s="31">
        <f t="shared" si="43"/>
        <v>0</v>
      </c>
      <c r="BG14" s="27"/>
      <c r="BH14" s="37">
        <f t="shared" si="9"/>
        <v>-1</v>
      </c>
      <c r="BI14" s="36">
        <v>7122.73</v>
      </c>
      <c r="BJ14" s="31">
        <f t="shared" si="44"/>
        <v>5178.2247099999995</v>
      </c>
      <c r="BK14" s="31">
        <f t="shared" si="45"/>
        <v>1944.5052900000001</v>
      </c>
      <c r="BL14" s="31">
        <f t="shared" si="46"/>
        <v>0</v>
      </c>
      <c r="BM14" s="31">
        <f t="shared" si="47"/>
        <v>0</v>
      </c>
      <c r="BN14" s="27"/>
      <c r="BO14" s="37">
        <f t="shared" si="10"/>
        <v>-1</v>
      </c>
      <c r="BP14" s="36">
        <v>7122.73</v>
      </c>
      <c r="BQ14" s="31">
        <f t="shared" si="48"/>
        <v>5178.2247099999995</v>
      </c>
      <c r="BR14" s="31">
        <f t="shared" si="49"/>
        <v>1944.5052900000001</v>
      </c>
      <c r="BS14" s="31">
        <f t="shared" si="50"/>
        <v>0</v>
      </c>
      <c r="BT14" s="31">
        <f t="shared" si="51"/>
        <v>0</v>
      </c>
      <c r="BU14" s="27"/>
      <c r="BV14" s="37">
        <f t="shared" si="11"/>
        <v>-1</v>
      </c>
      <c r="BW14" s="36">
        <v>7122.73</v>
      </c>
      <c r="BX14" s="31">
        <f t="shared" si="52"/>
        <v>5178.2247099999995</v>
      </c>
      <c r="BY14" s="31">
        <f t="shared" si="53"/>
        <v>1944.5052900000001</v>
      </c>
      <c r="BZ14" s="31">
        <f t="shared" si="54"/>
        <v>0</v>
      </c>
      <c r="CA14" s="31">
        <f t="shared" si="55"/>
        <v>0</v>
      </c>
      <c r="CB14" s="27"/>
      <c r="CC14" s="37">
        <f t="shared" si="12"/>
        <v>-1</v>
      </c>
      <c r="CD14" s="36">
        <v>7122.73</v>
      </c>
      <c r="CE14" s="31">
        <f t="shared" si="56"/>
        <v>5178.2247099999995</v>
      </c>
      <c r="CF14" s="31">
        <f t="shared" si="57"/>
        <v>1944.5052900000001</v>
      </c>
      <c r="CG14" s="31">
        <f t="shared" si="58"/>
        <v>0</v>
      </c>
      <c r="CH14" s="31">
        <f t="shared" si="59"/>
        <v>0</v>
      </c>
      <c r="CI14" s="27"/>
      <c r="CJ14" s="37">
        <f t="shared" si="13"/>
        <v>-1</v>
      </c>
      <c r="CK14" s="36">
        <v>7122.73</v>
      </c>
      <c r="CL14" s="31">
        <f t="shared" si="60"/>
        <v>5178.2247099999995</v>
      </c>
      <c r="CM14" s="31">
        <f t="shared" si="61"/>
        <v>1944.5052900000001</v>
      </c>
      <c r="CN14" s="31">
        <f t="shared" si="62"/>
        <v>0</v>
      </c>
      <c r="CO14" s="31">
        <f t="shared" si="63"/>
        <v>0</v>
      </c>
      <c r="CP14" s="27"/>
      <c r="CQ14" s="37">
        <f t="shared" si="14"/>
        <v>-1</v>
      </c>
    </row>
    <row r="15" spans="1:99" s="26" customFormat="1" ht="16" customHeight="1" x14ac:dyDescent="0.2">
      <c r="A15" s="38" t="s">
        <v>39</v>
      </c>
      <c r="B15" s="30">
        <f t="shared" si="0"/>
        <v>193631.10000000003</v>
      </c>
      <c r="C15" s="31">
        <f t="shared" si="0"/>
        <v>140769.80969999998</v>
      </c>
      <c r="D15" s="32">
        <f t="shared" si="0"/>
        <v>52861.290300000001</v>
      </c>
      <c r="E15" s="30">
        <f t="shared" si="15"/>
        <v>64126.8</v>
      </c>
      <c r="F15" s="33">
        <f t="shared" si="15"/>
        <v>46620.183600000004</v>
      </c>
      <c r="G15" s="34">
        <f t="shared" si="15"/>
        <v>17506.616400000003</v>
      </c>
      <c r="H15" s="31">
        <f t="shared" si="1"/>
        <v>83104.293290000016</v>
      </c>
      <c r="I15" s="33">
        <f t="shared" si="1"/>
        <v>31206.976710000003</v>
      </c>
      <c r="J15" s="33">
        <f t="shared" si="1"/>
        <v>114311.27</v>
      </c>
      <c r="K15" s="37">
        <f t="shared" si="2"/>
        <v>0.78258185345284659</v>
      </c>
      <c r="L15" s="36">
        <v>16031.7</v>
      </c>
      <c r="M15" s="40">
        <f t="shared" si="16"/>
        <v>11655.045900000001</v>
      </c>
      <c r="N15" s="40">
        <f t="shared" si="17"/>
        <v>4376.6541000000007</v>
      </c>
      <c r="O15" s="40">
        <f t="shared" si="18"/>
        <v>11247.07531</v>
      </c>
      <c r="P15" s="40">
        <f t="shared" si="19"/>
        <v>4223.4546900000005</v>
      </c>
      <c r="Q15" s="115">
        <f>1101.06+24816.39-(16.91+10430.01)</f>
        <v>15470.53</v>
      </c>
      <c r="R15" s="37">
        <f t="shared" si="3"/>
        <v>-3.5003773773211844E-2</v>
      </c>
      <c r="S15" s="36">
        <v>16031.7</v>
      </c>
      <c r="T15" s="40">
        <f t="shared" si="20"/>
        <v>11655.045900000001</v>
      </c>
      <c r="U15" s="40">
        <f t="shared" si="21"/>
        <v>4376.6541000000007</v>
      </c>
      <c r="V15" s="40">
        <f t="shared" si="22"/>
        <v>10632.222330000006</v>
      </c>
      <c r="W15" s="40">
        <f t="shared" si="23"/>
        <v>3992.5676700000026</v>
      </c>
      <c r="X15" s="148">
        <f>1113.84+140193.23-(37931.07+88751.21)</f>
        <v>14624.790000000008</v>
      </c>
      <c r="Y15" s="37">
        <f t="shared" si="4"/>
        <v>-8.7758004453675653E-2</v>
      </c>
      <c r="Z15" s="36">
        <v>16031.7</v>
      </c>
      <c r="AA15" s="40">
        <f t="shared" si="24"/>
        <v>11655.045900000001</v>
      </c>
      <c r="AB15" s="40">
        <f t="shared" si="25"/>
        <v>4376.6541000000007</v>
      </c>
      <c r="AC15" s="40">
        <f t="shared" si="26"/>
        <v>15589.809810000002</v>
      </c>
      <c r="AD15" s="40">
        <f t="shared" si="27"/>
        <v>5854.2201900000009</v>
      </c>
      <c r="AE15" s="116">
        <f>1101.06+20342.97</f>
        <v>21444.030000000002</v>
      </c>
      <c r="AF15" s="37">
        <f t="shared" si="5"/>
        <v>0.33760175152978178</v>
      </c>
      <c r="AG15" s="36">
        <v>16031.7</v>
      </c>
      <c r="AH15" s="40">
        <f t="shared" si="28"/>
        <v>11655.045900000001</v>
      </c>
      <c r="AI15" s="40">
        <f t="shared" si="29"/>
        <v>4376.6541000000007</v>
      </c>
      <c r="AJ15" s="40">
        <f t="shared" si="30"/>
        <v>18400.348189999997</v>
      </c>
      <c r="AK15" s="40">
        <f t="shared" si="31"/>
        <v>6909.6218099999996</v>
      </c>
      <c r="AL15" s="115">
        <f>1109.21+24200.76</f>
        <v>25309.969999999998</v>
      </c>
      <c r="AM15" s="37">
        <f t="shared" si="6"/>
        <v>0.57874523600117245</v>
      </c>
      <c r="AN15" s="36">
        <v>16031.7</v>
      </c>
      <c r="AO15" s="40">
        <f t="shared" si="32"/>
        <v>11655.045900000001</v>
      </c>
      <c r="AP15" s="40">
        <f t="shared" si="33"/>
        <v>4376.6541000000007</v>
      </c>
      <c r="AQ15" s="40">
        <f t="shared" si="34"/>
        <v>14815.15496</v>
      </c>
      <c r="AR15" s="40">
        <f t="shared" si="35"/>
        <v>5563.3250400000006</v>
      </c>
      <c r="AS15" s="116">
        <v>20378.48</v>
      </c>
      <c r="AT15" s="37">
        <f t="shared" si="7"/>
        <v>0.2711365606891345</v>
      </c>
      <c r="AU15" s="36">
        <v>16031.7</v>
      </c>
      <c r="AV15" s="40">
        <f t="shared" si="36"/>
        <v>11655.045900000001</v>
      </c>
      <c r="AW15" s="40">
        <f t="shared" si="37"/>
        <v>4376.6541000000007</v>
      </c>
      <c r="AX15" s="40">
        <f t="shared" si="38"/>
        <v>12419.682690000001</v>
      </c>
      <c r="AY15" s="40">
        <f t="shared" si="39"/>
        <v>4663.7873100000006</v>
      </c>
      <c r="AZ15" s="116">
        <v>17083.47</v>
      </c>
      <c r="BA15" s="37">
        <f t="shared" si="8"/>
        <v>6.5605643818185344E-2</v>
      </c>
      <c r="BB15" s="36">
        <v>17282.400000000001</v>
      </c>
      <c r="BC15" s="40">
        <f t="shared" si="40"/>
        <v>12564.304800000002</v>
      </c>
      <c r="BD15" s="40">
        <f t="shared" si="41"/>
        <v>4718.0952000000007</v>
      </c>
      <c r="BE15" s="40">
        <f t="shared" si="42"/>
        <v>0</v>
      </c>
      <c r="BF15" s="40">
        <f t="shared" si="43"/>
        <v>0</v>
      </c>
      <c r="BG15" s="116"/>
      <c r="BH15" s="37">
        <f t="shared" si="9"/>
        <v>-1</v>
      </c>
      <c r="BI15" s="36">
        <v>16031.7</v>
      </c>
      <c r="BJ15" s="40">
        <f t="shared" si="44"/>
        <v>11655.045900000001</v>
      </c>
      <c r="BK15" s="40">
        <f t="shared" si="45"/>
        <v>4376.6541000000007</v>
      </c>
      <c r="BL15" s="40">
        <f t="shared" si="46"/>
        <v>0</v>
      </c>
      <c r="BM15" s="40">
        <f t="shared" si="47"/>
        <v>0</v>
      </c>
      <c r="BN15" s="116"/>
      <c r="BO15" s="37">
        <f t="shared" si="10"/>
        <v>-1</v>
      </c>
      <c r="BP15" s="36">
        <v>16031.7</v>
      </c>
      <c r="BQ15" s="40">
        <f t="shared" si="48"/>
        <v>11655.045900000001</v>
      </c>
      <c r="BR15" s="40">
        <f t="shared" si="49"/>
        <v>4376.6541000000007</v>
      </c>
      <c r="BS15" s="40">
        <f t="shared" si="50"/>
        <v>0</v>
      </c>
      <c r="BT15" s="40">
        <f t="shared" si="51"/>
        <v>0</v>
      </c>
      <c r="BU15" s="116"/>
      <c r="BV15" s="37">
        <f t="shared" si="11"/>
        <v>-1</v>
      </c>
      <c r="BW15" s="36">
        <v>16031.7</v>
      </c>
      <c r="BX15" s="40">
        <f t="shared" si="52"/>
        <v>11655.045900000001</v>
      </c>
      <c r="BY15" s="40">
        <f t="shared" si="53"/>
        <v>4376.6541000000007</v>
      </c>
      <c r="BZ15" s="40">
        <f t="shared" si="54"/>
        <v>0</v>
      </c>
      <c r="CA15" s="40">
        <f t="shared" si="55"/>
        <v>0</v>
      </c>
      <c r="CB15" s="116"/>
      <c r="CC15" s="37">
        <f t="shared" si="12"/>
        <v>-1</v>
      </c>
      <c r="CD15" s="36">
        <v>16031.7</v>
      </c>
      <c r="CE15" s="40">
        <f t="shared" si="56"/>
        <v>11655.045900000001</v>
      </c>
      <c r="CF15" s="40">
        <f t="shared" si="57"/>
        <v>4376.6541000000007</v>
      </c>
      <c r="CG15" s="40">
        <f t="shared" si="58"/>
        <v>0</v>
      </c>
      <c r="CH15" s="40">
        <f t="shared" si="59"/>
        <v>0</v>
      </c>
      <c r="CI15" s="116"/>
      <c r="CJ15" s="37">
        <f t="shared" si="13"/>
        <v>-1</v>
      </c>
      <c r="CK15" s="36">
        <v>16031.7</v>
      </c>
      <c r="CL15" s="40">
        <f t="shared" si="60"/>
        <v>11655.045900000001</v>
      </c>
      <c r="CM15" s="40">
        <f t="shared" si="61"/>
        <v>4376.6541000000007</v>
      </c>
      <c r="CN15" s="40">
        <f t="shared" si="62"/>
        <v>0</v>
      </c>
      <c r="CO15" s="40">
        <f t="shared" si="63"/>
        <v>0</v>
      </c>
      <c r="CP15" s="116"/>
      <c r="CQ15" s="37">
        <f t="shared" si="14"/>
        <v>-1</v>
      </c>
    </row>
    <row r="16" spans="1:99" s="26" customFormat="1" ht="16" customHeight="1" x14ac:dyDescent="0.2">
      <c r="A16" s="29" t="s">
        <v>40</v>
      </c>
      <c r="B16" s="30">
        <f t="shared" si="0"/>
        <v>199999.99999999997</v>
      </c>
      <c r="C16" s="31">
        <f t="shared" si="0"/>
        <v>145400.00000000003</v>
      </c>
      <c r="D16" s="32">
        <f t="shared" si="0"/>
        <v>54600.000000000007</v>
      </c>
      <c r="E16" s="30">
        <f t="shared" si="15"/>
        <v>66666.666666666672</v>
      </c>
      <c r="F16" s="33">
        <f t="shared" si="15"/>
        <v>48466.666666666672</v>
      </c>
      <c r="G16" s="34">
        <f t="shared" si="15"/>
        <v>18200.000000000004</v>
      </c>
      <c r="H16" s="31">
        <f t="shared" si="1"/>
        <v>176432.50389999998</v>
      </c>
      <c r="I16" s="33">
        <f t="shared" si="1"/>
        <v>66253.196100000001</v>
      </c>
      <c r="J16" s="33">
        <f t="shared" si="1"/>
        <v>242685.69999999998</v>
      </c>
      <c r="K16" s="37">
        <f t="shared" si="2"/>
        <v>2.6402854999999996</v>
      </c>
      <c r="L16" s="36">
        <v>16666.666666666668</v>
      </c>
      <c r="M16" s="31">
        <f t="shared" si="16"/>
        <v>12116.666666666668</v>
      </c>
      <c r="N16" s="31">
        <f t="shared" si="17"/>
        <v>4550.0000000000009</v>
      </c>
      <c r="O16" s="31">
        <f t="shared" si="18"/>
        <v>26174.217349999999</v>
      </c>
      <c r="P16" s="31">
        <f t="shared" si="19"/>
        <v>9828.8326500000021</v>
      </c>
      <c r="Q16" s="33">
        <f>36003.05</f>
        <v>36003.050000000003</v>
      </c>
      <c r="R16" s="37">
        <f t="shared" si="3"/>
        <v>1.160183</v>
      </c>
      <c r="S16" s="36">
        <v>16666.666666666668</v>
      </c>
      <c r="T16" s="31">
        <f t="shared" si="20"/>
        <v>12116.666666666668</v>
      </c>
      <c r="U16" s="31">
        <f t="shared" si="21"/>
        <v>4550.0000000000009</v>
      </c>
      <c r="V16" s="31">
        <f t="shared" si="22"/>
        <v>21336.795699999999</v>
      </c>
      <c r="W16" s="31">
        <f t="shared" si="23"/>
        <v>8012.3042999999998</v>
      </c>
      <c r="X16" s="147">
        <f>29349.1</f>
        <v>29349.1</v>
      </c>
      <c r="Y16" s="37">
        <f t="shared" si="4"/>
        <v>0.76094599999999968</v>
      </c>
      <c r="Z16" s="36">
        <v>16666.666666666668</v>
      </c>
      <c r="AA16" s="31">
        <f t="shared" si="24"/>
        <v>12116.666666666668</v>
      </c>
      <c r="AB16" s="31">
        <f t="shared" si="25"/>
        <v>4550.0000000000009</v>
      </c>
      <c r="AC16" s="31">
        <f t="shared" si="26"/>
        <v>13969.632150000001</v>
      </c>
      <c r="AD16" s="31">
        <f t="shared" si="27"/>
        <v>5245.8178500000004</v>
      </c>
      <c r="AE16" s="27">
        <f>19215.45</f>
        <v>19215.45</v>
      </c>
      <c r="AF16" s="37">
        <f t="shared" si="5"/>
        <v>0.15292700000000004</v>
      </c>
      <c r="AG16" s="36">
        <v>16666.666666666668</v>
      </c>
      <c r="AH16" s="31">
        <f t="shared" si="28"/>
        <v>12116.666666666668</v>
      </c>
      <c r="AI16" s="31">
        <f t="shared" si="29"/>
        <v>4550.0000000000009</v>
      </c>
      <c r="AJ16" s="31">
        <f t="shared" si="30"/>
        <v>64670.990189999997</v>
      </c>
      <c r="AK16" s="31">
        <f t="shared" si="31"/>
        <v>24284.979810000001</v>
      </c>
      <c r="AL16" s="27">
        <f>63962.61+24993.36</f>
        <v>88955.97</v>
      </c>
      <c r="AM16" s="37">
        <f t="shared" si="6"/>
        <v>4.3373581999999997</v>
      </c>
      <c r="AN16" s="36">
        <v>16666.666666666668</v>
      </c>
      <c r="AO16" s="31">
        <f t="shared" si="32"/>
        <v>12116.666666666668</v>
      </c>
      <c r="AP16" s="31">
        <f t="shared" si="33"/>
        <v>4550.0000000000009</v>
      </c>
      <c r="AQ16" s="31">
        <f t="shared" si="34"/>
        <v>28064.504589999997</v>
      </c>
      <c r="AR16" s="31">
        <f t="shared" si="35"/>
        <v>10538.66541</v>
      </c>
      <c r="AS16" s="27">
        <v>38603.17</v>
      </c>
      <c r="AT16" s="37">
        <f t="shared" si="7"/>
        <v>1.3161901999999999</v>
      </c>
      <c r="AU16" s="36">
        <v>16666.666666666668</v>
      </c>
      <c r="AV16" s="31">
        <f t="shared" si="36"/>
        <v>12116.666666666668</v>
      </c>
      <c r="AW16" s="31">
        <f t="shared" si="37"/>
        <v>4550.0000000000009</v>
      </c>
      <c r="AX16" s="31">
        <f t="shared" si="38"/>
        <v>22216.363919999996</v>
      </c>
      <c r="AY16" s="31">
        <f t="shared" si="39"/>
        <v>8342.5960800000012</v>
      </c>
      <c r="AZ16" s="27">
        <v>30558.959999999999</v>
      </c>
      <c r="BA16" s="37">
        <f t="shared" si="8"/>
        <v>0.83353759999999988</v>
      </c>
      <c r="BB16" s="36">
        <v>16666.666666666668</v>
      </c>
      <c r="BC16" s="31">
        <f t="shared" si="40"/>
        <v>12116.666666666668</v>
      </c>
      <c r="BD16" s="31">
        <f t="shared" si="41"/>
        <v>4550.0000000000009</v>
      </c>
      <c r="BE16" s="31">
        <f t="shared" si="42"/>
        <v>0</v>
      </c>
      <c r="BF16" s="31">
        <f t="shared" si="43"/>
        <v>0</v>
      </c>
      <c r="BG16" s="27"/>
      <c r="BH16" s="37">
        <f t="shared" si="9"/>
        <v>-1</v>
      </c>
      <c r="BI16" s="36">
        <v>16666.666666666668</v>
      </c>
      <c r="BJ16" s="31">
        <f t="shared" si="44"/>
        <v>12116.666666666668</v>
      </c>
      <c r="BK16" s="31">
        <f t="shared" si="45"/>
        <v>4550.0000000000009</v>
      </c>
      <c r="BL16" s="31">
        <f t="shared" si="46"/>
        <v>0</v>
      </c>
      <c r="BM16" s="31">
        <f t="shared" si="47"/>
        <v>0</v>
      </c>
      <c r="BN16" s="27"/>
      <c r="BO16" s="37">
        <f t="shared" si="10"/>
        <v>-1</v>
      </c>
      <c r="BP16" s="36">
        <v>16666.666666666668</v>
      </c>
      <c r="BQ16" s="31">
        <f t="shared" si="48"/>
        <v>12116.666666666668</v>
      </c>
      <c r="BR16" s="31">
        <f t="shared" si="49"/>
        <v>4550.0000000000009</v>
      </c>
      <c r="BS16" s="31">
        <f t="shared" si="50"/>
        <v>0</v>
      </c>
      <c r="BT16" s="31">
        <f t="shared" si="51"/>
        <v>0</v>
      </c>
      <c r="BU16" s="27"/>
      <c r="BV16" s="37">
        <f t="shared" si="11"/>
        <v>-1</v>
      </c>
      <c r="BW16" s="36">
        <v>16666.666666666668</v>
      </c>
      <c r="BX16" s="31">
        <f t="shared" si="52"/>
        <v>12116.666666666668</v>
      </c>
      <c r="BY16" s="31">
        <f t="shared" si="53"/>
        <v>4550.0000000000009</v>
      </c>
      <c r="BZ16" s="31">
        <f t="shared" si="54"/>
        <v>0</v>
      </c>
      <c r="CA16" s="31">
        <f t="shared" si="55"/>
        <v>0</v>
      </c>
      <c r="CB16" s="27"/>
      <c r="CC16" s="37">
        <f t="shared" si="12"/>
        <v>-1</v>
      </c>
      <c r="CD16" s="36">
        <v>16666.666666666668</v>
      </c>
      <c r="CE16" s="31">
        <f t="shared" si="56"/>
        <v>12116.666666666668</v>
      </c>
      <c r="CF16" s="31">
        <f t="shared" si="57"/>
        <v>4550.0000000000009</v>
      </c>
      <c r="CG16" s="31">
        <f t="shared" si="58"/>
        <v>0</v>
      </c>
      <c r="CH16" s="31">
        <f t="shared" si="59"/>
        <v>0</v>
      </c>
      <c r="CI16" s="27"/>
      <c r="CJ16" s="37">
        <f t="shared" si="13"/>
        <v>-1</v>
      </c>
      <c r="CK16" s="36">
        <v>16666.666666666668</v>
      </c>
      <c r="CL16" s="31">
        <f t="shared" si="60"/>
        <v>12116.666666666668</v>
      </c>
      <c r="CM16" s="31">
        <f t="shared" si="61"/>
        <v>4550.0000000000009</v>
      </c>
      <c r="CN16" s="31">
        <f t="shared" si="62"/>
        <v>0</v>
      </c>
      <c r="CO16" s="31">
        <f t="shared" si="63"/>
        <v>0</v>
      </c>
      <c r="CP16" s="27"/>
      <c r="CQ16" s="37">
        <f t="shared" si="14"/>
        <v>-1</v>
      </c>
    </row>
    <row r="17" spans="1:95" s="26" customFormat="1" ht="16" customHeight="1" x14ac:dyDescent="0.2">
      <c r="A17" s="38" t="s">
        <v>41</v>
      </c>
      <c r="B17" s="30">
        <f t="shared" si="0"/>
        <v>801360</v>
      </c>
      <c r="C17" s="31">
        <f t="shared" si="0"/>
        <v>582588.72</v>
      </c>
      <c r="D17" s="32">
        <f t="shared" si="0"/>
        <v>218771.28000000003</v>
      </c>
      <c r="E17" s="30">
        <f t="shared" si="15"/>
        <v>267120</v>
      </c>
      <c r="F17" s="33">
        <f t="shared" si="15"/>
        <v>194196.24</v>
      </c>
      <c r="G17" s="34">
        <f t="shared" si="15"/>
        <v>72923.760000000009</v>
      </c>
      <c r="H17" s="31">
        <f t="shared" si="1"/>
        <v>433060.50865999993</v>
      </c>
      <c r="I17" s="33">
        <f t="shared" si="1"/>
        <v>162621.07134000002</v>
      </c>
      <c r="J17" s="33">
        <f t="shared" si="1"/>
        <v>595681.58000000007</v>
      </c>
      <c r="K17" s="37">
        <f t="shared" si="2"/>
        <v>1.2300148996705604</v>
      </c>
      <c r="L17" s="36">
        <v>66780</v>
      </c>
      <c r="M17" s="31">
        <f t="shared" si="16"/>
        <v>48549.06</v>
      </c>
      <c r="N17" s="31">
        <f t="shared" si="17"/>
        <v>18230.940000000002</v>
      </c>
      <c r="O17" s="31">
        <f t="shared" si="18"/>
        <v>63463.879390000002</v>
      </c>
      <c r="P17" s="31">
        <f t="shared" si="19"/>
        <v>23831.690610000005</v>
      </c>
      <c r="Q17" s="33">
        <f>87295.57</f>
        <v>87295.57</v>
      </c>
      <c r="R17" s="37">
        <f t="shared" si="3"/>
        <v>0.30721129080563059</v>
      </c>
      <c r="S17" s="36">
        <v>66780</v>
      </c>
      <c r="T17" s="31">
        <f t="shared" si="20"/>
        <v>48549.06</v>
      </c>
      <c r="U17" s="31">
        <f t="shared" si="21"/>
        <v>18230.940000000002</v>
      </c>
      <c r="V17" s="31">
        <f t="shared" si="22"/>
        <v>47496.138629999994</v>
      </c>
      <c r="W17" s="31">
        <f t="shared" si="23"/>
        <v>17835.551370000001</v>
      </c>
      <c r="X17" s="147">
        <f>64293.74+1037.95</f>
        <v>65331.689999999995</v>
      </c>
      <c r="Y17" s="37">
        <f t="shared" si="4"/>
        <v>-2.1687780772686516E-2</v>
      </c>
      <c r="Z17" s="36">
        <v>66780</v>
      </c>
      <c r="AA17" s="31">
        <f t="shared" si="24"/>
        <v>48549.06</v>
      </c>
      <c r="AB17" s="31">
        <f t="shared" si="25"/>
        <v>18230.940000000002</v>
      </c>
      <c r="AC17" s="31">
        <f t="shared" si="26"/>
        <v>59261.106929999994</v>
      </c>
      <c r="AD17" s="31">
        <f t="shared" si="27"/>
        <v>22253.483070000002</v>
      </c>
      <c r="AE17" s="27">
        <v>81514.59</v>
      </c>
      <c r="AF17" s="37">
        <f t="shared" si="5"/>
        <v>0.22064375561545368</v>
      </c>
      <c r="AG17" s="36">
        <v>66780</v>
      </c>
      <c r="AH17" s="31">
        <f t="shared" si="28"/>
        <v>48549.06</v>
      </c>
      <c r="AI17" s="31">
        <f t="shared" si="29"/>
        <v>18230.940000000002</v>
      </c>
      <c r="AJ17" s="31">
        <f t="shared" si="30"/>
        <v>80230.862139999997</v>
      </c>
      <c r="AK17" s="31">
        <f t="shared" si="31"/>
        <v>30127.957860000006</v>
      </c>
      <c r="AL17" s="27">
        <v>110358.82</v>
      </c>
      <c r="AM17" s="37">
        <f t="shared" si="6"/>
        <v>0.65257292602575623</v>
      </c>
      <c r="AN17" s="36">
        <v>66780</v>
      </c>
      <c r="AO17" s="31">
        <f t="shared" si="32"/>
        <v>48549.06</v>
      </c>
      <c r="AP17" s="31">
        <f t="shared" si="33"/>
        <v>18230.940000000002</v>
      </c>
      <c r="AQ17" s="31">
        <f t="shared" si="34"/>
        <v>87915.681069999991</v>
      </c>
      <c r="AR17" s="31">
        <f t="shared" si="35"/>
        <v>33013.728930000005</v>
      </c>
      <c r="AS17" s="27">
        <v>120929.41</v>
      </c>
      <c r="AT17" s="37">
        <f t="shared" si="7"/>
        <v>0.81086268343815515</v>
      </c>
      <c r="AU17" s="36">
        <v>66780</v>
      </c>
      <c r="AV17" s="31">
        <f t="shared" si="36"/>
        <v>48549.06</v>
      </c>
      <c r="AW17" s="31">
        <f t="shared" si="37"/>
        <v>18230.940000000002</v>
      </c>
      <c r="AX17" s="31">
        <f t="shared" si="38"/>
        <v>94692.840499999991</v>
      </c>
      <c r="AY17" s="31">
        <f t="shared" si="39"/>
        <v>35558.659500000002</v>
      </c>
      <c r="AZ17" s="27">
        <v>130251.5</v>
      </c>
      <c r="BA17" s="37">
        <f t="shared" si="8"/>
        <v>0.95045672356993105</v>
      </c>
      <c r="BB17" s="36">
        <v>66780</v>
      </c>
      <c r="BC17" s="31">
        <f t="shared" si="40"/>
        <v>48549.06</v>
      </c>
      <c r="BD17" s="31">
        <f t="shared" si="41"/>
        <v>18230.940000000002</v>
      </c>
      <c r="BE17" s="31">
        <f t="shared" si="42"/>
        <v>0</v>
      </c>
      <c r="BF17" s="31">
        <f t="shared" si="43"/>
        <v>0</v>
      </c>
      <c r="BG17" s="27"/>
      <c r="BH17" s="37">
        <f t="shared" si="9"/>
        <v>-1</v>
      </c>
      <c r="BI17" s="36">
        <v>66780</v>
      </c>
      <c r="BJ17" s="31">
        <f t="shared" si="44"/>
        <v>48549.06</v>
      </c>
      <c r="BK17" s="31">
        <f t="shared" si="45"/>
        <v>18230.940000000002</v>
      </c>
      <c r="BL17" s="31">
        <f t="shared" si="46"/>
        <v>0</v>
      </c>
      <c r="BM17" s="31">
        <f t="shared" si="47"/>
        <v>0</v>
      </c>
      <c r="BN17" s="27"/>
      <c r="BO17" s="37">
        <f t="shared" si="10"/>
        <v>-1</v>
      </c>
      <c r="BP17" s="36">
        <v>66780</v>
      </c>
      <c r="BQ17" s="31">
        <f t="shared" si="48"/>
        <v>48549.06</v>
      </c>
      <c r="BR17" s="31">
        <f t="shared" si="49"/>
        <v>18230.940000000002</v>
      </c>
      <c r="BS17" s="31">
        <f t="shared" si="50"/>
        <v>0</v>
      </c>
      <c r="BT17" s="31">
        <f t="shared" si="51"/>
        <v>0</v>
      </c>
      <c r="BU17" s="27"/>
      <c r="BV17" s="37">
        <f t="shared" si="11"/>
        <v>-1</v>
      </c>
      <c r="BW17" s="36">
        <v>66780</v>
      </c>
      <c r="BX17" s="31">
        <f t="shared" si="52"/>
        <v>48549.06</v>
      </c>
      <c r="BY17" s="31">
        <f t="shared" si="53"/>
        <v>18230.940000000002</v>
      </c>
      <c r="BZ17" s="31">
        <f t="shared" si="54"/>
        <v>0</v>
      </c>
      <c r="CA17" s="31">
        <f t="shared" si="55"/>
        <v>0</v>
      </c>
      <c r="CB17" s="27"/>
      <c r="CC17" s="37">
        <f t="shared" si="12"/>
        <v>-1</v>
      </c>
      <c r="CD17" s="36">
        <v>66780</v>
      </c>
      <c r="CE17" s="31">
        <f t="shared" si="56"/>
        <v>48549.06</v>
      </c>
      <c r="CF17" s="31">
        <f t="shared" si="57"/>
        <v>18230.940000000002</v>
      </c>
      <c r="CG17" s="31">
        <f t="shared" si="58"/>
        <v>0</v>
      </c>
      <c r="CH17" s="31">
        <f t="shared" si="59"/>
        <v>0</v>
      </c>
      <c r="CI17" s="27"/>
      <c r="CJ17" s="37">
        <f t="shared" si="13"/>
        <v>-1</v>
      </c>
      <c r="CK17" s="36">
        <v>66780</v>
      </c>
      <c r="CL17" s="31">
        <f t="shared" si="60"/>
        <v>48549.06</v>
      </c>
      <c r="CM17" s="31">
        <f t="shared" si="61"/>
        <v>18230.940000000002</v>
      </c>
      <c r="CN17" s="31">
        <f t="shared" si="62"/>
        <v>0</v>
      </c>
      <c r="CO17" s="31">
        <f t="shared" si="63"/>
        <v>0</v>
      </c>
      <c r="CP17" s="27"/>
      <c r="CQ17" s="37">
        <f t="shared" si="14"/>
        <v>-1</v>
      </c>
    </row>
    <row r="18" spans="1:95" s="26" customFormat="1" ht="16" customHeight="1" x14ac:dyDescent="0.2">
      <c r="A18" s="38" t="s">
        <v>42</v>
      </c>
      <c r="B18" s="30">
        <f t="shared" si="0"/>
        <v>124124.00000000001</v>
      </c>
      <c r="C18" s="31">
        <f t="shared" si="0"/>
        <v>90238.147999999986</v>
      </c>
      <c r="D18" s="32">
        <f t="shared" si="0"/>
        <v>33885.851999999999</v>
      </c>
      <c r="E18" s="30">
        <f t="shared" si="15"/>
        <v>41374.666666666664</v>
      </c>
      <c r="F18" s="33">
        <f t="shared" si="15"/>
        <v>30079.382666666665</v>
      </c>
      <c r="G18" s="34">
        <f t="shared" si="15"/>
        <v>11295.284</v>
      </c>
      <c r="H18" s="31">
        <f t="shared" si="1"/>
        <v>52370.237430000001</v>
      </c>
      <c r="I18" s="33">
        <f t="shared" si="1"/>
        <v>19665.852570000003</v>
      </c>
      <c r="J18" s="33">
        <f t="shared" si="1"/>
        <v>72036.090000000011</v>
      </c>
      <c r="K18" s="37">
        <f t="shared" si="2"/>
        <v>0.74106756147078756</v>
      </c>
      <c r="L18" s="36">
        <v>10343.666666666666</v>
      </c>
      <c r="M18" s="31">
        <f t="shared" si="16"/>
        <v>7519.8456666666661</v>
      </c>
      <c r="N18" s="31">
        <f t="shared" si="17"/>
        <v>2823.8209999999999</v>
      </c>
      <c r="O18" s="31">
        <f t="shared" si="18"/>
        <v>9031.7172900000005</v>
      </c>
      <c r="P18" s="31">
        <f t="shared" si="19"/>
        <v>3391.5527100000004</v>
      </c>
      <c r="Q18" s="33">
        <v>12423.27</v>
      </c>
      <c r="R18" s="37">
        <f t="shared" si="3"/>
        <v>0.20105088459927178</v>
      </c>
      <c r="S18" s="36">
        <v>10343.666666666666</v>
      </c>
      <c r="T18" s="31">
        <f t="shared" si="20"/>
        <v>7519.8456666666661</v>
      </c>
      <c r="U18" s="31">
        <f t="shared" si="21"/>
        <v>2823.8209999999999</v>
      </c>
      <c r="V18" s="31">
        <f t="shared" si="22"/>
        <v>20342.245159999999</v>
      </c>
      <c r="W18" s="31">
        <f t="shared" si="23"/>
        <v>7638.8348400000013</v>
      </c>
      <c r="X18" s="147">
        <v>27981.08</v>
      </c>
      <c r="Y18" s="37">
        <f t="shared" si="4"/>
        <v>1.7051413103026007</v>
      </c>
      <c r="Z18" s="36">
        <v>10343.666666666666</v>
      </c>
      <c r="AA18" s="31">
        <f t="shared" si="24"/>
        <v>7519.8456666666661</v>
      </c>
      <c r="AB18" s="31">
        <f t="shared" si="25"/>
        <v>2823.8209999999999</v>
      </c>
      <c r="AC18" s="31">
        <f t="shared" si="26"/>
        <v>328.60399999999998</v>
      </c>
      <c r="AD18" s="31">
        <f t="shared" si="27"/>
        <v>123.39600000000002</v>
      </c>
      <c r="AE18" s="27">
        <v>452</v>
      </c>
      <c r="AF18" s="37">
        <f t="shared" si="5"/>
        <v>-0.95630176275337564</v>
      </c>
      <c r="AG18" s="36">
        <v>10343.666666666666</v>
      </c>
      <c r="AH18" s="31">
        <f t="shared" si="28"/>
        <v>7519.8456666666661</v>
      </c>
      <c r="AI18" s="31">
        <f t="shared" si="29"/>
        <v>2823.8209999999999</v>
      </c>
      <c r="AJ18" s="31">
        <f t="shared" si="30"/>
        <v>0</v>
      </c>
      <c r="AK18" s="31">
        <f t="shared" si="31"/>
        <v>0</v>
      </c>
      <c r="AL18" s="27"/>
      <c r="AM18" s="37">
        <f t="shared" si="6"/>
        <v>-1</v>
      </c>
      <c r="AN18" s="36">
        <v>10343.666666666666</v>
      </c>
      <c r="AO18" s="31">
        <f t="shared" si="32"/>
        <v>7519.8456666666661</v>
      </c>
      <c r="AP18" s="31">
        <f t="shared" si="33"/>
        <v>2823.8209999999999</v>
      </c>
      <c r="AQ18" s="31">
        <f t="shared" si="34"/>
        <v>22667.670980000003</v>
      </c>
      <c r="AR18" s="31">
        <f t="shared" si="35"/>
        <v>8512.0690200000008</v>
      </c>
      <c r="AS18" s="27">
        <v>31179.74</v>
      </c>
      <c r="AT18" s="37">
        <f t="shared" si="7"/>
        <v>2.0143798137346529</v>
      </c>
      <c r="AU18" s="36">
        <v>10343.666666666666</v>
      </c>
      <c r="AV18" s="31">
        <f t="shared" si="36"/>
        <v>7519.8456666666661</v>
      </c>
      <c r="AW18" s="31">
        <f t="shared" si="37"/>
        <v>2823.8209999999999</v>
      </c>
      <c r="AX18" s="31">
        <f t="shared" si="38"/>
        <v>0</v>
      </c>
      <c r="AY18" s="31">
        <f t="shared" si="39"/>
        <v>0</v>
      </c>
      <c r="AZ18" s="27"/>
      <c r="BA18" s="37">
        <f t="shared" si="8"/>
        <v>-1</v>
      </c>
      <c r="BB18" s="36">
        <v>10343.666666666666</v>
      </c>
      <c r="BC18" s="31">
        <f t="shared" si="40"/>
        <v>7519.8456666666661</v>
      </c>
      <c r="BD18" s="31">
        <f t="shared" si="41"/>
        <v>2823.8209999999999</v>
      </c>
      <c r="BE18" s="31">
        <f t="shared" si="42"/>
        <v>0</v>
      </c>
      <c r="BF18" s="31">
        <f t="shared" si="43"/>
        <v>0</v>
      </c>
      <c r="BG18" s="27"/>
      <c r="BH18" s="37">
        <f t="shared" si="9"/>
        <v>-1</v>
      </c>
      <c r="BI18" s="36">
        <v>10343.666666666666</v>
      </c>
      <c r="BJ18" s="31">
        <f t="shared" si="44"/>
        <v>7519.8456666666661</v>
      </c>
      <c r="BK18" s="31">
        <f t="shared" si="45"/>
        <v>2823.8209999999999</v>
      </c>
      <c r="BL18" s="31">
        <f t="shared" si="46"/>
        <v>0</v>
      </c>
      <c r="BM18" s="31">
        <f t="shared" si="47"/>
        <v>0</v>
      </c>
      <c r="BN18" s="27"/>
      <c r="BO18" s="37">
        <f t="shared" si="10"/>
        <v>-1</v>
      </c>
      <c r="BP18" s="36">
        <v>10343.666666666666</v>
      </c>
      <c r="BQ18" s="31">
        <f t="shared" si="48"/>
        <v>7519.8456666666661</v>
      </c>
      <c r="BR18" s="31">
        <f t="shared" si="49"/>
        <v>2823.8209999999999</v>
      </c>
      <c r="BS18" s="31">
        <f t="shared" si="50"/>
        <v>0</v>
      </c>
      <c r="BT18" s="31">
        <f t="shared" si="51"/>
        <v>0</v>
      </c>
      <c r="BU18" s="27"/>
      <c r="BV18" s="37">
        <f t="shared" si="11"/>
        <v>-1</v>
      </c>
      <c r="BW18" s="36">
        <v>10343.666666666666</v>
      </c>
      <c r="BX18" s="31">
        <f t="shared" si="52"/>
        <v>7519.8456666666661</v>
      </c>
      <c r="BY18" s="31">
        <f t="shared" si="53"/>
        <v>2823.8209999999999</v>
      </c>
      <c r="BZ18" s="31">
        <f t="shared" si="54"/>
        <v>0</v>
      </c>
      <c r="CA18" s="31">
        <f t="shared" si="55"/>
        <v>0</v>
      </c>
      <c r="CB18" s="27"/>
      <c r="CC18" s="37">
        <f t="shared" si="12"/>
        <v>-1</v>
      </c>
      <c r="CD18" s="36">
        <v>10343.666666666666</v>
      </c>
      <c r="CE18" s="31">
        <f t="shared" si="56"/>
        <v>7519.8456666666661</v>
      </c>
      <c r="CF18" s="31">
        <f t="shared" si="57"/>
        <v>2823.8209999999999</v>
      </c>
      <c r="CG18" s="31">
        <f t="shared" si="58"/>
        <v>0</v>
      </c>
      <c r="CH18" s="31">
        <f t="shared" si="59"/>
        <v>0</v>
      </c>
      <c r="CI18" s="27"/>
      <c r="CJ18" s="37">
        <f t="shared" si="13"/>
        <v>-1</v>
      </c>
      <c r="CK18" s="36">
        <v>10343.666666666666</v>
      </c>
      <c r="CL18" s="31">
        <f t="shared" si="60"/>
        <v>7519.8456666666661</v>
      </c>
      <c r="CM18" s="31">
        <f t="shared" si="61"/>
        <v>2823.8209999999999</v>
      </c>
      <c r="CN18" s="31">
        <f t="shared" si="62"/>
        <v>0</v>
      </c>
      <c r="CO18" s="31">
        <f t="shared" si="63"/>
        <v>0</v>
      </c>
      <c r="CP18" s="27"/>
      <c r="CQ18" s="37">
        <f t="shared" si="14"/>
        <v>-1</v>
      </c>
    </row>
    <row r="19" spans="1:95" s="26" customFormat="1" ht="16" customHeight="1" x14ac:dyDescent="0.2">
      <c r="A19" s="38" t="s">
        <v>43</v>
      </c>
      <c r="B19" s="30">
        <f t="shared" si="0"/>
        <v>35000.000000000007</v>
      </c>
      <c r="C19" s="31">
        <f t="shared" si="0"/>
        <v>25445.000000000004</v>
      </c>
      <c r="D19" s="32">
        <f t="shared" si="0"/>
        <v>9555</v>
      </c>
      <c r="E19" s="30">
        <f t="shared" si="15"/>
        <v>11666.666666666666</v>
      </c>
      <c r="F19" s="33">
        <f t="shared" si="15"/>
        <v>8481.6666666666661</v>
      </c>
      <c r="G19" s="34">
        <f t="shared" si="15"/>
        <v>3185</v>
      </c>
      <c r="H19" s="31">
        <f t="shared" si="1"/>
        <v>15552.820050000002</v>
      </c>
      <c r="I19" s="33">
        <f t="shared" si="1"/>
        <v>5840.3299500000003</v>
      </c>
      <c r="J19" s="33">
        <f t="shared" si="1"/>
        <v>21393.15</v>
      </c>
      <c r="K19" s="37">
        <f t="shared" si="2"/>
        <v>0.83369857142857162</v>
      </c>
      <c r="L19" s="36">
        <v>2916.6666666666665</v>
      </c>
      <c r="M19" s="31">
        <f t="shared" si="16"/>
        <v>2120.4166666666665</v>
      </c>
      <c r="N19" s="31">
        <f t="shared" si="17"/>
        <v>796.25</v>
      </c>
      <c r="O19" s="31">
        <f t="shared" si="18"/>
        <v>3028.9000999999998</v>
      </c>
      <c r="P19" s="31">
        <f t="shared" si="19"/>
        <v>1137.3999000000001</v>
      </c>
      <c r="Q19" s="33">
        <v>4166.3</v>
      </c>
      <c r="R19" s="37">
        <f t="shared" si="3"/>
        <v>0.42844571428571432</v>
      </c>
      <c r="S19" s="36">
        <v>2916.6666666666665</v>
      </c>
      <c r="T19" s="31">
        <f t="shared" si="20"/>
        <v>2120.4166666666665</v>
      </c>
      <c r="U19" s="31">
        <f t="shared" si="21"/>
        <v>796.25</v>
      </c>
      <c r="V19" s="31">
        <f t="shared" si="22"/>
        <v>3649.3582500000002</v>
      </c>
      <c r="W19" s="31">
        <f t="shared" si="23"/>
        <v>1370.39175</v>
      </c>
      <c r="X19" s="147">
        <f>1037.95+5019.75-1037.95</f>
        <v>5019.75</v>
      </c>
      <c r="Y19" s="37">
        <f t="shared" si="4"/>
        <v>0.72105714285714284</v>
      </c>
      <c r="Z19" s="36">
        <v>2916.6666666666665</v>
      </c>
      <c r="AA19" s="31">
        <f t="shared" si="24"/>
        <v>2120.4166666666665</v>
      </c>
      <c r="AB19" s="31">
        <f t="shared" si="25"/>
        <v>796.25</v>
      </c>
      <c r="AC19" s="31">
        <f t="shared" si="26"/>
        <v>1266.09231</v>
      </c>
      <c r="AD19" s="31">
        <f t="shared" si="27"/>
        <v>475.43769000000003</v>
      </c>
      <c r="AE19" s="27">
        <v>1741.53</v>
      </c>
      <c r="AF19" s="37">
        <f t="shared" si="5"/>
        <v>-0.40290399999999993</v>
      </c>
      <c r="AG19" s="36">
        <v>2916.6666666666665</v>
      </c>
      <c r="AH19" s="31">
        <f t="shared" si="28"/>
        <v>2120.4166666666665</v>
      </c>
      <c r="AI19" s="31">
        <f t="shared" si="29"/>
        <v>796.25</v>
      </c>
      <c r="AJ19" s="31">
        <f t="shared" si="30"/>
        <v>3996.2099500000004</v>
      </c>
      <c r="AK19" s="31">
        <f t="shared" si="31"/>
        <v>1500.6400500000002</v>
      </c>
      <c r="AL19" s="27">
        <v>5496.85</v>
      </c>
      <c r="AM19" s="37">
        <f t="shared" si="6"/>
        <v>0.88463428571428593</v>
      </c>
      <c r="AN19" s="36">
        <v>2916.6666666666665</v>
      </c>
      <c r="AO19" s="31">
        <f t="shared" si="32"/>
        <v>2120.4166666666665</v>
      </c>
      <c r="AP19" s="31">
        <f t="shared" si="33"/>
        <v>796.25</v>
      </c>
      <c r="AQ19" s="31">
        <f t="shared" si="34"/>
        <v>2066.24305</v>
      </c>
      <c r="AR19" s="31">
        <f t="shared" si="35"/>
        <v>775.90695000000005</v>
      </c>
      <c r="AS19" s="27">
        <v>2842.15</v>
      </c>
      <c r="AT19" s="37">
        <f t="shared" si="7"/>
        <v>-2.5548571428571365E-2</v>
      </c>
      <c r="AU19" s="36">
        <v>2916.6666666666665</v>
      </c>
      <c r="AV19" s="31">
        <f t="shared" si="36"/>
        <v>2120.4166666666665</v>
      </c>
      <c r="AW19" s="31">
        <f t="shared" si="37"/>
        <v>796.25</v>
      </c>
      <c r="AX19" s="31">
        <f t="shared" si="38"/>
        <v>1546.0163900000002</v>
      </c>
      <c r="AY19" s="31">
        <f t="shared" si="39"/>
        <v>580.55361000000005</v>
      </c>
      <c r="AZ19" s="27">
        <v>2126.5700000000002</v>
      </c>
      <c r="BA19" s="37">
        <f t="shared" si="8"/>
        <v>-0.27089028571428564</v>
      </c>
      <c r="BB19" s="36">
        <v>2916.6666666666665</v>
      </c>
      <c r="BC19" s="31">
        <f t="shared" si="40"/>
        <v>2120.4166666666665</v>
      </c>
      <c r="BD19" s="31">
        <f t="shared" si="41"/>
        <v>796.25</v>
      </c>
      <c r="BE19" s="31">
        <f t="shared" si="42"/>
        <v>0</v>
      </c>
      <c r="BF19" s="31">
        <f t="shared" si="43"/>
        <v>0</v>
      </c>
      <c r="BG19" s="27"/>
      <c r="BH19" s="37">
        <f t="shared" si="9"/>
        <v>-1</v>
      </c>
      <c r="BI19" s="36">
        <v>2916.6666666666665</v>
      </c>
      <c r="BJ19" s="31">
        <f t="shared" si="44"/>
        <v>2120.4166666666665</v>
      </c>
      <c r="BK19" s="31">
        <f t="shared" si="45"/>
        <v>796.25</v>
      </c>
      <c r="BL19" s="31">
        <f t="shared" si="46"/>
        <v>0</v>
      </c>
      <c r="BM19" s="31">
        <f t="shared" si="47"/>
        <v>0</v>
      </c>
      <c r="BN19" s="27"/>
      <c r="BO19" s="37">
        <f t="shared" si="10"/>
        <v>-1</v>
      </c>
      <c r="BP19" s="36">
        <v>2916.6666666666665</v>
      </c>
      <c r="BQ19" s="31">
        <f t="shared" si="48"/>
        <v>2120.4166666666665</v>
      </c>
      <c r="BR19" s="31">
        <f t="shared" si="49"/>
        <v>796.25</v>
      </c>
      <c r="BS19" s="31">
        <f t="shared" si="50"/>
        <v>0</v>
      </c>
      <c r="BT19" s="31">
        <f t="shared" si="51"/>
        <v>0</v>
      </c>
      <c r="BU19" s="27"/>
      <c r="BV19" s="37">
        <f t="shared" si="11"/>
        <v>-1</v>
      </c>
      <c r="BW19" s="36">
        <v>2916.6666666666665</v>
      </c>
      <c r="BX19" s="31">
        <f t="shared" si="52"/>
        <v>2120.4166666666665</v>
      </c>
      <c r="BY19" s="31">
        <f t="shared" si="53"/>
        <v>796.25</v>
      </c>
      <c r="BZ19" s="31">
        <f t="shared" si="54"/>
        <v>0</v>
      </c>
      <c r="CA19" s="31">
        <f t="shared" si="55"/>
        <v>0</v>
      </c>
      <c r="CB19" s="27"/>
      <c r="CC19" s="37">
        <f t="shared" si="12"/>
        <v>-1</v>
      </c>
      <c r="CD19" s="36">
        <v>2916.6666666666665</v>
      </c>
      <c r="CE19" s="31">
        <f t="shared" si="56"/>
        <v>2120.4166666666665</v>
      </c>
      <c r="CF19" s="31">
        <f t="shared" si="57"/>
        <v>796.25</v>
      </c>
      <c r="CG19" s="31">
        <f t="shared" si="58"/>
        <v>0</v>
      </c>
      <c r="CH19" s="31">
        <f t="shared" si="59"/>
        <v>0</v>
      </c>
      <c r="CI19" s="27"/>
      <c r="CJ19" s="37">
        <f t="shared" si="13"/>
        <v>-1</v>
      </c>
      <c r="CK19" s="36">
        <v>2916.6666666666665</v>
      </c>
      <c r="CL19" s="31">
        <f t="shared" si="60"/>
        <v>2120.4166666666665</v>
      </c>
      <c r="CM19" s="31">
        <f t="shared" si="61"/>
        <v>796.25</v>
      </c>
      <c r="CN19" s="31">
        <f t="shared" si="62"/>
        <v>0</v>
      </c>
      <c r="CO19" s="31">
        <f t="shared" si="63"/>
        <v>0</v>
      </c>
      <c r="CP19" s="27"/>
      <c r="CQ19" s="37">
        <f t="shared" si="14"/>
        <v>-1</v>
      </c>
    </row>
    <row r="20" spans="1:95" s="26" customFormat="1" ht="16" customHeight="1" x14ac:dyDescent="0.2">
      <c r="A20" s="29" t="s">
        <v>44</v>
      </c>
      <c r="B20" s="30">
        <f t="shared" si="0"/>
        <v>1194829.8672228542</v>
      </c>
      <c r="C20" s="31">
        <f t="shared" si="0"/>
        <v>868641.31347101543</v>
      </c>
      <c r="D20" s="32">
        <f t="shared" si="0"/>
        <v>326188.55375183932</v>
      </c>
      <c r="E20" s="30">
        <f t="shared" si="15"/>
        <v>541940.09377142799</v>
      </c>
      <c r="F20" s="33">
        <f t="shared" si="15"/>
        <v>393990.44817182817</v>
      </c>
      <c r="G20" s="34">
        <f t="shared" si="15"/>
        <v>147949.64559959984</v>
      </c>
      <c r="H20" s="31">
        <f t="shared" si="1"/>
        <v>582809.76434999995</v>
      </c>
      <c r="I20" s="33">
        <f t="shared" si="1"/>
        <v>218854.28565000001</v>
      </c>
      <c r="J20" s="33">
        <f t="shared" si="1"/>
        <v>801664.04999999993</v>
      </c>
      <c r="K20" s="37">
        <f t="shared" si="2"/>
        <v>0.47924846161707824</v>
      </c>
      <c r="L20" s="36">
        <v>0</v>
      </c>
      <c r="M20" s="31">
        <f t="shared" si="16"/>
        <v>0</v>
      </c>
      <c r="N20" s="31">
        <f t="shared" si="17"/>
        <v>0</v>
      </c>
      <c r="O20" s="31">
        <f t="shared" si="18"/>
        <v>9215.6628300000011</v>
      </c>
      <c r="P20" s="31">
        <f t="shared" si="19"/>
        <v>3460.6271700000007</v>
      </c>
      <c r="Q20" s="33">
        <v>12676.29</v>
      </c>
      <c r="R20" s="37" t="str">
        <f t="shared" si="3"/>
        <v/>
      </c>
      <c r="S20" s="36">
        <v>0</v>
      </c>
      <c r="T20" s="31">
        <f t="shared" si="20"/>
        <v>0</v>
      </c>
      <c r="U20" s="31">
        <f t="shared" si="21"/>
        <v>0</v>
      </c>
      <c r="V20" s="31">
        <f t="shared" si="22"/>
        <v>9592.6414100000002</v>
      </c>
      <c r="W20" s="31">
        <f t="shared" si="23"/>
        <v>3602.1885900000007</v>
      </c>
      <c r="X20" s="147">
        <f>16834.83-3640</f>
        <v>13194.830000000002</v>
      </c>
      <c r="Y20" s="37" t="str">
        <f t="shared" si="4"/>
        <v/>
      </c>
      <c r="Z20" s="36">
        <v>541940.09377142799</v>
      </c>
      <c r="AA20" s="31">
        <f t="shared" si="24"/>
        <v>393990.44817182817</v>
      </c>
      <c r="AB20" s="31">
        <f t="shared" si="25"/>
        <v>147949.64559959984</v>
      </c>
      <c r="AC20" s="31">
        <f t="shared" si="26"/>
        <v>131403.81780999998</v>
      </c>
      <c r="AD20" s="31">
        <f t="shared" si="27"/>
        <v>49344.212190000006</v>
      </c>
      <c r="AE20" s="27">
        <v>180748.03</v>
      </c>
      <c r="AF20" s="37">
        <f t="shared" si="5"/>
        <v>-0.66647968644993183</v>
      </c>
      <c r="AG20" s="36">
        <v>0</v>
      </c>
      <c r="AH20" s="31">
        <f t="shared" si="28"/>
        <v>0</v>
      </c>
      <c r="AI20" s="31">
        <f t="shared" si="29"/>
        <v>0</v>
      </c>
      <c r="AJ20" s="31">
        <f t="shared" si="30"/>
        <v>238489.38383999997</v>
      </c>
      <c r="AK20" s="31">
        <f t="shared" si="31"/>
        <v>89556.536160000003</v>
      </c>
      <c r="AL20" s="27">
        <v>328045.92</v>
      </c>
      <c r="AM20" s="37" t="str">
        <f t="shared" si="6"/>
        <v/>
      </c>
      <c r="AN20" s="36">
        <v>15786.83496</v>
      </c>
      <c r="AO20" s="31">
        <f t="shared" si="32"/>
        <v>11477.029015919999</v>
      </c>
      <c r="AP20" s="31">
        <f t="shared" si="33"/>
        <v>4309.8059440800007</v>
      </c>
      <c r="AQ20" s="31">
        <f t="shared" si="34"/>
        <v>161418.90701999998</v>
      </c>
      <c r="AR20" s="31">
        <f t="shared" si="35"/>
        <v>60615.352980000011</v>
      </c>
      <c r="AS20" s="27">
        <v>222034.26</v>
      </c>
      <c r="AT20" s="37">
        <f t="shared" si="7"/>
        <v>13.064520251372794</v>
      </c>
      <c r="AU20" s="36">
        <v>15786.83496</v>
      </c>
      <c r="AV20" s="31">
        <f t="shared" si="36"/>
        <v>11477.029015919999</v>
      </c>
      <c r="AW20" s="31">
        <f t="shared" si="37"/>
        <v>4309.8059440800007</v>
      </c>
      <c r="AX20" s="31">
        <f t="shared" si="38"/>
        <v>32689.351439999999</v>
      </c>
      <c r="AY20" s="31">
        <f t="shared" si="39"/>
        <v>12275.368560000001</v>
      </c>
      <c r="AZ20" s="27">
        <v>44964.72</v>
      </c>
      <c r="BA20" s="37">
        <f t="shared" si="8"/>
        <v>1.8482415958569063</v>
      </c>
      <c r="BB20" s="36">
        <v>262208.83495999902</v>
      </c>
      <c r="BC20" s="31">
        <f t="shared" si="40"/>
        <v>190625.82301591928</v>
      </c>
      <c r="BD20" s="31">
        <f t="shared" si="41"/>
        <v>71583.011944079743</v>
      </c>
      <c r="BE20" s="31">
        <f t="shared" si="42"/>
        <v>0</v>
      </c>
      <c r="BF20" s="31">
        <f t="shared" si="43"/>
        <v>0</v>
      </c>
      <c r="BG20" s="27"/>
      <c r="BH20" s="37">
        <f t="shared" si="9"/>
        <v>-1</v>
      </c>
      <c r="BI20" s="36">
        <v>40176.928731428503</v>
      </c>
      <c r="BJ20" s="31">
        <f t="shared" si="44"/>
        <v>29208.62718774852</v>
      </c>
      <c r="BK20" s="31">
        <f t="shared" si="45"/>
        <v>10968.301543679981</v>
      </c>
      <c r="BL20" s="31">
        <f t="shared" si="46"/>
        <v>0</v>
      </c>
      <c r="BM20" s="31">
        <f t="shared" si="47"/>
        <v>0</v>
      </c>
      <c r="BN20" s="27"/>
      <c r="BO20" s="37">
        <f t="shared" si="10"/>
        <v>-1</v>
      </c>
      <c r="BP20" s="36">
        <v>271569.83495999902</v>
      </c>
      <c r="BQ20" s="31">
        <f t="shared" si="48"/>
        <v>197431.27001591929</v>
      </c>
      <c r="BR20" s="31">
        <f t="shared" si="49"/>
        <v>74138.564944079742</v>
      </c>
      <c r="BS20" s="31">
        <f t="shared" si="50"/>
        <v>0</v>
      </c>
      <c r="BT20" s="31">
        <f t="shared" si="51"/>
        <v>0</v>
      </c>
      <c r="BU20" s="27"/>
      <c r="BV20" s="37">
        <f t="shared" si="11"/>
        <v>-1</v>
      </c>
      <c r="BW20" s="36">
        <v>15786.83496</v>
      </c>
      <c r="BX20" s="31">
        <f t="shared" si="52"/>
        <v>11477.029015919999</v>
      </c>
      <c r="BY20" s="31">
        <f t="shared" si="53"/>
        <v>4309.8059440800007</v>
      </c>
      <c r="BZ20" s="31">
        <f t="shared" si="54"/>
        <v>0</v>
      </c>
      <c r="CA20" s="31">
        <f t="shared" si="55"/>
        <v>0</v>
      </c>
      <c r="CB20" s="27"/>
      <c r="CC20" s="37">
        <f t="shared" si="12"/>
        <v>-1</v>
      </c>
      <c r="CD20" s="36">
        <v>15786.83496</v>
      </c>
      <c r="CE20" s="31">
        <f t="shared" si="56"/>
        <v>11477.029015919999</v>
      </c>
      <c r="CF20" s="31">
        <f t="shared" si="57"/>
        <v>4309.8059440800007</v>
      </c>
      <c r="CG20" s="31">
        <f t="shared" si="58"/>
        <v>0</v>
      </c>
      <c r="CH20" s="31">
        <f t="shared" si="59"/>
        <v>0</v>
      </c>
      <c r="CI20" s="27"/>
      <c r="CJ20" s="37">
        <f t="shared" si="13"/>
        <v>-1</v>
      </c>
      <c r="CK20" s="36">
        <v>15786.83496</v>
      </c>
      <c r="CL20" s="31">
        <f t="shared" si="60"/>
        <v>11477.029015919999</v>
      </c>
      <c r="CM20" s="31">
        <f t="shared" si="61"/>
        <v>4309.8059440800007</v>
      </c>
      <c r="CN20" s="31">
        <f t="shared" si="62"/>
        <v>0</v>
      </c>
      <c r="CO20" s="31">
        <f t="shared" si="63"/>
        <v>0</v>
      </c>
      <c r="CP20" s="27"/>
      <c r="CQ20" s="37">
        <f t="shared" si="14"/>
        <v>-1</v>
      </c>
    </row>
    <row r="21" spans="1:95" s="26" customFormat="1" ht="16" customHeight="1" x14ac:dyDescent="0.2">
      <c r="A21" s="38" t="s">
        <v>45</v>
      </c>
      <c r="B21" s="30">
        <f t="shared" si="0"/>
        <v>69479.495999999897</v>
      </c>
      <c r="C21" s="31">
        <f t="shared" si="0"/>
        <v>50511.593591999925</v>
      </c>
      <c r="D21" s="32">
        <f t="shared" si="0"/>
        <v>18967.902407999973</v>
      </c>
      <c r="E21" s="30">
        <f t="shared" si="15"/>
        <v>69479.495999999897</v>
      </c>
      <c r="F21" s="33">
        <f t="shared" si="15"/>
        <v>50511.593591999925</v>
      </c>
      <c r="G21" s="34">
        <f t="shared" si="15"/>
        <v>18967.902407999973</v>
      </c>
      <c r="H21" s="31">
        <f t="shared" si="1"/>
        <v>23918.3</v>
      </c>
      <c r="I21" s="33">
        <f t="shared" si="1"/>
        <v>8981.7000000000007</v>
      </c>
      <c r="J21" s="33">
        <f t="shared" si="1"/>
        <v>32900</v>
      </c>
      <c r="K21" s="37">
        <f t="shared" si="2"/>
        <v>-0.52647900612289922</v>
      </c>
      <c r="L21" s="36">
        <v>69479.495999999897</v>
      </c>
      <c r="M21" s="31">
        <f t="shared" si="16"/>
        <v>50511.593591999925</v>
      </c>
      <c r="N21" s="31">
        <f t="shared" si="17"/>
        <v>18967.902407999973</v>
      </c>
      <c r="O21" s="31">
        <f t="shared" si="18"/>
        <v>8550.2324599999993</v>
      </c>
      <c r="P21" s="31">
        <f t="shared" si="19"/>
        <v>3210.7475400000003</v>
      </c>
      <c r="Q21" s="33">
        <f>11760.98</f>
        <v>11760.98</v>
      </c>
      <c r="R21" s="37">
        <f t="shared" si="3"/>
        <v>-0.83072732709517616</v>
      </c>
      <c r="S21" s="36">
        <v>0</v>
      </c>
      <c r="T21" s="31">
        <f t="shared" si="20"/>
        <v>0</v>
      </c>
      <c r="U21" s="31">
        <f t="shared" si="21"/>
        <v>0</v>
      </c>
      <c r="V21" s="31">
        <f t="shared" si="22"/>
        <v>5150.0679999999993</v>
      </c>
      <c r="W21" s="31">
        <f t="shared" si="23"/>
        <v>1933.9320000000002</v>
      </c>
      <c r="X21" s="147">
        <v>7084</v>
      </c>
      <c r="Y21" s="37" t="str">
        <f t="shared" si="4"/>
        <v/>
      </c>
      <c r="Z21" s="36">
        <v>0</v>
      </c>
      <c r="AA21" s="31">
        <f t="shared" si="24"/>
        <v>0</v>
      </c>
      <c r="AB21" s="31">
        <f t="shared" si="25"/>
        <v>0</v>
      </c>
      <c r="AC21" s="31">
        <f t="shared" si="26"/>
        <v>0</v>
      </c>
      <c r="AD21" s="31">
        <f t="shared" si="27"/>
        <v>0</v>
      </c>
      <c r="AE21" s="27"/>
      <c r="AF21" s="37" t="str">
        <f t="shared" si="5"/>
        <v/>
      </c>
      <c r="AG21" s="36">
        <v>0</v>
      </c>
      <c r="AH21" s="31">
        <f t="shared" si="28"/>
        <v>0</v>
      </c>
      <c r="AI21" s="31">
        <f t="shared" si="29"/>
        <v>0</v>
      </c>
      <c r="AJ21" s="31">
        <f t="shared" si="30"/>
        <v>0</v>
      </c>
      <c r="AK21" s="31">
        <f t="shared" si="31"/>
        <v>0</v>
      </c>
      <c r="AL21" s="27"/>
      <c r="AM21" s="37" t="str">
        <f t="shared" si="6"/>
        <v/>
      </c>
      <c r="AN21" s="36">
        <v>0</v>
      </c>
      <c r="AO21" s="31">
        <f t="shared" si="32"/>
        <v>0</v>
      </c>
      <c r="AP21" s="31">
        <f t="shared" si="33"/>
        <v>0</v>
      </c>
      <c r="AQ21" s="31">
        <f t="shared" si="34"/>
        <v>10217.999540000001</v>
      </c>
      <c r="AR21" s="31">
        <f t="shared" si="35"/>
        <v>3837.0204600000002</v>
      </c>
      <c r="AS21" s="27">
        <v>14055.02</v>
      </c>
      <c r="AT21" s="37" t="str">
        <f t="shared" si="7"/>
        <v/>
      </c>
      <c r="AU21" s="36">
        <v>0</v>
      </c>
      <c r="AV21" s="31">
        <f t="shared" si="36"/>
        <v>0</v>
      </c>
      <c r="AW21" s="31">
        <f t="shared" si="37"/>
        <v>0</v>
      </c>
      <c r="AX21" s="31">
        <f t="shared" si="38"/>
        <v>0</v>
      </c>
      <c r="AY21" s="31">
        <f t="shared" si="39"/>
        <v>0</v>
      </c>
      <c r="AZ21" s="27"/>
      <c r="BA21" s="37" t="str">
        <f t="shared" si="8"/>
        <v/>
      </c>
      <c r="BB21" s="36">
        <v>0</v>
      </c>
      <c r="BC21" s="31">
        <f t="shared" si="40"/>
        <v>0</v>
      </c>
      <c r="BD21" s="31">
        <f t="shared" si="41"/>
        <v>0</v>
      </c>
      <c r="BE21" s="31">
        <f t="shared" si="42"/>
        <v>0</v>
      </c>
      <c r="BF21" s="31">
        <f t="shared" si="43"/>
        <v>0</v>
      </c>
      <c r="BG21" s="27"/>
      <c r="BH21" s="37" t="str">
        <f t="shared" si="9"/>
        <v/>
      </c>
      <c r="BI21" s="36">
        <v>0</v>
      </c>
      <c r="BJ21" s="31">
        <f t="shared" si="44"/>
        <v>0</v>
      </c>
      <c r="BK21" s="31">
        <f t="shared" si="45"/>
        <v>0</v>
      </c>
      <c r="BL21" s="31">
        <f t="shared" si="46"/>
        <v>0</v>
      </c>
      <c r="BM21" s="31">
        <f t="shared" si="47"/>
        <v>0</v>
      </c>
      <c r="BN21" s="27"/>
      <c r="BO21" s="37" t="str">
        <f t="shared" si="10"/>
        <v/>
      </c>
      <c r="BP21" s="36">
        <v>0</v>
      </c>
      <c r="BQ21" s="31">
        <f t="shared" si="48"/>
        <v>0</v>
      </c>
      <c r="BR21" s="31">
        <f t="shared" si="49"/>
        <v>0</v>
      </c>
      <c r="BS21" s="31">
        <f t="shared" si="50"/>
        <v>0</v>
      </c>
      <c r="BT21" s="31">
        <f t="shared" si="51"/>
        <v>0</v>
      </c>
      <c r="BU21" s="27"/>
      <c r="BV21" s="37" t="str">
        <f t="shared" si="11"/>
        <v/>
      </c>
      <c r="BW21" s="36">
        <v>0</v>
      </c>
      <c r="BX21" s="31">
        <f t="shared" si="52"/>
        <v>0</v>
      </c>
      <c r="BY21" s="31">
        <f t="shared" si="53"/>
        <v>0</v>
      </c>
      <c r="BZ21" s="31">
        <f t="shared" si="54"/>
        <v>0</v>
      </c>
      <c r="CA21" s="31">
        <f t="shared" si="55"/>
        <v>0</v>
      </c>
      <c r="CB21" s="27"/>
      <c r="CC21" s="37" t="str">
        <f t="shared" si="12"/>
        <v/>
      </c>
      <c r="CD21" s="36">
        <v>0</v>
      </c>
      <c r="CE21" s="31">
        <f t="shared" si="56"/>
        <v>0</v>
      </c>
      <c r="CF21" s="31">
        <f t="shared" si="57"/>
        <v>0</v>
      </c>
      <c r="CG21" s="31">
        <f t="shared" si="58"/>
        <v>0</v>
      </c>
      <c r="CH21" s="31">
        <f t="shared" si="59"/>
        <v>0</v>
      </c>
      <c r="CI21" s="27"/>
      <c r="CJ21" s="37" t="str">
        <f t="shared" si="13"/>
        <v/>
      </c>
      <c r="CK21" s="36">
        <v>0</v>
      </c>
      <c r="CL21" s="31">
        <f t="shared" si="60"/>
        <v>0</v>
      </c>
      <c r="CM21" s="31">
        <f t="shared" si="61"/>
        <v>0</v>
      </c>
      <c r="CN21" s="31">
        <f t="shared" si="62"/>
        <v>0</v>
      </c>
      <c r="CO21" s="31">
        <f t="shared" si="63"/>
        <v>0</v>
      </c>
      <c r="CP21" s="27"/>
      <c r="CQ21" s="37" t="str">
        <f t="shared" si="14"/>
        <v/>
      </c>
    </row>
    <row r="22" spans="1:95" s="26" customFormat="1" ht="16" customHeight="1" x14ac:dyDescent="0.2">
      <c r="A22" s="38" t="s">
        <v>46</v>
      </c>
      <c r="B22" s="30">
        <f t="shared" si="0"/>
        <v>399800.53599999874</v>
      </c>
      <c r="C22" s="31">
        <f t="shared" si="0"/>
        <v>290654.98967199918</v>
      </c>
      <c r="D22" s="32">
        <f t="shared" si="0"/>
        <v>109145.54632799972</v>
      </c>
      <c r="E22" s="30">
        <f t="shared" si="15"/>
        <v>133266.84533333295</v>
      </c>
      <c r="F22" s="33">
        <f t="shared" si="15"/>
        <v>96884.996557333056</v>
      </c>
      <c r="G22" s="34">
        <f t="shared" si="15"/>
        <v>36381.848775999897</v>
      </c>
      <c r="H22" s="31">
        <f t="shared" si="1"/>
        <v>285502.36554000003</v>
      </c>
      <c r="I22" s="33">
        <f t="shared" si="1"/>
        <v>107210.65446000001</v>
      </c>
      <c r="J22" s="33">
        <f t="shared" si="1"/>
        <v>392713.02</v>
      </c>
      <c r="K22" s="37">
        <f t="shared" si="2"/>
        <v>1.9468171098199916</v>
      </c>
      <c r="L22" s="36">
        <v>33316.711333333238</v>
      </c>
      <c r="M22" s="31">
        <f t="shared" si="16"/>
        <v>24221.249139333264</v>
      </c>
      <c r="N22" s="31">
        <f t="shared" si="17"/>
        <v>9095.4621939999743</v>
      </c>
      <c r="O22" s="31">
        <f t="shared" si="18"/>
        <v>163644.72657</v>
      </c>
      <c r="P22" s="31">
        <f t="shared" si="19"/>
        <v>61451.183430000005</v>
      </c>
      <c r="Q22" s="33">
        <f>30290.91+194805</f>
        <v>225095.91</v>
      </c>
      <c r="R22" s="37">
        <f t="shared" si="3"/>
        <v>5.7562463698147912</v>
      </c>
      <c r="S22" s="36">
        <v>33316.711333333238</v>
      </c>
      <c r="T22" s="31">
        <f t="shared" si="20"/>
        <v>24221.249139333264</v>
      </c>
      <c r="U22" s="31">
        <f t="shared" si="21"/>
        <v>9095.4621939999743</v>
      </c>
      <c r="V22" s="31">
        <f t="shared" si="22"/>
        <v>30316.932339999999</v>
      </c>
      <c r="W22" s="31">
        <f t="shared" si="23"/>
        <v>11384.487660000001</v>
      </c>
      <c r="X22" s="147">
        <f>38061.42+3640</f>
        <v>41701.42</v>
      </c>
      <c r="Y22" s="37">
        <f t="shared" si="4"/>
        <v>0.25166675614462264</v>
      </c>
      <c r="Z22" s="36">
        <v>33316.711333333238</v>
      </c>
      <c r="AA22" s="31">
        <f t="shared" si="24"/>
        <v>24221.249139333264</v>
      </c>
      <c r="AB22" s="31">
        <f t="shared" si="25"/>
        <v>9095.4621939999743</v>
      </c>
      <c r="AC22" s="31">
        <f t="shared" si="26"/>
        <v>10775.833909999999</v>
      </c>
      <c r="AD22" s="31">
        <f t="shared" si="27"/>
        <v>4046.4960900000001</v>
      </c>
      <c r="AE22" s="27">
        <f>14822.33</f>
        <v>14822.33</v>
      </c>
      <c r="AF22" s="37">
        <f t="shared" si="5"/>
        <v>-0.55510825028008337</v>
      </c>
      <c r="AG22" s="36">
        <v>33316.711333333238</v>
      </c>
      <c r="AH22" s="31">
        <f t="shared" si="28"/>
        <v>24221.249139333264</v>
      </c>
      <c r="AI22" s="31">
        <f t="shared" si="29"/>
        <v>9095.4621939999743</v>
      </c>
      <c r="AJ22" s="31">
        <f t="shared" si="30"/>
        <v>7385.7747499999996</v>
      </c>
      <c r="AK22" s="31">
        <f t="shared" si="31"/>
        <v>2773.4752500000004</v>
      </c>
      <c r="AL22" s="27">
        <v>10159.25</v>
      </c>
      <c r="AM22" s="37">
        <f t="shared" si="6"/>
        <v>-0.69507044382751815</v>
      </c>
      <c r="AN22" s="36">
        <v>33316.711333333238</v>
      </c>
      <c r="AO22" s="31">
        <f t="shared" si="32"/>
        <v>24221.249139333264</v>
      </c>
      <c r="AP22" s="31">
        <f t="shared" si="33"/>
        <v>9095.4621939999743</v>
      </c>
      <c r="AQ22" s="31">
        <f t="shared" si="34"/>
        <v>16665.83524</v>
      </c>
      <c r="AR22" s="31">
        <f t="shared" si="35"/>
        <v>6258.2847600000005</v>
      </c>
      <c r="AS22" s="27">
        <v>22924.12</v>
      </c>
      <c r="AT22" s="37">
        <f t="shared" si="7"/>
        <v>-0.31193328865371817</v>
      </c>
      <c r="AU22" s="36">
        <v>33316.711333333238</v>
      </c>
      <c r="AV22" s="31">
        <f t="shared" si="36"/>
        <v>24221.249139333264</v>
      </c>
      <c r="AW22" s="31">
        <f t="shared" si="37"/>
        <v>9095.4621939999743</v>
      </c>
      <c r="AX22" s="31">
        <f t="shared" si="38"/>
        <v>56713.262729999988</v>
      </c>
      <c r="AY22" s="31">
        <f t="shared" si="39"/>
        <v>21296.727269999999</v>
      </c>
      <c r="AZ22" s="27">
        <v>78009.989999999991</v>
      </c>
      <c r="BA22" s="37">
        <f t="shared" si="8"/>
        <v>1.3414672960818708</v>
      </c>
      <c r="BB22" s="36">
        <v>33316.711333333238</v>
      </c>
      <c r="BC22" s="31">
        <f t="shared" si="40"/>
        <v>24221.249139333264</v>
      </c>
      <c r="BD22" s="31">
        <f t="shared" si="41"/>
        <v>9095.4621939999743</v>
      </c>
      <c r="BE22" s="31">
        <f t="shared" si="42"/>
        <v>0</v>
      </c>
      <c r="BF22" s="31">
        <f t="shared" si="43"/>
        <v>0</v>
      </c>
      <c r="BG22" s="27"/>
      <c r="BH22" s="37">
        <f t="shared" si="9"/>
        <v>-1</v>
      </c>
      <c r="BI22" s="36">
        <v>33316.711333333238</v>
      </c>
      <c r="BJ22" s="31">
        <f t="shared" si="44"/>
        <v>24221.249139333264</v>
      </c>
      <c r="BK22" s="31">
        <f t="shared" si="45"/>
        <v>9095.4621939999743</v>
      </c>
      <c r="BL22" s="31">
        <f t="shared" si="46"/>
        <v>0</v>
      </c>
      <c r="BM22" s="31">
        <f t="shared" si="47"/>
        <v>0</v>
      </c>
      <c r="BN22" s="27"/>
      <c r="BO22" s="37">
        <f t="shared" si="10"/>
        <v>-1</v>
      </c>
      <c r="BP22" s="36">
        <v>33316.711333333238</v>
      </c>
      <c r="BQ22" s="31">
        <f t="shared" si="48"/>
        <v>24221.249139333264</v>
      </c>
      <c r="BR22" s="31">
        <f t="shared" si="49"/>
        <v>9095.4621939999743</v>
      </c>
      <c r="BS22" s="31">
        <f t="shared" si="50"/>
        <v>0</v>
      </c>
      <c r="BT22" s="31">
        <f t="shared" si="51"/>
        <v>0</v>
      </c>
      <c r="BU22" s="27"/>
      <c r="BV22" s="37">
        <f t="shared" si="11"/>
        <v>-1</v>
      </c>
      <c r="BW22" s="36">
        <v>33316.711333333238</v>
      </c>
      <c r="BX22" s="31">
        <f t="shared" si="52"/>
        <v>24221.249139333264</v>
      </c>
      <c r="BY22" s="31">
        <f t="shared" si="53"/>
        <v>9095.4621939999743</v>
      </c>
      <c r="BZ22" s="31">
        <f t="shared" si="54"/>
        <v>0</v>
      </c>
      <c r="CA22" s="31">
        <f t="shared" si="55"/>
        <v>0</v>
      </c>
      <c r="CB22" s="27"/>
      <c r="CC22" s="37">
        <f t="shared" si="12"/>
        <v>-1</v>
      </c>
      <c r="CD22" s="36">
        <v>33316.711333333238</v>
      </c>
      <c r="CE22" s="31">
        <f t="shared" si="56"/>
        <v>24221.249139333264</v>
      </c>
      <c r="CF22" s="31">
        <f t="shared" si="57"/>
        <v>9095.4621939999743</v>
      </c>
      <c r="CG22" s="31">
        <f t="shared" si="58"/>
        <v>0</v>
      </c>
      <c r="CH22" s="31">
        <f t="shared" si="59"/>
        <v>0</v>
      </c>
      <c r="CI22" s="27"/>
      <c r="CJ22" s="37">
        <f t="shared" si="13"/>
        <v>-1</v>
      </c>
      <c r="CK22" s="36">
        <v>33316.711333333238</v>
      </c>
      <c r="CL22" s="31">
        <f t="shared" si="60"/>
        <v>24221.249139333264</v>
      </c>
      <c r="CM22" s="31">
        <f t="shared" si="61"/>
        <v>9095.4621939999743</v>
      </c>
      <c r="CN22" s="31">
        <f t="shared" si="62"/>
        <v>0</v>
      </c>
      <c r="CO22" s="31">
        <f t="shared" si="63"/>
        <v>0</v>
      </c>
      <c r="CP22" s="27"/>
      <c r="CQ22" s="37">
        <f t="shared" si="14"/>
        <v>-1</v>
      </c>
    </row>
    <row r="23" spans="1:95" s="26" customFormat="1" ht="16" customHeight="1" x14ac:dyDescent="0.2">
      <c r="A23" s="29" t="s">
        <v>47</v>
      </c>
      <c r="B23" s="30">
        <f t="shared" si="0"/>
        <v>0</v>
      </c>
      <c r="C23" s="31">
        <f t="shared" si="0"/>
        <v>0</v>
      </c>
      <c r="D23" s="32">
        <f t="shared" si="0"/>
        <v>0</v>
      </c>
      <c r="E23" s="30">
        <f t="shared" si="15"/>
        <v>0</v>
      </c>
      <c r="F23" s="33">
        <f t="shared" si="15"/>
        <v>0</v>
      </c>
      <c r="G23" s="34">
        <f t="shared" si="15"/>
        <v>0</v>
      </c>
      <c r="H23" s="31">
        <f t="shared" si="1"/>
        <v>151.82668000000001</v>
      </c>
      <c r="I23" s="33">
        <f t="shared" si="1"/>
        <v>57.013320000000007</v>
      </c>
      <c r="J23" s="33">
        <f t="shared" si="1"/>
        <v>208.84</v>
      </c>
      <c r="K23" s="37" t="str">
        <f t="shared" si="2"/>
        <v/>
      </c>
      <c r="L23" s="36">
        <v>0</v>
      </c>
      <c r="M23" s="31">
        <f t="shared" si="16"/>
        <v>0</v>
      </c>
      <c r="N23" s="31">
        <f t="shared" si="17"/>
        <v>0</v>
      </c>
      <c r="O23" s="31">
        <f t="shared" si="18"/>
        <v>0</v>
      </c>
      <c r="P23" s="31">
        <f t="shared" si="19"/>
        <v>0</v>
      </c>
      <c r="Q23" s="33"/>
      <c r="R23" s="37" t="str">
        <f t="shared" si="3"/>
        <v/>
      </c>
      <c r="S23" s="36">
        <v>0</v>
      </c>
      <c r="T23" s="31">
        <f t="shared" si="20"/>
        <v>0</v>
      </c>
      <c r="U23" s="31">
        <f t="shared" si="21"/>
        <v>0</v>
      </c>
      <c r="V23" s="31">
        <f t="shared" si="22"/>
        <v>0</v>
      </c>
      <c r="W23" s="31">
        <f t="shared" si="23"/>
        <v>0</v>
      </c>
      <c r="X23" s="147"/>
      <c r="Y23" s="37" t="str">
        <f t="shared" si="4"/>
        <v/>
      </c>
      <c r="Z23" s="36">
        <v>0</v>
      </c>
      <c r="AA23" s="31">
        <f t="shared" si="24"/>
        <v>0</v>
      </c>
      <c r="AB23" s="31">
        <f t="shared" si="25"/>
        <v>0</v>
      </c>
      <c r="AC23" s="31">
        <f t="shared" si="26"/>
        <v>151.82668000000001</v>
      </c>
      <c r="AD23" s="31">
        <f t="shared" si="27"/>
        <v>57.013320000000007</v>
      </c>
      <c r="AE23" s="27">
        <f>208.84</f>
        <v>208.84</v>
      </c>
      <c r="AF23" s="37" t="str">
        <f t="shared" si="5"/>
        <v/>
      </c>
      <c r="AG23" s="36">
        <v>0</v>
      </c>
      <c r="AH23" s="31">
        <f t="shared" si="28"/>
        <v>0</v>
      </c>
      <c r="AI23" s="31">
        <f t="shared" si="29"/>
        <v>0</v>
      </c>
      <c r="AJ23" s="31">
        <f t="shared" si="30"/>
        <v>0</v>
      </c>
      <c r="AK23" s="31">
        <f t="shared" si="31"/>
        <v>0</v>
      </c>
      <c r="AL23" s="27"/>
      <c r="AM23" s="37" t="str">
        <f t="shared" si="6"/>
        <v/>
      </c>
      <c r="AN23" s="36">
        <v>0</v>
      </c>
      <c r="AO23" s="31">
        <f t="shared" si="32"/>
        <v>0</v>
      </c>
      <c r="AP23" s="31">
        <f t="shared" si="33"/>
        <v>0</v>
      </c>
      <c r="AQ23" s="31">
        <f t="shared" si="34"/>
        <v>0</v>
      </c>
      <c r="AR23" s="31">
        <f t="shared" si="35"/>
        <v>0</v>
      </c>
      <c r="AS23" s="27"/>
      <c r="AT23" s="37" t="str">
        <f t="shared" si="7"/>
        <v/>
      </c>
      <c r="AU23" s="36">
        <v>0</v>
      </c>
      <c r="AV23" s="31">
        <f t="shared" si="36"/>
        <v>0</v>
      </c>
      <c r="AW23" s="31">
        <f t="shared" si="37"/>
        <v>0</v>
      </c>
      <c r="AX23" s="31">
        <f t="shared" si="38"/>
        <v>0</v>
      </c>
      <c r="AY23" s="31">
        <f t="shared" si="39"/>
        <v>0</v>
      </c>
      <c r="AZ23" s="27"/>
      <c r="BA23" s="37" t="str">
        <f t="shared" si="8"/>
        <v/>
      </c>
      <c r="BB23" s="36">
        <v>0</v>
      </c>
      <c r="BC23" s="31">
        <f t="shared" si="40"/>
        <v>0</v>
      </c>
      <c r="BD23" s="31">
        <f t="shared" si="41"/>
        <v>0</v>
      </c>
      <c r="BE23" s="31">
        <f t="shared" si="42"/>
        <v>0</v>
      </c>
      <c r="BF23" s="31">
        <f t="shared" si="43"/>
        <v>0</v>
      </c>
      <c r="BG23" s="27"/>
      <c r="BH23" s="37" t="str">
        <f t="shared" si="9"/>
        <v/>
      </c>
      <c r="BI23" s="36">
        <v>0</v>
      </c>
      <c r="BJ23" s="31">
        <f t="shared" si="44"/>
        <v>0</v>
      </c>
      <c r="BK23" s="31">
        <f t="shared" si="45"/>
        <v>0</v>
      </c>
      <c r="BL23" s="31">
        <f t="shared" si="46"/>
        <v>0</v>
      </c>
      <c r="BM23" s="31">
        <f t="shared" si="47"/>
        <v>0</v>
      </c>
      <c r="BN23" s="27"/>
      <c r="BO23" s="37" t="str">
        <f t="shared" si="10"/>
        <v/>
      </c>
      <c r="BP23" s="36">
        <v>0</v>
      </c>
      <c r="BQ23" s="31">
        <f t="shared" si="48"/>
        <v>0</v>
      </c>
      <c r="BR23" s="31">
        <f t="shared" si="49"/>
        <v>0</v>
      </c>
      <c r="BS23" s="31">
        <f t="shared" si="50"/>
        <v>0</v>
      </c>
      <c r="BT23" s="31">
        <f t="shared" si="51"/>
        <v>0</v>
      </c>
      <c r="BU23" s="27"/>
      <c r="BV23" s="37" t="str">
        <f t="shared" si="11"/>
        <v/>
      </c>
      <c r="BW23" s="36">
        <v>0</v>
      </c>
      <c r="BX23" s="31">
        <f t="shared" si="52"/>
        <v>0</v>
      </c>
      <c r="BY23" s="31">
        <f t="shared" si="53"/>
        <v>0</v>
      </c>
      <c r="BZ23" s="31">
        <f t="shared" si="54"/>
        <v>0</v>
      </c>
      <c r="CA23" s="31">
        <f t="shared" si="55"/>
        <v>0</v>
      </c>
      <c r="CB23" s="27"/>
      <c r="CC23" s="37" t="str">
        <f t="shared" si="12"/>
        <v/>
      </c>
      <c r="CD23" s="36">
        <v>0</v>
      </c>
      <c r="CE23" s="31">
        <f t="shared" si="56"/>
        <v>0</v>
      </c>
      <c r="CF23" s="31">
        <f t="shared" si="57"/>
        <v>0</v>
      </c>
      <c r="CG23" s="31">
        <f t="shared" si="58"/>
        <v>0</v>
      </c>
      <c r="CH23" s="31">
        <f t="shared" si="59"/>
        <v>0</v>
      </c>
      <c r="CI23" s="27"/>
      <c r="CJ23" s="37" t="str">
        <f t="shared" si="13"/>
        <v/>
      </c>
      <c r="CK23" s="36">
        <v>0</v>
      </c>
      <c r="CL23" s="31">
        <f t="shared" si="60"/>
        <v>0</v>
      </c>
      <c r="CM23" s="31">
        <f t="shared" si="61"/>
        <v>0</v>
      </c>
      <c r="CN23" s="31">
        <f t="shared" si="62"/>
        <v>0</v>
      </c>
      <c r="CO23" s="31">
        <f t="shared" si="63"/>
        <v>0</v>
      </c>
      <c r="CP23" s="27"/>
      <c r="CQ23" s="37" t="str">
        <f t="shared" si="14"/>
        <v/>
      </c>
    </row>
    <row r="24" spans="1:95" s="26" customFormat="1" ht="16" customHeight="1" x14ac:dyDescent="0.2">
      <c r="A24" s="29" t="s">
        <v>48</v>
      </c>
      <c r="B24" s="30">
        <f t="shared" si="0"/>
        <v>326595.13740225881</v>
      </c>
      <c r="C24" s="31">
        <f t="shared" si="0"/>
        <v>237434.66489144211</v>
      </c>
      <c r="D24" s="32">
        <f t="shared" si="0"/>
        <v>89160.472510816675</v>
      </c>
      <c r="E24" s="30">
        <f t="shared" si="15"/>
        <v>110464.42935915294</v>
      </c>
      <c r="F24" s="33">
        <f t="shared" si="15"/>
        <v>80307.640144104182</v>
      </c>
      <c r="G24" s="34">
        <f t="shared" si="15"/>
        <v>30156.789215048757</v>
      </c>
      <c r="H24" s="31">
        <f t="shared" si="1"/>
        <v>165653.26036000001</v>
      </c>
      <c r="I24" s="33">
        <f t="shared" si="1"/>
        <v>62205.419640000007</v>
      </c>
      <c r="J24" s="33">
        <f t="shared" si="1"/>
        <v>227858.68000000002</v>
      </c>
      <c r="K24" s="37">
        <f t="shared" si="2"/>
        <v>1.0627335090752448</v>
      </c>
      <c r="L24" s="36">
        <v>27616.107339788236</v>
      </c>
      <c r="M24" s="31">
        <f t="shared" si="16"/>
        <v>20076.910036026045</v>
      </c>
      <c r="N24" s="31">
        <f t="shared" si="17"/>
        <v>7539.1973037621892</v>
      </c>
      <c r="O24" s="31">
        <f t="shared" si="18"/>
        <v>47574.080300000001</v>
      </c>
      <c r="P24" s="31">
        <f t="shared" si="19"/>
        <v>17864.8197</v>
      </c>
      <c r="Q24" s="33">
        <f>65438.9</f>
        <v>65438.9</v>
      </c>
      <c r="R24" s="37">
        <f t="shared" si="3"/>
        <v>1.3695917456736608</v>
      </c>
      <c r="S24" s="36">
        <v>27616.107339788236</v>
      </c>
      <c r="T24" s="31">
        <f t="shared" si="20"/>
        <v>20076.910036026045</v>
      </c>
      <c r="U24" s="31">
        <f t="shared" si="21"/>
        <v>7539.1973037621892</v>
      </c>
      <c r="V24" s="31">
        <f t="shared" si="22"/>
        <v>33012.212140000003</v>
      </c>
      <c r="W24" s="31">
        <f t="shared" si="23"/>
        <v>12396.60786</v>
      </c>
      <c r="X24" s="147">
        <f>45408.82</f>
        <v>45408.82</v>
      </c>
      <c r="Y24" s="37">
        <f t="shared" si="4"/>
        <v>0.64428749647046391</v>
      </c>
      <c r="Z24" s="36">
        <v>27616.107339788236</v>
      </c>
      <c r="AA24" s="31">
        <f t="shared" si="24"/>
        <v>20076.910036026045</v>
      </c>
      <c r="AB24" s="31">
        <f t="shared" si="25"/>
        <v>7539.1973037621892</v>
      </c>
      <c r="AC24" s="31">
        <f t="shared" si="26"/>
        <v>27175.012820000004</v>
      </c>
      <c r="AD24" s="31">
        <f t="shared" si="27"/>
        <v>10204.647180000002</v>
      </c>
      <c r="AE24" s="27">
        <v>37379.660000000003</v>
      </c>
      <c r="AF24" s="37">
        <f t="shared" si="5"/>
        <v>0.35354557903766604</v>
      </c>
      <c r="AG24" s="36">
        <v>27616.107339788236</v>
      </c>
      <c r="AH24" s="31">
        <f t="shared" si="28"/>
        <v>20076.910036026045</v>
      </c>
      <c r="AI24" s="31">
        <f t="shared" si="29"/>
        <v>7539.1973037621892</v>
      </c>
      <c r="AJ24" s="31">
        <f t="shared" si="30"/>
        <v>29839.177020000003</v>
      </c>
      <c r="AK24" s="31">
        <f t="shared" si="31"/>
        <v>11205.082980000001</v>
      </c>
      <c r="AL24" s="27">
        <v>41044.26</v>
      </c>
      <c r="AM24" s="37">
        <f t="shared" si="6"/>
        <v>0.48624349894762298</v>
      </c>
      <c r="AN24" s="36">
        <v>27616.107339788236</v>
      </c>
      <c r="AO24" s="31">
        <f t="shared" si="32"/>
        <v>20076.910036026045</v>
      </c>
      <c r="AP24" s="31">
        <f t="shared" si="33"/>
        <v>7539.1973037621892</v>
      </c>
      <c r="AQ24" s="31">
        <f t="shared" si="34"/>
        <v>6627.2520299999996</v>
      </c>
      <c r="AR24" s="31">
        <f t="shared" si="35"/>
        <v>2488.6379700000002</v>
      </c>
      <c r="AS24" s="27">
        <v>9115.89</v>
      </c>
      <c r="AT24" s="37">
        <f t="shared" si="7"/>
        <v>-0.66990677260056231</v>
      </c>
      <c r="AU24" s="36">
        <v>27616.107339788236</v>
      </c>
      <c r="AV24" s="31">
        <f t="shared" si="36"/>
        <v>20076.910036026045</v>
      </c>
      <c r="AW24" s="31">
        <f t="shared" si="37"/>
        <v>7539.1973037621892</v>
      </c>
      <c r="AX24" s="31">
        <f t="shared" si="38"/>
        <v>21425.52605</v>
      </c>
      <c r="AY24" s="31">
        <f t="shared" si="39"/>
        <v>8045.6239500000011</v>
      </c>
      <c r="AZ24" s="27">
        <v>29471.15</v>
      </c>
      <c r="BA24" s="37">
        <f t="shared" si="8"/>
        <v>6.717248877212656E-2</v>
      </c>
      <c r="BB24" s="36">
        <v>22817.956664588237</v>
      </c>
      <c r="BC24" s="31">
        <f t="shared" si="40"/>
        <v>16588.65449515565</v>
      </c>
      <c r="BD24" s="31">
        <f t="shared" si="41"/>
        <v>6229.3021694325889</v>
      </c>
      <c r="BE24" s="31">
        <f t="shared" si="42"/>
        <v>0</v>
      </c>
      <c r="BF24" s="31">
        <f t="shared" si="43"/>
        <v>0</v>
      </c>
      <c r="BG24" s="27"/>
      <c r="BH24" s="37">
        <f t="shared" si="9"/>
        <v>-1</v>
      </c>
      <c r="BI24" s="36">
        <v>27616.107339788236</v>
      </c>
      <c r="BJ24" s="31">
        <f t="shared" si="44"/>
        <v>20076.910036026045</v>
      </c>
      <c r="BK24" s="31">
        <f t="shared" si="45"/>
        <v>7539.1973037621892</v>
      </c>
      <c r="BL24" s="31">
        <f t="shared" si="46"/>
        <v>0</v>
      </c>
      <c r="BM24" s="31">
        <f t="shared" si="47"/>
        <v>0</v>
      </c>
      <c r="BN24" s="27"/>
      <c r="BO24" s="37">
        <f t="shared" si="10"/>
        <v>-1</v>
      </c>
      <c r="BP24" s="36">
        <v>27616.107339788236</v>
      </c>
      <c r="BQ24" s="31">
        <f t="shared" si="48"/>
        <v>20076.910036026045</v>
      </c>
      <c r="BR24" s="31">
        <f t="shared" si="49"/>
        <v>7539.1973037621892</v>
      </c>
      <c r="BS24" s="31">
        <f t="shared" si="50"/>
        <v>0</v>
      </c>
      <c r="BT24" s="31">
        <f t="shared" si="51"/>
        <v>0</v>
      </c>
      <c r="BU24" s="27"/>
      <c r="BV24" s="37">
        <f t="shared" si="11"/>
        <v>-1</v>
      </c>
      <c r="BW24" s="36">
        <v>27616.107339788236</v>
      </c>
      <c r="BX24" s="31">
        <f t="shared" si="52"/>
        <v>20076.910036026045</v>
      </c>
      <c r="BY24" s="31">
        <f t="shared" si="53"/>
        <v>7539.1973037621892</v>
      </c>
      <c r="BZ24" s="31">
        <f t="shared" si="54"/>
        <v>0</v>
      </c>
      <c r="CA24" s="31">
        <f t="shared" si="55"/>
        <v>0</v>
      </c>
      <c r="CB24" s="27"/>
      <c r="CC24" s="37">
        <f t="shared" si="12"/>
        <v>-1</v>
      </c>
      <c r="CD24" s="36">
        <v>27616.107339788236</v>
      </c>
      <c r="CE24" s="31">
        <f t="shared" si="56"/>
        <v>20076.910036026045</v>
      </c>
      <c r="CF24" s="31">
        <f t="shared" si="57"/>
        <v>7539.1973037621892</v>
      </c>
      <c r="CG24" s="31">
        <f t="shared" si="58"/>
        <v>0</v>
      </c>
      <c r="CH24" s="31">
        <f t="shared" si="59"/>
        <v>0</v>
      </c>
      <c r="CI24" s="27"/>
      <c r="CJ24" s="37">
        <f t="shared" si="13"/>
        <v>-1</v>
      </c>
      <c r="CK24" s="36">
        <v>27616.107339788236</v>
      </c>
      <c r="CL24" s="31">
        <f t="shared" si="60"/>
        <v>20076.910036026045</v>
      </c>
      <c r="CM24" s="31">
        <f t="shared" si="61"/>
        <v>7539.1973037621892</v>
      </c>
      <c r="CN24" s="31">
        <f t="shared" si="62"/>
        <v>0</v>
      </c>
      <c r="CO24" s="31">
        <f t="shared" si="63"/>
        <v>0</v>
      </c>
      <c r="CP24" s="27"/>
      <c r="CQ24" s="37">
        <f t="shared" si="14"/>
        <v>-1</v>
      </c>
    </row>
    <row r="25" spans="1:95" s="26" customFormat="1" ht="16" customHeight="1" x14ac:dyDescent="0.2">
      <c r="A25" s="29" t="s">
        <v>49</v>
      </c>
      <c r="B25" s="30">
        <f t="shared" si="0"/>
        <v>779350.28239199601</v>
      </c>
      <c r="C25" s="31">
        <f t="shared" si="0"/>
        <v>566587.65529898112</v>
      </c>
      <c r="D25" s="32">
        <f t="shared" si="0"/>
        <v>212762.62709301492</v>
      </c>
      <c r="E25" s="30">
        <f t="shared" si="15"/>
        <v>247153.32831599799</v>
      </c>
      <c r="F25" s="33">
        <f t="shared" si="15"/>
        <v>179680.46968573052</v>
      </c>
      <c r="G25" s="34">
        <f t="shared" si="15"/>
        <v>67472.858630267452</v>
      </c>
      <c r="H25" s="31">
        <f t="shared" si="1"/>
        <v>441275.69589999999</v>
      </c>
      <c r="I25" s="33">
        <f t="shared" si="1"/>
        <v>165706.00410000002</v>
      </c>
      <c r="J25" s="33">
        <f t="shared" si="1"/>
        <v>606981.69999999995</v>
      </c>
      <c r="K25" s="37">
        <f t="shared" si="2"/>
        <v>1.455891264486405</v>
      </c>
      <c r="L25" s="36">
        <v>0</v>
      </c>
      <c r="M25" s="31">
        <f t="shared" si="16"/>
        <v>0</v>
      </c>
      <c r="N25" s="31">
        <f t="shared" si="17"/>
        <v>0</v>
      </c>
      <c r="O25" s="31">
        <f t="shared" si="18"/>
        <v>15282.69593</v>
      </c>
      <c r="P25" s="31">
        <f t="shared" si="19"/>
        <v>5738.8940700000003</v>
      </c>
      <c r="Q25" s="33">
        <f>21021.59</f>
        <v>21021.59</v>
      </c>
      <c r="R25" s="37" t="str">
        <f t="shared" si="3"/>
        <v/>
      </c>
      <c r="S25" s="36">
        <v>0</v>
      </c>
      <c r="T25" s="31">
        <f t="shared" si="20"/>
        <v>0</v>
      </c>
      <c r="U25" s="31">
        <f t="shared" si="21"/>
        <v>0</v>
      </c>
      <c r="V25" s="31">
        <f t="shared" si="22"/>
        <v>15625.469160000001</v>
      </c>
      <c r="W25" s="31">
        <f t="shared" si="23"/>
        <v>5867.6108400000012</v>
      </c>
      <c r="X25" s="147">
        <f>21493.08</f>
        <v>21493.08</v>
      </c>
      <c r="Y25" s="37" t="str">
        <f t="shared" si="4"/>
        <v/>
      </c>
      <c r="Z25" s="36">
        <v>105957.473369999</v>
      </c>
      <c r="AA25" s="31">
        <f t="shared" si="24"/>
        <v>77031.083139989278</v>
      </c>
      <c r="AB25" s="31">
        <f t="shared" si="25"/>
        <v>28926.390230009729</v>
      </c>
      <c r="AC25" s="31">
        <f t="shared" si="26"/>
        <v>21656.08683</v>
      </c>
      <c r="AD25" s="31">
        <f t="shared" si="27"/>
        <v>8132.2031700000007</v>
      </c>
      <c r="AE25" s="27">
        <v>29788.29</v>
      </c>
      <c r="AF25" s="37">
        <f t="shared" si="5"/>
        <v>-0.71886560661954868</v>
      </c>
      <c r="AG25" s="36">
        <v>141195.85494599899</v>
      </c>
      <c r="AH25" s="31">
        <f t="shared" si="28"/>
        <v>102649.38654574126</v>
      </c>
      <c r="AI25" s="31">
        <f t="shared" si="29"/>
        <v>38546.468400257727</v>
      </c>
      <c r="AJ25" s="31">
        <f t="shared" si="30"/>
        <v>121328.71012</v>
      </c>
      <c r="AK25" s="31">
        <f t="shared" si="31"/>
        <v>45560.849880000002</v>
      </c>
      <c r="AL25" s="27">
        <v>166889.56</v>
      </c>
      <c r="AM25" s="37">
        <f t="shared" si="6"/>
        <v>0.18197209162993966</v>
      </c>
      <c r="AN25" s="36">
        <v>141195.85494599899</v>
      </c>
      <c r="AO25" s="31">
        <f t="shared" si="32"/>
        <v>102649.38654574126</v>
      </c>
      <c r="AP25" s="31">
        <f t="shared" si="33"/>
        <v>38546.468400257727</v>
      </c>
      <c r="AQ25" s="31">
        <f t="shared" si="34"/>
        <v>117422.39371999999</v>
      </c>
      <c r="AR25" s="31">
        <f t="shared" si="35"/>
        <v>44093.966280000001</v>
      </c>
      <c r="AS25" s="27">
        <v>161516.35999999999</v>
      </c>
      <c r="AT25" s="37">
        <f t="shared" si="7"/>
        <v>0.14391715013002804</v>
      </c>
      <c r="AU25" s="36">
        <v>147005.95279799899</v>
      </c>
      <c r="AV25" s="31">
        <f t="shared" si="36"/>
        <v>106873.32768414528</v>
      </c>
      <c r="AW25" s="31">
        <f t="shared" si="37"/>
        <v>40132.625113853726</v>
      </c>
      <c r="AX25" s="31">
        <f t="shared" si="38"/>
        <v>149960.34013999999</v>
      </c>
      <c r="AY25" s="31">
        <f t="shared" si="39"/>
        <v>56312.479860000007</v>
      </c>
      <c r="AZ25" s="27">
        <v>206272.82</v>
      </c>
      <c r="BA25" s="37">
        <f t="shared" si="8"/>
        <v>0.4031596413203733</v>
      </c>
      <c r="BB25" s="36">
        <v>51146.425397999999</v>
      </c>
      <c r="BC25" s="31">
        <f t="shared" si="40"/>
        <v>37183.451264345997</v>
      </c>
      <c r="BD25" s="31">
        <f t="shared" si="41"/>
        <v>13962.974133654001</v>
      </c>
      <c r="BE25" s="31">
        <f t="shared" si="42"/>
        <v>0</v>
      </c>
      <c r="BF25" s="31">
        <f t="shared" si="43"/>
        <v>0</v>
      </c>
      <c r="BG25" s="27"/>
      <c r="BH25" s="37">
        <f t="shared" si="9"/>
        <v>-1</v>
      </c>
      <c r="BI25" s="36">
        <v>51146.425397999999</v>
      </c>
      <c r="BJ25" s="31">
        <f t="shared" si="44"/>
        <v>37183.451264345997</v>
      </c>
      <c r="BK25" s="31">
        <f t="shared" si="45"/>
        <v>13962.974133654001</v>
      </c>
      <c r="BL25" s="31">
        <f t="shared" si="46"/>
        <v>0</v>
      </c>
      <c r="BM25" s="31">
        <f t="shared" si="47"/>
        <v>0</v>
      </c>
      <c r="BN25" s="27"/>
      <c r="BO25" s="37">
        <f t="shared" si="10"/>
        <v>-1</v>
      </c>
      <c r="BP25" s="36">
        <v>51146.425397999999</v>
      </c>
      <c r="BQ25" s="31">
        <f t="shared" si="48"/>
        <v>37183.451264345997</v>
      </c>
      <c r="BR25" s="31">
        <f t="shared" si="49"/>
        <v>13962.974133654001</v>
      </c>
      <c r="BS25" s="31">
        <f t="shared" si="50"/>
        <v>0</v>
      </c>
      <c r="BT25" s="31">
        <f t="shared" si="51"/>
        <v>0</v>
      </c>
      <c r="BU25" s="27"/>
      <c r="BV25" s="37">
        <f t="shared" si="11"/>
        <v>-1</v>
      </c>
      <c r="BW25" s="36">
        <v>38114.794655999998</v>
      </c>
      <c r="BX25" s="31">
        <f t="shared" si="52"/>
        <v>27709.455714911997</v>
      </c>
      <c r="BY25" s="31">
        <f t="shared" si="53"/>
        <v>10405.338941088001</v>
      </c>
      <c r="BZ25" s="31">
        <f t="shared" si="54"/>
        <v>0</v>
      </c>
      <c r="CA25" s="31">
        <f t="shared" si="55"/>
        <v>0</v>
      </c>
      <c r="CB25" s="27"/>
      <c r="CC25" s="37">
        <f t="shared" si="12"/>
        <v>-1</v>
      </c>
      <c r="CD25" s="36">
        <v>26220.537741</v>
      </c>
      <c r="CE25" s="31">
        <f t="shared" si="56"/>
        <v>19062.330937707</v>
      </c>
      <c r="CF25" s="31">
        <f t="shared" si="57"/>
        <v>7158.2068032930001</v>
      </c>
      <c r="CG25" s="31">
        <f t="shared" si="58"/>
        <v>0</v>
      </c>
      <c r="CH25" s="31">
        <f t="shared" si="59"/>
        <v>0</v>
      </c>
      <c r="CI25" s="27"/>
      <c r="CJ25" s="37">
        <f t="shared" si="13"/>
        <v>-1</v>
      </c>
      <c r="CK25" s="36">
        <v>26220.537741</v>
      </c>
      <c r="CL25" s="31">
        <f t="shared" si="60"/>
        <v>19062.330937707</v>
      </c>
      <c r="CM25" s="31">
        <f t="shared" si="61"/>
        <v>7158.2068032930001</v>
      </c>
      <c r="CN25" s="31">
        <f t="shared" si="62"/>
        <v>0</v>
      </c>
      <c r="CO25" s="31">
        <f t="shared" si="63"/>
        <v>0</v>
      </c>
      <c r="CP25" s="27"/>
      <c r="CQ25" s="37">
        <f t="shared" si="14"/>
        <v>-1</v>
      </c>
    </row>
    <row r="26" spans="1:95" s="26" customFormat="1" ht="16" customHeight="1" x14ac:dyDescent="0.2">
      <c r="A26" s="29" t="s">
        <v>50</v>
      </c>
      <c r="B26" s="30">
        <f t="shared" si="0"/>
        <v>4363191.603554775</v>
      </c>
      <c r="C26" s="31">
        <f t="shared" si="0"/>
        <v>3172040.2957843221</v>
      </c>
      <c r="D26" s="32">
        <f t="shared" si="0"/>
        <v>1191151.3077704539</v>
      </c>
      <c r="E26" s="30">
        <f t="shared" si="15"/>
        <v>1064424.8913555425</v>
      </c>
      <c r="F26" s="33">
        <f t="shared" si="15"/>
        <v>773836.89601547935</v>
      </c>
      <c r="G26" s="34">
        <f t="shared" si="15"/>
        <v>290587.99534006312</v>
      </c>
      <c r="H26" s="31">
        <f t="shared" si="1"/>
        <v>1199287.0295599999</v>
      </c>
      <c r="I26" s="33">
        <f t="shared" si="1"/>
        <v>450351.25044000009</v>
      </c>
      <c r="J26" s="33">
        <f t="shared" si="1"/>
        <v>1649638.28</v>
      </c>
      <c r="K26" s="37">
        <f t="shared" si="2"/>
        <v>0.54979303227228149</v>
      </c>
      <c r="L26" s="36">
        <v>140767.93216225388</v>
      </c>
      <c r="M26" s="31">
        <f t="shared" si="16"/>
        <v>102338.28668195856</v>
      </c>
      <c r="N26" s="31">
        <f t="shared" si="17"/>
        <v>38429.645480295316</v>
      </c>
      <c r="O26" s="31">
        <f t="shared" si="18"/>
        <v>178881.47609999997</v>
      </c>
      <c r="P26" s="31">
        <f t="shared" si="19"/>
        <v>67172.823900000003</v>
      </c>
      <c r="Q26" s="33">
        <f>246054.3</f>
        <v>246054.3</v>
      </c>
      <c r="R26" s="37">
        <f t="shared" si="3"/>
        <v>0.74794284621862217</v>
      </c>
      <c r="S26" s="36">
        <v>268619.65283425379</v>
      </c>
      <c r="T26" s="31">
        <f t="shared" si="20"/>
        <v>195286.48761050252</v>
      </c>
      <c r="U26" s="31">
        <f t="shared" si="21"/>
        <v>73333.16522375129</v>
      </c>
      <c r="V26" s="31">
        <f t="shared" si="22"/>
        <v>113186.49914</v>
      </c>
      <c r="W26" s="31">
        <f t="shared" si="23"/>
        <v>42503.320860000007</v>
      </c>
      <c r="X26" s="147">
        <f>203.98+154309.84+1176</f>
        <v>155689.82</v>
      </c>
      <c r="Y26" s="37">
        <f t="shared" si="4"/>
        <v>-0.42040793234117835</v>
      </c>
      <c r="Z26" s="36">
        <v>268619.65283425379</v>
      </c>
      <c r="AA26" s="31">
        <f t="shared" si="24"/>
        <v>195286.48761050252</v>
      </c>
      <c r="AB26" s="31">
        <f t="shared" si="25"/>
        <v>73333.16522375129</v>
      </c>
      <c r="AC26" s="31">
        <f t="shared" si="26"/>
        <v>164375.93590000001</v>
      </c>
      <c r="AD26" s="31">
        <f t="shared" si="27"/>
        <v>61725.764100000008</v>
      </c>
      <c r="AE26" s="27">
        <f>1176+224925.7</f>
        <v>226101.7</v>
      </c>
      <c r="AF26" s="37">
        <f t="shared" si="5"/>
        <v>-0.15828310544533619</v>
      </c>
      <c r="AG26" s="36">
        <v>386417.65352478094</v>
      </c>
      <c r="AH26" s="31">
        <f t="shared" si="28"/>
        <v>280925.63411251572</v>
      </c>
      <c r="AI26" s="31">
        <f t="shared" si="29"/>
        <v>105492.0194122652</v>
      </c>
      <c r="AJ26" s="31">
        <f t="shared" si="30"/>
        <v>377248.71138999995</v>
      </c>
      <c r="AK26" s="31">
        <f t="shared" si="31"/>
        <v>141662.85861000002</v>
      </c>
      <c r="AL26" s="27">
        <v>518911.57</v>
      </c>
      <c r="AM26" s="37">
        <f t="shared" si="6"/>
        <v>0.34287749347539132</v>
      </c>
      <c r="AN26" s="36">
        <v>451500.33575425384</v>
      </c>
      <c r="AO26" s="31">
        <f t="shared" si="32"/>
        <v>328240.74409334257</v>
      </c>
      <c r="AP26" s="31">
        <f t="shared" si="33"/>
        <v>123259.5916609113</v>
      </c>
      <c r="AQ26" s="31">
        <f t="shared" si="34"/>
        <v>225912.25475999998</v>
      </c>
      <c r="AR26" s="31">
        <f t="shared" si="35"/>
        <v>84833.625240000008</v>
      </c>
      <c r="AS26" s="27">
        <v>310745.88</v>
      </c>
      <c r="AT26" s="37">
        <f t="shared" si="7"/>
        <v>-0.31174828589909354</v>
      </c>
      <c r="AU26" s="36">
        <v>353101.96095994982</v>
      </c>
      <c r="AV26" s="31">
        <f t="shared" si="36"/>
        <v>256705.12561788352</v>
      </c>
      <c r="AW26" s="31">
        <f t="shared" si="37"/>
        <v>96396.835342066304</v>
      </c>
      <c r="AX26" s="31">
        <f t="shared" si="38"/>
        <v>139682.15227000002</v>
      </c>
      <c r="AY26" s="31">
        <f t="shared" si="39"/>
        <v>52452.857730000003</v>
      </c>
      <c r="AZ26" s="27">
        <v>192135.01</v>
      </c>
      <c r="BA26" s="37">
        <f t="shared" si="8"/>
        <v>-0.45586535549772067</v>
      </c>
      <c r="BB26" s="36">
        <v>288019.27873047785</v>
      </c>
      <c r="BC26" s="31">
        <f t="shared" si="40"/>
        <v>209390.01563705737</v>
      </c>
      <c r="BD26" s="31">
        <f t="shared" si="41"/>
        <v>78629.263093420464</v>
      </c>
      <c r="BE26" s="31">
        <f t="shared" si="42"/>
        <v>0</v>
      </c>
      <c r="BF26" s="31">
        <f t="shared" si="43"/>
        <v>0</v>
      </c>
      <c r="BG26" s="27"/>
      <c r="BH26" s="37">
        <f t="shared" si="9"/>
        <v>-1</v>
      </c>
      <c r="BI26" s="36">
        <v>404671.0183959498</v>
      </c>
      <c r="BJ26" s="31">
        <f t="shared" si="44"/>
        <v>294195.83037385548</v>
      </c>
      <c r="BK26" s="31">
        <f t="shared" si="45"/>
        <v>110475.1880220943</v>
      </c>
      <c r="BL26" s="31">
        <f t="shared" si="46"/>
        <v>0</v>
      </c>
      <c r="BM26" s="31">
        <f t="shared" si="47"/>
        <v>0</v>
      </c>
      <c r="BN26" s="27"/>
      <c r="BO26" s="37">
        <f t="shared" si="10"/>
        <v>-1</v>
      </c>
      <c r="BP26" s="36">
        <v>503201.92402029067</v>
      </c>
      <c r="BQ26" s="31">
        <f t="shared" si="48"/>
        <v>365827.79876275128</v>
      </c>
      <c r="BR26" s="31">
        <f t="shared" si="49"/>
        <v>137374.12525753936</v>
      </c>
      <c r="BS26" s="31">
        <f t="shared" si="50"/>
        <v>0</v>
      </c>
      <c r="BT26" s="31">
        <f t="shared" si="51"/>
        <v>0</v>
      </c>
      <c r="BU26" s="27"/>
      <c r="BV26" s="37">
        <f t="shared" si="11"/>
        <v>-1</v>
      </c>
      <c r="BW26" s="36">
        <v>462787.69115942577</v>
      </c>
      <c r="BX26" s="31">
        <f t="shared" si="52"/>
        <v>336446.65147290251</v>
      </c>
      <c r="BY26" s="31">
        <f t="shared" si="53"/>
        <v>126341.03968652325</v>
      </c>
      <c r="BZ26" s="31">
        <f t="shared" si="54"/>
        <v>0</v>
      </c>
      <c r="CA26" s="31">
        <f t="shared" si="55"/>
        <v>0</v>
      </c>
      <c r="CB26" s="27"/>
      <c r="CC26" s="37">
        <f t="shared" si="12"/>
        <v>-1</v>
      </c>
      <c r="CD26" s="36">
        <v>485767.93437029066</v>
      </c>
      <c r="CE26" s="31">
        <f t="shared" si="56"/>
        <v>353153.28828720131</v>
      </c>
      <c r="CF26" s="31">
        <f t="shared" si="57"/>
        <v>132614.64608308935</v>
      </c>
      <c r="CG26" s="31">
        <f t="shared" si="58"/>
        <v>0</v>
      </c>
      <c r="CH26" s="31">
        <f t="shared" si="59"/>
        <v>0</v>
      </c>
      <c r="CI26" s="27"/>
      <c r="CJ26" s="37">
        <f t="shared" si="13"/>
        <v>-1</v>
      </c>
      <c r="CK26" s="36">
        <v>349716.56880859466</v>
      </c>
      <c r="CL26" s="31">
        <f t="shared" si="60"/>
        <v>254243.94552384829</v>
      </c>
      <c r="CM26" s="31">
        <f t="shared" si="61"/>
        <v>95472.623284746354</v>
      </c>
      <c r="CN26" s="31">
        <f t="shared" si="62"/>
        <v>0</v>
      </c>
      <c r="CO26" s="31">
        <f t="shared" si="63"/>
        <v>0</v>
      </c>
      <c r="CP26" s="27"/>
      <c r="CQ26" s="37">
        <f t="shared" si="14"/>
        <v>-1</v>
      </c>
    </row>
    <row r="27" spans="1:95" s="26" customFormat="1" ht="16" customHeight="1" x14ac:dyDescent="0.2">
      <c r="A27" s="29" t="s">
        <v>51</v>
      </c>
      <c r="B27" s="30">
        <f t="shared" si="0"/>
        <v>221201.8875503999</v>
      </c>
      <c r="C27" s="31">
        <f t="shared" si="0"/>
        <v>160813.77224914075</v>
      </c>
      <c r="D27" s="32">
        <f t="shared" si="0"/>
        <v>60388.115301259175</v>
      </c>
      <c r="E27" s="30">
        <f t="shared" si="15"/>
        <v>67093.850444399999</v>
      </c>
      <c r="F27" s="33">
        <f t="shared" si="15"/>
        <v>48777.229273078796</v>
      </c>
      <c r="G27" s="34">
        <f t="shared" si="15"/>
        <v>18316.6211713212</v>
      </c>
      <c r="H27" s="31">
        <f t="shared" si="1"/>
        <v>132441.24680999998</v>
      </c>
      <c r="I27" s="33">
        <f t="shared" si="1"/>
        <v>49733.783190000002</v>
      </c>
      <c r="J27" s="33">
        <f t="shared" si="1"/>
        <v>182175.03</v>
      </c>
      <c r="K27" s="37">
        <f t="shared" si="2"/>
        <v>1.7152269364979524</v>
      </c>
      <c r="L27" s="36">
        <v>5568.1590432000003</v>
      </c>
      <c r="M27" s="31">
        <f t="shared" si="16"/>
        <v>4048.0516244064002</v>
      </c>
      <c r="N27" s="31">
        <f t="shared" si="17"/>
        <v>1520.1074187936001</v>
      </c>
      <c r="O27" s="31">
        <f t="shared" si="18"/>
        <v>21913.924650000001</v>
      </c>
      <c r="P27" s="31">
        <f t="shared" si="19"/>
        <v>8229.0253500000017</v>
      </c>
      <c r="Q27" s="33">
        <f>30142.95</f>
        <v>30142.95</v>
      </c>
      <c r="R27" s="37">
        <f t="shared" si="3"/>
        <v>4.4134498971992295</v>
      </c>
      <c r="S27" s="36">
        <v>20101.435785599999</v>
      </c>
      <c r="T27" s="31">
        <f t="shared" si="20"/>
        <v>14613.743816131198</v>
      </c>
      <c r="U27" s="31">
        <f t="shared" si="21"/>
        <v>5487.6919694688004</v>
      </c>
      <c r="V27" s="31">
        <f t="shared" si="22"/>
        <v>20386.613969999999</v>
      </c>
      <c r="W27" s="31">
        <f t="shared" si="23"/>
        <v>7655.4960300000012</v>
      </c>
      <c r="X27" s="147">
        <v>28042.11</v>
      </c>
      <c r="Y27" s="37">
        <f t="shared" si="4"/>
        <v>0.39503020078239581</v>
      </c>
      <c r="Z27" s="36">
        <v>20101.435785599999</v>
      </c>
      <c r="AA27" s="31">
        <f t="shared" si="24"/>
        <v>14613.743816131198</v>
      </c>
      <c r="AB27" s="31">
        <f t="shared" si="25"/>
        <v>5487.6919694688004</v>
      </c>
      <c r="AC27" s="31">
        <f t="shared" si="26"/>
        <v>34236.610999999997</v>
      </c>
      <c r="AD27" s="31">
        <f t="shared" si="27"/>
        <v>12856.389000000001</v>
      </c>
      <c r="AE27" s="27">
        <v>47093</v>
      </c>
      <c r="AF27" s="37">
        <f t="shared" si="5"/>
        <v>1.3427679745013967</v>
      </c>
      <c r="AG27" s="36">
        <v>21322.81983</v>
      </c>
      <c r="AH27" s="31">
        <f t="shared" si="28"/>
        <v>15501.690016410001</v>
      </c>
      <c r="AI27" s="31">
        <f t="shared" si="29"/>
        <v>5821.1298135900006</v>
      </c>
      <c r="AJ27" s="31">
        <f t="shared" si="30"/>
        <v>15569.439269999999</v>
      </c>
      <c r="AK27" s="31">
        <f t="shared" si="31"/>
        <v>5846.5707300000004</v>
      </c>
      <c r="AL27" s="27">
        <v>21416.01</v>
      </c>
      <c r="AM27" s="37">
        <f t="shared" si="6"/>
        <v>4.3704430625486346E-3</v>
      </c>
      <c r="AN27" s="36">
        <v>8352.5586299999995</v>
      </c>
      <c r="AO27" s="31">
        <f t="shared" si="32"/>
        <v>6072.3101240099995</v>
      </c>
      <c r="AP27" s="31">
        <f t="shared" si="33"/>
        <v>2280.24850599</v>
      </c>
      <c r="AQ27" s="31">
        <f t="shared" si="34"/>
        <v>17225.668859999998</v>
      </c>
      <c r="AR27" s="31">
        <f t="shared" si="35"/>
        <v>6468.5111400000005</v>
      </c>
      <c r="AS27" s="27">
        <v>23694.18</v>
      </c>
      <c r="AT27" s="37">
        <f t="shared" si="7"/>
        <v>1.8367571003808689</v>
      </c>
      <c r="AU27" s="36">
        <v>26890.978873200002</v>
      </c>
      <c r="AV27" s="31">
        <f t="shared" si="36"/>
        <v>19549.741640816399</v>
      </c>
      <c r="AW27" s="31">
        <f t="shared" si="37"/>
        <v>7341.2372323836007</v>
      </c>
      <c r="AX27" s="31">
        <f t="shared" si="38"/>
        <v>23108.98906</v>
      </c>
      <c r="AY27" s="31">
        <f t="shared" si="39"/>
        <v>8677.7909400000008</v>
      </c>
      <c r="AZ27" s="27">
        <v>31786.78</v>
      </c>
      <c r="BA27" s="37">
        <f t="shared" si="8"/>
        <v>0.1820610975110033</v>
      </c>
      <c r="BB27" s="36">
        <v>13920.717673200001</v>
      </c>
      <c r="BC27" s="31">
        <f t="shared" si="40"/>
        <v>10120.361748416401</v>
      </c>
      <c r="BD27" s="31">
        <f t="shared" si="41"/>
        <v>3800.3559247836006</v>
      </c>
      <c r="BE27" s="31">
        <f t="shared" si="42"/>
        <v>0</v>
      </c>
      <c r="BF27" s="31">
        <f t="shared" si="43"/>
        <v>0</v>
      </c>
      <c r="BG27" s="27"/>
      <c r="BH27" s="37">
        <f t="shared" si="9"/>
        <v>-1</v>
      </c>
      <c r="BI27" s="36">
        <v>26890.978873200002</v>
      </c>
      <c r="BJ27" s="31">
        <f t="shared" si="44"/>
        <v>19549.741640816399</v>
      </c>
      <c r="BK27" s="31">
        <f t="shared" si="45"/>
        <v>7341.2372323836007</v>
      </c>
      <c r="BL27" s="31">
        <f t="shared" si="46"/>
        <v>0</v>
      </c>
      <c r="BM27" s="31">
        <f t="shared" si="47"/>
        <v>0</v>
      </c>
      <c r="BN27" s="27"/>
      <c r="BO27" s="37">
        <f t="shared" si="10"/>
        <v>-1</v>
      </c>
      <c r="BP27" s="36">
        <v>26890.978873200002</v>
      </c>
      <c r="BQ27" s="31">
        <f t="shared" si="48"/>
        <v>19549.741640816399</v>
      </c>
      <c r="BR27" s="31">
        <f t="shared" si="49"/>
        <v>7341.2372323836007</v>
      </c>
      <c r="BS27" s="31">
        <f t="shared" si="50"/>
        <v>0</v>
      </c>
      <c r="BT27" s="31">
        <f t="shared" si="51"/>
        <v>0</v>
      </c>
      <c r="BU27" s="27"/>
      <c r="BV27" s="37">
        <f t="shared" si="11"/>
        <v>-1</v>
      </c>
      <c r="BW27" s="36">
        <v>20766.0474231999</v>
      </c>
      <c r="BX27" s="31">
        <f t="shared" si="52"/>
        <v>15096.916476666327</v>
      </c>
      <c r="BY27" s="31">
        <f t="shared" si="53"/>
        <v>5669.1309465335735</v>
      </c>
      <c r="BZ27" s="31">
        <f t="shared" si="54"/>
        <v>0</v>
      </c>
      <c r="CA27" s="31">
        <f t="shared" si="55"/>
        <v>0</v>
      </c>
      <c r="CB27" s="27"/>
      <c r="CC27" s="37">
        <f t="shared" si="12"/>
        <v>-1</v>
      </c>
      <c r="CD27" s="36">
        <v>15197.88838</v>
      </c>
      <c r="CE27" s="31">
        <f t="shared" si="56"/>
        <v>11048.86485226</v>
      </c>
      <c r="CF27" s="31">
        <f t="shared" si="57"/>
        <v>4149.0235277400006</v>
      </c>
      <c r="CG27" s="31">
        <f t="shared" si="58"/>
        <v>0</v>
      </c>
      <c r="CH27" s="31">
        <f t="shared" si="59"/>
        <v>0</v>
      </c>
      <c r="CI27" s="27"/>
      <c r="CJ27" s="37">
        <f t="shared" si="13"/>
        <v>-1</v>
      </c>
      <c r="CK27" s="36">
        <v>15197.88838</v>
      </c>
      <c r="CL27" s="31">
        <f t="shared" si="60"/>
        <v>11048.86485226</v>
      </c>
      <c r="CM27" s="31">
        <f t="shared" si="61"/>
        <v>4149.0235277400006</v>
      </c>
      <c r="CN27" s="31">
        <f t="shared" si="62"/>
        <v>0</v>
      </c>
      <c r="CO27" s="31">
        <f t="shared" si="63"/>
        <v>0</v>
      </c>
      <c r="CP27" s="27"/>
      <c r="CQ27" s="37">
        <f t="shared" si="14"/>
        <v>-1</v>
      </c>
    </row>
    <row r="28" spans="1:95" s="26" customFormat="1" ht="16" customHeight="1" x14ac:dyDescent="0.2">
      <c r="A28" s="29" t="s">
        <v>52</v>
      </c>
      <c r="B28" s="30">
        <f t="shared" si="0"/>
        <v>238715.40929999997</v>
      </c>
      <c r="C28" s="31">
        <f t="shared" si="0"/>
        <v>173546.10256110001</v>
      </c>
      <c r="D28" s="32">
        <f t="shared" si="0"/>
        <v>65169.306738900006</v>
      </c>
      <c r="E28" s="30">
        <f t="shared" si="15"/>
        <v>82652.646569999997</v>
      </c>
      <c r="F28" s="33">
        <f t="shared" si="15"/>
        <v>60088.474056389998</v>
      </c>
      <c r="G28" s="34">
        <f t="shared" si="15"/>
        <v>22564.172513610003</v>
      </c>
      <c r="H28" s="31">
        <f t="shared" si="1"/>
        <v>85653.933179999993</v>
      </c>
      <c r="I28" s="33">
        <f t="shared" si="1"/>
        <v>32164.406820000004</v>
      </c>
      <c r="J28" s="33">
        <f t="shared" si="1"/>
        <v>117818.34</v>
      </c>
      <c r="K28" s="37">
        <f t="shared" si="2"/>
        <v>0.42546361053565951</v>
      </c>
      <c r="L28" s="36">
        <v>17596.727459999998</v>
      </c>
      <c r="M28" s="31">
        <f t="shared" si="16"/>
        <v>12792.820863419998</v>
      </c>
      <c r="N28" s="31">
        <f t="shared" si="17"/>
        <v>4803.90659658</v>
      </c>
      <c r="O28" s="31">
        <f t="shared" si="18"/>
        <v>24249.572089999998</v>
      </c>
      <c r="P28" s="31">
        <f t="shared" si="19"/>
        <v>9106.0979100000004</v>
      </c>
      <c r="Q28" s="33">
        <f>33355.67</f>
        <v>33355.67</v>
      </c>
      <c r="R28" s="37">
        <f t="shared" si="3"/>
        <v>0.89556098290562502</v>
      </c>
      <c r="S28" s="36">
        <v>17596.727459999998</v>
      </c>
      <c r="T28" s="31">
        <f t="shared" si="20"/>
        <v>12792.820863419998</v>
      </c>
      <c r="U28" s="31">
        <f t="shared" si="21"/>
        <v>4803.90659658</v>
      </c>
      <c r="V28" s="31">
        <f t="shared" si="22"/>
        <v>16764.3292</v>
      </c>
      <c r="W28" s="31">
        <f t="shared" si="23"/>
        <v>6295.2708000000002</v>
      </c>
      <c r="X28" s="147">
        <f>23059.6</f>
        <v>23059.599999999999</v>
      </c>
      <c r="Y28" s="37">
        <f t="shared" si="4"/>
        <v>0.31044820989686461</v>
      </c>
      <c r="Z28" s="36">
        <v>23462.30328</v>
      </c>
      <c r="AA28" s="31">
        <f t="shared" si="24"/>
        <v>17057.094484559999</v>
      </c>
      <c r="AB28" s="31">
        <f t="shared" si="25"/>
        <v>6405.2087954400004</v>
      </c>
      <c r="AC28" s="31">
        <f t="shared" si="26"/>
        <v>6453.1646099999998</v>
      </c>
      <c r="AD28" s="31">
        <f t="shared" si="27"/>
        <v>2423.2653900000005</v>
      </c>
      <c r="AE28" s="27">
        <v>8876.43</v>
      </c>
      <c r="AF28" s="37">
        <f t="shared" si="5"/>
        <v>-0.6216726936793735</v>
      </c>
      <c r="AG28" s="36">
        <v>23996.888370000001</v>
      </c>
      <c r="AH28" s="31">
        <f t="shared" si="28"/>
        <v>17445.737844989999</v>
      </c>
      <c r="AI28" s="31">
        <f t="shared" si="29"/>
        <v>6551.1505250100008</v>
      </c>
      <c r="AJ28" s="31">
        <f t="shared" si="30"/>
        <v>11267.8457</v>
      </c>
      <c r="AK28" s="31">
        <f t="shared" si="31"/>
        <v>4231.2543000000005</v>
      </c>
      <c r="AL28" s="27">
        <v>15499.1</v>
      </c>
      <c r="AM28" s="37">
        <f t="shared" si="6"/>
        <v>-0.35412042757275197</v>
      </c>
      <c r="AN28" s="36">
        <v>20529.515370000001</v>
      </c>
      <c r="AO28" s="31">
        <f t="shared" si="32"/>
        <v>14924.95767399</v>
      </c>
      <c r="AP28" s="31">
        <f t="shared" si="33"/>
        <v>5604.5576960100007</v>
      </c>
      <c r="AQ28" s="31">
        <f t="shared" si="34"/>
        <v>8103.9344299999993</v>
      </c>
      <c r="AR28" s="31">
        <f t="shared" si="35"/>
        <v>3043.1555700000004</v>
      </c>
      <c r="AS28" s="27">
        <v>11147.09</v>
      </c>
      <c r="AT28" s="37">
        <f t="shared" si="7"/>
        <v>-0.45702127891974687</v>
      </c>
      <c r="AU28" s="36">
        <v>18131.312549999999</v>
      </c>
      <c r="AV28" s="31">
        <f t="shared" si="36"/>
        <v>13181.464223849998</v>
      </c>
      <c r="AW28" s="31">
        <f t="shared" si="37"/>
        <v>4949.8483261499996</v>
      </c>
      <c r="AX28" s="31">
        <f t="shared" si="38"/>
        <v>18815.087149999999</v>
      </c>
      <c r="AY28" s="31">
        <f t="shared" si="39"/>
        <v>7065.3628500000004</v>
      </c>
      <c r="AZ28" s="27">
        <v>25880.45</v>
      </c>
      <c r="BA28" s="37">
        <f t="shared" si="8"/>
        <v>0.42738976721241295</v>
      </c>
      <c r="BB28" s="36">
        <v>14663.939549999999</v>
      </c>
      <c r="BC28" s="31">
        <f t="shared" si="40"/>
        <v>10660.68405285</v>
      </c>
      <c r="BD28" s="31">
        <f t="shared" si="41"/>
        <v>4003.2554971499999</v>
      </c>
      <c r="BE28" s="31">
        <f t="shared" si="42"/>
        <v>0</v>
      </c>
      <c r="BF28" s="31">
        <f t="shared" si="43"/>
        <v>0</v>
      </c>
      <c r="BG28" s="27"/>
      <c r="BH28" s="37">
        <f t="shared" si="9"/>
        <v>-1</v>
      </c>
      <c r="BI28" s="36">
        <v>23996.888370000001</v>
      </c>
      <c r="BJ28" s="31">
        <f t="shared" si="44"/>
        <v>17445.737844989999</v>
      </c>
      <c r="BK28" s="31">
        <f t="shared" si="45"/>
        <v>6551.1505250100008</v>
      </c>
      <c r="BL28" s="31">
        <f t="shared" si="46"/>
        <v>0</v>
      </c>
      <c r="BM28" s="31">
        <f t="shared" si="47"/>
        <v>0</v>
      </c>
      <c r="BN28" s="27"/>
      <c r="BO28" s="37">
        <f t="shared" si="10"/>
        <v>-1</v>
      </c>
      <c r="BP28" s="36">
        <v>23996.888370000001</v>
      </c>
      <c r="BQ28" s="31">
        <f t="shared" si="48"/>
        <v>17445.737844989999</v>
      </c>
      <c r="BR28" s="31">
        <f t="shared" si="49"/>
        <v>6551.1505250100008</v>
      </c>
      <c r="BS28" s="31">
        <f t="shared" si="50"/>
        <v>0</v>
      </c>
      <c r="BT28" s="31">
        <f t="shared" si="51"/>
        <v>0</v>
      </c>
      <c r="BU28" s="27"/>
      <c r="BV28" s="37">
        <f t="shared" si="11"/>
        <v>-1</v>
      </c>
      <c r="BW28" s="36">
        <v>22158.456719999998</v>
      </c>
      <c r="BX28" s="31">
        <f t="shared" si="52"/>
        <v>16109.198035439998</v>
      </c>
      <c r="BY28" s="31">
        <f t="shared" si="53"/>
        <v>6049.2586845599999</v>
      </c>
      <c r="BZ28" s="31">
        <f t="shared" si="54"/>
        <v>0</v>
      </c>
      <c r="CA28" s="31">
        <f t="shared" si="55"/>
        <v>0</v>
      </c>
      <c r="CB28" s="27"/>
      <c r="CC28" s="37">
        <f t="shared" si="12"/>
        <v>-1</v>
      </c>
      <c r="CD28" s="36">
        <v>16292.8809</v>
      </c>
      <c r="CE28" s="31">
        <f t="shared" si="56"/>
        <v>11844.9244143</v>
      </c>
      <c r="CF28" s="31">
        <f t="shared" si="57"/>
        <v>4447.9564857000005</v>
      </c>
      <c r="CG28" s="31">
        <f t="shared" si="58"/>
        <v>0</v>
      </c>
      <c r="CH28" s="31">
        <f t="shared" si="59"/>
        <v>0</v>
      </c>
      <c r="CI28" s="27"/>
      <c r="CJ28" s="37">
        <f t="shared" si="13"/>
        <v>-1</v>
      </c>
      <c r="CK28" s="36">
        <v>16292.8809</v>
      </c>
      <c r="CL28" s="31">
        <f t="shared" si="60"/>
        <v>11844.9244143</v>
      </c>
      <c r="CM28" s="31">
        <f t="shared" si="61"/>
        <v>4447.9564857000005</v>
      </c>
      <c r="CN28" s="31">
        <f t="shared" si="62"/>
        <v>0</v>
      </c>
      <c r="CO28" s="31">
        <f t="shared" si="63"/>
        <v>0</v>
      </c>
      <c r="CP28" s="27"/>
      <c r="CQ28" s="37">
        <f t="shared" si="14"/>
        <v>-1</v>
      </c>
    </row>
    <row r="29" spans="1:95" s="26" customFormat="1" ht="16" customHeight="1" x14ac:dyDescent="0.2">
      <c r="A29" s="29" t="s">
        <v>53</v>
      </c>
      <c r="B29" s="30">
        <f t="shared" si="0"/>
        <v>554172.14200000011</v>
      </c>
      <c r="C29" s="31">
        <f t="shared" si="0"/>
        <v>402883.14723400003</v>
      </c>
      <c r="D29" s="32">
        <f t="shared" si="0"/>
        <v>151288.99476600002</v>
      </c>
      <c r="E29" s="30">
        <f t="shared" si="15"/>
        <v>184724.04733333335</v>
      </c>
      <c r="F29" s="33">
        <f t="shared" si="15"/>
        <v>134294.38241133332</v>
      </c>
      <c r="G29" s="34">
        <f t="shared" si="15"/>
        <v>50429.664922000004</v>
      </c>
      <c r="H29" s="31">
        <f t="shared" si="1"/>
        <v>7345.8406399999994</v>
      </c>
      <c r="I29" s="33">
        <f t="shared" si="1"/>
        <v>2758.4793600000003</v>
      </c>
      <c r="J29" s="33">
        <f t="shared" si="1"/>
        <v>10104.32</v>
      </c>
      <c r="K29" s="37">
        <f t="shared" si="2"/>
        <v>-0.94530046225239517</v>
      </c>
      <c r="L29" s="36">
        <v>40256.113333333335</v>
      </c>
      <c r="M29" s="31">
        <f t="shared" si="16"/>
        <v>29266.194393333331</v>
      </c>
      <c r="N29" s="31">
        <f t="shared" si="17"/>
        <v>10989.918940000001</v>
      </c>
      <c r="O29" s="31">
        <f t="shared" si="18"/>
        <v>0</v>
      </c>
      <c r="P29" s="31">
        <f t="shared" si="19"/>
        <v>0</v>
      </c>
      <c r="Q29" s="33"/>
      <c r="R29" s="37">
        <f t="shared" si="3"/>
        <v>-1</v>
      </c>
      <c r="S29" s="36">
        <v>52105.910333333333</v>
      </c>
      <c r="T29" s="31">
        <f t="shared" si="20"/>
        <v>37880.996812333331</v>
      </c>
      <c r="U29" s="31">
        <f t="shared" si="21"/>
        <v>14224.913521</v>
      </c>
      <c r="V29" s="31">
        <f t="shared" si="22"/>
        <v>0</v>
      </c>
      <c r="W29" s="31">
        <f t="shared" si="23"/>
        <v>0</v>
      </c>
      <c r="X29" s="147"/>
      <c r="Y29" s="37">
        <f t="shared" si="4"/>
        <v>-1</v>
      </c>
      <c r="Z29" s="36">
        <v>40256.113333333335</v>
      </c>
      <c r="AA29" s="31">
        <f t="shared" si="24"/>
        <v>29266.194393333331</v>
      </c>
      <c r="AB29" s="31">
        <f t="shared" si="25"/>
        <v>10989.918940000001</v>
      </c>
      <c r="AC29" s="31">
        <f t="shared" si="26"/>
        <v>0</v>
      </c>
      <c r="AD29" s="31">
        <f t="shared" si="27"/>
        <v>0</v>
      </c>
      <c r="AE29" s="27"/>
      <c r="AF29" s="37">
        <f t="shared" si="5"/>
        <v>-1</v>
      </c>
      <c r="AG29" s="36">
        <v>52105.910333333333</v>
      </c>
      <c r="AH29" s="31">
        <f t="shared" si="28"/>
        <v>37880.996812333331</v>
      </c>
      <c r="AI29" s="31">
        <f t="shared" si="29"/>
        <v>14224.913521</v>
      </c>
      <c r="AJ29" s="31">
        <f t="shared" si="30"/>
        <v>0</v>
      </c>
      <c r="AK29" s="31">
        <f t="shared" si="31"/>
        <v>0</v>
      </c>
      <c r="AL29" s="27"/>
      <c r="AM29" s="37">
        <f t="shared" si="6"/>
        <v>-1</v>
      </c>
      <c r="AN29" s="36">
        <v>40256.113333333335</v>
      </c>
      <c r="AO29" s="31">
        <f t="shared" si="32"/>
        <v>29266.194393333331</v>
      </c>
      <c r="AP29" s="31">
        <f t="shared" si="33"/>
        <v>10989.918940000001</v>
      </c>
      <c r="AQ29" s="31">
        <f t="shared" si="34"/>
        <v>0</v>
      </c>
      <c r="AR29" s="31">
        <f t="shared" si="35"/>
        <v>0</v>
      </c>
      <c r="AS29" s="27"/>
      <c r="AT29" s="37">
        <f t="shared" si="7"/>
        <v>-1</v>
      </c>
      <c r="AU29" s="36">
        <v>52105.910333333333</v>
      </c>
      <c r="AV29" s="31">
        <f t="shared" si="36"/>
        <v>37880.996812333331</v>
      </c>
      <c r="AW29" s="31">
        <f t="shared" si="37"/>
        <v>14224.913521</v>
      </c>
      <c r="AX29" s="31">
        <f t="shared" si="38"/>
        <v>7345.8406399999994</v>
      </c>
      <c r="AY29" s="31">
        <f t="shared" si="39"/>
        <v>2758.4793600000003</v>
      </c>
      <c r="AZ29" s="27">
        <v>10104.32</v>
      </c>
      <c r="BA29" s="37">
        <f t="shared" si="8"/>
        <v>-0.80608111564771878</v>
      </c>
      <c r="BB29" s="36">
        <v>40256.113333333335</v>
      </c>
      <c r="BC29" s="31">
        <f t="shared" si="40"/>
        <v>29266.194393333331</v>
      </c>
      <c r="BD29" s="31">
        <f t="shared" si="41"/>
        <v>10989.918940000001</v>
      </c>
      <c r="BE29" s="31">
        <f t="shared" si="42"/>
        <v>0</v>
      </c>
      <c r="BF29" s="31">
        <f t="shared" si="43"/>
        <v>0</v>
      </c>
      <c r="BG29" s="27"/>
      <c r="BH29" s="37">
        <f t="shared" si="9"/>
        <v>-1</v>
      </c>
      <c r="BI29" s="36">
        <v>52105.910333333333</v>
      </c>
      <c r="BJ29" s="31">
        <f t="shared" si="44"/>
        <v>37880.996812333331</v>
      </c>
      <c r="BK29" s="31">
        <f t="shared" si="45"/>
        <v>14224.913521</v>
      </c>
      <c r="BL29" s="31">
        <f t="shared" si="46"/>
        <v>0</v>
      </c>
      <c r="BM29" s="31">
        <f t="shared" si="47"/>
        <v>0</v>
      </c>
      <c r="BN29" s="27"/>
      <c r="BO29" s="37">
        <f t="shared" si="10"/>
        <v>-1</v>
      </c>
      <c r="BP29" s="36">
        <v>40256.113333333335</v>
      </c>
      <c r="BQ29" s="31">
        <f t="shared" si="48"/>
        <v>29266.194393333331</v>
      </c>
      <c r="BR29" s="31">
        <f t="shared" si="49"/>
        <v>10989.918940000001</v>
      </c>
      <c r="BS29" s="31">
        <f t="shared" si="50"/>
        <v>0</v>
      </c>
      <c r="BT29" s="31">
        <f t="shared" si="51"/>
        <v>0</v>
      </c>
      <c r="BU29" s="27"/>
      <c r="BV29" s="37">
        <f t="shared" si="11"/>
        <v>-1</v>
      </c>
      <c r="BW29" s="36">
        <v>52105.910333333333</v>
      </c>
      <c r="BX29" s="31">
        <f t="shared" si="52"/>
        <v>37880.996812333331</v>
      </c>
      <c r="BY29" s="31">
        <f t="shared" si="53"/>
        <v>14224.913521</v>
      </c>
      <c r="BZ29" s="31">
        <f t="shared" si="54"/>
        <v>0</v>
      </c>
      <c r="CA29" s="31">
        <f t="shared" si="55"/>
        <v>0</v>
      </c>
      <c r="CB29" s="27"/>
      <c r="CC29" s="37">
        <f t="shared" si="12"/>
        <v>-1</v>
      </c>
      <c r="CD29" s="36">
        <v>40256.113333333335</v>
      </c>
      <c r="CE29" s="31">
        <f t="shared" si="56"/>
        <v>29266.194393333331</v>
      </c>
      <c r="CF29" s="31">
        <f t="shared" si="57"/>
        <v>10989.918940000001</v>
      </c>
      <c r="CG29" s="31">
        <f t="shared" si="58"/>
        <v>0</v>
      </c>
      <c r="CH29" s="31">
        <f t="shared" si="59"/>
        <v>0</v>
      </c>
      <c r="CI29" s="27"/>
      <c r="CJ29" s="37">
        <f t="shared" si="13"/>
        <v>-1</v>
      </c>
      <c r="CK29" s="36">
        <v>52105.910333333333</v>
      </c>
      <c r="CL29" s="31">
        <f t="shared" si="60"/>
        <v>37880.996812333331</v>
      </c>
      <c r="CM29" s="31">
        <f t="shared" si="61"/>
        <v>14224.913521</v>
      </c>
      <c r="CN29" s="31">
        <f t="shared" si="62"/>
        <v>0</v>
      </c>
      <c r="CO29" s="31">
        <f t="shared" si="63"/>
        <v>0</v>
      </c>
      <c r="CP29" s="27"/>
      <c r="CQ29" s="37">
        <f t="shared" si="14"/>
        <v>-1</v>
      </c>
    </row>
    <row r="30" spans="1:95" s="26" customFormat="1" ht="16" customHeight="1" x14ac:dyDescent="0.2">
      <c r="A30" s="29" t="s">
        <v>54</v>
      </c>
      <c r="B30" s="30">
        <f t="shared" si="0"/>
        <v>229999.99999999997</v>
      </c>
      <c r="C30" s="31">
        <f t="shared" si="0"/>
        <v>167210</v>
      </c>
      <c r="D30" s="32">
        <f t="shared" si="0"/>
        <v>62790.000000000007</v>
      </c>
      <c r="E30" s="30">
        <f t="shared" si="15"/>
        <v>76666.666666666672</v>
      </c>
      <c r="F30" s="33">
        <f t="shared" si="15"/>
        <v>55736.666666666672</v>
      </c>
      <c r="G30" s="34">
        <f t="shared" si="15"/>
        <v>20930.000000000004</v>
      </c>
      <c r="H30" s="31">
        <f t="shared" si="1"/>
        <v>55684.644969999994</v>
      </c>
      <c r="I30" s="33">
        <f t="shared" si="1"/>
        <v>20910.465029999999</v>
      </c>
      <c r="J30" s="33">
        <f t="shared" si="1"/>
        <v>76595.109999999986</v>
      </c>
      <c r="K30" s="37">
        <f t="shared" si="2"/>
        <v>-9.3334782608722744E-4</v>
      </c>
      <c r="L30" s="36">
        <v>19166.666666666668</v>
      </c>
      <c r="M30" s="31">
        <f t="shared" si="16"/>
        <v>13934.166666666668</v>
      </c>
      <c r="N30" s="31">
        <f t="shared" si="17"/>
        <v>5232.5000000000009</v>
      </c>
      <c r="O30" s="31">
        <f t="shared" si="18"/>
        <v>24284.591679999998</v>
      </c>
      <c r="P30" s="31">
        <f t="shared" si="19"/>
        <v>9119.2483200000006</v>
      </c>
      <c r="Q30" s="33">
        <f>33403.84</f>
        <v>33403.839999999997</v>
      </c>
      <c r="R30" s="37">
        <f t="shared" si="3"/>
        <v>0.7428090434782606</v>
      </c>
      <c r="S30" s="36">
        <v>19166.666666666668</v>
      </c>
      <c r="T30" s="31">
        <f t="shared" si="20"/>
        <v>13934.166666666668</v>
      </c>
      <c r="U30" s="31">
        <f t="shared" si="21"/>
        <v>5232.5000000000009</v>
      </c>
      <c r="V30" s="31">
        <f t="shared" si="22"/>
        <v>0</v>
      </c>
      <c r="W30" s="31">
        <f t="shared" si="23"/>
        <v>0</v>
      </c>
      <c r="X30" s="147"/>
      <c r="Y30" s="37">
        <f t="shared" si="4"/>
        <v>-1</v>
      </c>
      <c r="Z30" s="36">
        <v>19166.666666666668</v>
      </c>
      <c r="AA30" s="31">
        <f t="shared" si="24"/>
        <v>13934.166666666668</v>
      </c>
      <c r="AB30" s="31">
        <f t="shared" si="25"/>
        <v>5232.5000000000009</v>
      </c>
      <c r="AC30" s="31">
        <f t="shared" si="26"/>
        <v>727</v>
      </c>
      <c r="AD30" s="31">
        <f t="shared" si="27"/>
        <v>273</v>
      </c>
      <c r="AE30" s="27">
        <f>1000</f>
        <v>1000</v>
      </c>
      <c r="AF30" s="37">
        <f t="shared" si="5"/>
        <v>-0.94782608695652171</v>
      </c>
      <c r="AG30" s="36">
        <v>19166.666666666668</v>
      </c>
      <c r="AH30" s="31">
        <f t="shared" si="28"/>
        <v>13934.166666666668</v>
      </c>
      <c r="AI30" s="31">
        <f t="shared" si="29"/>
        <v>5232.5000000000009</v>
      </c>
      <c r="AJ30" s="31">
        <f t="shared" si="30"/>
        <v>0</v>
      </c>
      <c r="AK30" s="31">
        <f t="shared" si="31"/>
        <v>0</v>
      </c>
      <c r="AL30" s="27"/>
      <c r="AM30" s="37">
        <f t="shared" si="6"/>
        <v>-1</v>
      </c>
      <c r="AN30" s="36">
        <v>19166.666666666668</v>
      </c>
      <c r="AO30" s="31">
        <f t="shared" si="32"/>
        <v>13934.166666666668</v>
      </c>
      <c r="AP30" s="31">
        <f t="shared" si="33"/>
        <v>5232.5000000000009</v>
      </c>
      <c r="AQ30" s="31">
        <f t="shared" si="34"/>
        <v>21684.134489999997</v>
      </c>
      <c r="AR30" s="31">
        <f t="shared" si="35"/>
        <v>8142.7355100000004</v>
      </c>
      <c r="AS30" s="27">
        <v>29826.87</v>
      </c>
      <c r="AT30" s="37">
        <f t="shared" si="7"/>
        <v>0.55618452173913036</v>
      </c>
      <c r="AU30" s="36">
        <v>19166.666666666668</v>
      </c>
      <c r="AV30" s="31">
        <f t="shared" si="36"/>
        <v>13934.166666666668</v>
      </c>
      <c r="AW30" s="31">
        <f t="shared" si="37"/>
        <v>5232.5000000000009</v>
      </c>
      <c r="AX30" s="31">
        <f t="shared" si="38"/>
        <v>8988.9187999999995</v>
      </c>
      <c r="AY30" s="31">
        <f t="shared" si="39"/>
        <v>3375.4812000000002</v>
      </c>
      <c r="AZ30" s="27">
        <v>12364.4</v>
      </c>
      <c r="BA30" s="37">
        <f t="shared" si="8"/>
        <v>-0.35490086956521749</v>
      </c>
      <c r="BB30" s="36">
        <v>19166.666666666668</v>
      </c>
      <c r="BC30" s="31">
        <f t="shared" si="40"/>
        <v>13934.166666666668</v>
      </c>
      <c r="BD30" s="31">
        <f t="shared" si="41"/>
        <v>5232.5000000000009</v>
      </c>
      <c r="BE30" s="31">
        <f t="shared" si="42"/>
        <v>0</v>
      </c>
      <c r="BF30" s="31">
        <f t="shared" si="43"/>
        <v>0</v>
      </c>
      <c r="BG30" s="27"/>
      <c r="BH30" s="37">
        <f t="shared" si="9"/>
        <v>-1</v>
      </c>
      <c r="BI30" s="36">
        <v>19166.666666666668</v>
      </c>
      <c r="BJ30" s="31">
        <f t="shared" si="44"/>
        <v>13934.166666666668</v>
      </c>
      <c r="BK30" s="31">
        <f t="shared" si="45"/>
        <v>5232.5000000000009</v>
      </c>
      <c r="BL30" s="31">
        <f t="shared" si="46"/>
        <v>0</v>
      </c>
      <c r="BM30" s="31">
        <f t="shared" si="47"/>
        <v>0</v>
      </c>
      <c r="BN30" s="27"/>
      <c r="BO30" s="37">
        <f t="shared" si="10"/>
        <v>-1</v>
      </c>
      <c r="BP30" s="36">
        <v>19166.666666666668</v>
      </c>
      <c r="BQ30" s="31">
        <f t="shared" si="48"/>
        <v>13934.166666666668</v>
      </c>
      <c r="BR30" s="31">
        <f t="shared" si="49"/>
        <v>5232.5000000000009</v>
      </c>
      <c r="BS30" s="31">
        <f t="shared" si="50"/>
        <v>0</v>
      </c>
      <c r="BT30" s="31">
        <f t="shared" si="51"/>
        <v>0</v>
      </c>
      <c r="BU30" s="27"/>
      <c r="BV30" s="37">
        <f t="shared" si="11"/>
        <v>-1</v>
      </c>
      <c r="BW30" s="36">
        <v>19166.666666666668</v>
      </c>
      <c r="BX30" s="31">
        <f t="shared" si="52"/>
        <v>13934.166666666668</v>
      </c>
      <c r="BY30" s="31">
        <f t="shared" si="53"/>
        <v>5232.5000000000009</v>
      </c>
      <c r="BZ30" s="31">
        <f t="shared" si="54"/>
        <v>0</v>
      </c>
      <c r="CA30" s="31">
        <f t="shared" si="55"/>
        <v>0</v>
      </c>
      <c r="CB30" s="27"/>
      <c r="CC30" s="37">
        <f t="shared" si="12"/>
        <v>-1</v>
      </c>
      <c r="CD30" s="36">
        <v>19166.666666666668</v>
      </c>
      <c r="CE30" s="31">
        <f t="shared" si="56"/>
        <v>13934.166666666668</v>
      </c>
      <c r="CF30" s="31">
        <f t="shared" si="57"/>
        <v>5232.5000000000009</v>
      </c>
      <c r="CG30" s="31">
        <f t="shared" si="58"/>
        <v>0</v>
      </c>
      <c r="CH30" s="31">
        <f t="shared" si="59"/>
        <v>0</v>
      </c>
      <c r="CI30" s="27"/>
      <c r="CJ30" s="37">
        <f t="shared" si="13"/>
        <v>-1</v>
      </c>
      <c r="CK30" s="36">
        <v>19166.666666666668</v>
      </c>
      <c r="CL30" s="31">
        <f t="shared" si="60"/>
        <v>13934.166666666668</v>
      </c>
      <c r="CM30" s="31">
        <f t="shared" si="61"/>
        <v>5232.5000000000009</v>
      </c>
      <c r="CN30" s="31">
        <f t="shared" si="62"/>
        <v>0</v>
      </c>
      <c r="CO30" s="31">
        <f t="shared" si="63"/>
        <v>0</v>
      </c>
      <c r="CP30" s="27"/>
      <c r="CQ30" s="37">
        <f t="shared" si="14"/>
        <v>-1</v>
      </c>
    </row>
    <row r="31" spans="1:95" s="26" customFormat="1" ht="16" customHeight="1" x14ac:dyDescent="0.2">
      <c r="A31" s="38" t="s">
        <v>55</v>
      </c>
      <c r="B31" s="30">
        <f t="shared" si="0"/>
        <v>199999.99999999997</v>
      </c>
      <c r="C31" s="31">
        <f t="shared" si="0"/>
        <v>145400.00000000003</v>
      </c>
      <c r="D31" s="32">
        <f t="shared" si="0"/>
        <v>54600.000000000007</v>
      </c>
      <c r="E31" s="30">
        <f t="shared" si="15"/>
        <v>66666.666666666672</v>
      </c>
      <c r="F31" s="33">
        <f t="shared" si="15"/>
        <v>48466.666666666672</v>
      </c>
      <c r="G31" s="34">
        <f t="shared" si="15"/>
        <v>18200.000000000004</v>
      </c>
      <c r="H31" s="31">
        <f t="shared" si="1"/>
        <v>221094.84014999997</v>
      </c>
      <c r="I31" s="33">
        <f t="shared" si="1"/>
        <v>83024.609849999993</v>
      </c>
      <c r="J31" s="33">
        <f t="shared" si="1"/>
        <v>304119.45</v>
      </c>
      <c r="K31" s="37">
        <f t="shared" si="2"/>
        <v>3.5617917500000003</v>
      </c>
      <c r="L31" s="36">
        <v>16666.666666666668</v>
      </c>
      <c r="M31" s="31">
        <f t="shared" si="16"/>
        <v>12116.666666666668</v>
      </c>
      <c r="N31" s="31">
        <f t="shared" si="17"/>
        <v>4550.0000000000009</v>
      </c>
      <c r="O31" s="31">
        <f t="shared" si="18"/>
        <v>21070.902719999998</v>
      </c>
      <c r="P31" s="31">
        <f t="shared" si="19"/>
        <v>7912.4572800000005</v>
      </c>
      <c r="Q31" s="33">
        <f>3194.68+1900+16200+7688.68</f>
        <v>28983.360000000001</v>
      </c>
      <c r="R31" s="37">
        <f t="shared" si="3"/>
        <v>0.73900159999999993</v>
      </c>
      <c r="S31" s="36">
        <v>16666.666666666668</v>
      </c>
      <c r="T31" s="31">
        <f t="shared" si="20"/>
        <v>12116.666666666668</v>
      </c>
      <c r="U31" s="31">
        <f t="shared" si="21"/>
        <v>4550.0000000000009</v>
      </c>
      <c r="V31" s="31">
        <f t="shared" si="22"/>
        <v>61271.203769999993</v>
      </c>
      <c r="W31" s="31">
        <f t="shared" si="23"/>
        <v>23008.306230000002</v>
      </c>
      <c r="X31" s="147">
        <f>3000+280+73550.72+7448.79</f>
        <v>84279.51</v>
      </c>
      <c r="Y31" s="37">
        <f t="shared" si="4"/>
        <v>4.0567705999999992</v>
      </c>
      <c r="Z31" s="36">
        <v>16666.666666666668</v>
      </c>
      <c r="AA31" s="31">
        <f t="shared" si="24"/>
        <v>12116.666666666668</v>
      </c>
      <c r="AB31" s="31">
        <f t="shared" si="25"/>
        <v>4550.0000000000009</v>
      </c>
      <c r="AC31" s="31">
        <f t="shared" si="26"/>
        <v>47614.639630000005</v>
      </c>
      <c r="AD31" s="31">
        <f t="shared" si="27"/>
        <v>17880.050370000001</v>
      </c>
      <c r="AE31" s="27">
        <f>3090+13899.2+17571.6+22377.3+7219.28+1337.31</f>
        <v>65494.69</v>
      </c>
      <c r="AF31" s="37">
        <f t="shared" si="5"/>
        <v>2.9296813999999998</v>
      </c>
      <c r="AG31" s="36">
        <v>16666.666666666668</v>
      </c>
      <c r="AH31" s="31">
        <f t="shared" si="28"/>
        <v>12116.666666666668</v>
      </c>
      <c r="AI31" s="31">
        <f t="shared" si="29"/>
        <v>4550.0000000000009</v>
      </c>
      <c r="AJ31" s="31">
        <f t="shared" si="30"/>
        <v>40379.651949999999</v>
      </c>
      <c r="AK31" s="31">
        <f t="shared" si="31"/>
        <v>15163.198050000001</v>
      </c>
      <c r="AL31" s="33">
        <f>245+10312.5+2955+13936.65+23514.5+3294+1285.2</f>
        <v>55542.85</v>
      </c>
      <c r="AM31" s="37">
        <f t="shared" si="6"/>
        <v>2.3325709999999997</v>
      </c>
      <c r="AN31" s="36">
        <v>16666.666666666668</v>
      </c>
      <c r="AO31" s="31">
        <f t="shared" si="32"/>
        <v>12116.666666666668</v>
      </c>
      <c r="AP31" s="31">
        <f t="shared" si="33"/>
        <v>4550.0000000000009</v>
      </c>
      <c r="AQ31" s="31">
        <f t="shared" si="34"/>
        <v>35914.68694</v>
      </c>
      <c r="AR31" s="31">
        <f t="shared" si="35"/>
        <v>13486.533060000002</v>
      </c>
      <c r="AS31" s="27">
        <v>49401.22</v>
      </c>
      <c r="AT31" s="37">
        <f t="shared" si="7"/>
        <v>1.9640732000000001</v>
      </c>
      <c r="AU31" s="36">
        <v>16666.666666666668</v>
      </c>
      <c r="AV31" s="31">
        <f t="shared" si="36"/>
        <v>12116.666666666668</v>
      </c>
      <c r="AW31" s="31">
        <f t="shared" si="37"/>
        <v>4550.0000000000009</v>
      </c>
      <c r="AX31" s="31">
        <f t="shared" si="38"/>
        <v>14843.755139999999</v>
      </c>
      <c r="AY31" s="31">
        <f t="shared" si="39"/>
        <v>5574.0648600000004</v>
      </c>
      <c r="AZ31" s="27">
        <v>20417.82</v>
      </c>
      <c r="BA31" s="37">
        <f t="shared" si="8"/>
        <v>0.22506919999999986</v>
      </c>
      <c r="BB31" s="36">
        <v>16666.666666666668</v>
      </c>
      <c r="BC31" s="31">
        <f t="shared" si="40"/>
        <v>12116.666666666668</v>
      </c>
      <c r="BD31" s="31">
        <f t="shared" si="41"/>
        <v>4550.0000000000009</v>
      </c>
      <c r="BE31" s="31">
        <f t="shared" si="42"/>
        <v>0</v>
      </c>
      <c r="BF31" s="31">
        <f t="shared" si="43"/>
        <v>0</v>
      </c>
      <c r="BG31" s="27"/>
      <c r="BH31" s="37">
        <f t="shared" si="9"/>
        <v>-1</v>
      </c>
      <c r="BI31" s="36">
        <v>16666.666666666668</v>
      </c>
      <c r="BJ31" s="31">
        <f t="shared" si="44"/>
        <v>12116.666666666668</v>
      </c>
      <c r="BK31" s="31">
        <f t="shared" si="45"/>
        <v>4550.0000000000009</v>
      </c>
      <c r="BL31" s="31">
        <f t="shared" si="46"/>
        <v>0</v>
      </c>
      <c r="BM31" s="31">
        <f t="shared" si="47"/>
        <v>0</v>
      </c>
      <c r="BN31" s="27"/>
      <c r="BO31" s="37">
        <f t="shared" si="10"/>
        <v>-1</v>
      </c>
      <c r="BP31" s="36">
        <v>16666.666666666668</v>
      </c>
      <c r="BQ31" s="31">
        <f t="shared" si="48"/>
        <v>12116.666666666668</v>
      </c>
      <c r="BR31" s="31">
        <f t="shared" si="49"/>
        <v>4550.0000000000009</v>
      </c>
      <c r="BS31" s="31">
        <f t="shared" si="50"/>
        <v>0</v>
      </c>
      <c r="BT31" s="31">
        <f t="shared" si="51"/>
        <v>0</v>
      </c>
      <c r="BU31" s="27"/>
      <c r="BV31" s="37">
        <f t="shared" si="11"/>
        <v>-1</v>
      </c>
      <c r="BW31" s="36">
        <v>16666.666666666668</v>
      </c>
      <c r="BX31" s="31">
        <f t="shared" si="52"/>
        <v>12116.666666666668</v>
      </c>
      <c r="BY31" s="31">
        <f t="shared" si="53"/>
        <v>4550.0000000000009</v>
      </c>
      <c r="BZ31" s="31">
        <f t="shared" si="54"/>
        <v>0</v>
      </c>
      <c r="CA31" s="31">
        <f t="shared" si="55"/>
        <v>0</v>
      </c>
      <c r="CB31" s="27"/>
      <c r="CC31" s="37">
        <f t="shared" si="12"/>
        <v>-1</v>
      </c>
      <c r="CD31" s="36">
        <v>16666.666666666668</v>
      </c>
      <c r="CE31" s="31">
        <f t="shared" si="56"/>
        <v>12116.666666666668</v>
      </c>
      <c r="CF31" s="31">
        <f t="shared" si="57"/>
        <v>4550.0000000000009</v>
      </c>
      <c r="CG31" s="31">
        <f t="shared" si="58"/>
        <v>0</v>
      </c>
      <c r="CH31" s="31">
        <f t="shared" si="59"/>
        <v>0</v>
      </c>
      <c r="CI31" s="27"/>
      <c r="CJ31" s="37">
        <f t="shared" si="13"/>
        <v>-1</v>
      </c>
      <c r="CK31" s="36">
        <v>16666.666666666668</v>
      </c>
      <c r="CL31" s="31">
        <f t="shared" si="60"/>
        <v>12116.666666666668</v>
      </c>
      <c r="CM31" s="31">
        <f t="shared" si="61"/>
        <v>4550.0000000000009</v>
      </c>
      <c r="CN31" s="31">
        <f t="shared" si="62"/>
        <v>0</v>
      </c>
      <c r="CO31" s="31">
        <f t="shared" si="63"/>
        <v>0</v>
      </c>
      <c r="CP31" s="27"/>
      <c r="CQ31" s="37">
        <f t="shared" si="14"/>
        <v>-1</v>
      </c>
    </row>
    <row r="32" spans="1:95" s="26" customFormat="1" ht="16" customHeight="1" x14ac:dyDescent="0.2">
      <c r="A32" s="29" t="s">
        <v>107</v>
      </c>
      <c r="B32" s="30">
        <f t="shared" si="0"/>
        <v>4189096.0320000001</v>
      </c>
      <c r="C32" s="31">
        <f t="shared" si="0"/>
        <v>3045472.8152639996</v>
      </c>
      <c r="D32" s="32">
        <f t="shared" si="0"/>
        <v>1143623.2167360003</v>
      </c>
      <c r="E32" s="30">
        <f t="shared" si="15"/>
        <v>2249223.5040000002</v>
      </c>
      <c r="F32" s="33">
        <f t="shared" si="15"/>
        <v>1635185.487408</v>
      </c>
      <c r="G32" s="34">
        <f t="shared" si="15"/>
        <v>614038.01659200015</v>
      </c>
      <c r="H32" s="31">
        <f t="shared" si="1"/>
        <v>1976511.2865799998</v>
      </c>
      <c r="I32" s="33">
        <f t="shared" si="1"/>
        <v>742211.25342000008</v>
      </c>
      <c r="J32" s="33">
        <f t="shared" si="1"/>
        <v>2718722.5399999996</v>
      </c>
      <c r="K32" s="37">
        <f t="shared" si="2"/>
        <v>0.20873827574940695</v>
      </c>
      <c r="L32" s="36">
        <v>590347.82400000002</v>
      </c>
      <c r="M32" s="31">
        <f t="shared" si="16"/>
        <v>429182.86804800003</v>
      </c>
      <c r="N32" s="31">
        <f t="shared" si="17"/>
        <v>161164.95595200002</v>
      </c>
      <c r="O32" s="31">
        <f t="shared" si="18"/>
        <v>142623.97230999992</v>
      </c>
      <c r="P32" s="31">
        <f t="shared" si="19"/>
        <v>53557.55768999998</v>
      </c>
      <c r="Q32" s="33">
        <f>418390.05+506060.45+9019.09+23021.94-(760310)</f>
        <v>196181.52999999991</v>
      </c>
      <c r="R32" s="37">
        <f t="shared" si="3"/>
        <v>-0.6676848426902986</v>
      </c>
      <c r="S32" s="36">
        <v>552958.56000000006</v>
      </c>
      <c r="T32" s="31">
        <f t="shared" si="20"/>
        <v>402000.87312</v>
      </c>
      <c r="U32" s="31">
        <f t="shared" si="21"/>
        <v>150957.68688000002</v>
      </c>
      <c r="V32" s="31">
        <f t="shared" si="22"/>
        <v>391480.44157999998</v>
      </c>
      <c r="W32" s="31">
        <f t="shared" si="23"/>
        <v>147007.09842000002</v>
      </c>
      <c r="X32" s="147">
        <f>523999.46+927.28+8924.4+4636.4</f>
        <v>538487.54</v>
      </c>
      <c r="Y32" s="37">
        <f t="shared" si="4"/>
        <v>-2.6170170871394061E-2</v>
      </c>
      <c r="Z32" s="36">
        <v>552958.56000000006</v>
      </c>
      <c r="AA32" s="31">
        <f t="shared" si="24"/>
        <v>402000.87312</v>
      </c>
      <c r="AB32" s="31">
        <f t="shared" si="25"/>
        <v>150957.68688000002</v>
      </c>
      <c r="AC32" s="31">
        <f t="shared" si="26"/>
        <v>493205.48038000002</v>
      </c>
      <c r="AD32" s="31">
        <f t="shared" si="27"/>
        <v>185206.45962000004</v>
      </c>
      <c r="AE32" s="27">
        <f>643241.62+11125.28+24045.04</f>
        <v>678411.94000000006</v>
      </c>
      <c r="AF32" s="37">
        <f t="shared" si="5"/>
        <v>0.22687663972504546</v>
      </c>
      <c r="AG32" s="36">
        <v>552958.56000000006</v>
      </c>
      <c r="AH32" s="31">
        <f t="shared" si="28"/>
        <v>402000.87312</v>
      </c>
      <c r="AI32" s="31">
        <f t="shared" si="29"/>
        <v>150957.68688000002</v>
      </c>
      <c r="AJ32" s="31">
        <f t="shared" si="30"/>
        <v>412998.64558999997</v>
      </c>
      <c r="AK32" s="31">
        <f t="shared" si="31"/>
        <v>155087.52440999998</v>
      </c>
      <c r="AL32" s="27">
        <f>522132.17+14227.92+31726.08</f>
        <v>568086.16999999993</v>
      </c>
      <c r="AM32" s="37">
        <f t="shared" si="6"/>
        <v>2.7357583541160579E-2</v>
      </c>
      <c r="AN32" s="36">
        <v>552958.56000000006</v>
      </c>
      <c r="AO32" s="31">
        <f t="shared" si="32"/>
        <v>402000.87312</v>
      </c>
      <c r="AP32" s="31">
        <f t="shared" si="33"/>
        <v>150957.68688000002</v>
      </c>
      <c r="AQ32" s="31">
        <f t="shared" si="34"/>
        <v>305279.50633</v>
      </c>
      <c r="AR32" s="31">
        <f t="shared" si="35"/>
        <v>114637.28367000002</v>
      </c>
      <c r="AS32" s="27">
        <v>419916.79000000004</v>
      </c>
      <c r="AT32" s="37">
        <f t="shared" si="7"/>
        <v>-0.2405998923318956</v>
      </c>
      <c r="AU32" s="36">
        <v>596958.56000000006</v>
      </c>
      <c r="AV32" s="31">
        <f t="shared" si="36"/>
        <v>433988.87312</v>
      </c>
      <c r="AW32" s="31">
        <f t="shared" si="37"/>
        <v>162969.68688000002</v>
      </c>
      <c r="AX32" s="31">
        <f t="shared" si="38"/>
        <v>230923.24038999999</v>
      </c>
      <c r="AY32" s="31">
        <f t="shared" si="39"/>
        <v>86715.329610000015</v>
      </c>
      <c r="AZ32" s="27">
        <v>317638.57</v>
      </c>
      <c r="BA32" s="37">
        <f t="shared" si="8"/>
        <v>-0.46790515911188213</v>
      </c>
      <c r="BB32" s="36">
        <v>358755.408</v>
      </c>
      <c r="BC32" s="31">
        <f t="shared" si="40"/>
        <v>260815.18161599999</v>
      </c>
      <c r="BD32" s="31">
        <f t="shared" si="41"/>
        <v>97940.226384000009</v>
      </c>
      <c r="BE32" s="31">
        <f t="shared" si="42"/>
        <v>0</v>
      </c>
      <c r="BF32" s="31">
        <f t="shared" si="43"/>
        <v>0</v>
      </c>
      <c r="BG32" s="27"/>
      <c r="BH32" s="37">
        <f t="shared" si="9"/>
        <v>-1</v>
      </c>
      <c r="BI32" s="36">
        <v>418880</v>
      </c>
      <c r="BJ32" s="31">
        <f t="shared" si="44"/>
        <v>304525.76</v>
      </c>
      <c r="BK32" s="31">
        <f t="shared" si="45"/>
        <v>114354.24000000001</v>
      </c>
      <c r="BL32" s="31">
        <f t="shared" si="46"/>
        <v>0</v>
      </c>
      <c r="BM32" s="31">
        <f t="shared" si="47"/>
        <v>0</v>
      </c>
      <c r="BN32" s="27"/>
      <c r="BO32" s="37">
        <f t="shared" si="10"/>
        <v>-1</v>
      </c>
      <c r="BP32" s="36">
        <v>6160</v>
      </c>
      <c r="BQ32" s="31">
        <f t="shared" si="48"/>
        <v>4478.32</v>
      </c>
      <c r="BR32" s="31">
        <f t="shared" si="49"/>
        <v>1681.68</v>
      </c>
      <c r="BS32" s="31">
        <f t="shared" si="50"/>
        <v>0</v>
      </c>
      <c r="BT32" s="31">
        <f t="shared" si="51"/>
        <v>0</v>
      </c>
      <c r="BU32" s="27"/>
      <c r="BV32" s="37">
        <f t="shared" si="11"/>
        <v>-1</v>
      </c>
      <c r="BW32" s="36">
        <v>6160</v>
      </c>
      <c r="BX32" s="31">
        <f t="shared" si="52"/>
        <v>4478.32</v>
      </c>
      <c r="BY32" s="31">
        <f t="shared" si="53"/>
        <v>1681.68</v>
      </c>
      <c r="BZ32" s="31">
        <f t="shared" si="54"/>
        <v>0</v>
      </c>
      <c r="CA32" s="31">
        <f t="shared" si="55"/>
        <v>0</v>
      </c>
      <c r="CB32" s="27"/>
      <c r="CC32" s="37">
        <f t="shared" si="12"/>
        <v>-1</v>
      </c>
      <c r="CD32" s="36">
        <v>0</v>
      </c>
      <c r="CE32" s="31">
        <f t="shared" si="56"/>
        <v>0</v>
      </c>
      <c r="CF32" s="31">
        <f t="shared" si="57"/>
        <v>0</v>
      </c>
      <c r="CG32" s="31">
        <f t="shared" si="58"/>
        <v>0</v>
      </c>
      <c r="CH32" s="31">
        <f t="shared" si="59"/>
        <v>0</v>
      </c>
      <c r="CI32" s="27"/>
      <c r="CJ32" s="37" t="str">
        <f t="shared" si="13"/>
        <v/>
      </c>
      <c r="CK32" s="36">
        <v>0</v>
      </c>
      <c r="CL32" s="31">
        <f t="shared" si="60"/>
        <v>0</v>
      </c>
      <c r="CM32" s="31">
        <f t="shared" si="61"/>
        <v>0</v>
      </c>
      <c r="CN32" s="31">
        <f t="shared" si="62"/>
        <v>0</v>
      </c>
      <c r="CO32" s="31">
        <f t="shared" si="63"/>
        <v>0</v>
      </c>
      <c r="CP32" s="27"/>
      <c r="CQ32" s="37" t="str">
        <f t="shared" si="14"/>
        <v/>
      </c>
    </row>
    <row r="33" spans="1:95" s="26" customFormat="1" ht="16" customHeight="1" x14ac:dyDescent="0.2">
      <c r="A33" s="29" t="s">
        <v>57</v>
      </c>
      <c r="B33" s="30">
        <f t="shared" si="0"/>
        <v>2530612.2448979598</v>
      </c>
      <c r="C33" s="31">
        <f t="shared" si="0"/>
        <v>1839755.1020408163</v>
      </c>
      <c r="D33" s="32">
        <f t="shared" si="0"/>
        <v>690857.14285714307</v>
      </c>
      <c r="E33" s="30">
        <f t="shared" si="15"/>
        <v>1591836.7346938779</v>
      </c>
      <c r="F33" s="33">
        <f t="shared" si="15"/>
        <v>1157265.306122449</v>
      </c>
      <c r="G33" s="34">
        <f t="shared" si="15"/>
        <v>434571.42857142864</v>
      </c>
      <c r="H33" s="31">
        <f t="shared" si="1"/>
        <v>1550152.2784599999</v>
      </c>
      <c r="I33" s="33">
        <f t="shared" si="1"/>
        <v>582106.70153999992</v>
      </c>
      <c r="J33" s="33">
        <f t="shared" si="1"/>
        <v>2132258.98</v>
      </c>
      <c r="K33" s="37">
        <f t="shared" si="2"/>
        <v>0.33949602589743555</v>
      </c>
      <c r="L33" s="36">
        <v>367346.93877551024</v>
      </c>
      <c r="M33" s="31">
        <f t="shared" si="16"/>
        <v>267061.22448979592</v>
      </c>
      <c r="N33" s="31">
        <f t="shared" si="17"/>
        <v>100285.7142857143</v>
      </c>
      <c r="O33" s="31">
        <f t="shared" si="18"/>
        <v>227221.49452000001</v>
      </c>
      <c r="P33" s="31">
        <f t="shared" si="19"/>
        <v>85325.265480000002</v>
      </c>
      <c r="Q33" s="33">
        <f>229201.87+83344.89</f>
        <v>312546.76</v>
      </c>
      <c r="R33" s="37">
        <f t="shared" si="3"/>
        <v>-0.14917826444444449</v>
      </c>
      <c r="S33" s="36">
        <v>408163.26530612248</v>
      </c>
      <c r="T33" s="31">
        <f t="shared" si="20"/>
        <v>296734.69387755101</v>
      </c>
      <c r="U33" s="31">
        <f t="shared" si="21"/>
        <v>111428.57142857145</v>
      </c>
      <c r="V33" s="31">
        <f t="shared" si="22"/>
        <v>79860.971809999988</v>
      </c>
      <c r="W33" s="31">
        <f t="shared" si="23"/>
        <v>29989.058190000003</v>
      </c>
      <c r="X33" s="147">
        <v>109850.03</v>
      </c>
      <c r="Y33" s="37">
        <f t="shared" si="4"/>
        <v>-0.73086742650000003</v>
      </c>
      <c r="Z33" s="36">
        <v>408163.26530612248</v>
      </c>
      <c r="AA33" s="31">
        <f t="shared" si="24"/>
        <v>296734.69387755101</v>
      </c>
      <c r="AB33" s="31">
        <f t="shared" si="25"/>
        <v>111428.57142857145</v>
      </c>
      <c r="AC33" s="31">
        <f t="shared" si="26"/>
        <v>457671.33432000002</v>
      </c>
      <c r="AD33" s="31">
        <f t="shared" si="27"/>
        <v>171862.82568000001</v>
      </c>
      <c r="AE33" s="27">
        <v>629534.16</v>
      </c>
      <c r="AF33" s="37">
        <f t="shared" si="5"/>
        <v>0.54235869199999986</v>
      </c>
      <c r="AG33" s="36">
        <v>408163.26530612248</v>
      </c>
      <c r="AH33" s="31">
        <f t="shared" si="28"/>
        <v>296734.69387755101</v>
      </c>
      <c r="AI33" s="31">
        <f t="shared" si="29"/>
        <v>111428.57142857145</v>
      </c>
      <c r="AJ33" s="31">
        <f t="shared" si="30"/>
        <v>391010.21797999996</v>
      </c>
      <c r="AK33" s="31">
        <f t="shared" si="31"/>
        <v>146830.52202</v>
      </c>
      <c r="AL33" s="27">
        <v>537840.74</v>
      </c>
      <c r="AM33" s="37">
        <f t="shared" si="6"/>
        <v>0.31770981299999979</v>
      </c>
      <c r="AN33" s="36">
        <v>408163.26530612248</v>
      </c>
      <c r="AO33" s="31">
        <f t="shared" si="32"/>
        <v>296734.69387755101</v>
      </c>
      <c r="AP33" s="31">
        <f t="shared" si="33"/>
        <v>111428.57142857145</v>
      </c>
      <c r="AQ33" s="31">
        <f t="shared" si="34"/>
        <v>315749.20780999999</v>
      </c>
      <c r="AR33" s="31">
        <f t="shared" si="35"/>
        <v>118568.82219000002</v>
      </c>
      <c r="AS33" s="27">
        <v>434318.03</v>
      </c>
      <c r="AT33" s="37">
        <f t="shared" si="7"/>
        <v>6.407917349999992E-2</v>
      </c>
      <c r="AU33" s="36">
        <v>408163.26530612248</v>
      </c>
      <c r="AV33" s="31">
        <f t="shared" si="36"/>
        <v>296734.69387755101</v>
      </c>
      <c r="AW33" s="31">
        <f t="shared" si="37"/>
        <v>111428.57142857145</v>
      </c>
      <c r="AX33" s="31">
        <f t="shared" si="38"/>
        <v>78639.052020000003</v>
      </c>
      <c r="AY33" s="31">
        <f t="shared" si="39"/>
        <v>29530.207979999999</v>
      </c>
      <c r="AZ33" s="27">
        <v>108169.26</v>
      </c>
      <c r="BA33" s="37">
        <f t="shared" si="8"/>
        <v>-0.73498531300000003</v>
      </c>
      <c r="BB33" s="36">
        <v>122448.97959183673</v>
      </c>
      <c r="BC33" s="31">
        <f t="shared" si="40"/>
        <v>89020.408163265296</v>
      </c>
      <c r="BD33" s="31">
        <f t="shared" si="41"/>
        <v>33428.571428571428</v>
      </c>
      <c r="BE33" s="31">
        <f t="shared" si="42"/>
        <v>0</v>
      </c>
      <c r="BF33" s="31">
        <f t="shared" si="43"/>
        <v>0</v>
      </c>
      <c r="BG33" s="27"/>
      <c r="BH33" s="37">
        <f t="shared" si="9"/>
        <v>-1</v>
      </c>
      <c r="BI33" s="36">
        <v>0</v>
      </c>
      <c r="BJ33" s="31">
        <f t="shared" si="44"/>
        <v>0</v>
      </c>
      <c r="BK33" s="31">
        <f t="shared" si="45"/>
        <v>0</v>
      </c>
      <c r="BL33" s="31">
        <f t="shared" si="46"/>
        <v>0</v>
      </c>
      <c r="BM33" s="31">
        <f t="shared" si="47"/>
        <v>0</v>
      </c>
      <c r="BN33" s="27"/>
      <c r="BO33" s="37" t="str">
        <f t="shared" si="10"/>
        <v/>
      </c>
      <c r="BP33" s="36">
        <v>0</v>
      </c>
      <c r="BQ33" s="31">
        <f t="shared" si="48"/>
        <v>0</v>
      </c>
      <c r="BR33" s="31">
        <f t="shared" si="49"/>
        <v>0</v>
      </c>
      <c r="BS33" s="31">
        <f t="shared" si="50"/>
        <v>0</v>
      </c>
      <c r="BT33" s="31">
        <f t="shared" si="51"/>
        <v>0</v>
      </c>
      <c r="BU33" s="27"/>
      <c r="BV33" s="37" t="str">
        <f t="shared" si="11"/>
        <v/>
      </c>
      <c r="BW33" s="36">
        <v>0</v>
      </c>
      <c r="BX33" s="31">
        <f t="shared" si="52"/>
        <v>0</v>
      </c>
      <c r="BY33" s="31">
        <f t="shared" si="53"/>
        <v>0</v>
      </c>
      <c r="BZ33" s="31">
        <f t="shared" si="54"/>
        <v>0</v>
      </c>
      <c r="CA33" s="31">
        <f t="shared" si="55"/>
        <v>0</v>
      </c>
      <c r="CB33" s="27"/>
      <c r="CC33" s="37" t="str">
        <f t="shared" si="12"/>
        <v/>
      </c>
      <c r="CD33" s="36">
        <v>0</v>
      </c>
      <c r="CE33" s="31">
        <f t="shared" si="56"/>
        <v>0</v>
      </c>
      <c r="CF33" s="31">
        <f t="shared" si="57"/>
        <v>0</v>
      </c>
      <c r="CG33" s="31">
        <f t="shared" si="58"/>
        <v>0</v>
      </c>
      <c r="CH33" s="31">
        <f t="shared" si="59"/>
        <v>0</v>
      </c>
      <c r="CI33" s="27"/>
      <c r="CJ33" s="37" t="str">
        <f t="shared" si="13"/>
        <v/>
      </c>
      <c r="CK33" s="36">
        <v>0</v>
      </c>
      <c r="CL33" s="31">
        <f t="shared" si="60"/>
        <v>0</v>
      </c>
      <c r="CM33" s="31">
        <f t="shared" si="61"/>
        <v>0</v>
      </c>
      <c r="CN33" s="31">
        <f t="shared" si="62"/>
        <v>0</v>
      </c>
      <c r="CO33" s="31">
        <f t="shared" si="63"/>
        <v>0</v>
      </c>
      <c r="CP33" s="27"/>
      <c r="CQ33" s="37" t="str">
        <f t="shared" si="14"/>
        <v/>
      </c>
    </row>
    <row r="34" spans="1:95" s="26" customFormat="1" ht="16" customHeight="1" x14ac:dyDescent="0.2">
      <c r="A34" s="29" t="s">
        <v>108</v>
      </c>
      <c r="B34" s="30">
        <f t="shared" si="0"/>
        <v>922301.96000000008</v>
      </c>
      <c r="C34" s="31">
        <f t="shared" si="0"/>
        <v>670513.52492</v>
      </c>
      <c r="D34" s="32">
        <f t="shared" si="0"/>
        <v>251788.43508000002</v>
      </c>
      <c r="E34" s="30">
        <f t="shared" si="15"/>
        <v>847301.96000000008</v>
      </c>
      <c r="F34" s="33">
        <f t="shared" si="15"/>
        <v>615988.52492</v>
      </c>
      <c r="G34" s="34">
        <f t="shared" si="15"/>
        <v>231313.43508000002</v>
      </c>
      <c r="H34" s="31">
        <f t="shared" si="1"/>
        <v>641765.97475000005</v>
      </c>
      <c r="I34" s="33">
        <f t="shared" si="1"/>
        <v>240993.27525000001</v>
      </c>
      <c r="J34" s="33">
        <f t="shared" si="1"/>
        <v>882759.25</v>
      </c>
      <c r="K34" s="37">
        <f t="shared" si="2"/>
        <v>4.1847289011345934E-2</v>
      </c>
      <c r="L34" s="36">
        <v>482848.9</v>
      </c>
      <c r="M34" s="31">
        <f t="shared" si="16"/>
        <v>351031.15029999998</v>
      </c>
      <c r="N34" s="31">
        <f t="shared" si="17"/>
        <v>131817.74970000001</v>
      </c>
      <c r="O34" s="31">
        <f t="shared" si="18"/>
        <v>611121.11452000006</v>
      </c>
      <c r="P34" s="31">
        <f t="shared" si="19"/>
        <v>229485.64548000001</v>
      </c>
      <c r="Q34" s="33">
        <f>24400.95+55895.81+(760310)</f>
        <v>840606.76</v>
      </c>
      <c r="R34" s="37">
        <f t="shared" si="3"/>
        <v>0.7409312934129082</v>
      </c>
      <c r="S34" s="36">
        <v>364453.06000000006</v>
      </c>
      <c r="T34" s="31">
        <f t="shared" si="20"/>
        <v>264957.37462000002</v>
      </c>
      <c r="U34" s="31">
        <f t="shared" si="21"/>
        <v>99495.685380000024</v>
      </c>
      <c r="V34" s="31">
        <f t="shared" si="22"/>
        <v>30644.860229999998</v>
      </c>
      <c r="W34" s="31">
        <f t="shared" si="23"/>
        <v>11507.62977</v>
      </c>
      <c r="X34" s="147">
        <v>42152.49</v>
      </c>
      <c r="Y34" s="37">
        <f t="shared" si="4"/>
        <v>-0.88434041409886921</v>
      </c>
      <c r="Z34" s="36">
        <v>0</v>
      </c>
      <c r="AA34" s="31">
        <f t="shared" si="24"/>
        <v>0</v>
      </c>
      <c r="AB34" s="31">
        <f t="shared" si="25"/>
        <v>0</v>
      </c>
      <c r="AC34" s="31">
        <f t="shared" si="26"/>
        <v>0</v>
      </c>
      <c r="AD34" s="31">
        <f t="shared" si="27"/>
        <v>0</v>
      </c>
      <c r="AE34" s="27"/>
      <c r="AF34" s="37" t="str">
        <f t="shared" si="5"/>
        <v/>
      </c>
      <c r="AG34" s="36">
        <v>0</v>
      </c>
      <c r="AH34" s="31">
        <f t="shared" si="28"/>
        <v>0</v>
      </c>
      <c r="AI34" s="31">
        <f t="shared" si="29"/>
        <v>0</v>
      </c>
      <c r="AJ34" s="31">
        <f t="shared" si="30"/>
        <v>0</v>
      </c>
      <c r="AK34" s="31">
        <f t="shared" si="31"/>
        <v>0</v>
      </c>
      <c r="AL34" s="27"/>
      <c r="AM34" s="37" t="str">
        <f t="shared" si="6"/>
        <v/>
      </c>
      <c r="AN34" s="36">
        <v>0</v>
      </c>
      <c r="AO34" s="31">
        <f t="shared" si="32"/>
        <v>0</v>
      </c>
      <c r="AP34" s="31">
        <f t="shared" si="33"/>
        <v>0</v>
      </c>
      <c r="AQ34" s="31">
        <f t="shared" si="34"/>
        <v>0</v>
      </c>
      <c r="AR34" s="31">
        <f t="shared" si="35"/>
        <v>0</v>
      </c>
      <c r="AS34" s="27"/>
      <c r="AT34" s="37" t="str">
        <f t="shared" si="7"/>
        <v/>
      </c>
      <c r="AU34" s="36">
        <v>0</v>
      </c>
      <c r="AV34" s="31">
        <f t="shared" si="36"/>
        <v>0</v>
      </c>
      <c r="AW34" s="31">
        <f t="shared" si="37"/>
        <v>0</v>
      </c>
      <c r="AX34" s="31">
        <f t="shared" si="38"/>
        <v>0</v>
      </c>
      <c r="AY34" s="31">
        <f t="shared" si="39"/>
        <v>0</v>
      </c>
      <c r="AZ34" s="27"/>
      <c r="BA34" s="37" t="str">
        <f t="shared" si="8"/>
        <v/>
      </c>
      <c r="BB34" s="36">
        <v>25000</v>
      </c>
      <c r="BC34" s="31">
        <f t="shared" si="40"/>
        <v>18175</v>
      </c>
      <c r="BD34" s="31">
        <f t="shared" si="41"/>
        <v>6825.0000000000009</v>
      </c>
      <c r="BE34" s="31">
        <f t="shared" si="42"/>
        <v>0</v>
      </c>
      <c r="BF34" s="31">
        <f t="shared" si="43"/>
        <v>0</v>
      </c>
      <c r="BG34" s="27"/>
      <c r="BH34" s="37">
        <f t="shared" si="9"/>
        <v>-1</v>
      </c>
      <c r="BI34" s="36">
        <v>50000</v>
      </c>
      <c r="BJ34" s="31">
        <f t="shared" si="44"/>
        <v>36350</v>
      </c>
      <c r="BK34" s="31">
        <f t="shared" si="45"/>
        <v>13650.000000000002</v>
      </c>
      <c r="BL34" s="31">
        <f t="shared" si="46"/>
        <v>0</v>
      </c>
      <c r="BM34" s="31">
        <f t="shared" si="47"/>
        <v>0</v>
      </c>
      <c r="BN34" s="27"/>
      <c r="BO34" s="37">
        <f t="shared" si="10"/>
        <v>-1</v>
      </c>
      <c r="BP34" s="36">
        <v>0</v>
      </c>
      <c r="BQ34" s="31">
        <f t="shared" si="48"/>
        <v>0</v>
      </c>
      <c r="BR34" s="31">
        <f t="shared" si="49"/>
        <v>0</v>
      </c>
      <c r="BS34" s="31">
        <f t="shared" si="50"/>
        <v>0</v>
      </c>
      <c r="BT34" s="31">
        <f t="shared" si="51"/>
        <v>0</v>
      </c>
      <c r="BU34" s="27"/>
      <c r="BV34" s="37" t="str">
        <f t="shared" si="11"/>
        <v/>
      </c>
      <c r="BW34" s="36">
        <v>0</v>
      </c>
      <c r="BX34" s="31">
        <f t="shared" si="52"/>
        <v>0</v>
      </c>
      <c r="BY34" s="31">
        <f t="shared" si="53"/>
        <v>0</v>
      </c>
      <c r="BZ34" s="31">
        <f t="shared" si="54"/>
        <v>0</v>
      </c>
      <c r="CA34" s="31">
        <f t="shared" si="55"/>
        <v>0</v>
      </c>
      <c r="CB34" s="27"/>
      <c r="CC34" s="37" t="str">
        <f t="shared" si="12"/>
        <v/>
      </c>
      <c r="CD34" s="36">
        <v>0</v>
      </c>
      <c r="CE34" s="31">
        <f t="shared" si="56"/>
        <v>0</v>
      </c>
      <c r="CF34" s="31">
        <f t="shared" si="57"/>
        <v>0</v>
      </c>
      <c r="CG34" s="31">
        <f t="shared" si="58"/>
        <v>0</v>
      </c>
      <c r="CH34" s="31">
        <f t="shared" si="59"/>
        <v>0</v>
      </c>
      <c r="CI34" s="27"/>
      <c r="CJ34" s="37" t="str">
        <f t="shared" si="13"/>
        <v/>
      </c>
      <c r="CK34" s="36">
        <v>0</v>
      </c>
      <c r="CL34" s="31">
        <f t="shared" si="60"/>
        <v>0</v>
      </c>
      <c r="CM34" s="31">
        <f t="shared" si="61"/>
        <v>0</v>
      </c>
      <c r="CN34" s="31">
        <f t="shared" si="62"/>
        <v>0</v>
      </c>
      <c r="CO34" s="31">
        <f t="shared" si="63"/>
        <v>0</v>
      </c>
      <c r="CP34" s="27"/>
      <c r="CQ34" s="37" t="str">
        <f t="shared" si="14"/>
        <v/>
      </c>
    </row>
    <row r="35" spans="1:95" s="26" customFormat="1" ht="16" customHeight="1" x14ac:dyDescent="0.2">
      <c r="A35" s="29" t="s">
        <v>59</v>
      </c>
      <c r="B35" s="30">
        <f t="shared" si="0"/>
        <v>318367.3469387755</v>
      </c>
      <c r="C35" s="31">
        <f t="shared" si="0"/>
        <v>231453.06122448979</v>
      </c>
      <c r="D35" s="32">
        <f t="shared" si="0"/>
        <v>86914.285714285725</v>
      </c>
      <c r="E35" s="30">
        <f t="shared" si="15"/>
        <v>318367.3469387755</v>
      </c>
      <c r="F35" s="33">
        <f t="shared" si="15"/>
        <v>231453.06122448979</v>
      </c>
      <c r="G35" s="34">
        <f t="shared" si="15"/>
        <v>86914.285714285725</v>
      </c>
      <c r="H35" s="31">
        <f t="shared" si="1"/>
        <v>176069.57822999998</v>
      </c>
      <c r="I35" s="33">
        <f t="shared" si="1"/>
        <v>66116.911770000006</v>
      </c>
      <c r="J35" s="33">
        <f t="shared" si="1"/>
        <v>242186.49</v>
      </c>
      <c r="K35" s="37">
        <f t="shared" si="2"/>
        <v>-0.23928602499999996</v>
      </c>
      <c r="L35" s="36">
        <v>183673.46938775512</v>
      </c>
      <c r="M35" s="31">
        <f t="shared" si="16"/>
        <v>133530.61224489796</v>
      </c>
      <c r="N35" s="31">
        <f t="shared" si="17"/>
        <v>50142.857142857152</v>
      </c>
      <c r="O35" s="31">
        <f t="shared" si="18"/>
        <v>170864.03285999998</v>
      </c>
      <c r="P35" s="31">
        <f t="shared" si="19"/>
        <v>64162.147140000001</v>
      </c>
      <c r="Q35" s="33">
        <f>22542.07+212484.11</f>
        <v>235026.18</v>
      </c>
      <c r="R35" s="37">
        <f t="shared" si="3"/>
        <v>0.27958697999999993</v>
      </c>
      <c r="S35" s="36">
        <v>134693.87755102041</v>
      </c>
      <c r="T35" s="31">
        <f t="shared" si="20"/>
        <v>97922.448979591834</v>
      </c>
      <c r="U35" s="31">
        <f t="shared" si="21"/>
        <v>36771.428571428572</v>
      </c>
      <c r="V35" s="31">
        <f t="shared" si="22"/>
        <v>5205.5453699999998</v>
      </c>
      <c r="W35" s="31">
        <f t="shared" si="23"/>
        <v>1954.7646300000004</v>
      </c>
      <c r="X35" s="147">
        <v>7160.31</v>
      </c>
      <c r="Y35" s="37">
        <f t="shared" si="4"/>
        <v>-0.94684012272727269</v>
      </c>
      <c r="Z35" s="36">
        <v>0</v>
      </c>
      <c r="AA35" s="31">
        <f t="shared" si="24"/>
        <v>0</v>
      </c>
      <c r="AB35" s="31">
        <f t="shared" si="25"/>
        <v>0</v>
      </c>
      <c r="AC35" s="31">
        <f t="shared" si="26"/>
        <v>0</v>
      </c>
      <c r="AD35" s="31">
        <f t="shared" si="27"/>
        <v>0</v>
      </c>
      <c r="AE35" s="27"/>
      <c r="AF35" s="37" t="str">
        <f t="shared" si="5"/>
        <v/>
      </c>
      <c r="AG35" s="36">
        <v>0</v>
      </c>
      <c r="AH35" s="31">
        <f t="shared" si="28"/>
        <v>0</v>
      </c>
      <c r="AI35" s="31">
        <f t="shared" si="29"/>
        <v>0</v>
      </c>
      <c r="AJ35" s="31">
        <f t="shared" si="30"/>
        <v>0</v>
      </c>
      <c r="AK35" s="31">
        <f t="shared" si="31"/>
        <v>0</v>
      </c>
      <c r="AL35" s="27"/>
      <c r="AM35" s="37" t="str">
        <f t="shared" si="6"/>
        <v/>
      </c>
      <c r="AN35" s="36">
        <v>0</v>
      </c>
      <c r="AO35" s="31">
        <f t="shared" si="32"/>
        <v>0</v>
      </c>
      <c r="AP35" s="31">
        <f t="shared" si="33"/>
        <v>0</v>
      </c>
      <c r="AQ35" s="31">
        <f t="shared" si="34"/>
        <v>0</v>
      </c>
      <c r="AR35" s="31">
        <f t="shared" si="35"/>
        <v>0</v>
      </c>
      <c r="AS35" s="27"/>
      <c r="AT35" s="37" t="str">
        <f t="shared" si="7"/>
        <v/>
      </c>
      <c r="AU35" s="36">
        <v>0</v>
      </c>
      <c r="AV35" s="31">
        <f t="shared" si="36"/>
        <v>0</v>
      </c>
      <c r="AW35" s="31">
        <f t="shared" si="37"/>
        <v>0</v>
      </c>
      <c r="AX35" s="31">
        <f t="shared" si="38"/>
        <v>0</v>
      </c>
      <c r="AY35" s="31">
        <f t="shared" si="39"/>
        <v>0</v>
      </c>
      <c r="AZ35" s="27"/>
      <c r="BA35" s="37" t="str">
        <f t="shared" si="8"/>
        <v/>
      </c>
      <c r="BB35" s="36">
        <v>0</v>
      </c>
      <c r="BC35" s="31">
        <f t="shared" si="40"/>
        <v>0</v>
      </c>
      <c r="BD35" s="31">
        <f t="shared" si="41"/>
        <v>0</v>
      </c>
      <c r="BE35" s="31">
        <f t="shared" si="42"/>
        <v>0</v>
      </c>
      <c r="BF35" s="31">
        <f t="shared" si="43"/>
        <v>0</v>
      </c>
      <c r="BG35" s="27"/>
      <c r="BH35" s="37" t="str">
        <f t="shared" si="9"/>
        <v/>
      </c>
      <c r="BI35" s="36">
        <v>0</v>
      </c>
      <c r="BJ35" s="31">
        <f t="shared" si="44"/>
        <v>0</v>
      </c>
      <c r="BK35" s="31">
        <f t="shared" si="45"/>
        <v>0</v>
      </c>
      <c r="BL35" s="31">
        <f t="shared" si="46"/>
        <v>0</v>
      </c>
      <c r="BM35" s="31">
        <f t="shared" si="47"/>
        <v>0</v>
      </c>
      <c r="BN35" s="27"/>
      <c r="BO35" s="37" t="str">
        <f t="shared" si="10"/>
        <v/>
      </c>
      <c r="BP35" s="36">
        <v>0</v>
      </c>
      <c r="BQ35" s="31">
        <f t="shared" si="48"/>
        <v>0</v>
      </c>
      <c r="BR35" s="31">
        <f t="shared" si="49"/>
        <v>0</v>
      </c>
      <c r="BS35" s="31">
        <f t="shared" si="50"/>
        <v>0</v>
      </c>
      <c r="BT35" s="31">
        <f t="shared" si="51"/>
        <v>0</v>
      </c>
      <c r="BU35" s="27"/>
      <c r="BV35" s="37" t="str">
        <f t="shared" si="11"/>
        <v/>
      </c>
      <c r="BW35" s="36">
        <v>0</v>
      </c>
      <c r="BX35" s="31">
        <f t="shared" si="52"/>
        <v>0</v>
      </c>
      <c r="BY35" s="31">
        <f t="shared" si="53"/>
        <v>0</v>
      </c>
      <c r="BZ35" s="31">
        <f t="shared" si="54"/>
        <v>0</v>
      </c>
      <c r="CA35" s="31">
        <f t="shared" si="55"/>
        <v>0</v>
      </c>
      <c r="CB35" s="27"/>
      <c r="CC35" s="37" t="str">
        <f t="shared" si="12"/>
        <v/>
      </c>
      <c r="CD35" s="36">
        <v>0</v>
      </c>
      <c r="CE35" s="31">
        <f t="shared" si="56"/>
        <v>0</v>
      </c>
      <c r="CF35" s="31">
        <f t="shared" si="57"/>
        <v>0</v>
      </c>
      <c r="CG35" s="31">
        <f t="shared" si="58"/>
        <v>0</v>
      </c>
      <c r="CH35" s="31">
        <f t="shared" si="59"/>
        <v>0</v>
      </c>
      <c r="CI35" s="27"/>
      <c r="CJ35" s="37" t="str">
        <f t="shared" si="13"/>
        <v/>
      </c>
      <c r="CK35" s="36">
        <v>0</v>
      </c>
      <c r="CL35" s="31">
        <f t="shared" si="60"/>
        <v>0</v>
      </c>
      <c r="CM35" s="31">
        <f t="shared" si="61"/>
        <v>0</v>
      </c>
      <c r="CN35" s="31">
        <f t="shared" si="62"/>
        <v>0</v>
      </c>
      <c r="CO35" s="31">
        <f t="shared" si="63"/>
        <v>0</v>
      </c>
      <c r="CP35" s="27"/>
      <c r="CQ35" s="37" t="str">
        <f t="shared" si="14"/>
        <v/>
      </c>
    </row>
    <row r="36" spans="1:95" s="26" customFormat="1" ht="16" customHeight="1" x14ac:dyDescent="0.2">
      <c r="A36" s="38" t="s">
        <v>60</v>
      </c>
      <c r="B36" s="30">
        <f t="shared" ref="B36:D54" si="64">+L36+S36+Z36+AG36+AN36+AU36+BB36+BI36+BP36+BW36+CD36+CK36</f>
        <v>350000.00000000006</v>
      </c>
      <c r="C36" s="31">
        <f t="shared" si="64"/>
        <v>254449.99999999997</v>
      </c>
      <c r="D36" s="32">
        <f t="shared" si="64"/>
        <v>95550.000000000015</v>
      </c>
      <c r="E36" s="30">
        <f t="shared" si="15"/>
        <v>116666.66666666667</v>
      </c>
      <c r="F36" s="33">
        <f t="shared" si="15"/>
        <v>84816.666666666672</v>
      </c>
      <c r="G36" s="34">
        <f t="shared" si="15"/>
        <v>31850.000000000004</v>
      </c>
      <c r="H36" s="31">
        <f t="shared" ref="H36:J54" si="65">+O36+V36+AC36+AJ36+AQ36+AX36+BE36+BL36+BS36+BZ36+CG36+CN36</f>
        <v>176498.91535000002</v>
      </c>
      <c r="I36" s="33">
        <f t="shared" si="65"/>
        <v>66278.134650000007</v>
      </c>
      <c r="J36" s="33">
        <f t="shared" si="65"/>
        <v>242777.05</v>
      </c>
      <c r="K36" s="37">
        <f t="shared" si="2"/>
        <v>1.0809461428571425</v>
      </c>
      <c r="L36" s="36">
        <v>29166.666666666668</v>
      </c>
      <c r="M36" s="31">
        <f t="shared" si="16"/>
        <v>21204.166666666668</v>
      </c>
      <c r="N36" s="31">
        <f t="shared" si="17"/>
        <v>7962.5000000000009</v>
      </c>
      <c r="O36" s="31">
        <f t="shared" si="18"/>
        <v>36908.197870000004</v>
      </c>
      <c r="P36" s="31">
        <f t="shared" si="19"/>
        <v>13859.612130000003</v>
      </c>
      <c r="Q36" s="33">
        <f>716+919.8+867+690+764+117.16+829.9+1300+566+462.39+13.72+159.24+960+103.79+50.19+99.81+41.94+771.25+578.75+332.7+999.2+896.8+580+825+116.63+16.47+113.74+457.01+900+900+849.59+665+799+939+284.36+1839.97+896+870+883+98.42+112.32+671.45+550+88.9+95+975.69+980+410+514.99+635+389.4+4725.33+6317.69+826.4+829+900+600+1991.75+1486.99+2175.59+544.44+675.04</f>
        <v>50767.810000000005</v>
      </c>
      <c r="R36" s="37">
        <f t="shared" si="3"/>
        <v>0.74061062857142868</v>
      </c>
      <c r="S36" s="36">
        <v>29166.666666666668</v>
      </c>
      <c r="T36" s="31">
        <f t="shared" si="20"/>
        <v>21204.166666666668</v>
      </c>
      <c r="U36" s="31">
        <f t="shared" si="21"/>
        <v>7962.5000000000009</v>
      </c>
      <c r="V36" s="31">
        <f t="shared" si="22"/>
        <v>27199.032900000002</v>
      </c>
      <c r="W36" s="31">
        <f t="shared" si="23"/>
        <v>10213.667100000002</v>
      </c>
      <c r="X36" s="147">
        <f>2314.54+2014.54+566.62+2468.61+1403.35+1268.77+3506.6+700+126.52+893.4+988.4+595.2+872+494+87.07+834+611.3+178.27+140+850+1360+71.09+750+338+107.02+287.5+954.37+975.8+448.4+999.2+713.9+1993.33+1440+2580+150+921.8+426.5+826.4+919.6+72+164.6</f>
        <v>37412.700000000004</v>
      </c>
      <c r="Y36" s="37">
        <f t="shared" si="4"/>
        <v>0.282721142857143</v>
      </c>
      <c r="Z36" s="36">
        <v>29166.666666666668</v>
      </c>
      <c r="AA36" s="31">
        <f t="shared" si="24"/>
        <v>21204.166666666668</v>
      </c>
      <c r="AB36" s="31">
        <f t="shared" si="25"/>
        <v>7962.5000000000009</v>
      </c>
      <c r="AC36" s="31">
        <f t="shared" si="26"/>
        <v>22244.942290000006</v>
      </c>
      <c r="AD36" s="31">
        <f t="shared" si="27"/>
        <v>8353.3277100000032</v>
      </c>
      <c r="AE36" s="27">
        <f>3352.53+3192.53+900+969.8+693+90.6+119.58+93.23+9.91+10.24+954.12+800+69.67+105.21+54.74+51.18+250+215+735+276.66+226.66+13.74+56.87+354+650+2314.54+900+817.2+312.76+856.9+228+938.1+906.9+429.6+956.08+930.57+660+35+128.56+960+44.74+86.73+637.2+2706.67+87.54+95.3+460.2+861.41</f>
        <v>30598.270000000008</v>
      </c>
      <c r="AF36" s="37">
        <f t="shared" si="5"/>
        <v>4.9083542857143003E-2</v>
      </c>
      <c r="AG36" s="36">
        <v>29166.666666666668</v>
      </c>
      <c r="AH36" s="31">
        <f t="shared" si="28"/>
        <v>21204.166666666668</v>
      </c>
      <c r="AI36" s="31">
        <f t="shared" si="29"/>
        <v>7962.5000000000009</v>
      </c>
      <c r="AJ36" s="31">
        <f t="shared" si="30"/>
        <v>34619.311069999996</v>
      </c>
      <c r="AK36" s="31">
        <f t="shared" si="31"/>
        <v>13000.09893</v>
      </c>
      <c r="AL36" s="27">
        <f>2139.96+2374.54+900+900+350+2649.35+850+992.99+908.88+109.15+759.6+957+1321.32+4.94+6178.83+43.8+80.7+134.04+606+645.45+384.3+965+689.2+960+920.21+34.3+650+17.07+82.32+74.09+131.72+3860+950+2927.34+82.32+720+2927.34+719.2+64.67+405.73+900+970.22+750+414+29.94+967.6+98.79+340+867.5+1810</f>
        <v>47619.409999999996</v>
      </c>
      <c r="AM36" s="37">
        <f t="shared" si="6"/>
        <v>0.63266548571428549</v>
      </c>
      <c r="AN36" s="36">
        <v>29166.666666666668</v>
      </c>
      <c r="AO36" s="31">
        <f t="shared" si="32"/>
        <v>21204.166666666668</v>
      </c>
      <c r="AP36" s="31">
        <f t="shared" si="33"/>
        <v>7962.5000000000009</v>
      </c>
      <c r="AQ36" s="31">
        <f t="shared" si="34"/>
        <v>31226.322099999998</v>
      </c>
      <c r="AR36" s="31">
        <f t="shared" si="35"/>
        <v>11725.9779</v>
      </c>
      <c r="AS36" s="27">
        <v>42952.299999999996</v>
      </c>
      <c r="AT36" s="37">
        <f t="shared" si="7"/>
        <v>0.47265028571428558</v>
      </c>
      <c r="AU36" s="36">
        <v>29166.666666666668</v>
      </c>
      <c r="AV36" s="31">
        <f t="shared" si="36"/>
        <v>21204.166666666668</v>
      </c>
      <c r="AW36" s="31">
        <f t="shared" si="37"/>
        <v>7962.5000000000009</v>
      </c>
      <c r="AX36" s="31">
        <f t="shared" si="38"/>
        <v>24301.109119999994</v>
      </c>
      <c r="AY36" s="31">
        <f t="shared" si="39"/>
        <v>9125.4508799999985</v>
      </c>
      <c r="AZ36" s="27">
        <v>33426.55999999999</v>
      </c>
      <c r="BA36" s="37">
        <f t="shared" si="8"/>
        <v>0.14605348571428545</v>
      </c>
      <c r="BB36" s="36">
        <v>29166.666666666668</v>
      </c>
      <c r="BC36" s="31">
        <f t="shared" si="40"/>
        <v>21204.166666666668</v>
      </c>
      <c r="BD36" s="31">
        <f t="shared" si="41"/>
        <v>7962.5000000000009</v>
      </c>
      <c r="BE36" s="31">
        <f t="shared" si="42"/>
        <v>0</v>
      </c>
      <c r="BF36" s="31">
        <f t="shared" si="43"/>
        <v>0</v>
      </c>
      <c r="BG36" s="27"/>
      <c r="BH36" s="37">
        <f t="shared" si="9"/>
        <v>-1</v>
      </c>
      <c r="BI36" s="36">
        <v>29166.666666666668</v>
      </c>
      <c r="BJ36" s="31">
        <f t="shared" si="44"/>
        <v>21204.166666666668</v>
      </c>
      <c r="BK36" s="31">
        <f t="shared" si="45"/>
        <v>7962.5000000000009</v>
      </c>
      <c r="BL36" s="31">
        <f t="shared" si="46"/>
        <v>0</v>
      </c>
      <c r="BM36" s="31">
        <f t="shared" si="47"/>
        <v>0</v>
      </c>
      <c r="BN36" s="27"/>
      <c r="BO36" s="37">
        <f t="shared" si="10"/>
        <v>-1</v>
      </c>
      <c r="BP36" s="36">
        <v>29166.666666666668</v>
      </c>
      <c r="BQ36" s="31">
        <f t="shared" si="48"/>
        <v>21204.166666666668</v>
      </c>
      <c r="BR36" s="31">
        <f t="shared" si="49"/>
        <v>7962.5000000000009</v>
      </c>
      <c r="BS36" s="31">
        <f t="shared" si="50"/>
        <v>0</v>
      </c>
      <c r="BT36" s="31">
        <f t="shared" si="51"/>
        <v>0</v>
      </c>
      <c r="BU36" s="27"/>
      <c r="BV36" s="37">
        <f t="shared" si="11"/>
        <v>-1</v>
      </c>
      <c r="BW36" s="36">
        <v>29166.666666666668</v>
      </c>
      <c r="BX36" s="31">
        <f t="shared" si="52"/>
        <v>21204.166666666668</v>
      </c>
      <c r="BY36" s="31">
        <f t="shared" si="53"/>
        <v>7962.5000000000009</v>
      </c>
      <c r="BZ36" s="31">
        <f t="shared" si="54"/>
        <v>0</v>
      </c>
      <c r="CA36" s="31">
        <f t="shared" si="55"/>
        <v>0</v>
      </c>
      <c r="CB36" s="27"/>
      <c r="CC36" s="37">
        <f t="shared" si="12"/>
        <v>-1</v>
      </c>
      <c r="CD36" s="36">
        <v>29166.666666666668</v>
      </c>
      <c r="CE36" s="31">
        <f t="shared" si="56"/>
        <v>21204.166666666668</v>
      </c>
      <c r="CF36" s="31">
        <f t="shared" si="57"/>
        <v>7962.5000000000009</v>
      </c>
      <c r="CG36" s="31">
        <f t="shared" si="58"/>
        <v>0</v>
      </c>
      <c r="CH36" s="31">
        <f t="shared" si="59"/>
        <v>0</v>
      </c>
      <c r="CI36" s="27"/>
      <c r="CJ36" s="37">
        <f t="shared" si="13"/>
        <v>-1</v>
      </c>
      <c r="CK36" s="36">
        <v>29166.666666666668</v>
      </c>
      <c r="CL36" s="31">
        <f t="shared" si="60"/>
        <v>21204.166666666668</v>
      </c>
      <c r="CM36" s="31">
        <f t="shared" si="61"/>
        <v>7962.5000000000009</v>
      </c>
      <c r="CN36" s="31">
        <f t="shared" si="62"/>
        <v>0</v>
      </c>
      <c r="CO36" s="31">
        <f t="shared" si="63"/>
        <v>0</v>
      </c>
      <c r="CP36" s="27"/>
      <c r="CQ36" s="37">
        <f t="shared" si="14"/>
        <v>-1</v>
      </c>
    </row>
    <row r="37" spans="1:95" s="26" customFormat="1" ht="16" customHeight="1" x14ac:dyDescent="0.2">
      <c r="A37" s="38" t="s">
        <v>61</v>
      </c>
      <c r="B37" s="30">
        <f t="shared" si="64"/>
        <v>250000.00000000003</v>
      </c>
      <c r="C37" s="31">
        <f t="shared" si="64"/>
        <v>181750</v>
      </c>
      <c r="D37" s="32">
        <f t="shared" si="64"/>
        <v>68250</v>
      </c>
      <c r="E37" s="30">
        <f t="shared" ref="E37:G54" si="66">+L37+S37+Z37+AG37</f>
        <v>83333.333333333328</v>
      </c>
      <c r="F37" s="33">
        <f t="shared" si="66"/>
        <v>60583.333333333328</v>
      </c>
      <c r="G37" s="34">
        <f t="shared" si="66"/>
        <v>22750</v>
      </c>
      <c r="H37" s="31">
        <f t="shared" si="65"/>
        <v>173059.59467000002</v>
      </c>
      <c r="I37" s="33">
        <f t="shared" si="65"/>
        <v>64986.615330000001</v>
      </c>
      <c r="J37" s="33">
        <f t="shared" si="65"/>
        <v>238046.21000000002</v>
      </c>
      <c r="K37" s="37">
        <f t="shared" si="2"/>
        <v>1.8565545200000004</v>
      </c>
      <c r="L37" s="36">
        <v>20833.333333333332</v>
      </c>
      <c r="M37" s="31">
        <f t="shared" si="16"/>
        <v>15145.833333333332</v>
      </c>
      <c r="N37" s="31">
        <f t="shared" si="17"/>
        <v>5687.5</v>
      </c>
      <c r="O37" s="31">
        <f t="shared" si="18"/>
        <v>28573.113789999996</v>
      </c>
      <c r="P37" s="31">
        <f t="shared" si="19"/>
        <v>10729.656209999999</v>
      </c>
      <c r="Q37" s="33">
        <f>(88851.1+544.44+675.04)-Q36</f>
        <v>39302.769999999997</v>
      </c>
      <c r="R37" s="37">
        <f t="shared" si="3"/>
        <v>0.88653296000000004</v>
      </c>
      <c r="S37" s="36">
        <v>20833.333333333332</v>
      </c>
      <c r="T37" s="31">
        <f t="shared" si="20"/>
        <v>15145.833333333332</v>
      </c>
      <c r="U37" s="31">
        <f t="shared" si="21"/>
        <v>5687.5</v>
      </c>
      <c r="V37" s="31">
        <f t="shared" si="22"/>
        <v>22366.838380000008</v>
      </c>
      <c r="W37" s="31">
        <f t="shared" si="23"/>
        <v>8399.1016200000031</v>
      </c>
      <c r="X37" s="147">
        <f>(67022.44+919.6+72+164.6)-X36</f>
        <v>30765.94000000001</v>
      </c>
      <c r="Y37" s="37">
        <f t="shared" si="4"/>
        <v>0.47676512000000049</v>
      </c>
      <c r="Z37" s="36">
        <v>20833.333333333332</v>
      </c>
      <c r="AA37" s="31">
        <f t="shared" si="24"/>
        <v>15145.833333333332</v>
      </c>
      <c r="AB37" s="31">
        <f t="shared" si="25"/>
        <v>5687.5</v>
      </c>
      <c r="AC37" s="31">
        <f t="shared" si="26"/>
        <v>27782.544910000001</v>
      </c>
      <c r="AD37" s="31">
        <f t="shared" si="27"/>
        <v>10432.785090000001</v>
      </c>
      <c r="AE37" s="27">
        <f>68813.6-AE36</f>
        <v>38215.33</v>
      </c>
      <c r="AF37" s="37">
        <f t="shared" si="5"/>
        <v>0.83433584000000027</v>
      </c>
      <c r="AG37" s="36">
        <v>20833.333333333332</v>
      </c>
      <c r="AH37" s="31">
        <f t="shared" si="28"/>
        <v>15145.833333333332</v>
      </c>
      <c r="AI37" s="31">
        <f t="shared" si="29"/>
        <v>5687.5</v>
      </c>
      <c r="AJ37" s="31">
        <f t="shared" si="30"/>
        <v>26448.463560000004</v>
      </c>
      <c r="AK37" s="31">
        <f t="shared" si="31"/>
        <v>9931.8164400000023</v>
      </c>
      <c r="AL37" s="27">
        <f>83999.69-AL36</f>
        <v>36380.280000000006</v>
      </c>
      <c r="AM37" s="37">
        <f t="shared" si="6"/>
        <v>0.74625344000000049</v>
      </c>
      <c r="AN37" s="36">
        <v>20833.333333333332</v>
      </c>
      <c r="AO37" s="31">
        <f t="shared" si="32"/>
        <v>15145.833333333332</v>
      </c>
      <c r="AP37" s="31">
        <f t="shared" si="33"/>
        <v>5687.5</v>
      </c>
      <c r="AQ37" s="31">
        <f t="shared" si="34"/>
        <v>31633.551150000003</v>
      </c>
      <c r="AR37" s="31">
        <f t="shared" si="35"/>
        <v>11878.898850000001</v>
      </c>
      <c r="AS37" s="27">
        <v>43512.450000000004</v>
      </c>
      <c r="AT37" s="37">
        <f t="shared" si="7"/>
        <v>1.0885976000000004</v>
      </c>
      <c r="AU37" s="36">
        <v>20833.333333333332</v>
      </c>
      <c r="AV37" s="31">
        <f t="shared" si="36"/>
        <v>15145.833333333332</v>
      </c>
      <c r="AW37" s="31">
        <f t="shared" si="37"/>
        <v>5687.5</v>
      </c>
      <c r="AX37" s="31">
        <f t="shared" si="38"/>
        <v>36255.082880000002</v>
      </c>
      <c r="AY37" s="31">
        <f t="shared" si="39"/>
        <v>13614.357120000004</v>
      </c>
      <c r="AZ37" s="27">
        <v>49869.44000000001</v>
      </c>
      <c r="BA37" s="37">
        <f t="shared" si="8"/>
        <v>1.3937331200000007</v>
      </c>
      <c r="BB37" s="36">
        <v>20833.333333333332</v>
      </c>
      <c r="BC37" s="31">
        <f t="shared" si="40"/>
        <v>15145.833333333332</v>
      </c>
      <c r="BD37" s="31">
        <f t="shared" si="41"/>
        <v>5687.5</v>
      </c>
      <c r="BE37" s="31">
        <f t="shared" si="42"/>
        <v>0</v>
      </c>
      <c r="BF37" s="31">
        <f t="shared" si="43"/>
        <v>0</v>
      </c>
      <c r="BG37" s="27"/>
      <c r="BH37" s="37">
        <f t="shared" si="9"/>
        <v>-1</v>
      </c>
      <c r="BI37" s="36">
        <v>20833.333333333332</v>
      </c>
      <c r="BJ37" s="31">
        <f t="shared" si="44"/>
        <v>15145.833333333332</v>
      </c>
      <c r="BK37" s="31">
        <f t="shared" si="45"/>
        <v>5687.5</v>
      </c>
      <c r="BL37" s="31">
        <f t="shared" si="46"/>
        <v>0</v>
      </c>
      <c r="BM37" s="31">
        <f t="shared" si="47"/>
        <v>0</v>
      </c>
      <c r="BN37" s="27"/>
      <c r="BO37" s="37">
        <f t="shared" si="10"/>
        <v>-1</v>
      </c>
      <c r="BP37" s="36">
        <v>20833.333333333332</v>
      </c>
      <c r="BQ37" s="31">
        <f t="shared" si="48"/>
        <v>15145.833333333332</v>
      </c>
      <c r="BR37" s="31">
        <f t="shared" si="49"/>
        <v>5687.5</v>
      </c>
      <c r="BS37" s="31">
        <f t="shared" si="50"/>
        <v>0</v>
      </c>
      <c r="BT37" s="31">
        <f t="shared" si="51"/>
        <v>0</v>
      </c>
      <c r="BU37" s="27"/>
      <c r="BV37" s="37">
        <f t="shared" si="11"/>
        <v>-1</v>
      </c>
      <c r="BW37" s="36">
        <v>20833.333333333332</v>
      </c>
      <c r="BX37" s="31">
        <f t="shared" si="52"/>
        <v>15145.833333333332</v>
      </c>
      <c r="BY37" s="31">
        <f t="shared" si="53"/>
        <v>5687.5</v>
      </c>
      <c r="BZ37" s="31">
        <f t="shared" si="54"/>
        <v>0</v>
      </c>
      <c r="CA37" s="31">
        <f t="shared" si="55"/>
        <v>0</v>
      </c>
      <c r="CB37" s="27"/>
      <c r="CC37" s="37">
        <f t="shared" si="12"/>
        <v>-1</v>
      </c>
      <c r="CD37" s="36">
        <v>20833.333333333332</v>
      </c>
      <c r="CE37" s="31">
        <f t="shared" si="56"/>
        <v>15145.833333333332</v>
      </c>
      <c r="CF37" s="31">
        <f t="shared" si="57"/>
        <v>5687.5</v>
      </c>
      <c r="CG37" s="31">
        <f t="shared" si="58"/>
        <v>0</v>
      </c>
      <c r="CH37" s="31">
        <f t="shared" si="59"/>
        <v>0</v>
      </c>
      <c r="CI37" s="27"/>
      <c r="CJ37" s="37">
        <f t="shared" si="13"/>
        <v>-1</v>
      </c>
      <c r="CK37" s="36">
        <v>20833.333333333332</v>
      </c>
      <c r="CL37" s="31">
        <f t="shared" si="60"/>
        <v>15145.833333333332</v>
      </c>
      <c r="CM37" s="31">
        <f t="shared" si="61"/>
        <v>5687.5</v>
      </c>
      <c r="CN37" s="31">
        <f t="shared" si="62"/>
        <v>0</v>
      </c>
      <c r="CO37" s="31">
        <f t="shared" si="63"/>
        <v>0</v>
      </c>
      <c r="CP37" s="27"/>
      <c r="CQ37" s="37">
        <f t="shared" si="14"/>
        <v>-1</v>
      </c>
    </row>
    <row r="38" spans="1:95" s="26" customFormat="1" ht="16" customHeight="1" x14ac:dyDescent="0.2">
      <c r="A38" s="38" t="s">
        <v>62</v>
      </c>
      <c r="B38" s="30">
        <f t="shared" si="64"/>
        <v>30000</v>
      </c>
      <c r="C38" s="31">
        <f t="shared" si="64"/>
        <v>21810</v>
      </c>
      <c r="D38" s="32">
        <f t="shared" si="64"/>
        <v>8190</v>
      </c>
      <c r="E38" s="30">
        <f t="shared" si="66"/>
        <v>10000</v>
      </c>
      <c r="F38" s="33">
        <f t="shared" si="66"/>
        <v>7270</v>
      </c>
      <c r="G38" s="34">
        <f t="shared" si="66"/>
        <v>2730</v>
      </c>
      <c r="H38" s="31">
        <f t="shared" si="65"/>
        <v>69796.27476</v>
      </c>
      <c r="I38" s="33">
        <f t="shared" si="65"/>
        <v>26209.605240000004</v>
      </c>
      <c r="J38" s="33">
        <f t="shared" si="65"/>
        <v>96005.88</v>
      </c>
      <c r="K38" s="37">
        <f t="shared" si="2"/>
        <v>8.6005880000000001</v>
      </c>
      <c r="L38" s="36">
        <v>2500</v>
      </c>
      <c r="M38" s="31">
        <f t="shared" si="16"/>
        <v>1817.5</v>
      </c>
      <c r="N38" s="31">
        <f t="shared" si="17"/>
        <v>682.5</v>
      </c>
      <c r="O38" s="31">
        <f t="shared" si="18"/>
        <v>21575.229889999999</v>
      </c>
      <c r="P38" s="31">
        <f t="shared" si="19"/>
        <v>8101.8401100000001</v>
      </c>
      <c r="Q38" s="33">
        <v>29677.07</v>
      </c>
      <c r="R38" s="37">
        <f t="shared" si="3"/>
        <v>10.870827999999999</v>
      </c>
      <c r="S38" s="36">
        <v>2500</v>
      </c>
      <c r="T38" s="31">
        <f t="shared" si="20"/>
        <v>1817.5</v>
      </c>
      <c r="U38" s="31">
        <f t="shared" si="21"/>
        <v>682.5</v>
      </c>
      <c r="V38" s="31">
        <f t="shared" si="22"/>
        <v>10669.1612</v>
      </c>
      <c r="W38" s="31">
        <f t="shared" si="23"/>
        <v>4006.4388000000004</v>
      </c>
      <c r="X38" s="147">
        <f>14675.6</f>
        <v>14675.6</v>
      </c>
      <c r="Y38" s="37">
        <f t="shared" si="4"/>
        <v>4.8702399999999999</v>
      </c>
      <c r="Z38" s="36">
        <v>2500</v>
      </c>
      <c r="AA38" s="31">
        <f t="shared" si="24"/>
        <v>1817.5</v>
      </c>
      <c r="AB38" s="31">
        <f t="shared" si="25"/>
        <v>682.5</v>
      </c>
      <c r="AC38" s="31">
        <f t="shared" si="26"/>
        <v>11376.437689999999</v>
      </c>
      <c r="AD38" s="31">
        <f t="shared" si="27"/>
        <v>4272.0323100000005</v>
      </c>
      <c r="AE38" s="27">
        <f>15648.47</f>
        <v>15648.47</v>
      </c>
      <c r="AF38" s="37">
        <f t="shared" si="5"/>
        <v>5.2593879999999995</v>
      </c>
      <c r="AG38" s="36">
        <v>2500</v>
      </c>
      <c r="AH38" s="31">
        <f t="shared" si="28"/>
        <v>1817.5</v>
      </c>
      <c r="AI38" s="31">
        <f t="shared" si="29"/>
        <v>682.5</v>
      </c>
      <c r="AJ38" s="31">
        <f t="shared" si="30"/>
        <v>8901.7078799999999</v>
      </c>
      <c r="AK38" s="31">
        <f t="shared" si="31"/>
        <v>3342.7321200000006</v>
      </c>
      <c r="AL38" s="27">
        <v>12244.44</v>
      </c>
      <c r="AM38" s="37">
        <f t="shared" si="6"/>
        <v>3.8977760000000004</v>
      </c>
      <c r="AN38" s="36">
        <v>2500</v>
      </c>
      <c r="AO38" s="31">
        <f t="shared" si="32"/>
        <v>1817.5</v>
      </c>
      <c r="AP38" s="31">
        <f t="shared" si="33"/>
        <v>682.5</v>
      </c>
      <c r="AQ38" s="31">
        <f t="shared" si="34"/>
        <v>12832.74955</v>
      </c>
      <c r="AR38" s="31">
        <f t="shared" si="35"/>
        <v>4818.900450000001</v>
      </c>
      <c r="AS38" s="27">
        <v>17651.650000000001</v>
      </c>
      <c r="AT38" s="37">
        <f t="shared" si="7"/>
        <v>6.0606600000000004</v>
      </c>
      <c r="AU38" s="36">
        <v>2500</v>
      </c>
      <c r="AV38" s="31">
        <f t="shared" si="36"/>
        <v>1817.5</v>
      </c>
      <c r="AW38" s="31">
        <f t="shared" si="37"/>
        <v>682.5</v>
      </c>
      <c r="AX38" s="31">
        <f t="shared" si="38"/>
        <v>4440.98855</v>
      </c>
      <c r="AY38" s="31">
        <f t="shared" si="39"/>
        <v>1667.6614500000001</v>
      </c>
      <c r="AZ38" s="27">
        <v>6108.65</v>
      </c>
      <c r="BA38" s="37">
        <f t="shared" si="8"/>
        <v>1.44346</v>
      </c>
      <c r="BB38" s="36">
        <v>2500</v>
      </c>
      <c r="BC38" s="31">
        <f t="shared" si="40"/>
        <v>1817.5</v>
      </c>
      <c r="BD38" s="31">
        <f t="shared" si="41"/>
        <v>682.5</v>
      </c>
      <c r="BE38" s="31">
        <f t="shared" si="42"/>
        <v>0</v>
      </c>
      <c r="BF38" s="31">
        <f t="shared" si="43"/>
        <v>0</v>
      </c>
      <c r="BG38" s="27"/>
      <c r="BH38" s="37">
        <f t="shared" si="9"/>
        <v>-1</v>
      </c>
      <c r="BI38" s="36">
        <v>2500</v>
      </c>
      <c r="BJ38" s="31">
        <f t="shared" si="44"/>
        <v>1817.5</v>
      </c>
      <c r="BK38" s="31">
        <f t="shared" si="45"/>
        <v>682.5</v>
      </c>
      <c r="BL38" s="31">
        <f t="shared" si="46"/>
        <v>0</v>
      </c>
      <c r="BM38" s="31">
        <f t="shared" si="47"/>
        <v>0</v>
      </c>
      <c r="BN38" s="27"/>
      <c r="BO38" s="37">
        <f t="shared" si="10"/>
        <v>-1</v>
      </c>
      <c r="BP38" s="36">
        <v>2500</v>
      </c>
      <c r="BQ38" s="31">
        <f t="shared" si="48"/>
        <v>1817.5</v>
      </c>
      <c r="BR38" s="31">
        <f t="shared" si="49"/>
        <v>682.5</v>
      </c>
      <c r="BS38" s="31">
        <f t="shared" si="50"/>
        <v>0</v>
      </c>
      <c r="BT38" s="31">
        <f t="shared" si="51"/>
        <v>0</v>
      </c>
      <c r="BU38" s="27"/>
      <c r="BV38" s="37">
        <f t="shared" si="11"/>
        <v>-1</v>
      </c>
      <c r="BW38" s="36">
        <v>2500</v>
      </c>
      <c r="BX38" s="31">
        <f t="shared" si="52"/>
        <v>1817.5</v>
      </c>
      <c r="BY38" s="31">
        <f t="shared" si="53"/>
        <v>682.5</v>
      </c>
      <c r="BZ38" s="31">
        <f t="shared" si="54"/>
        <v>0</v>
      </c>
      <c r="CA38" s="31">
        <f t="shared" si="55"/>
        <v>0</v>
      </c>
      <c r="CB38" s="27"/>
      <c r="CC38" s="37">
        <f t="shared" si="12"/>
        <v>-1</v>
      </c>
      <c r="CD38" s="36">
        <v>2500</v>
      </c>
      <c r="CE38" s="31">
        <f t="shared" si="56"/>
        <v>1817.5</v>
      </c>
      <c r="CF38" s="31">
        <f t="shared" si="57"/>
        <v>682.5</v>
      </c>
      <c r="CG38" s="31">
        <f t="shared" si="58"/>
        <v>0</v>
      </c>
      <c r="CH38" s="31">
        <f t="shared" si="59"/>
        <v>0</v>
      </c>
      <c r="CI38" s="27"/>
      <c r="CJ38" s="37">
        <f t="shared" si="13"/>
        <v>-1</v>
      </c>
      <c r="CK38" s="36">
        <v>2500</v>
      </c>
      <c r="CL38" s="31">
        <f t="shared" si="60"/>
        <v>1817.5</v>
      </c>
      <c r="CM38" s="31">
        <f t="shared" si="61"/>
        <v>682.5</v>
      </c>
      <c r="CN38" s="31">
        <f t="shared" si="62"/>
        <v>0</v>
      </c>
      <c r="CO38" s="31">
        <f t="shared" si="63"/>
        <v>0</v>
      </c>
      <c r="CP38" s="27"/>
      <c r="CQ38" s="37">
        <f t="shared" si="14"/>
        <v>-1</v>
      </c>
    </row>
    <row r="39" spans="1:95" s="26" customFormat="1" ht="16" customHeight="1" x14ac:dyDescent="0.2">
      <c r="A39" s="38" t="s">
        <v>63</v>
      </c>
      <c r="B39" s="30">
        <f t="shared" si="64"/>
        <v>15000</v>
      </c>
      <c r="C39" s="31">
        <f t="shared" si="64"/>
        <v>10905</v>
      </c>
      <c r="D39" s="32">
        <f t="shared" si="64"/>
        <v>4095</v>
      </c>
      <c r="E39" s="30">
        <f t="shared" si="66"/>
        <v>5000</v>
      </c>
      <c r="F39" s="33">
        <f t="shared" si="66"/>
        <v>3635</v>
      </c>
      <c r="G39" s="34">
        <f t="shared" si="66"/>
        <v>1365</v>
      </c>
      <c r="H39" s="31">
        <f t="shared" si="65"/>
        <v>10670.18627</v>
      </c>
      <c r="I39" s="33">
        <f t="shared" si="65"/>
        <v>4006.8237300000001</v>
      </c>
      <c r="J39" s="33">
        <f t="shared" si="65"/>
        <v>14677.010000000002</v>
      </c>
      <c r="K39" s="37">
        <f t="shared" si="2"/>
        <v>1.9354020000000003</v>
      </c>
      <c r="L39" s="36">
        <v>1250</v>
      </c>
      <c r="M39" s="31">
        <f t="shared" si="16"/>
        <v>908.75</v>
      </c>
      <c r="N39" s="31">
        <f t="shared" si="17"/>
        <v>341.25</v>
      </c>
      <c r="O39" s="31">
        <f t="shared" si="18"/>
        <v>508.14391999999998</v>
      </c>
      <c r="P39" s="31">
        <f t="shared" si="19"/>
        <v>190.81608000000003</v>
      </c>
      <c r="Q39" s="33">
        <f>698.96</f>
        <v>698.96</v>
      </c>
      <c r="R39" s="37">
        <f t="shared" si="3"/>
        <v>-0.440832</v>
      </c>
      <c r="S39" s="36">
        <v>1250</v>
      </c>
      <c r="T39" s="31">
        <f t="shared" si="20"/>
        <v>908.75</v>
      </c>
      <c r="U39" s="31">
        <f t="shared" si="21"/>
        <v>341.25</v>
      </c>
      <c r="V39" s="31">
        <f t="shared" si="22"/>
        <v>1075.96</v>
      </c>
      <c r="W39" s="31">
        <f t="shared" si="23"/>
        <v>404.04</v>
      </c>
      <c r="X39" s="147">
        <v>1480</v>
      </c>
      <c r="Y39" s="37">
        <f t="shared" si="4"/>
        <v>0.18399999999999994</v>
      </c>
      <c r="Z39" s="36">
        <v>1250</v>
      </c>
      <c r="AA39" s="31">
        <f t="shared" si="24"/>
        <v>908.75</v>
      </c>
      <c r="AB39" s="31">
        <f t="shared" si="25"/>
        <v>341.25</v>
      </c>
      <c r="AC39" s="31">
        <f t="shared" si="26"/>
        <v>5668.3099500000008</v>
      </c>
      <c r="AD39" s="31">
        <f t="shared" si="27"/>
        <v>2128.5400500000001</v>
      </c>
      <c r="AE39" s="27">
        <f>1800+5996.85</f>
        <v>7796.85</v>
      </c>
      <c r="AF39" s="37">
        <f t="shared" si="5"/>
        <v>5.2374800000000006</v>
      </c>
      <c r="AG39" s="36">
        <v>1250</v>
      </c>
      <c r="AH39" s="31">
        <f t="shared" si="28"/>
        <v>908.75</v>
      </c>
      <c r="AI39" s="31">
        <f t="shared" si="29"/>
        <v>341.25</v>
      </c>
      <c r="AJ39" s="31">
        <f t="shared" si="30"/>
        <v>2698.0423999999998</v>
      </c>
      <c r="AK39" s="31">
        <f t="shared" si="31"/>
        <v>1013.1576</v>
      </c>
      <c r="AL39" s="27">
        <f>3711.2</f>
        <v>3711.2</v>
      </c>
      <c r="AM39" s="37">
        <f t="shared" si="6"/>
        <v>1.96896</v>
      </c>
      <c r="AN39" s="36">
        <v>1250</v>
      </c>
      <c r="AO39" s="31">
        <f t="shared" si="32"/>
        <v>908.75</v>
      </c>
      <c r="AP39" s="31">
        <f t="shared" si="33"/>
        <v>341.25</v>
      </c>
      <c r="AQ39" s="31">
        <f t="shared" si="34"/>
        <v>0</v>
      </c>
      <c r="AR39" s="31">
        <f t="shared" si="35"/>
        <v>0</v>
      </c>
      <c r="AS39" s="27"/>
      <c r="AT39" s="37">
        <f t="shared" si="7"/>
        <v>-1</v>
      </c>
      <c r="AU39" s="36">
        <v>1250</v>
      </c>
      <c r="AV39" s="31">
        <f t="shared" si="36"/>
        <v>908.75</v>
      </c>
      <c r="AW39" s="31">
        <f t="shared" si="37"/>
        <v>341.25</v>
      </c>
      <c r="AX39" s="31">
        <f t="shared" si="38"/>
        <v>719.73</v>
      </c>
      <c r="AY39" s="31">
        <f t="shared" si="39"/>
        <v>270.27000000000004</v>
      </c>
      <c r="AZ39" s="27">
        <v>990</v>
      </c>
      <c r="BA39" s="37">
        <f t="shared" si="8"/>
        <v>-0.20799999999999996</v>
      </c>
      <c r="BB39" s="36">
        <v>1250</v>
      </c>
      <c r="BC39" s="31">
        <f t="shared" si="40"/>
        <v>908.75</v>
      </c>
      <c r="BD39" s="31">
        <f t="shared" si="41"/>
        <v>341.25</v>
      </c>
      <c r="BE39" s="31">
        <f t="shared" si="42"/>
        <v>0</v>
      </c>
      <c r="BF39" s="31">
        <f t="shared" si="43"/>
        <v>0</v>
      </c>
      <c r="BG39" s="27"/>
      <c r="BH39" s="37">
        <f t="shared" si="9"/>
        <v>-1</v>
      </c>
      <c r="BI39" s="36">
        <v>1250</v>
      </c>
      <c r="BJ39" s="31">
        <f t="shared" si="44"/>
        <v>908.75</v>
      </c>
      <c r="BK39" s="31">
        <f t="shared" si="45"/>
        <v>341.25</v>
      </c>
      <c r="BL39" s="31">
        <f t="shared" si="46"/>
        <v>0</v>
      </c>
      <c r="BM39" s="31">
        <f t="shared" si="47"/>
        <v>0</v>
      </c>
      <c r="BN39" s="27"/>
      <c r="BO39" s="37">
        <f t="shared" si="10"/>
        <v>-1</v>
      </c>
      <c r="BP39" s="36">
        <v>1250</v>
      </c>
      <c r="BQ39" s="31">
        <f t="shared" si="48"/>
        <v>908.75</v>
      </c>
      <c r="BR39" s="31">
        <f t="shared" si="49"/>
        <v>341.25</v>
      </c>
      <c r="BS39" s="31">
        <f t="shared" si="50"/>
        <v>0</v>
      </c>
      <c r="BT39" s="31">
        <f t="shared" si="51"/>
        <v>0</v>
      </c>
      <c r="BU39" s="27"/>
      <c r="BV39" s="37">
        <f t="shared" si="11"/>
        <v>-1</v>
      </c>
      <c r="BW39" s="36">
        <v>1250</v>
      </c>
      <c r="BX39" s="31">
        <f t="shared" si="52"/>
        <v>908.75</v>
      </c>
      <c r="BY39" s="31">
        <f t="shared" si="53"/>
        <v>341.25</v>
      </c>
      <c r="BZ39" s="31">
        <f t="shared" si="54"/>
        <v>0</v>
      </c>
      <c r="CA39" s="31">
        <f t="shared" si="55"/>
        <v>0</v>
      </c>
      <c r="CB39" s="27"/>
      <c r="CC39" s="37">
        <f t="shared" si="12"/>
        <v>-1</v>
      </c>
      <c r="CD39" s="36">
        <v>1250</v>
      </c>
      <c r="CE39" s="31">
        <f t="shared" si="56"/>
        <v>908.75</v>
      </c>
      <c r="CF39" s="31">
        <f t="shared" si="57"/>
        <v>341.25</v>
      </c>
      <c r="CG39" s="31">
        <f t="shared" si="58"/>
        <v>0</v>
      </c>
      <c r="CH39" s="31">
        <f t="shared" si="59"/>
        <v>0</v>
      </c>
      <c r="CI39" s="27"/>
      <c r="CJ39" s="37">
        <f t="shared" si="13"/>
        <v>-1</v>
      </c>
      <c r="CK39" s="36">
        <v>1250</v>
      </c>
      <c r="CL39" s="31">
        <f t="shared" si="60"/>
        <v>908.75</v>
      </c>
      <c r="CM39" s="31">
        <f t="shared" si="61"/>
        <v>341.25</v>
      </c>
      <c r="CN39" s="31">
        <f t="shared" si="62"/>
        <v>0</v>
      </c>
      <c r="CO39" s="31">
        <f t="shared" si="63"/>
        <v>0</v>
      </c>
      <c r="CP39" s="27"/>
      <c r="CQ39" s="37">
        <f t="shared" si="14"/>
        <v>-1</v>
      </c>
    </row>
    <row r="40" spans="1:95" s="26" customFormat="1" ht="16" customHeight="1" x14ac:dyDescent="0.2">
      <c r="A40" s="38" t="s">
        <v>64</v>
      </c>
      <c r="B40" s="30">
        <f t="shared" si="64"/>
        <v>95000.000000000015</v>
      </c>
      <c r="C40" s="31">
        <f t="shared" si="64"/>
        <v>69064.999999999985</v>
      </c>
      <c r="D40" s="32">
        <f t="shared" si="64"/>
        <v>25935.000000000004</v>
      </c>
      <c r="E40" s="30">
        <f t="shared" si="66"/>
        <v>31666.666666666668</v>
      </c>
      <c r="F40" s="33">
        <f t="shared" si="66"/>
        <v>23021.666666666664</v>
      </c>
      <c r="G40" s="34">
        <f t="shared" si="66"/>
        <v>8645.0000000000018</v>
      </c>
      <c r="H40" s="31">
        <f t="shared" si="65"/>
        <v>39869.145279999997</v>
      </c>
      <c r="I40" s="33">
        <f t="shared" si="65"/>
        <v>14971.494720000001</v>
      </c>
      <c r="J40" s="33">
        <f t="shared" si="65"/>
        <v>54840.639999999999</v>
      </c>
      <c r="K40" s="37">
        <f t="shared" si="2"/>
        <v>0.73180968421052617</v>
      </c>
      <c r="L40" s="36">
        <v>7916.666666666667</v>
      </c>
      <c r="M40" s="31">
        <f t="shared" si="16"/>
        <v>5755.4166666666661</v>
      </c>
      <c r="N40" s="31">
        <f t="shared" si="17"/>
        <v>2161.2500000000005</v>
      </c>
      <c r="O40" s="31">
        <f t="shared" si="18"/>
        <v>3305.4872500000001</v>
      </c>
      <c r="P40" s="31">
        <f t="shared" si="19"/>
        <v>1241.2627500000001</v>
      </c>
      <c r="Q40" s="33">
        <f>4546.75</f>
        <v>4546.75</v>
      </c>
      <c r="R40" s="37">
        <f t="shared" si="3"/>
        <v>-0.42567368421052632</v>
      </c>
      <c r="S40" s="36">
        <v>7916.666666666667</v>
      </c>
      <c r="T40" s="31">
        <f t="shared" si="20"/>
        <v>5755.4166666666661</v>
      </c>
      <c r="U40" s="31">
        <f t="shared" si="21"/>
        <v>2161.2500000000005</v>
      </c>
      <c r="V40" s="31">
        <f t="shared" si="22"/>
        <v>7384.1608100000003</v>
      </c>
      <c r="W40" s="31">
        <f t="shared" si="23"/>
        <v>2772.8691900000003</v>
      </c>
      <c r="X40" s="147">
        <f>10157.03</f>
        <v>10157.030000000001</v>
      </c>
      <c r="Y40" s="37">
        <f t="shared" si="4"/>
        <v>0.28299326315789486</v>
      </c>
      <c r="Z40" s="36">
        <v>7916.666666666667</v>
      </c>
      <c r="AA40" s="31">
        <f t="shared" si="24"/>
        <v>5755.4166666666661</v>
      </c>
      <c r="AB40" s="31">
        <f t="shared" si="25"/>
        <v>2161.2500000000005</v>
      </c>
      <c r="AC40" s="31">
        <f t="shared" si="26"/>
        <v>6026.6409800000001</v>
      </c>
      <c r="AD40" s="31">
        <f t="shared" si="27"/>
        <v>2263.0990200000001</v>
      </c>
      <c r="AE40" s="27">
        <f>8289.74</f>
        <v>8289.74</v>
      </c>
      <c r="AF40" s="37">
        <f t="shared" si="5"/>
        <v>4.7125052631578956E-2</v>
      </c>
      <c r="AG40" s="36">
        <v>7916.666666666667</v>
      </c>
      <c r="AH40" s="31">
        <f t="shared" si="28"/>
        <v>5755.4166666666661</v>
      </c>
      <c r="AI40" s="31">
        <f t="shared" si="29"/>
        <v>2161.2500000000005</v>
      </c>
      <c r="AJ40" s="31">
        <f t="shared" si="30"/>
        <v>7220.9202299999997</v>
      </c>
      <c r="AK40" s="31">
        <f t="shared" si="31"/>
        <v>2711.5697700000001</v>
      </c>
      <c r="AL40" s="27">
        <v>9932.49</v>
      </c>
      <c r="AM40" s="37">
        <f t="shared" si="6"/>
        <v>0.25463031578947359</v>
      </c>
      <c r="AN40" s="36">
        <v>7916.666666666667</v>
      </c>
      <c r="AO40" s="31">
        <f t="shared" si="32"/>
        <v>5755.4166666666661</v>
      </c>
      <c r="AP40" s="31">
        <f t="shared" si="33"/>
        <v>2161.2500000000005</v>
      </c>
      <c r="AQ40" s="31">
        <f t="shared" si="34"/>
        <v>7573.6969799999997</v>
      </c>
      <c r="AR40" s="31">
        <f t="shared" si="35"/>
        <v>2844.0430200000001</v>
      </c>
      <c r="AS40" s="27">
        <v>10417.74</v>
      </c>
      <c r="AT40" s="37">
        <f t="shared" si="7"/>
        <v>0.31592505263157888</v>
      </c>
      <c r="AU40" s="36">
        <v>7916.666666666667</v>
      </c>
      <c r="AV40" s="31">
        <f t="shared" si="36"/>
        <v>5755.4166666666661</v>
      </c>
      <c r="AW40" s="31">
        <f t="shared" si="37"/>
        <v>2161.2500000000005</v>
      </c>
      <c r="AX40" s="31">
        <f t="shared" si="38"/>
        <v>8358.2390299999988</v>
      </c>
      <c r="AY40" s="31">
        <f t="shared" si="39"/>
        <v>3138.6509700000001</v>
      </c>
      <c r="AZ40" s="27">
        <v>11496.89</v>
      </c>
      <c r="BA40" s="37">
        <f t="shared" si="8"/>
        <v>0.45223873684210503</v>
      </c>
      <c r="BB40" s="36">
        <v>7916.666666666667</v>
      </c>
      <c r="BC40" s="31">
        <f t="shared" si="40"/>
        <v>5755.4166666666661</v>
      </c>
      <c r="BD40" s="31">
        <f t="shared" si="41"/>
        <v>2161.2500000000005</v>
      </c>
      <c r="BE40" s="31">
        <f t="shared" si="42"/>
        <v>0</v>
      </c>
      <c r="BF40" s="31">
        <f t="shared" si="43"/>
        <v>0</v>
      </c>
      <c r="BG40" s="27"/>
      <c r="BH40" s="37">
        <f t="shared" si="9"/>
        <v>-1</v>
      </c>
      <c r="BI40" s="36">
        <v>7916.666666666667</v>
      </c>
      <c r="BJ40" s="31">
        <f t="shared" si="44"/>
        <v>5755.4166666666661</v>
      </c>
      <c r="BK40" s="31">
        <f t="shared" si="45"/>
        <v>2161.2500000000005</v>
      </c>
      <c r="BL40" s="31">
        <f t="shared" si="46"/>
        <v>0</v>
      </c>
      <c r="BM40" s="31">
        <f t="shared" si="47"/>
        <v>0</v>
      </c>
      <c r="BN40" s="27"/>
      <c r="BO40" s="37">
        <f t="shared" si="10"/>
        <v>-1</v>
      </c>
      <c r="BP40" s="36">
        <v>7916.666666666667</v>
      </c>
      <c r="BQ40" s="31">
        <f t="shared" si="48"/>
        <v>5755.4166666666661</v>
      </c>
      <c r="BR40" s="31">
        <f t="shared" si="49"/>
        <v>2161.2500000000005</v>
      </c>
      <c r="BS40" s="31">
        <f t="shared" si="50"/>
        <v>0</v>
      </c>
      <c r="BT40" s="31">
        <f t="shared" si="51"/>
        <v>0</v>
      </c>
      <c r="BU40" s="27"/>
      <c r="BV40" s="37">
        <f t="shared" si="11"/>
        <v>-1</v>
      </c>
      <c r="BW40" s="36">
        <v>7916.666666666667</v>
      </c>
      <c r="BX40" s="31">
        <f t="shared" si="52"/>
        <v>5755.4166666666661</v>
      </c>
      <c r="BY40" s="31">
        <f t="shared" si="53"/>
        <v>2161.2500000000005</v>
      </c>
      <c r="BZ40" s="31">
        <f t="shared" si="54"/>
        <v>0</v>
      </c>
      <c r="CA40" s="31">
        <f t="shared" si="55"/>
        <v>0</v>
      </c>
      <c r="CB40" s="27"/>
      <c r="CC40" s="37">
        <f t="shared" si="12"/>
        <v>-1</v>
      </c>
      <c r="CD40" s="36">
        <v>7916.666666666667</v>
      </c>
      <c r="CE40" s="31">
        <f t="shared" si="56"/>
        <v>5755.4166666666661</v>
      </c>
      <c r="CF40" s="31">
        <f t="shared" si="57"/>
        <v>2161.2500000000005</v>
      </c>
      <c r="CG40" s="31">
        <f t="shared" si="58"/>
        <v>0</v>
      </c>
      <c r="CH40" s="31">
        <f t="shared" si="59"/>
        <v>0</v>
      </c>
      <c r="CI40" s="27"/>
      <c r="CJ40" s="37">
        <f t="shared" si="13"/>
        <v>-1</v>
      </c>
      <c r="CK40" s="36">
        <v>7916.666666666667</v>
      </c>
      <c r="CL40" s="31">
        <f t="shared" si="60"/>
        <v>5755.4166666666661</v>
      </c>
      <c r="CM40" s="31">
        <f t="shared" si="61"/>
        <v>2161.2500000000005</v>
      </c>
      <c r="CN40" s="31">
        <f t="shared" si="62"/>
        <v>0</v>
      </c>
      <c r="CO40" s="31">
        <f t="shared" si="63"/>
        <v>0</v>
      </c>
      <c r="CP40" s="27"/>
      <c r="CQ40" s="37">
        <f t="shared" si="14"/>
        <v>-1</v>
      </c>
    </row>
    <row r="41" spans="1:95" s="26" customFormat="1" ht="16" customHeight="1" x14ac:dyDescent="0.2">
      <c r="A41" s="29" t="s">
        <v>65</v>
      </c>
      <c r="B41" s="30">
        <f t="shared" si="64"/>
        <v>555000</v>
      </c>
      <c r="C41" s="31">
        <f t="shared" si="64"/>
        <v>403485</v>
      </c>
      <c r="D41" s="32">
        <f t="shared" si="64"/>
        <v>151515.00000000003</v>
      </c>
      <c r="E41" s="30">
        <f t="shared" si="66"/>
        <v>185000</v>
      </c>
      <c r="F41" s="33">
        <f t="shared" si="66"/>
        <v>134495</v>
      </c>
      <c r="G41" s="34">
        <f t="shared" si="66"/>
        <v>50505.000000000007</v>
      </c>
      <c r="H41" s="31">
        <f t="shared" si="65"/>
        <v>201742.5</v>
      </c>
      <c r="I41" s="33">
        <f t="shared" si="65"/>
        <v>75757.500000000015</v>
      </c>
      <c r="J41" s="33">
        <f t="shared" si="65"/>
        <v>277500</v>
      </c>
      <c r="K41" s="37">
        <f t="shared" si="2"/>
        <v>0.5</v>
      </c>
      <c r="L41" s="46">
        <v>46250</v>
      </c>
      <c r="M41" s="47">
        <f t="shared" si="16"/>
        <v>33623.75</v>
      </c>
      <c r="N41" s="47">
        <f t="shared" si="17"/>
        <v>12626.250000000002</v>
      </c>
      <c r="O41" s="47">
        <f t="shared" si="18"/>
        <v>33623.75</v>
      </c>
      <c r="P41" s="47">
        <f t="shared" si="19"/>
        <v>12626.250000000002</v>
      </c>
      <c r="Q41" s="45">
        <v>46250</v>
      </c>
      <c r="R41" s="37">
        <f t="shared" si="3"/>
        <v>0</v>
      </c>
      <c r="S41" s="46">
        <v>46250</v>
      </c>
      <c r="T41" s="47">
        <f t="shared" si="20"/>
        <v>33623.75</v>
      </c>
      <c r="U41" s="47">
        <f t="shared" si="21"/>
        <v>12626.250000000002</v>
      </c>
      <c r="V41" s="47">
        <f t="shared" si="22"/>
        <v>33623.75</v>
      </c>
      <c r="W41" s="47">
        <f t="shared" si="23"/>
        <v>12626.250000000002</v>
      </c>
      <c r="X41" s="149">
        <v>46250</v>
      </c>
      <c r="Y41" s="37">
        <f t="shared" si="4"/>
        <v>0</v>
      </c>
      <c r="Z41" s="46">
        <v>46250</v>
      </c>
      <c r="AA41" s="47">
        <f t="shared" si="24"/>
        <v>33623.75</v>
      </c>
      <c r="AB41" s="47">
        <f t="shared" si="25"/>
        <v>12626.250000000002</v>
      </c>
      <c r="AC41" s="47">
        <f t="shared" si="26"/>
        <v>33623.75</v>
      </c>
      <c r="AD41" s="47">
        <f t="shared" si="27"/>
        <v>12626.250000000002</v>
      </c>
      <c r="AE41" s="48">
        <v>46250</v>
      </c>
      <c r="AF41" s="37">
        <f t="shared" si="5"/>
        <v>0</v>
      </c>
      <c r="AG41" s="46">
        <v>46250</v>
      </c>
      <c r="AH41" s="47">
        <f t="shared" si="28"/>
        <v>33623.75</v>
      </c>
      <c r="AI41" s="47">
        <f t="shared" si="29"/>
        <v>12626.250000000002</v>
      </c>
      <c r="AJ41" s="47">
        <f t="shared" si="30"/>
        <v>33623.75</v>
      </c>
      <c r="AK41" s="47">
        <f t="shared" si="31"/>
        <v>12626.250000000002</v>
      </c>
      <c r="AL41" s="48">
        <v>46250</v>
      </c>
      <c r="AM41" s="37">
        <f t="shared" si="6"/>
        <v>0</v>
      </c>
      <c r="AN41" s="46">
        <v>46250</v>
      </c>
      <c r="AO41" s="47">
        <f t="shared" si="32"/>
        <v>33623.75</v>
      </c>
      <c r="AP41" s="47">
        <f t="shared" si="33"/>
        <v>12626.250000000002</v>
      </c>
      <c r="AQ41" s="47">
        <f t="shared" si="34"/>
        <v>33623.75</v>
      </c>
      <c r="AR41" s="47">
        <f t="shared" si="35"/>
        <v>12626.250000000002</v>
      </c>
      <c r="AS41" s="48">
        <v>46250</v>
      </c>
      <c r="AT41" s="37">
        <f t="shared" si="7"/>
        <v>0</v>
      </c>
      <c r="AU41" s="46">
        <v>46250</v>
      </c>
      <c r="AV41" s="47">
        <f t="shared" si="36"/>
        <v>33623.75</v>
      </c>
      <c r="AW41" s="47">
        <f t="shared" si="37"/>
        <v>12626.250000000002</v>
      </c>
      <c r="AX41" s="47">
        <f t="shared" si="38"/>
        <v>33623.75</v>
      </c>
      <c r="AY41" s="47">
        <f t="shared" si="39"/>
        <v>12626.250000000002</v>
      </c>
      <c r="AZ41" s="49">
        <v>46250</v>
      </c>
      <c r="BA41" s="37">
        <f t="shared" si="8"/>
        <v>0</v>
      </c>
      <c r="BB41" s="46">
        <v>46250</v>
      </c>
      <c r="BC41" s="47">
        <f t="shared" si="40"/>
        <v>33623.75</v>
      </c>
      <c r="BD41" s="47">
        <f t="shared" si="41"/>
        <v>12626.250000000002</v>
      </c>
      <c r="BE41" s="47">
        <f t="shared" si="42"/>
        <v>0</v>
      </c>
      <c r="BF41" s="47">
        <f t="shared" si="43"/>
        <v>0</v>
      </c>
      <c r="BG41" s="48"/>
      <c r="BH41" s="37">
        <f t="shared" si="9"/>
        <v>-1</v>
      </c>
      <c r="BI41" s="46">
        <v>46250</v>
      </c>
      <c r="BJ41" s="47">
        <f t="shared" si="44"/>
        <v>33623.75</v>
      </c>
      <c r="BK41" s="47">
        <f t="shared" si="45"/>
        <v>12626.250000000002</v>
      </c>
      <c r="BL41" s="47">
        <f t="shared" si="46"/>
        <v>0</v>
      </c>
      <c r="BM41" s="47">
        <f t="shared" si="47"/>
        <v>0</v>
      </c>
      <c r="BN41" s="49"/>
      <c r="BO41" s="37">
        <f t="shared" si="10"/>
        <v>-1</v>
      </c>
      <c r="BP41" s="46">
        <v>46250</v>
      </c>
      <c r="BQ41" s="47">
        <f t="shared" si="48"/>
        <v>33623.75</v>
      </c>
      <c r="BR41" s="47">
        <f t="shared" si="49"/>
        <v>12626.250000000002</v>
      </c>
      <c r="BS41" s="47">
        <f t="shared" si="50"/>
        <v>0</v>
      </c>
      <c r="BT41" s="47">
        <f t="shared" si="51"/>
        <v>0</v>
      </c>
      <c r="BU41" s="48"/>
      <c r="BV41" s="37">
        <f t="shared" si="11"/>
        <v>-1</v>
      </c>
      <c r="BW41" s="46">
        <v>46250</v>
      </c>
      <c r="BX41" s="47">
        <f t="shared" si="52"/>
        <v>33623.75</v>
      </c>
      <c r="BY41" s="47">
        <f t="shared" si="53"/>
        <v>12626.250000000002</v>
      </c>
      <c r="BZ41" s="47">
        <f t="shared" si="54"/>
        <v>0</v>
      </c>
      <c r="CA41" s="47">
        <f t="shared" si="55"/>
        <v>0</v>
      </c>
      <c r="CB41" s="48"/>
      <c r="CC41" s="37">
        <f t="shared" si="12"/>
        <v>-1</v>
      </c>
      <c r="CD41" s="46">
        <v>46250</v>
      </c>
      <c r="CE41" s="47">
        <f t="shared" si="56"/>
        <v>33623.75</v>
      </c>
      <c r="CF41" s="47">
        <f t="shared" si="57"/>
        <v>12626.250000000002</v>
      </c>
      <c r="CG41" s="47">
        <f t="shared" si="58"/>
        <v>0</v>
      </c>
      <c r="CH41" s="47">
        <f t="shared" si="59"/>
        <v>0</v>
      </c>
      <c r="CI41" s="48"/>
      <c r="CJ41" s="37">
        <f t="shared" si="13"/>
        <v>-1</v>
      </c>
      <c r="CK41" s="46">
        <v>46250</v>
      </c>
      <c r="CL41" s="47">
        <f t="shared" si="60"/>
        <v>33623.75</v>
      </c>
      <c r="CM41" s="47">
        <f t="shared" si="61"/>
        <v>12626.250000000002</v>
      </c>
      <c r="CN41" s="47">
        <f t="shared" si="62"/>
        <v>0</v>
      </c>
      <c r="CO41" s="47">
        <f t="shared" si="63"/>
        <v>0</v>
      </c>
      <c r="CP41" s="48"/>
      <c r="CQ41" s="37">
        <f t="shared" si="14"/>
        <v>-1</v>
      </c>
    </row>
    <row r="42" spans="1:95" s="26" customFormat="1" ht="16" customHeight="1" x14ac:dyDescent="0.2">
      <c r="A42" s="29" t="s">
        <v>66</v>
      </c>
      <c r="B42" s="30">
        <f t="shared" si="64"/>
        <v>0</v>
      </c>
      <c r="C42" s="31">
        <f t="shared" si="64"/>
        <v>0</v>
      </c>
      <c r="D42" s="32">
        <f t="shared" si="64"/>
        <v>0</v>
      </c>
      <c r="E42" s="30">
        <f t="shared" si="66"/>
        <v>0</v>
      </c>
      <c r="F42" s="33">
        <f t="shared" si="66"/>
        <v>0</v>
      </c>
      <c r="G42" s="34">
        <f t="shared" si="66"/>
        <v>0</v>
      </c>
      <c r="H42" s="31">
        <f t="shared" si="65"/>
        <v>0</v>
      </c>
      <c r="I42" s="33">
        <f t="shared" si="65"/>
        <v>0</v>
      </c>
      <c r="J42" s="33">
        <f t="shared" si="65"/>
        <v>0</v>
      </c>
      <c r="K42" s="37" t="str">
        <f t="shared" si="2"/>
        <v/>
      </c>
      <c r="L42" s="36">
        <v>0</v>
      </c>
      <c r="M42" s="31">
        <f t="shared" si="16"/>
        <v>0</v>
      </c>
      <c r="N42" s="31">
        <f t="shared" si="17"/>
        <v>0</v>
      </c>
      <c r="O42" s="31">
        <f t="shared" si="18"/>
        <v>0</v>
      </c>
      <c r="P42" s="31">
        <f t="shared" si="19"/>
        <v>0</v>
      </c>
      <c r="Q42" s="33"/>
      <c r="R42" s="37" t="str">
        <f t="shared" si="3"/>
        <v/>
      </c>
      <c r="S42" s="36">
        <v>0</v>
      </c>
      <c r="T42" s="31">
        <f t="shared" si="20"/>
        <v>0</v>
      </c>
      <c r="U42" s="31">
        <f t="shared" si="21"/>
        <v>0</v>
      </c>
      <c r="V42" s="31">
        <f t="shared" si="22"/>
        <v>0</v>
      </c>
      <c r="W42" s="31">
        <f t="shared" si="23"/>
        <v>0</v>
      </c>
      <c r="X42" s="147"/>
      <c r="Y42" s="37" t="str">
        <f t="shared" si="4"/>
        <v/>
      </c>
      <c r="Z42" s="36">
        <v>0</v>
      </c>
      <c r="AA42" s="31">
        <f t="shared" si="24"/>
        <v>0</v>
      </c>
      <c r="AB42" s="31">
        <f t="shared" si="25"/>
        <v>0</v>
      </c>
      <c r="AC42" s="31">
        <f t="shared" si="26"/>
        <v>0</v>
      </c>
      <c r="AD42" s="31">
        <f t="shared" si="27"/>
        <v>0</v>
      </c>
      <c r="AE42" s="27"/>
      <c r="AF42" s="37" t="str">
        <f t="shared" si="5"/>
        <v/>
      </c>
      <c r="AG42" s="36">
        <v>0</v>
      </c>
      <c r="AH42" s="31">
        <f t="shared" si="28"/>
        <v>0</v>
      </c>
      <c r="AI42" s="31">
        <f t="shared" si="29"/>
        <v>0</v>
      </c>
      <c r="AJ42" s="31">
        <f t="shared" si="30"/>
        <v>0</v>
      </c>
      <c r="AK42" s="31">
        <f t="shared" si="31"/>
        <v>0</v>
      </c>
      <c r="AL42" s="27"/>
      <c r="AM42" s="37" t="str">
        <f t="shared" si="6"/>
        <v/>
      </c>
      <c r="AN42" s="36">
        <v>0</v>
      </c>
      <c r="AO42" s="31">
        <f t="shared" si="32"/>
        <v>0</v>
      </c>
      <c r="AP42" s="31">
        <f t="shared" si="33"/>
        <v>0</v>
      </c>
      <c r="AQ42" s="31">
        <f t="shared" si="34"/>
        <v>0</v>
      </c>
      <c r="AR42" s="31">
        <f t="shared" si="35"/>
        <v>0</v>
      </c>
      <c r="AS42" s="27"/>
      <c r="AT42" s="37" t="str">
        <f t="shared" si="7"/>
        <v/>
      </c>
      <c r="AU42" s="36">
        <v>0</v>
      </c>
      <c r="AV42" s="31">
        <f t="shared" si="36"/>
        <v>0</v>
      </c>
      <c r="AW42" s="31">
        <f t="shared" si="37"/>
        <v>0</v>
      </c>
      <c r="AX42" s="31">
        <f t="shared" si="38"/>
        <v>0</v>
      </c>
      <c r="AY42" s="31">
        <f t="shared" si="39"/>
        <v>0</v>
      </c>
      <c r="AZ42" s="27"/>
      <c r="BA42" s="37" t="str">
        <f t="shared" si="8"/>
        <v/>
      </c>
      <c r="BB42" s="36">
        <v>0</v>
      </c>
      <c r="BC42" s="31">
        <f t="shared" si="40"/>
        <v>0</v>
      </c>
      <c r="BD42" s="31">
        <f t="shared" si="41"/>
        <v>0</v>
      </c>
      <c r="BE42" s="31">
        <f t="shared" si="42"/>
        <v>0</v>
      </c>
      <c r="BF42" s="31">
        <f t="shared" si="43"/>
        <v>0</v>
      </c>
      <c r="BG42" s="27"/>
      <c r="BH42" s="37" t="str">
        <f t="shared" si="9"/>
        <v/>
      </c>
      <c r="BI42" s="36">
        <v>0</v>
      </c>
      <c r="BJ42" s="31">
        <f t="shared" si="44"/>
        <v>0</v>
      </c>
      <c r="BK42" s="31">
        <f t="shared" si="45"/>
        <v>0</v>
      </c>
      <c r="BL42" s="31">
        <f t="shared" si="46"/>
        <v>0</v>
      </c>
      <c r="BM42" s="31">
        <f t="shared" si="47"/>
        <v>0</v>
      </c>
      <c r="BN42" s="27"/>
      <c r="BO42" s="37" t="str">
        <f t="shared" si="10"/>
        <v/>
      </c>
      <c r="BP42" s="36">
        <v>0</v>
      </c>
      <c r="BQ42" s="31">
        <f t="shared" si="48"/>
        <v>0</v>
      </c>
      <c r="BR42" s="31">
        <f t="shared" si="49"/>
        <v>0</v>
      </c>
      <c r="BS42" s="31">
        <f t="shared" si="50"/>
        <v>0</v>
      </c>
      <c r="BT42" s="31">
        <f t="shared" si="51"/>
        <v>0</v>
      </c>
      <c r="BU42" s="27"/>
      <c r="BV42" s="37" t="str">
        <f t="shared" si="11"/>
        <v/>
      </c>
      <c r="BW42" s="36">
        <v>0</v>
      </c>
      <c r="BX42" s="31">
        <f t="shared" si="52"/>
        <v>0</v>
      </c>
      <c r="BY42" s="31">
        <f t="shared" si="53"/>
        <v>0</v>
      </c>
      <c r="BZ42" s="31">
        <f t="shared" si="54"/>
        <v>0</v>
      </c>
      <c r="CA42" s="31">
        <f t="shared" si="55"/>
        <v>0</v>
      </c>
      <c r="CB42" s="27"/>
      <c r="CC42" s="37" t="str">
        <f t="shared" si="12"/>
        <v/>
      </c>
      <c r="CD42" s="36">
        <v>0</v>
      </c>
      <c r="CE42" s="31">
        <f t="shared" si="56"/>
        <v>0</v>
      </c>
      <c r="CF42" s="31">
        <f t="shared" si="57"/>
        <v>0</v>
      </c>
      <c r="CG42" s="31">
        <f t="shared" si="58"/>
        <v>0</v>
      </c>
      <c r="CH42" s="31">
        <f t="shared" si="59"/>
        <v>0</v>
      </c>
      <c r="CI42" s="27"/>
      <c r="CJ42" s="37" t="str">
        <f t="shared" si="13"/>
        <v/>
      </c>
      <c r="CK42" s="36">
        <v>0</v>
      </c>
      <c r="CL42" s="31">
        <f t="shared" si="60"/>
        <v>0</v>
      </c>
      <c r="CM42" s="31">
        <f t="shared" si="61"/>
        <v>0</v>
      </c>
      <c r="CN42" s="31">
        <f t="shared" si="62"/>
        <v>0</v>
      </c>
      <c r="CO42" s="31">
        <f t="shared" si="63"/>
        <v>0</v>
      </c>
      <c r="CP42" s="27"/>
      <c r="CQ42" s="37" t="str">
        <f t="shared" si="14"/>
        <v/>
      </c>
    </row>
    <row r="43" spans="1:95" s="26" customFormat="1" ht="16" customHeight="1" x14ac:dyDescent="0.2">
      <c r="A43" s="38" t="s">
        <v>67</v>
      </c>
      <c r="B43" s="30">
        <f t="shared" si="64"/>
        <v>120528.00000000001</v>
      </c>
      <c r="C43" s="31">
        <f t="shared" si="64"/>
        <v>87623.855999999985</v>
      </c>
      <c r="D43" s="32">
        <f t="shared" si="64"/>
        <v>32904.144000000015</v>
      </c>
      <c r="E43" s="30">
        <f t="shared" si="66"/>
        <v>40176.000000000007</v>
      </c>
      <c r="F43" s="33">
        <f t="shared" si="66"/>
        <v>29207.952000000005</v>
      </c>
      <c r="G43" s="34">
        <f t="shared" si="66"/>
        <v>10968.048000000003</v>
      </c>
      <c r="H43" s="31">
        <f t="shared" si="65"/>
        <v>69950.813150000002</v>
      </c>
      <c r="I43" s="33">
        <f t="shared" si="65"/>
        <v>26267.636850000003</v>
      </c>
      <c r="J43" s="33">
        <f t="shared" si="65"/>
        <v>96218.45</v>
      </c>
      <c r="K43" s="37">
        <f t="shared" si="2"/>
        <v>1.3949235862206288</v>
      </c>
      <c r="L43" s="36">
        <v>10044.000000000002</v>
      </c>
      <c r="M43" s="31">
        <f t="shared" si="16"/>
        <v>7301.9880000000012</v>
      </c>
      <c r="N43" s="31">
        <f t="shared" si="17"/>
        <v>2742.0120000000006</v>
      </c>
      <c r="O43" s="31">
        <f t="shared" si="18"/>
        <v>8788.7829700000002</v>
      </c>
      <c r="P43" s="31">
        <f t="shared" si="19"/>
        <v>3300.3270300000004</v>
      </c>
      <c r="Q43" s="33">
        <f>12089.11</f>
        <v>12089.11</v>
      </c>
      <c r="R43" s="37">
        <f t="shared" si="3"/>
        <v>0.20361509358821173</v>
      </c>
      <c r="S43" s="36">
        <v>10044.000000000002</v>
      </c>
      <c r="T43" s="31">
        <f t="shared" si="20"/>
        <v>7301.9880000000012</v>
      </c>
      <c r="U43" s="31">
        <f t="shared" si="21"/>
        <v>2742.0120000000006</v>
      </c>
      <c r="V43" s="31">
        <f t="shared" si="22"/>
        <v>7525.2933199999998</v>
      </c>
      <c r="W43" s="31">
        <f t="shared" si="23"/>
        <v>2825.8666800000001</v>
      </c>
      <c r="X43" s="147">
        <f>10351.16</f>
        <v>10351.16</v>
      </c>
      <c r="Y43" s="37">
        <f t="shared" si="4"/>
        <v>3.0581441656710284E-2</v>
      </c>
      <c r="Z43" s="36">
        <v>10044.000000000002</v>
      </c>
      <c r="AA43" s="31">
        <f t="shared" si="24"/>
        <v>7301.9880000000012</v>
      </c>
      <c r="AB43" s="31">
        <f t="shared" si="25"/>
        <v>2742.0120000000006</v>
      </c>
      <c r="AC43" s="31">
        <f t="shared" si="26"/>
        <v>7858.899080000001</v>
      </c>
      <c r="AD43" s="31">
        <f t="shared" si="27"/>
        <v>2951.1409200000003</v>
      </c>
      <c r="AE43" s="27">
        <f>10810.04</f>
        <v>10810.04</v>
      </c>
      <c r="AF43" s="37">
        <f t="shared" si="5"/>
        <v>7.6268418956590978E-2</v>
      </c>
      <c r="AG43" s="36">
        <v>10044.000000000002</v>
      </c>
      <c r="AH43" s="31">
        <f t="shared" si="28"/>
        <v>7301.9880000000012</v>
      </c>
      <c r="AI43" s="31">
        <f t="shared" si="29"/>
        <v>2742.0120000000006</v>
      </c>
      <c r="AJ43" s="31">
        <f t="shared" si="30"/>
        <v>8640.1696300000003</v>
      </c>
      <c r="AK43" s="31">
        <f t="shared" si="31"/>
        <v>3244.5203700000002</v>
      </c>
      <c r="AL43" s="27">
        <f>11884.69</f>
        <v>11884.69</v>
      </c>
      <c r="AM43" s="37">
        <f t="shared" si="6"/>
        <v>0.18326264436479467</v>
      </c>
      <c r="AN43" s="36">
        <v>10044.000000000002</v>
      </c>
      <c r="AO43" s="31">
        <f t="shared" si="32"/>
        <v>7301.9880000000012</v>
      </c>
      <c r="AP43" s="31">
        <f t="shared" si="33"/>
        <v>2742.0120000000006</v>
      </c>
      <c r="AQ43" s="31">
        <f t="shared" si="34"/>
        <v>7288.3567499999999</v>
      </c>
      <c r="AR43" s="31">
        <f t="shared" si="35"/>
        <v>2736.8932500000001</v>
      </c>
      <c r="AS43" s="27">
        <v>10025.25</v>
      </c>
      <c r="AT43" s="37">
        <f t="shared" si="7"/>
        <v>-1.8667861409799036E-3</v>
      </c>
      <c r="AU43" s="36">
        <v>10044.000000000002</v>
      </c>
      <c r="AV43" s="31">
        <f t="shared" si="36"/>
        <v>7301.9880000000012</v>
      </c>
      <c r="AW43" s="31">
        <f t="shared" si="37"/>
        <v>2742.0120000000006</v>
      </c>
      <c r="AX43" s="31">
        <f t="shared" si="38"/>
        <v>29849.311399999999</v>
      </c>
      <c r="AY43" s="31">
        <f t="shared" si="39"/>
        <v>11208.8886</v>
      </c>
      <c r="AZ43" s="27">
        <v>41058.199999999997</v>
      </c>
      <c r="BA43" s="37">
        <f t="shared" si="8"/>
        <v>3.0878335324571875</v>
      </c>
      <c r="BB43" s="36">
        <v>10044.000000000002</v>
      </c>
      <c r="BC43" s="31">
        <f t="shared" si="40"/>
        <v>7301.9880000000012</v>
      </c>
      <c r="BD43" s="31">
        <f t="shared" si="41"/>
        <v>2742.0120000000006</v>
      </c>
      <c r="BE43" s="31">
        <f t="shared" si="42"/>
        <v>0</v>
      </c>
      <c r="BF43" s="31">
        <f t="shared" si="43"/>
        <v>0</v>
      </c>
      <c r="BG43" s="27"/>
      <c r="BH43" s="37">
        <f t="shared" si="9"/>
        <v>-1</v>
      </c>
      <c r="BI43" s="36">
        <v>10044.000000000002</v>
      </c>
      <c r="BJ43" s="31">
        <f t="shared" si="44"/>
        <v>7301.9880000000012</v>
      </c>
      <c r="BK43" s="31">
        <f t="shared" si="45"/>
        <v>2742.0120000000006</v>
      </c>
      <c r="BL43" s="31">
        <f t="shared" si="46"/>
        <v>0</v>
      </c>
      <c r="BM43" s="31">
        <f t="shared" si="47"/>
        <v>0</v>
      </c>
      <c r="BN43" s="27"/>
      <c r="BO43" s="37">
        <f t="shared" si="10"/>
        <v>-1</v>
      </c>
      <c r="BP43" s="36">
        <v>10044.000000000002</v>
      </c>
      <c r="BQ43" s="31">
        <f t="shared" si="48"/>
        <v>7301.9880000000012</v>
      </c>
      <c r="BR43" s="31">
        <f t="shared" si="49"/>
        <v>2742.0120000000006</v>
      </c>
      <c r="BS43" s="31">
        <f t="shared" si="50"/>
        <v>0</v>
      </c>
      <c r="BT43" s="31">
        <f t="shared" si="51"/>
        <v>0</v>
      </c>
      <c r="BU43" s="27"/>
      <c r="BV43" s="37">
        <f t="shared" si="11"/>
        <v>-1</v>
      </c>
      <c r="BW43" s="36">
        <v>10044.000000000002</v>
      </c>
      <c r="BX43" s="31">
        <f t="shared" si="52"/>
        <v>7301.9880000000012</v>
      </c>
      <c r="BY43" s="31">
        <f t="shared" si="53"/>
        <v>2742.0120000000006</v>
      </c>
      <c r="BZ43" s="31">
        <f t="shared" si="54"/>
        <v>0</v>
      </c>
      <c r="CA43" s="31">
        <f t="shared" si="55"/>
        <v>0</v>
      </c>
      <c r="CB43" s="27"/>
      <c r="CC43" s="37">
        <f t="shared" si="12"/>
        <v>-1</v>
      </c>
      <c r="CD43" s="36">
        <v>10044.000000000002</v>
      </c>
      <c r="CE43" s="31">
        <f t="shared" si="56"/>
        <v>7301.9880000000012</v>
      </c>
      <c r="CF43" s="31">
        <f t="shared" si="57"/>
        <v>2742.0120000000006</v>
      </c>
      <c r="CG43" s="31">
        <f t="shared" si="58"/>
        <v>0</v>
      </c>
      <c r="CH43" s="31">
        <f t="shared" si="59"/>
        <v>0</v>
      </c>
      <c r="CI43" s="27"/>
      <c r="CJ43" s="37">
        <f t="shared" si="13"/>
        <v>-1</v>
      </c>
      <c r="CK43" s="36">
        <v>10044.000000000002</v>
      </c>
      <c r="CL43" s="31">
        <f t="shared" si="60"/>
        <v>7301.9880000000012</v>
      </c>
      <c r="CM43" s="31">
        <f t="shared" si="61"/>
        <v>2742.0120000000006</v>
      </c>
      <c r="CN43" s="31">
        <f t="shared" si="62"/>
        <v>0</v>
      </c>
      <c r="CO43" s="31">
        <f t="shared" si="63"/>
        <v>0</v>
      </c>
      <c r="CP43" s="27"/>
      <c r="CQ43" s="37">
        <f t="shared" si="14"/>
        <v>-1</v>
      </c>
    </row>
    <row r="44" spans="1:95" s="26" customFormat="1" ht="16" customHeight="1" x14ac:dyDescent="0.2">
      <c r="A44" s="29" t="s">
        <v>68</v>
      </c>
      <c r="B44" s="30">
        <f t="shared" si="64"/>
        <v>0</v>
      </c>
      <c r="C44" s="31">
        <f t="shared" si="64"/>
        <v>0</v>
      </c>
      <c r="D44" s="32">
        <f t="shared" si="64"/>
        <v>0</v>
      </c>
      <c r="E44" s="30">
        <f t="shared" si="66"/>
        <v>0</v>
      </c>
      <c r="F44" s="33">
        <f t="shared" si="66"/>
        <v>0</v>
      </c>
      <c r="G44" s="34">
        <f t="shared" si="66"/>
        <v>0</v>
      </c>
      <c r="H44" s="31">
        <f t="shared" si="65"/>
        <v>0</v>
      </c>
      <c r="I44" s="33">
        <f t="shared" si="65"/>
        <v>0</v>
      </c>
      <c r="J44" s="33">
        <f t="shared" si="65"/>
        <v>0</v>
      </c>
      <c r="K44" s="37" t="str">
        <f t="shared" si="2"/>
        <v/>
      </c>
      <c r="L44" s="36">
        <v>0</v>
      </c>
      <c r="M44" s="31">
        <f t="shared" si="16"/>
        <v>0</v>
      </c>
      <c r="N44" s="31">
        <f t="shared" si="17"/>
        <v>0</v>
      </c>
      <c r="O44" s="31">
        <f t="shared" si="18"/>
        <v>0</v>
      </c>
      <c r="P44" s="31">
        <f t="shared" si="19"/>
        <v>0</v>
      </c>
      <c r="Q44" s="33"/>
      <c r="R44" s="37" t="str">
        <f t="shared" si="3"/>
        <v/>
      </c>
      <c r="S44" s="36">
        <v>0</v>
      </c>
      <c r="T44" s="31">
        <f t="shared" si="20"/>
        <v>0</v>
      </c>
      <c r="U44" s="31">
        <f t="shared" si="21"/>
        <v>0</v>
      </c>
      <c r="V44" s="31">
        <f t="shared" si="22"/>
        <v>0</v>
      </c>
      <c r="W44" s="31">
        <f t="shared" si="23"/>
        <v>0</v>
      </c>
      <c r="X44" s="147"/>
      <c r="Y44" s="37" t="str">
        <f t="shared" si="4"/>
        <v/>
      </c>
      <c r="Z44" s="36">
        <v>0</v>
      </c>
      <c r="AA44" s="31">
        <f t="shared" si="24"/>
        <v>0</v>
      </c>
      <c r="AB44" s="31">
        <f t="shared" si="25"/>
        <v>0</v>
      </c>
      <c r="AC44" s="31">
        <f t="shared" si="26"/>
        <v>0</v>
      </c>
      <c r="AD44" s="31">
        <f t="shared" si="27"/>
        <v>0</v>
      </c>
      <c r="AE44" s="27"/>
      <c r="AF44" s="37" t="str">
        <f t="shared" si="5"/>
        <v/>
      </c>
      <c r="AG44" s="36">
        <v>0</v>
      </c>
      <c r="AH44" s="31">
        <f t="shared" si="28"/>
        <v>0</v>
      </c>
      <c r="AI44" s="31">
        <f t="shared" si="29"/>
        <v>0</v>
      </c>
      <c r="AJ44" s="31">
        <f t="shared" si="30"/>
        <v>0</v>
      </c>
      <c r="AK44" s="31">
        <f t="shared" si="31"/>
        <v>0</v>
      </c>
      <c r="AL44" s="27"/>
      <c r="AM44" s="37" t="str">
        <f t="shared" si="6"/>
        <v/>
      </c>
      <c r="AN44" s="36">
        <v>0</v>
      </c>
      <c r="AO44" s="31">
        <f t="shared" si="32"/>
        <v>0</v>
      </c>
      <c r="AP44" s="31">
        <f t="shared" si="33"/>
        <v>0</v>
      </c>
      <c r="AQ44" s="31">
        <f t="shared" si="34"/>
        <v>0</v>
      </c>
      <c r="AR44" s="31">
        <f t="shared" si="35"/>
        <v>0</v>
      </c>
      <c r="AS44" s="27"/>
      <c r="AT44" s="37" t="str">
        <f t="shared" si="7"/>
        <v/>
      </c>
      <c r="AU44" s="36">
        <v>0</v>
      </c>
      <c r="AV44" s="31">
        <f t="shared" si="36"/>
        <v>0</v>
      </c>
      <c r="AW44" s="31">
        <f t="shared" si="37"/>
        <v>0</v>
      </c>
      <c r="AX44" s="31">
        <f t="shared" si="38"/>
        <v>0</v>
      </c>
      <c r="AY44" s="31">
        <f t="shared" si="39"/>
        <v>0</v>
      </c>
      <c r="AZ44" s="27"/>
      <c r="BA44" s="37" t="str">
        <f t="shared" si="8"/>
        <v/>
      </c>
      <c r="BB44" s="36">
        <v>0</v>
      </c>
      <c r="BC44" s="31">
        <f t="shared" si="40"/>
        <v>0</v>
      </c>
      <c r="BD44" s="31">
        <f t="shared" si="41"/>
        <v>0</v>
      </c>
      <c r="BE44" s="31">
        <f t="shared" si="42"/>
        <v>0</v>
      </c>
      <c r="BF44" s="31">
        <f t="shared" si="43"/>
        <v>0</v>
      </c>
      <c r="BG44" s="27"/>
      <c r="BH44" s="37" t="str">
        <f t="shared" si="9"/>
        <v/>
      </c>
      <c r="BI44" s="36">
        <v>0</v>
      </c>
      <c r="BJ44" s="31">
        <f t="shared" si="44"/>
        <v>0</v>
      </c>
      <c r="BK44" s="31">
        <f t="shared" si="45"/>
        <v>0</v>
      </c>
      <c r="BL44" s="31">
        <f t="shared" si="46"/>
        <v>0</v>
      </c>
      <c r="BM44" s="31">
        <f t="shared" si="47"/>
        <v>0</v>
      </c>
      <c r="BN44" s="27"/>
      <c r="BO44" s="37" t="str">
        <f t="shared" si="10"/>
        <v/>
      </c>
      <c r="BP44" s="36">
        <v>0</v>
      </c>
      <c r="BQ44" s="31">
        <f t="shared" si="48"/>
        <v>0</v>
      </c>
      <c r="BR44" s="31">
        <f t="shared" si="49"/>
        <v>0</v>
      </c>
      <c r="BS44" s="31">
        <f t="shared" si="50"/>
        <v>0</v>
      </c>
      <c r="BT44" s="31">
        <f t="shared" si="51"/>
        <v>0</v>
      </c>
      <c r="BU44" s="27"/>
      <c r="BV44" s="37" t="str">
        <f t="shared" si="11"/>
        <v/>
      </c>
      <c r="BW44" s="36">
        <v>0</v>
      </c>
      <c r="BX44" s="31">
        <f t="shared" si="52"/>
        <v>0</v>
      </c>
      <c r="BY44" s="31">
        <f t="shared" si="53"/>
        <v>0</v>
      </c>
      <c r="BZ44" s="31">
        <f t="shared" si="54"/>
        <v>0</v>
      </c>
      <c r="CA44" s="31">
        <f t="shared" si="55"/>
        <v>0</v>
      </c>
      <c r="CB44" s="27"/>
      <c r="CC44" s="37" t="str">
        <f t="shared" si="12"/>
        <v/>
      </c>
      <c r="CD44" s="36">
        <v>0</v>
      </c>
      <c r="CE44" s="31">
        <f t="shared" si="56"/>
        <v>0</v>
      </c>
      <c r="CF44" s="31">
        <f t="shared" si="57"/>
        <v>0</v>
      </c>
      <c r="CG44" s="31">
        <f t="shared" si="58"/>
        <v>0</v>
      </c>
      <c r="CH44" s="31">
        <f t="shared" si="59"/>
        <v>0</v>
      </c>
      <c r="CI44" s="27"/>
      <c r="CJ44" s="37" t="str">
        <f t="shared" si="13"/>
        <v/>
      </c>
      <c r="CK44" s="36">
        <v>0</v>
      </c>
      <c r="CL44" s="31">
        <f t="shared" si="60"/>
        <v>0</v>
      </c>
      <c r="CM44" s="31">
        <f t="shared" si="61"/>
        <v>0</v>
      </c>
      <c r="CN44" s="31">
        <f t="shared" si="62"/>
        <v>0</v>
      </c>
      <c r="CO44" s="31">
        <f t="shared" si="63"/>
        <v>0</v>
      </c>
      <c r="CP44" s="27"/>
      <c r="CQ44" s="37" t="str">
        <f t="shared" si="14"/>
        <v/>
      </c>
    </row>
    <row r="45" spans="1:95" s="26" customFormat="1" ht="16" customHeight="1" x14ac:dyDescent="0.2">
      <c r="A45" s="39" t="s">
        <v>69</v>
      </c>
      <c r="B45" s="30">
        <f t="shared" si="64"/>
        <v>0</v>
      </c>
      <c r="C45" s="31">
        <f t="shared" si="64"/>
        <v>0</v>
      </c>
      <c r="D45" s="32">
        <f t="shared" si="64"/>
        <v>0</v>
      </c>
      <c r="E45" s="30">
        <f t="shared" si="66"/>
        <v>0</v>
      </c>
      <c r="F45" s="33">
        <f t="shared" si="66"/>
        <v>0</v>
      </c>
      <c r="G45" s="34">
        <f t="shared" si="66"/>
        <v>0</v>
      </c>
      <c r="H45" s="31">
        <f t="shared" si="65"/>
        <v>0</v>
      </c>
      <c r="I45" s="33">
        <f t="shared" si="65"/>
        <v>0</v>
      </c>
      <c r="J45" s="33">
        <f t="shared" si="65"/>
        <v>0</v>
      </c>
      <c r="K45" s="37" t="str">
        <f t="shared" si="2"/>
        <v/>
      </c>
      <c r="L45" s="36">
        <v>0</v>
      </c>
      <c r="M45" s="31">
        <f t="shared" si="16"/>
        <v>0</v>
      </c>
      <c r="N45" s="31">
        <f t="shared" si="17"/>
        <v>0</v>
      </c>
      <c r="O45" s="31">
        <f t="shared" si="18"/>
        <v>0</v>
      </c>
      <c r="P45" s="31">
        <f t="shared" si="19"/>
        <v>0</v>
      </c>
      <c r="Q45" s="33"/>
      <c r="R45" s="37" t="str">
        <f t="shared" si="3"/>
        <v/>
      </c>
      <c r="S45" s="36">
        <v>0</v>
      </c>
      <c r="T45" s="31">
        <f t="shared" si="20"/>
        <v>0</v>
      </c>
      <c r="U45" s="31">
        <f t="shared" si="21"/>
        <v>0</v>
      </c>
      <c r="V45" s="31">
        <f t="shared" si="22"/>
        <v>0</v>
      </c>
      <c r="W45" s="31">
        <f t="shared" si="23"/>
        <v>0</v>
      </c>
      <c r="X45" s="147"/>
      <c r="Y45" s="37" t="str">
        <f t="shared" si="4"/>
        <v/>
      </c>
      <c r="Z45" s="36">
        <v>0</v>
      </c>
      <c r="AA45" s="31">
        <f t="shared" si="24"/>
        <v>0</v>
      </c>
      <c r="AB45" s="31">
        <f t="shared" si="25"/>
        <v>0</v>
      </c>
      <c r="AC45" s="31">
        <f t="shared" si="26"/>
        <v>0</v>
      </c>
      <c r="AD45" s="31">
        <f t="shared" si="27"/>
        <v>0</v>
      </c>
      <c r="AE45" s="27"/>
      <c r="AF45" s="37" t="str">
        <f t="shared" si="5"/>
        <v/>
      </c>
      <c r="AG45" s="36">
        <v>0</v>
      </c>
      <c r="AH45" s="31">
        <f t="shared" si="28"/>
        <v>0</v>
      </c>
      <c r="AI45" s="31">
        <f t="shared" si="29"/>
        <v>0</v>
      </c>
      <c r="AJ45" s="31">
        <f t="shared" si="30"/>
        <v>0</v>
      </c>
      <c r="AK45" s="31">
        <f t="shared" si="31"/>
        <v>0</v>
      </c>
      <c r="AL45" s="27"/>
      <c r="AM45" s="37" t="str">
        <f t="shared" si="6"/>
        <v/>
      </c>
      <c r="AN45" s="36">
        <v>0</v>
      </c>
      <c r="AO45" s="31">
        <f t="shared" si="32"/>
        <v>0</v>
      </c>
      <c r="AP45" s="31">
        <f t="shared" si="33"/>
        <v>0</v>
      </c>
      <c r="AQ45" s="31">
        <f t="shared" si="34"/>
        <v>0</v>
      </c>
      <c r="AR45" s="31">
        <f t="shared" si="35"/>
        <v>0</v>
      </c>
      <c r="AS45" s="27"/>
      <c r="AT45" s="37" t="str">
        <f t="shared" si="7"/>
        <v/>
      </c>
      <c r="AU45" s="36">
        <v>0</v>
      </c>
      <c r="AV45" s="31">
        <f t="shared" si="36"/>
        <v>0</v>
      </c>
      <c r="AW45" s="31">
        <f t="shared" si="37"/>
        <v>0</v>
      </c>
      <c r="AX45" s="31">
        <f t="shared" si="38"/>
        <v>0</v>
      </c>
      <c r="AY45" s="31">
        <f t="shared" si="39"/>
        <v>0</v>
      </c>
      <c r="AZ45" s="27"/>
      <c r="BA45" s="37" t="str">
        <f t="shared" si="8"/>
        <v/>
      </c>
      <c r="BB45" s="36">
        <v>0</v>
      </c>
      <c r="BC45" s="31">
        <f t="shared" si="40"/>
        <v>0</v>
      </c>
      <c r="BD45" s="31">
        <f t="shared" si="41"/>
        <v>0</v>
      </c>
      <c r="BE45" s="31">
        <f t="shared" si="42"/>
        <v>0</v>
      </c>
      <c r="BF45" s="31">
        <f t="shared" si="43"/>
        <v>0</v>
      </c>
      <c r="BG45" s="27"/>
      <c r="BH45" s="37" t="str">
        <f t="shared" si="9"/>
        <v/>
      </c>
      <c r="BI45" s="36">
        <v>0</v>
      </c>
      <c r="BJ45" s="31">
        <f t="shared" si="44"/>
        <v>0</v>
      </c>
      <c r="BK45" s="31">
        <f t="shared" si="45"/>
        <v>0</v>
      </c>
      <c r="BL45" s="31">
        <f t="shared" si="46"/>
        <v>0</v>
      </c>
      <c r="BM45" s="31">
        <f t="shared" si="47"/>
        <v>0</v>
      </c>
      <c r="BN45" s="27"/>
      <c r="BO45" s="37" t="str">
        <f t="shared" si="10"/>
        <v/>
      </c>
      <c r="BP45" s="36">
        <v>0</v>
      </c>
      <c r="BQ45" s="31">
        <f t="shared" si="48"/>
        <v>0</v>
      </c>
      <c r="BR45" s="31">
        <f t="shared" si="49"/>
        <v>0</v>
      </c>
      <c r="BS45" s="31">
        <f t="shared" si="50"/>
        <v>0</v>
      </c>
      <c r="BT45" s="31">
        <f t="shared" si="51"/>
        <v>0</v>
      </c>
      <c r="BU45" s="27"/>
      <c r="BV45" s="37" t="str">
        <f t="shared" si="11"/>
        <v/>
      </c>
      <c r="BW45" s="36">
        <v>0</v>
      </c>
      <c r="BX45" s="31">
        <f t="shared" si="52"/>
        <v>0</v>
      </c>
      <c r="BY45" s="31">
        <f t="shared" si="53"/>
        <v>0</v>
      </c>
      <c r="BZ45" s="31">
        <f t="shared" si="54"/>
        <v>0</v>
      </c>
      <c r="CA45" s="31">
        <f t="shared" si="55"/>
        <v>0</v>
      </c>
      <c r="CB45" s="27"/>
      <c r="CC45" s="37" t="str">
        <f t="shared" si="12"/>
        <v/>
      </c>
      <c r="CD45" s="36">
        <v>0</v>
      </c>
      <c r="CE45" s="31">
        <f t="shared" si="56"/>
        <v>0</v>
      </c>
      <c r="CF45" s="31">
        <f t="shared" si="57"/>
        <v>0</v>
      </c>
      <c r="CG45" s="31">
        <f t="shared" si="58"/>
        <v>0</v>
      </c>
      <c r="CH45" s="31">
        <f t="shared" si="59"/>
        <v>0</v>
      </c>
      <c r="CI45" s="27"/>
      <c r="CJ45" s="37" t="str">
        <f t="shared" si="13"/>
        <v/>
      </c>
      <c r="CK45" s="36">
        <v>0</v>
      </c>
      <c r="CL45" s="31">
        <f t="shared" si="60"/>
        <v>0</v>
      </c>
      <c r="CM45" s="31">
        <f t="shared" si="61"/>
        <v>0</v>
      </c>
      <c r="CN45" s="31">
        <f t="shared" si="62"/>
        <v>0</v>
      </c>
      <c r="CO45" s="31">
        <f t="shared" si="63"/>
        <v>0</v>
      </c>
      <c r="CP45" s="27"/>
      <c r="CQ45" s="37" t="str">
        <f t="shared" si="14"/>
        <v/>
      </c>
    </row>
    <row r="46" spans="1:95" s="26" customFormat="1" ht="16" customHeight="1" x14ac:dyDescent="0.2">
      <c r="A46" s="38" t="s">
        <v>70</v>
      </c>
      <c r="B46" s="30">
        <f t="shared" si="64"/>
        <v>0</v>
      </c>
      <c r="C46" s="31">
        <f t="shared" si="64"/>
        <v>0</v>
      </c>
      <c r="D46" s="32">
        <f t="shared" si="64"/>
        <v>0</v>
      </c>
      <c r="E46" s="30">
        <f t="shared" si="66"/>
        <v>0</v>
      </c>
      <c r="F46" s="33">
        <f t="shared" si="66"/>
        <v>0</v>
      </c>
      <c r="G46" s="34">
        <f t="shared" si="66"/>
        <v>0</v>
      </c>
      <c r="H46" s="31">
        <f t="shared" si="65"/>
        <v>0</v>
      </c>
      <c r="I46" s="33">
        <f t="shared" si="65"/>
        <v>0</v>
      </c>
      <c r="J46" s="33">
        <f t="shared" si="65"/>
        <v>0</v>
      </c>
      <c r="K46" s="37" t="str">
        <f t="shared" si="2"/>
        <v/>
      </c>
      <c r="L46" s="36">
        <v>0</v>
      </c>
      <c r="M46" s="31">
        <f t="shared" si="16"/>
        <v>0</v>
      </c>
      <c r="N46" s="31">
        <f t="shared" si="17"/>
        <v>0</v>
      </c>
      <c r="O46" s="31">
        <f t="shared" si="18"/>
        <v>0</v>
      </c>
      <c r="P46" s="31">
        <f t="shared" si="19"/>
        <v>0</v>
      </c>
      <c r="Q46" s="33"/>
      <c r="R46" s="37" t="str">
        <f t="shared" si="3"/>
        <v/>
      </c>
      <c r="S46" s="36">
        <v>0</v>
      </c>
      <c r="T46" s="31">
        <f t="shared" si="20"/>
        <v>0</v>
      </c>
      <c r="U46" s="31">
        <f t="shared" si="21"/>
        <v>0</v>
      </c>
      <c r="V46" s="31">
        <f t="shared" si="22"/>
        <v>0</v>
      </c>
      <c r="W46" s="31">
        <f t="shared" si="23"/>
        <v>0</v>
      </c>
      <c r="X46" s="147"/>
      <c r="Y46" s="37" t="str">
        <f t="shared" si="4"/>
        <v/>
      </c>
      <c r="Z46" s="36">
        <v>0</v>
      </c>
      <c r="AA46" s="31">
        <f t="shared" si="24"/>
        <v>0</v>
      </c>
      <c r="AB46" s="31">
        <f t="shared" si="25"/>
        <v>0</v>
      </c>
      <c r="AC46" s="31">
        <f t="shared" si="26"/>
        <v>0</v>
      </c>
      <c r="AD46" s="31">
        <f t="shared" si="27"/>
        <v>0</v>
      </c>
      <c r="AE46" s="27"/>
      <c r="AF46" s="37" t="str">
        <f t="shared" si="5"/>
        <v/>
      </c>
      <c r="AG46" s="36">
        <v>0</v>
      </c>
      <c r="AH46" s="31">
        <f t="shared" si="28"/>
        <v>0</v>
      </c>
      <c r="AI46" s="31">
        <f t="shared" si="29"/>
        <v>0</v>
      </c>
      <c r="AJ46" s="31">
        <f t="shared" si="30"/>
        <v>0</v>
      </c>
      <c r="AK46" s="31">
        <f t="shared" si="31"/>
        <v>0</v>
      </c>
      <c r="AL46" s="27"/>
      <c r="AM46" s="37" t="str">
        <f t="shared" si="6"/>
        <v/>
      </c>
      <c r="AN46" s="36">
        <v>0</v>
      </c>
      <c r="AO46" s="31">
        <f t="shared" si="32"/>
        <v>0</v>
      </c>
      <c r="AP46" s="31">
        <f t="shared" si="33"/>
        <v>0</v>
      </c>
      <c r="AQ46" s="31">
        <f t="shared" si="34"/>
        <v>0</v>
      </c>
      <c r="AR46" s="31">
        <f t="shared" si="35"/>
        <v>0</v>
      </c>
      <c r="AS46" s="27"/>
      <c r="AT46" s="37" t="str">
        <f t="shared" si="7"/>
        <v/>
      </c>
      <c r="AU46" s="36">
        <v>0</v>
      </c>
      <c r="AV46" s="31">
        <f t="shared" si="36"/>
        <v>0</v>
      </c>
      <c r="AW46" s="31">
        <f t="shared" si="37"/>
        <v>0</v>
      </c>
      <c r="AX46" s="31">
        <f t="shared" si="38"/>
        <v>0</v>
      </c>
      <c r="AY46" s="31">
        <f t="shared" si="39"/>
        <v>0</v>
      </c>
      <c r="AZ46" s="27"/>
      <c r="BA46" s="37" t="str">
        <f t="shared" si="8"/>
        <v/>
      </c>
      <c r="BB46" s="36">
        <v>0</v>
      </c>
      <c r="BC46" s="31">
        <f t="shared" si="40"/>
        <v>0</v>
      </c>
      <c r="BD46" s="31">
        <f t="shared" si="41"/>
        <v>0</v>
      </c>
      <c r="BE46" s="31">
        <f t="shared" si="42"/>
        <v>0</v>
      </c>
      <c r="BF46" s="31">
        <f t="shared" si="43"/>
        <v>0</v>
      </c>
      <c r="BG46" s="27"/>
      <c r="BH46" s="37" t="str">
        <f t="shared" si="9"/>
        <v/>
      </c>
      <c r="BI46" s="36">
        <v>0</v>
      </c>
      <c r="BJ46" s="31">
        <f t="shared" si="44"/>
        <v>0</v>
      </c>
      <c r="BK46" s="31">
        <f t="shared" si="45"/>
        <v>0</v>
      </c>
      <c r="BL46" s="31">
        <f t="shared" si="46"/>
        <v>0</v>
      </c>
      <c r="BM46" s="31">
        <f t="shared" si="47"/>
        <v>0</v>
      </c>
      <c r="BN46" s="27"/>
      <c r="BO46" s="37" t="str">
        <f t="shared" si="10"/>
        <v/>
      </c>
      <c r="BP46" s="36">
        <v>0</v>
      </c>
      <c r="BQ46" s="31">
        <f t="shared" si="48"/>
        <v>0</v>
      </c>
      <c r="BR46" s="31">
        <f t="shared" si="49"/>
        <v>0</v>
      </c>
      <c r="BS46" s="31">
        <f t="shared" si="50"/>
        <v>0</v>
      </c>
      <c r="BT46" s="31">
        <f t="shared" si="51"/>
        <v>0</v>
      </c>
      <c r="BU46" s="27"/>
      <c r="BV46" s="37" t="str">
        <f t="shared" si="11"/>
        <v/>
      </c>
      <c r="BW46" s="36">
        <v>0</v>
      </c>
      <c r="BX46" s="31">
        <f t="shared" si="52"/>
        <v>0</v>
      </c>
      <c r="BY46" s="31">
        <f t="shared" si="53"/>
        <v>0</v>
      </c>
      <c r="BZ46" s="31">
        <f t="shared" si="54"/>
        <v>0</v>
      </c>
      <c r="CA46" s="31">
        <f t="shared" si="55"/>
        <v>0</v>
      </c>
      <c r="CB46" s="27"/>
      <c r="CC46" s="37" t="str">
        <f t="shared" si="12"/>
        <v/>
      </c>
      <c r="CD46" s="36">
        <v>0</v>
      </c>
      <c r="CE46" s="31">
        <f t="shared" si="56"/>
        <v>0</v>
      </c>
      <c r="CF46" s="31">
        <f t="shared" si="57"/>
        <v>0</v>
      </c>
      <c r="CG46" s="31">
        <f t="shared" si="58"/>
        <v>0</v>
      </c>
      <c r="CH46" s="31">
        <f t="shared" si="59"/>
        <v>0</v>
      </c>
      <c r="CI46" s="27"/>
      <c r="CJ46" s="37" t="str">
        <f t="shared" si="13"/>
        <v/>
      </c>
      <c r="CK46" s="36">
        <v>0</v>
      </c>
      <c r="CL46" s="31">
        <f t="shared" si="60"/>
        <v>0</v>
      </c>
      <c r="CM46" s="31">
        <f t="shared" si="61"/>
        <v>0</v>
      </c>
      <c r="CN46" s="31">
        <f t="shared" si="62"/>
        <v>0</v>
      </c>
      <c r="CO46" s="31">
        <f t="shared" si="63"/>
        <v>0</v>
      </c>
      <c r="CP46" s="27"/>
      <c r="CQ46" s="37" t="str">
        <f t="shared" si="14"/>
        <v/>
      </c>
    </row>
    <row r="47" spans="1:95" s="26" customFormat="1" ht="16" customHeight="1" x14ac:dyDescent="0.2">
      <c r="A47" s="29" t="s">
        <v>71</v>
      </c>
      <c r="B47" s="30">
        <f t="shared" si="64"/>
        <v>0</v>
      </c>
      <c r="C47" s="31">
        <f t="shared" si="64"/>
        <v>0</v>
      </c>
      <c r="D47" s="32">
        <f t="shared" si="64"/>
        <v>0</v>
      </c>
      <c r="E47" s="30">
        <f t="shared" si="66"/>
        <v>0</v>
      </c>
      <c r="F47" s="33">
        <f t="shared" si="66"/>
        <v>0</v>
      </c>
      <c r="G47" s="34">
        <f t="shared" si="66"/>
        <v>0</v>
      </c>
      <c r="H47" s="31">
        <f t="shared" si="65"/>
        <v>0</v>
      </c>
      <c r="I47" s="33">
        <f t="shared" si="65"/>
        <v>0</v>
      </c>
      <c r="J47" s="33">
        <f t="shared" si="65"/>
        <v>0</v>
      </c>
      <c r="K47" s="37" t="str">
        <f t="shared" si="2"/>
        <v/>
      </c>
      <c r="L47" s="36">
        <v>0</v>
      </c>
      <c r="M47" s="31">
        <f t="shared" si="16"/>
        <v>0</v>
      </c>
      <c r="N47" s="31">
        <f t="shared" si="17"/>
        <v>0</v>
      </c>
      <c r="O47" s="31">
        <f t="shared" si="18"/>
        <v>0</v>
      </c>
      <c r="P47" s="31">
        <f t="shared" si="19"/>
        <v>0</v>
      </c>
      <c r="Q47" s="33"/>
      <c r="R47" s="37" t="str">
        <f t="shared" si="3"/>
        <v/>
      </c>
      <c r="S47" s="36">
        <v>0</v>
      </c>
      <c r="T47" s="31">
        <f t="shared" si="20"/>
        <v>0</v>
      </c>
      <c r="U47" s="31">
        <f t="shared" si="21"/>
        <v>0</v>
      </c>
      <c r="V47" s="31">
        <f t="shared" si="22"/>
        <v>0</v>
      </c>
      <c r="W47" s="31">
        <f t="shared" si="23"/>
        <v>0</v>
      </c>
      <c r="X47" s="147"/>
      <c r="Y47" s="37" t="str">
        <f t="shared" si="4"/>
        <v/>
      </c>
      <c r="Z47" s="36">
        <v>0</v>
      </c>
      <c r="AA47" s="31">
        <f t="shared" si="24"/>
        <v>0</v>
      </c>
      <c r="AB47" s="31">
        <f t="shared" si="25"/>
        <v>0</v>
      </c>
      <c r="AC47" s="31">
        <f t="shared" si="26"/>
        <v>0</v>
      </c>
      <c r="AD47" s="31">
        <f t="shared" si="27"/>
        <v>0</v>
      </c>
      <c r="AE47" s="27"/>
      <c r="AF47" s="37" t="str">
        <f t="shared" si="5"/>
        <v/>
      </c>
      <c r="AG47" s="36">
        <v>0</v>
      </c>
      <c r="AH47" s="31">
        <f t="shared" si="28"/>
        <v>0</v>
      </c>
      <c r="AI47" s="31">
        <f t="shared" si="29"/>
        <v>0</v>
      </c>
      <c r="AJ47" s="31">
        <f t="shared" si="30"/>
        <v>0</v>
      </c>
      <c r="AK47" s="31">
        <f t="shared" si="31"/>
        <v>0</v>
      </c>
      <c r="AL47" s="27"/>
      <c r="AM47" s="37" t="str">
        <f t="shared" si="6"/>
        <v/>
      </c>
      <c r="AN47" s="36">
        <v>0</v>
      </c>
      <c r="AO47" s="31">
        <f t="shared" si="32"/>
        <v>0</v>
      </c>
      <c r="AP47" s="31">
        <f t="shared" si="33"/>
        <v>0</v>
      </c>
      <c r="AQ47" s="31">
        <f t="shared" si="34"/>
        <v>0</v>
      </c>
      <c r="AR47" s="31">
        <f t="shared" si="35"/>
        <v>0</v>
      </c>
      <c r="AS47" s="27"/>
      <c r="AT47" s="37" t="str">
        <f t="shared" si="7"/>
        <v/>
      </c>
      <c r="AU47" s="36">
        <v>0</v>
      </c>
      <c r="AV47" s="31">
        <f t="shared" si="36"/>
        <v>0</v>
      </c>
      <c r="AW47" s="31">
        <f t="shared" si="37"/>
        <v>0</v>
      </c>
      <c r="AX47" s="31">
        <f t="shared" si="38"/>
        <v>0</v>
      </c>
      <c r="AY47" s="31">
        <f t="shared" si="39"/>
        <v>0</v>
      </c>
      <c r="AZ47" s="27"/>
      <c r="BA47" s="37" t="str">
        <f t="shared" si="8"/>
        <v/>
      </c>
      <c r="BB47" s="36">
        <v>0</v>
      </c>
      <c r="BC47" s="31">
        <f t="shared" si="40"/>
        <v>0</v>
      </c>
      <c r="BD47" s="31">
        <f t="shared" si="41"/>
        <v>0</v>
      </c>
      <c r="BE47" s="31">
        <f t="shared" si="42"/>
        <v>0</v>
      </c>
      <c r="BF47" s="31">
        <f t="shared" si="43"/>
        <v>0</v>
      </c>
      <c r="BG47" s="27"/>
      <c r="BH47" s="37" t="str">
        <f t="shared" si="9"/>
        <v/>
      </c>
      <c r="BI47" s="36">
        <v>0</v>
      </c>
      <c r="BJ47" s="31">
        <f t="shared" si="44"/>
        <v>0</v>
      </c>
      <c r="BK47" s="31">
        <f t="shared" si="45"/>
        <v>0</v>
      </c>
      <c r="BL47" s="31">
        <f t="shared" si="46"/>
        <v>0</v>
      </c>
      <c r="BM47" s="31">
        <f t="shared" si="47"/>
        <v>0</v>
      </c>
      <c r="BN47" s="27"/>
      <c r="BO47" s="37" t="str">
        <f t="shared" si="10"/>
        <v/>
      </c>
      <c r="BP47" s="36">
        <v>0</v>
      </c>
      <c r="BQ47" s="31">
        <f t="shared" si="48"/>
        <v>0</v>
      </c>
      <c r="BR47" s="31">
        <f t="shared" si="49"/>
        <v>0</v>
      </c>
      <c r="BS47" s="31">
        <f t="shared" si="50"/>
        <v>0</v>
      </c>
      <c r="BT47" s="31">
        <f t="shared" si="51"/>
        <v>0</v>
      </c>
      <c r="BU47" s="27"/>
      <c r="BV47" s="37" t="str">
        <f t="shared" si="11"/>
        <v/>
      </c>
      <c r="BW47" s="36">
        <v>0</v>
      </c>
      <c r="BX47" s="31">
        <f t="shared" si="52"/>
        <v>0</v>
      </c>
      <c r="BY47" s="31">
        <f t="shared" si="53"/>
        <v>0</v>
      </c>
      <c r="BZ47" s="31">
        <f t="shared" si="54"/>
        <v>0</v>
      </c>
      <c r="CA47" s="31">
        <f t="shared" si="55"/>
        <v>0</v>
      </c>
      <c r="CB47" s="27"/>
      <c r="CC47" s="37" t="str">
        <f t="shared" si="12"/>
        <v/>
      </c>
      <c r="CD47" s="36">
        <v>0</v>
      </c>
      <c r="CE47" s="31">
        <f t="shared" si="56"/>
        <v>0</v>
      </c>
      <c r="CF47" s="31">
        <f t="shared" si="57"/>
        <v>0</v>
      </c>
      <c r="CG47" s="31">
        <f t="shared" si="58"/>
        <v>0</v>
      </c>
      <c r="CH47" s="31">
        <f t="shared" si="59"/>
        <v>0</v>
      </c>
      <c r="CI47" s="27"/>
      <c r="CJ47" s="37" t="str">
        <f t="shared" si="13"/>
        <v/>
      </c>
      <c r="CK47" s="36">
        <v>0</v>
      </c>
      <c r="CL47" s="31">
        <f t="shared" si="60"/>
        <v>0</v>
      </c>
      <c r="CM47" s="31">
        <f t="shared" si="61"/>
        <v>0</v>
      </c>
      <c r="CN47" s="31">
        <f t="shared" si="62"/>
        <v>0</v>
      </c>
      <c r="CO47" s="31">
        <f t="shared" si="63"/>
        <v>0</v>
      </c>
      <c r="CP47" s="27"/>
      <c r="CQ47" s="37" t="str">
        <f t="shared" si="14"/>
        <v/>
      </c>
    </row>
    <row r="48" spans="1:95" s="26" customFormat="1" ht="16" customHeight="1" x14ac:dyDescent="0.2">
      <c r="A48" s="38" t="s">
        <v>72</v>
      </c>
      <c r="B48" s="30">
        <f t="shared" si="64"/>
        <v>70000.000000000015</v>
      </c>
      <c r="C48" s="31">
        <f t="shared" si="64"/>
        <v>50890.000000000007</v>
      </c>
      <c r="D48" s="32">
        <f t="shared" si="64"/>
        <v>19110</v>
      </c>
      <c r="E48" s="30">
        <f t="shared" si="66"/>
        <v>23333.333333333332</v>
      </c>
      <c r="F48" s="33">
        <f t="shared" si="66"/>
        <v>16963.333333333332</v>
      </c>
      <c r="G48" s="34">
        <f t="shared" si="66"/>
        <v>6370</v>
      </c>
      <c r="H48" s="31">
        <f t="shared" si="65"/>
        <v>29333.839319999999</v>
      </c>
      <c r="I48" s="33">
        <f t="shared" si="65"/>
        <v>11015.320679999999</v>
      </c>
      <c r="J48" s="33">
        <f t="shared" si="65"/>
        <v>40349.159999999996</v>
      </c>
      <c r="K48" s="37">
        <f t="shared" si="2"/>
        <v>0.72924971428571417</v>
      </c>
      <c r="L48" s="36">
        <v>5833.333333333333</v>
      </c>
      <c r="M48" s="31">
        <f t="shared" si="16"/>
        <v>4240.833333333333</v>
      </c>
      <c r="N48" s="31">
        <f t="shared" si="17"/>
        <v>1592.5</v>
      </c>
      <c r="O48" s="31">
        <f t="shared" si="18"/>
        <v>4650.7353199999998</v>
      </c>
      <c r="P48" s="31">
        <f t="shared" si="19"/>
        <v>1746.4246800000001</v>
      </c>
      <c r="Q48" s="33">
        <f>6397.16</f>
        <v>6397.16</v>
      </c>
      <c r="R48" s="37">
        <f t="shared" si="3"/>
        <v>9.6656000000000075E-2</v>
      </c>
      <c r="S48" s="36">
        <v>5833.333333333333</v>
      </c>
      <c r="T48" s="31">
        <f t="shared" si="20"/>
        <v>4240.833333333333</v>
      </c>
      <c r="U48" s="31">
        <f t="shared" si="21"/>
        <v>1592.5</v>
      </c>
      <c r="V48" s="31">
        <f t="shared" si="22"/>
        <v>6367.6621399999995</v>
      </c>
      <c r="W48" s="31">
        <f t="shared" si="23"/>
        <v>2391.1578600000003</v>
      </c>
      <c r="X48" s="147">
        <f>8758.82</f>
        <v>8758.82</v>
      </c>
      <c r="Y48" s="37">
        <f t="shared" si="4"/>
        <v>0.50151199999999996</v>
      </c>
      <c r="Z48" s="36">
        <v>5833.333333333333</v>
      </c>
      <c r="AA48" s="31">
        <f t="shared" si="24"/>
        <v>4240.833333333333</v>
      </c>
      <c r="AB48" s="31">
        <f t="shared" si="25"/>
        <v>1592.5</v>
      </c>
      <c r="AC48" s="31">
        <f t="shared" si="26"/>
        <v>3991.9788099999996</v>
      </c>
      <c r="AD48" s="31">
        <f t="shared" si="27"/>
        <v>1499.0511900000001</v>
      </c>
      <c r="AE48" s="27">
        <f>5742.03-251</f>
        <v>5491.03</v>
      </c>
      <c r="AF48" s="37">
        <f t="shared" si="5"/>
        <v>-5.8680571428571415E-2</v>
      </c>
      <c r="AG48" s="36">
        <v>5833.333333333333</v>
      </c>
      <c r="AH48" s="31">
        <f t="shared" si="28"/>
        <v>4240.833333333333</v>
      </c>
      <c r="AI48" s="31">
        <f t="shared" si="29"/>
        <v>1592.5</v>
      </c>
      <c r="AJ48" s="31">
        <f t="shared" si="30"/>
        <v>1976.0441599999999</v>
      </c>
      <c r="AK48" s="31">
        <f t="shared" si="31"/>
        <v>742.03584000000001</v>
      </c>
      <c r="AL48" s="27">
        <v>2718.08</v>
      </c>
      <c r="AM48" s="37">
        <f t="shared" si="6"/>
        <v>-0.53404342857142861</v>
      </c>
      <c r="AN48" s="36">
        <v>5833.333333333333</v>
      </c>
      <c r="AO48" s="31">
        <f t="shared" si="32"/>
        <v>4240.833333333333</v>
      </c>
      <c r="AP48" s="31">
        <f t="shared" si="33"/>
        <v>1592.5</v>
      </c>
      <c r="AQ48" s="31">
        <f t="shared" si="34"/>
        <v>7740.8779000000004</v>
      </c>
      <c r="AR48" s="31">
        <f t="shared" si="35"/>
        <v>2906.8221000000003</v>
      </c>
      <c r="AS48" s="27">
        <v>10647.7</v>
      </c>
      <c r="AT48" s="37">
        <f t="shared" si="7"/>
        <v>0.82532000000000028</v>
      </c>
      <c r="AU48" s="36">
        <v>5833.333333333333</v>
      </c>
      <c r="AV48" s="31">
        <f t="shared" si="36"/>
        <v>4240.833333333333</v>
      </c>
      <c r="AW48" s="31">
        <f t="shared" si="37"/>
        <v>1592.5</v>
      </c>
      <c r="AX48" s="31">
        <f t="shared" si="38"/>
        <v>4606.5409899999995</v>
      </c>
      <c r="AY48" s="31">
        <f t="shared" si="39"/>
        <v>1729.8290100000002</v>
      </c>
      <c r="AZ48" s="27">
        <v>6336.37</v>
      </c>
      <c r="BA48" s="37">
        <f t="shared" si="8"/>
        <v>8.623485714285728E-2</v>
      </c>
      <c r="BB48" s="36">
        <v>5833.333333333333</v>
      </c>
      <c r="BC48" s="31">
        <f t="shared" si="40"/>
        <v>4240.833333333333</v>
      </c>
      <c r="BD48" s="31">
        <f t="shared" si="41"/>
        <v>1592.5</v>
      </c>
      <c r="BE48" s="31">
        <f t="shared" si="42"/>
        <v>0</v>
      </c>
      <c r="BF48" s="31">
        <f t="shared" si="43"/>
        <v>0</v>
      </c>
      <c r="BG48" s="27"/>
      <c r="BH48" s="37">
        <f t="shared" si="9"/>
        <v>-1</v>
      </c>
      <c r="BI48" s="36">
        <v>5833.333333333333</v>
      </c>
      <c r="BJ48" s="31">
        <f t="shared" si="44"/>
        <v>4240.833333333333</v>
      </c>
      <c r="BK48" s="31">
        <f t="shared" si="45"/>
        <v>1592.5</v>
      </c>
      <c r="BL48" s="31">
        <f t="shared" si="46"/>
        <v>0</v>
      </c>
      <c r="BM48" s="31">
        <f t="shared" si="47"/>
        <v>0</v>
      </c>
      <c r="BN48" s="27"/>
      <c r="BO48" s="37">
        <f t="shared" si="10"/>
        <v>-1</v>
      </c>
      <c r="BP48" s="36">
        <v>5833.333333333333</v>
      </c>
      <c r="BQ48" s="31">
        <f t="shared" si="48"/>
        <v>4240.833333333333</v>
      </c>
      <c r="BR48" s="31">
        <f t="shared" si="49"/>
        <v>1592.5</v>
      </c>
      <c r="BS48" s="31">
        <f t="shared" si="50"/>
        <v>0</v>
      </c>
      <c r="BT48" s="31">
        <f t="shared" si="51"/>
        <v>0</v>
      </c>
      <c r="BU48" s="27"/>
      <c r="BV48" s="37">
        <f t="shared" si="11"/>
        <v>-1</v>
      </c>
      <c r="BW48" s="36">
        <v>5833.333333333333</v>
      </c>
      <c r="BX48" s="31">
        <f t="shared" si="52"/>
        <v>4240.833333333333</v>
      </c>
      <c r="BY48" s="31">
        <f t="shared" si="53"/>
        <v>1592.5</v>
      </c>
      <c r="BZ48" s="31">
        <f t="shared" si="54"/>
        <v>0</v>
      </c>
      <c r="CA48" s="31">
        <f t="shared" si="55"/>
        <v>0</v>
      </c>
      <c r="CB48" s="27"/>
      <c r="CC48" s="37">
        <f t="shared" si="12"/>
        <v>-1</v>
      </c>
      <c r="CD48" s="36">
        <v>5833.333333333333</v>
      </c>
      <c r="CE48" s="31">
        <f t="shared" si="56"/>
        <v>4240.833333333333</v>
      </c>
      <c r="CF48" s="31">
        <f t="shared" si="57"/>
        <v>1592.5</v>
      </c>
      <c r="CG48" s="31">
        <f t="shared" si="58"/>
        <v>0</v>
      </c>
      <c r="CH48" s="31">
        <f t="shared" si="59"/>
        <v>0</v>
      </c>
      <c r="CI48" s="27"/>
      <c r="CJ48" s="37">
        <f t="shared" si="13"/>
        <v>-1</v>
      </c>
      <c r="CK48" s="36">
        <v>5833.333333333333</v>
      </c>
      <c r="CL48" s="31">
        <f t="shared" si="60"/>
        <v>4240.833333333333</v>
      </c>
      <c r="CM48" s="31">
        <f t="shared" si="61"/>
        <v>1592.5</v>
      </c>
      <c r="CN48" s="31">
        <f t="shared" si="62"/>
        <v>0</v>
      </c>
      <c r="CO48" s="31">
        <f t="shared" si="63"/>
        <v>0</v>
      </c>
      <c r="CP48" s="27"/>
      <c r="CQ48" s="37">
        <f t="shared" si="14"/>
        <v>-1</v>
      </c>
    </row>
    <row r="49" spans="1:99" s="26" customFormat="1" ht="16" customHeight="1" x14ac:dyDescent="0.2">
      <c r="A49" s="29" t="s">
        <v>73</v>
      </c>
      <c r="B49" s="30">
        <f t="shared" si="64"/>
        <v>157500</v>
      </c>
      <c r="C49" s="31">
        <f t="shared" si="64"/>
        <v>114502.5</v>
      </c>
      <c r="D49" s="32">
        <f t="shared" si="64"/>
        <v>42997.500000000007</v>
      </c>
      <c r="E49" s="30">
        <f t="shared" si="66"/>
        <v>52500</v>
      </c>
      <c r="F49" s="33">
        <f t="shared" si="66"/>
        <v>38167.5</v>
      </c>
      <c r="G49" s="34">
        <f t="shared" si="66"/>
        <v>14332.500000000002</v>
      </c>
      <c r="H49" s="31">
        <f t="shared" si="65"/>
        <v>72757.578399999999</v>
      </c>
      <c r="I49" s="33">
        <f t="shared" si="65"/>
        <v>27321.621599999999</v>
      </c>
      <c r="J49" s="33">
        <f t="shared" si="65"/>
        <v>100079.2</v>
      </c>
      <c r="K49" s="37">
        <f t="shared" si="2"/>
        <v>0.90627047619047607</v>
      </c>
      <c r="L49" s="36">
        <v>13125</v>
      </c>
      <c r="M49" s="31">
        <f t="shared" si="16"/>
        <v>9541.875</v>
      </c>
      <c r="N49" s="31">
        <f t="shared" si="17"/>
        <v>3583.1250000000005</v>
      </c>
      <c r="O49" s="31">
        <f t="shared" si="18"/>
        <v>15546.88773</v>
      </c>
      <c r="P49" s="31">
        <f t="shared" si="19"/>
        <v>5838.1022700000012</v>
      </c>
      <c r="Q49" s="33">
        <f>R88</f>
        <v>21384.99</v>
      </c>
      <c r="R49" s="37">
        <f t="shared" si="3"/>
        <v>0.62933257142857157</v>
      </c>
      <c r="S49" s="36">
        <v>13125</v>
      </c>
      <c r="T49" s="31">
        <f t="shared" si="20"/>
        <v>9541.875</v>
      </c>
      <c r="U49" s="31">
        <f t="shared" si="21"/>
        <v>3583.1250000000005</v>
      </c>
      <c r="V49" s="31">
        <f t="shared" si="22"/>
        <v>11423.07474</v>
      </c>
      <c r="W49" s="31">
        <f t="shared" si="23"/>
        <v>4289.5452599999999</v>
      </c>
      <c r="X49" s="147">
        <f>Y88</f>
        <v>15712.619999999999</v>
      </c>
      <c r="Y49" s="37">
        <f t="shared" si="4"/>
        <v>0.19715199999999999</v>
      </c>
      <c r="Z49" s="36">
        <v>13125</v>
      </c>
      <c r="AA49" s="31">
        <f t="shared" si="24"/>
        <v>9541.875</v>
      </c>
      <c r="AB49" s="31">
        <f t="shared" si="25"/>
        <v>3583.1250000000005</v>
      </c>
      <c r="AC49" s="31">
        <f t="shared" si="26"/>
        <v>10087.931969999998</v>
      </c>
      <c r="AD49" s="31">
        <f t="shared" si="27"/>
        <v>3788.17803</v>
      </c>
      <c r="AE49" s="27">
        <f>AF88</f>
        <v>13876.109999999999</v>
      </c>
      <c r="AF49" s="37">
        <f t="shared" si="5"/>
        <v>5.7227428571428485E-2</v>
      </c>
      <c r="AG49" s="36">
        <v>13125</v>
      </c>
      <c r="AH49" s="31">
        <f t="shared" si="28"/>
        <v>9541.875</v>
      </c>
      <c r="AI49" s="31">
        <f t="shared" si="29"/>
        <v>3583.1250000000005</v>
      </c>
      <c r="AJ49" s="31">
        <f t="shared" si="30"/>
        <v>10467.026119999999</v>
      </c>
      <c r="AK49" s="31">
        <f t="shared" si="31"/>
        <v>3930.5338799999995</v>
      </c>
      <c r="AL49" s="27">
        <f>AM88</f>
        <v>14397.559999999998</v>
      </c>
      <c r="AM49" s="37">
        <f t="shared" si="6"/>
        <v>9.6956952380952144E-2</v>
      </c>
      <c r="AN49" s="36">
        <v>13125</v>
      </c>
      <c r="AO49" s="31">
        <f t="shared" si="32"/>
        <v>9541.875</v>
      </c>
      <c r="AP49" s="31">
        <f t="shared" si="33"/>
        <v>3583.1250000000005</v>
      </c>
      <c r="AQ49" s="31">
        <f t="shared" si="34"/>
        <v>14487.234339999999</v>
      </c>
      <c r="AR49" s="31">
        <f t="shared" si="35"/>
        <v>5440.1856600000001</v>
      </c>
      <c r="AS49" s="27">
        <v>19927.419999999998</v>
      </c>
      <c r="AT49" s="37">
        <f t="shared" si="7"/>
        <v>0.51827961904761888</v>
      </c>
      <c r="AU49" s="36">
        <v>13125</v>
      </c>
      <c r="AV49" s="31">
        <f t="shared" si="36"/>
        <v>9541.875</v>
      </c>
      <c r="AW49" s="31">
        <f t="shared" si="37"/>
        <v>3583.1250000000005</v>
      </c>
      <c r="AX49" s="31">
        <f t="shared" si="38"/>
        <v>10745.423500000001</v>
      </c>
      <c r="AY49" s="31">
        <f t="shared" si="39"/>
        <v>4035.0765000000001</v>
      </c>
      <c r="AZ49" s="27">
        <v>14780.5</v>
      </c>
      <c r="BA49" s="37">
        <f t="shared" si="8"/>
        <v>0.12613333333333343</v>
      </c>
      <c r="BB49" s="36">
        <v>13125</v>
      </c>
      <c r="BC49" s="31">
        <f t="shared" si="40"/>
        <v>9541.875</v>
      </c>
      <c r="BD49" s="31">
        <f t="shared" si="41"/>
        <v>3583.1250000000005</v>
      </c>
      <c r="BE49" s="31">
        <f t="shared" si="42"/>
        <v>0</v>
      </c>
      <c r="BF49" s="31">
        <f t="shared" si="43"/>
        <v>0</v>
      </c>
      <c r="BG49" s="27"/>
      <c r="BH49" s="37">
        <f t="shared" si="9"/>
        <v>-1</v>
      </c>
      <c r="BI49" s="36">
        <v>13125</v>
      </c>
      <c r="BJ49" s="31">
        <f t="shared" si="44"/>
        <v>9541.875</v>
      </c>
      <c r="BK49" s="31">
        <f t="shared" si="45"/>
        <v>3583.1250000000005</v>
      </c>
      <c r="BL49" s="31">
        <f t="shared" si="46"/>
        <v>0</v>
      </c>
      <c r="BM49" s="31">
        <f t="shared" si="47"/>
        <v>0</v>
      </c>
      <c r="BN49" s="27"/>
      <c r="BO49" s="37">
        <f t="shared" si="10"/>
        <v>-1</v>
      </c>
      <c r="BP49" s="36">
        <v>13125</v>
      </c>
      <c r="BQ49" s="31">
        <f t="shared" si="48"/>
        <v>9541.875</v>
      </c>
      <c r="BR49" s="31">
        <f t="shared" si="49"/>
        <v>3583.1250000000005</v>
      </c>
      <c r="BS49" s="31">
        <f t="shared" si="50"/>
        <v>0</v>
      </c>
      <c r="BT49" s="31">
        <f t="shared" si="51"/>
        <v>0</v>
      </c>
      <c r="BU49" s="27"/>
      <c r="BV49" s="37">
        <f t="shared" si="11"/>
        <v>-1</v>
      </c>
      <c r="BW49" s="36">
        <v>13125</v>
      </c>
      <c r="BX49" s="31">
        <f t="shared" si="52"/>
        <v>9541.875</v>
      </c>
      <c r="BY49" s="31">
        <f t="shared" si="53"/>
        <v>3583.1250000000005</v>
      </c>
      <c r="BZ49" s="31">
        <f t="shared" si="54"/>
        <v>0</v>
      </c>
      <c r="CA49" s="31">
        <f t="shared" si="55"/>
        <v>0</v>
      </c>
      <c r="CB49" s="27"/>
      <c r="CC49" s="37">
        <f t="shared" si="12"/>
        <v>-1</v>
      </c>
      <c r="CD49" s="36">
        <v>13125</v>
      </c>
      <c r="CE49" s="31">
        <f t="shared" si="56"/>
        <v>9541.875</v>
      </c>
      <c r="CF49" s="31">
        <f t="shared" si="57"/>
        <v>3583.1250000000005</v>
      </c>
      <c r="CG49" s="31">
        <f t="shared" si="58"/>
        <v>0</v>
      </c>
      <c r="CH49" s="31">
        <f t="shared" si="59"/>
        <v>0</v>
      </c>
      <c r="CI49" s="27"/>
      <c r="CJ49" s="37">
        <f t="shared" si="13"/>
        <v>-1</v>
      </c>
      <c r="CK49" s="36">
        <v>13125</v>
      </c>
      <c r="CL49" s="31">
        <f t="shared" si="60"/>
        <v>9541.875</v>
      </c>
      <c r="CM49" s="31">
        <f t="shared" si="61"/>
        <v>3583.1250000000005</v>
      </c>
      <c r="CN49" s="31">
        <f t="shared" si="62"/>
        <v>0</v>
      </c>
      <c r="CO49" s="31">
        <f t="shared" si="63"/>
        <v>0</v>
      </c>
      <c r="CP49" s="27"/>
      <c r="CQ49" s="37">
        <f t="shared" si="14"/>
        <v>-1</v>
      </c>
    </row>
    <row r="50" spans="1:99" s="26" customFormat="1" ht="16" customHeight="1" x14ac:dyDescent="0.2">
      <c r="A50" s="29" t="s">
        <v>74</v>
      </c>
      <c r="B50" s="30">
        <f t="shared" si="64"/>
        <v>14341.799999999997</v>
      </c>
      <c r="C50" s="31">
        <f t="shared" si="64"/>
        <v>10426.488600000002</v>
      </c>
      <c r="D50" s="32">
        <f t="shared" si="64"/>
        <v>3915.311400000001</v>
      </c>
      <c r="E50" s="30">
        <f t="shared" si="66"/>
        <v>4780.6000000000004</v>
      </c>
      <c r="F50" s="33">
        <f t="shared" si="66"/>
        <v>3475.4962000000005</v>
      </c>
      <c r="G50" s="34">
        <f t="shared" si="66"/>
        <v>1305.1038000000001</v>
      </c>
      <c r="H50" s="31">
        <f t="shared" si="65"/>
        <v>5000.9166799999994</v>
      </c>
      <c r="I50" s="33">
        <f t="shared" si="65"/>
        <v>1877.9233200000003</v>
      </c>
      <c r="J50" s="33">
        <f t="shared" si="65"/>
        <v>6878.8399999999992</v>
      </c>
      <c r="K50" s="37">
        <f t="shared" si="2"/>
        <v>0.43890725013596588</v>
      </c>
      <c r="L50" s="36">
        <v>1195.1500000000001</v>
      </c>
      <c r="M50" s="28">
        <f t="shared" si="16"/>
        <v>868.87405000000012</v>
      </c>
      <c r="N50" s="28">
        <f t="shared" si="17"/>
        <v>326.27595000000002</v>
      </c>
      <c r="O50" s="28">
        <f t="shared" si="18"/>
        <v>812.32071999999994</v>
      </c>
      <c r="P50" s="28">
        <f t="shared" si="19"/>
        <v>305.03928000000002</v>
      </c>
      <c r="Q50" s="150">
        <f>1117.36</f>
        <v>1117.3599999999999</v>
      </c>
      <c r="R50" s="37">
        <f t="shared" si="3"/>
        <v>-6.5088064259716472E-2</v>
      </c>
      <c r="S50" s="36">
        <v>1195.1500000000001</v>
      </c>
      <c r="T50" s="28">
        <f t="shared" si="20"/>
        <v>868.87405000000012</v>
      </c>
      <c r="U50" s="28">
        <f t="shared" si="21"/>
        <v>326.27595000000002</v>
      </c>
      <c r="V50" s="28">
        <f t="shared" si="22"/>
        <v>940.71618999999998</v>
      </c>
      <c r="W50" s="28">
        <f t="shared" si="23"/>
        <v>353.25381000000004</v>
      </c>
      <c r="X50" s="151">
        <f>1293.97</f>
        <v>1293.97</v>
      </c>
      <c r="Y50" s="37">
        <f t="shared" si="4"/>
        <v>8.2684181901853337E-2</v>
      </c>
      <c r="Z50" s="36">
        <v>1195.1500000000001</v>
      </c>
      <c r="AA50" s="28">
        <f t="shared" si="24"/>
        <v>868.87405000000012</v>
      </c>
      <c r="AB50" s="28">
        <f t="shared" si="25"/>
        <v>326.27595000000002</v>
      </c>
      <c r="AC50" s="28">
        <f t="shared" si="26"/>
        <v>1658.9194899999998</v>
      </c>
      <c r="AD50" s="28">
        <f t="shared" si="27"/>
        <v>622.95051000000001</v>
      </c>
      <c r="AE50" s="152">
        <f>2281.87</f>
        <v>2281.87</v>
      </c>
      <c r="AF50" s="37">
        <f t="shared" si="5"/>
        <v>0.90927498640338</v>
      </c>
      <c r="AG50" s="36">
        <v>1195.1500000000001</v>
      </c>
      <c r="AH50" s="28">
        <f t="shared" si="28"/>
        <v>868.87405000000012</v>
      </c>
      <c r="AI50" s="28">
        <f t="shared" si="29"/>
        <v>326.27595000000002</v>
      </c>
      <c r="AJ50" s="28">
        <f t="shared" si="30"/>
        <v>768.22090000000003</v>
      </c>
      <c r="AK50" s="28">
        <f t="shared" si="31"/>
        <v>288.47910000000002</v>
      </c>
      <c r="AL50" s="152">
        <v>1056.7</v>
      </c>
      <c r="AM50" s="37">
        <f t="shared" si="6"/>
        <v>-0.11584319959837686</v>
      </c>
      <c r="AN50" s="36">
        <v>1195.1500000000001</v>
      </c>
      <c r="AO50" s="28">
        <f t="shared" si="32"/>
        <v>868.87405000000012</v>
      </c>
      <c r="AP50" s="28">
        <f t="shared" si="33"/>
        <v>326.27595000000002</v>
      </c>
      <c r="AQ50" s="28">
        <f t="shared" si="34"/>
        <v>659.23633000000007</v>
      </c>
      <c r="AR50" s="28">
        <f t="shared" si="35"/>
        <v>247.55367000000004</v>
      </c>
      <c r="AS50" s="152">
        <v>906.79000000000008</v>
      </c>
      <c r="AT50" s="37">
        <f t="shared" si="7"/>
        <v>-0.24127515374639164</v>
      </c>
      <c r="AU50" s="36">
        <v>1195.1500000000001</v>
      </c>
      <c r="AV50" s="28">
        <f t="shared" si="36"/>
        <v>868.87405000000012</v>
      </c>
      <c r="AW50" s="28">
        <f t="shared" si="37"/>
        <v>326.27595000000002</v>
      </c>
      <c r="AX50" s="28">
        <f t="shared" si="38"/>
        <v>161.50304999999997</v>
      </c>
      <c r="AY50" s="28">
        <f t="shared" si="39"/>
        <v>60.646949999999997</v>
      </c>
      <c r="AZ50" s="152">
        <v>222.14999999999998</v>
      </c>
      <c r="BA50" s="37">
        <f t="shared" si="8"/>
        <v>-0.8141237501568841</v>
      </c>
      <c r="BB50" s="36">
        <v>1195.1500000000001</v>
      </c>
      <c r="BC50" s="28">
        <f t="shared" si="40"/>
        <v>868.87405000000012</v>
      </c>
      <c r="BD50" s="28">
        <f t="shared" si="41"/>
        <v>326.27595000000002</v>
      </c>
      <c r="BE50" s="28">
        <f t="shared" si="42"/>
        <v>0</v>
      </c>
      <c r="BF50" s="28">
        <f t="shared" si="43"/>
        <v>0</v>
      </c>
      <c r="BG50" s="152"/>
      <c r="BH50" s="37">
        <f t="shared" si="9"/>
        <v>-1</v>
      </c>
      <c r="BI50" s="36">
        <v>1195.1500000000001</v>
      </c>
      <c r="BJ50" s="28">
        <f t="shared" si="44"/>
        <v>868.87405000000012</v>
      </c>
      <c r="BK50" s="28">
        <f t="shared" si="45"/>
        <v>326.27595000000002</v>
      </c>
      <c r="BL50" s="28">
        <f t="shared" si="46"/>
        <v>0</v>
      </c>
      <c r="BM50" s="28">
        <f t="shared" si="47"/>
        <v>0</v>
      </c>
      <c r="BN50" s="152"/>
      <c r="BO50" s="37">
        <f t="shared" si="10"/>
        <v>-1</v>
      </c>
      <c r="BP50" s="36">
        <v>1195.1500000000001</v>
      </c>
      <c r="BQ50" s="28">
        <f t="shared" si="48"/>
        <v>868.87405000000012</v>
      </c>
      <c r="BR50" s="28">
        <f t="shared" si="49"/>
        <v>326.27595000000002</v>
      </c>
      <c r="BS50" s="28">
        <f t="shared" si="50"/>
        <v>0</v>
      </c>
      <c r="BT50" s="28">
        <f t="shared" si="51"/>
        <v>0</v>
      </c>
      <c r="BU50" s="152"/>
      <c r="BV50" s="37">
        <f t="shared" si="11"/>
        <v>-1</v>
      </c>
      <c r="BW50" s="36">
        <v>1195.1500000000001</v>
      </c>
      <c r="BX50" s="28">
        <f t="shared" si="52"/>
        <v>868.87405000000012</v>
      </c>
      <c r="BY50" s="28">
        <f t="shared" si="53"/>
        <v>326.27595000000002</v>
      </c>
      <c r="BZ50" s="28">
        <f t="shared" si="54"/>
        <v>0</v>
      </c>
      <c r="CA50" s="28">
        <f t="shared" si="55"/>
        <v>0</v>
      </c>
      <c r="CB50" s="152"/>
      <c r="CC50" s="37">
        <f t="shared" si="12"/>
        <v>-1</v>
      </c>
      <c r="CD50" s="36">
        <v>1195.1500000000001</v>
      </c>
      <c r="CE50" s="28">
        <f t="shared" si="56"/>
        <v>868.87405000000012</v>
      </c>
      <c r="CF50" s="28">
        <f t="shared" si="57"/>
        <v>326.27595000000002</v>
      </c>
      <c r="CG50" s="28">
        <f t="shared" si="58"/>
        <v>0</v>
      </c>
      <c r="CH50" s="28">
        <f t="shared" si="59"/>
        <v>0</v>
      </c>
      <c r="CI50" s="152"/>
      <c r="CJ50" s="37">
        <f t="shared" si="13"/>
        <v>-1</v>
      </c>
      <c r="CK50" s="36">
        <v>1195.1500000000001</v>
      </c>
      <c r="CL50" s="28">
        <f t="shared" si="60"/>
        <v>868.87405000000012</v>
      </c>
      <c r="CM50" s="28">
        <f t="shared" si="61"/>
        <v>326.27595000000002</v>
      </c>
      <c r="CN50" s="28">
        <f t="shared" si="62"/>
        <v>0</v>
      </c>
      <c r="CO50" s="28">
        <f t="shared" si="63"/>
        <v>0</v>
      </c>
      <c r="CP50" s="152"/>
      <c r="CQ50" s="37">
        <f t="shared" si="14"/>
        <v>-1</v>
      </c>
    </row>
    <row r="51" spans="1:99" s="26" customFormat="1" ht="16" customHeight="1" x14ac:dyDescent="0.2">
      <c r="A51" s="29" t="s">
        <v>75</v>
      </c>
      <c r="B51" s="30">
        <f t="shared" si="64"/>
        <v>10779.486300000002</v>
      </c>
      <c r="C51" s="31">
        <f t="shared" si="64"/>
        <v>7836.6865400999995</v>
      </c>
      <c r="D51" s="32">
        <f t="shared" si="64"/>
        <v>2942.7997598999996</v>
      </c>
      <c r="E51" s="30">
        <f t="shared" si="66"/>
        <v>3593.1621</v>
      </c>
      <c r="F51" s="33">
        <f t="shared" si="66"/>
        <v>2612.2288466999998</v>
      </c>
      <c r="G51" s="34">
        <f t="shared" si="66"/>
        <v>980.93325330000005</v>
      </c>
      <c r="H51" s="31">
        <f t="shared" si="65"/>
        <v>3921.2489799999998</v>
      </c>
      <c r="I51" s="33">
        <f t="shared" si="65"/>
        <v>1472.4910199999999</v>
      </c>
      <c r="J51" s="33">
        <f t="shared" si="65"/>
        <v>5393.74</v>
      </c>
      <c r="K51" s="37">
        <f t="shared" si="2"/>
        <v>0.50111234892519874</v>
      </c>
      <c r="L51" s="36">
        <v>898.290525</v>
      </c>
      <c r="M51" s="31">
        <f t="shared" si="16"/>
        <v>653.05721167499996</v>
      </c>
      <c r="N51" s="31">
        <f t="shared" si="17"/>
        <v>245.23331332500001</v>
      </c>
      <c r="O51" s="31">
        <f t="shared" si="18"/>
        <v>703.99045000000001</v>
      </c>
      <c r="P51" s="31">
        <f t="shared" si="19"/>
        <v>264.35955000000001</v>
      </c>
      <c r="Q51" s="45">
        <f>968.35</f>
        <v>968.35</v>
      </c>
      <c r="R51" s="37">
        <f t="shared" si="3"/>
        <v>7.7992000416569063E-2</v>
      </c>
      <c r="S51" s="36">
        <v>898.290525</v>
      </c>
      <c r="T51" s="31">
        <f t="shared" si="20"/>
        <v>653.05721167499996</v>
      </c>
      <c r="U51" s="31">
        <f t="shared" si="21"/>
        <v>245.23331332500001</v>
      </c>
      <c r="V51" s="31">
        <f t="shared" si="22"/>
        <v>629.97457999999995</v>
      </c>
      <c r="W51" s="31">
        <f t="shared" si="23"/>
        <v>236.56542000000002</v>
      </c>
      <c r="X51" s="149">
        <f>866.54</f>
        <v>866.54</v>
      </c>
      <c r="Y51" s="37">
        <f t="shared" si="4"/>
        <v>-3.5345496937085108E-2</v>
      </c>
      <c r="Z51" s="36">
        <v>898.290525</v>
      </c>
      <c r="AA51" s="31">
        <f t="shared" si="24"/>
        <v>653.05721167499996</v>
      </c>
      <c r="AB51" s="31">
        <f t="shared" si="25"/>
        <v>245.23331332500001</v>
      </c>
      <c r="AC51" s="31">
        <f t="shared" si="26"/>
        <v>585.92565000000002</v>
      </c>
      <c r="AD51" s="31">
        <f t="shared" si="27"/>
        <v>220.02435000000003</v>
      </c>
      <c r="AE51" s="48">
        <f>805.95</f>
        <v>805.95</v>
      </c>
      <c r="AF51" s="37">
        <f t="shared" si="5"/>
        <v>-0.1027958354564632</v>
      </c>
      <c r="AG51" s="36">
        <v>898.290525</v>
      </c>
      <c r="AH51" s="31">
        <f t="shared" si="28"/>
        <v>653.05721167499996</v>
      </c>
      <c r="AI51" s="31">
        <f t="shared" si="29"/>
        <v>245.23331332500001</v>
      </c>
      <c r="AJ51" s="31">
        <f t="shared" si="30"/>
        <v>781.40140999999994</v>
      </c>
      <c r="AK51" s="31">
        <f t="shared" si="31"/>
        <v>293.42858999999999</v>
      </c>
      <c r="AL51" s="48">
        <f>1074.83</f>
        <v>1074.83</v>
      </c>
      <c r="AM51" s="37">
        <f t="shared" si="6"/>
        <v>0.19652826127716305</v>
      </c>
      <c r="AN51" s="36">
        <v>898.290525</v>
      </c>
      <c r="AO51" s="31">
        <f t="shared" si="32"/>
        <v>653.05721167499996</v>
      </c>
      <c r="AP51" s="31">
        <f t="shared" si="33"/>
        <v>245.23331332500001</v>
      </c>
      <c r="AQ51" s="31">
        <f t="shared" si="34"/>
        <v>641.76652000000001</v>
      </c>
      <c r="AR51" s="31">
        <f t="shared" si="35"/>
        <v>240.99348000000001</v>
      </c>
      <c r="AS51" s="48">
        <v>882.76</v>
      </c>
      <c r="AT51" s="37">
        <f t="shared" si="7"/>
        <v>-1.7288977861588783E-2</v>
      </c>
      <c r="AU51" s="36">
        <v>898.290525</v>
      </c>
      <c r="AV51" s="31">
        <f t="shared" si="36"/>
        <v>653.05721167499996</v>
      </c>
      <c r="AW51" s="31">
        <f t="shared" si="37"/>
        <v>245.23331332500001</v>
      </c>
      <c r="AX51" s="31">
        <f t="shared" si="38"/>
        <v>578.19036999999992</v>
      </c>
      <c r="AY51" s="31">
        <f t="shared" si="39"/>
        <v>217.11963</v>
      </c>
      <c r="AZ51" s="48">
        <v>795.31</v>
      </c>
      <c r="BA51" s="37">
        <f t="shared" si="8"/>
        <v>-0.11464055573779997</v>
      </c>
      <c r="BB51" s="36">
        <v>898.290525</v>
      </c>
      <c r="BC51" s="31">
        <f t="shared" si="40"/>
        <v>653.05721167499996</v>
      </c>
      <c r="BD51" s="31">
        <f t="shared" si="41"/>
        <v>245.23331332500001</v>
      </c>
      <c r="BE51" s="31">
        <f t="shared" si="42"/>
        <v>0</v>
      </c>
      <c r="BF51" s="31">
        <f t="shared" si="43"/>
        <v>0</v>
      </c>
      <c r="BG51" s="48"/>
      <c r="BH51" s="37">
        <f t="shared" si="9"/>
        <v>-1</v>
      </c>
      <c r="BI51" s="36">
        <v>898.290525</v>
      </c>
      <c r="BJ51" s="31">
        <f t="shared" si="44"/>
        <v>653.05721167499996</v>
      </c>
      <c r="BK51" s="31">
        <f t="shared" si="45"/>
        <v>245.23331332500001</v>
      </c>
      <c r="BL51" s="31">
        <f t="shared" si="46"/>
        <v>0</v>
      </c>
      <c r="BM51" s="31">
        <f t="shared" si="47"/>
        <v>0</v>
      </c>
      <c r="BN51" s="48"/>
      <c r="BO51" s="37">
        <f t="shared" si="10"/>
        <v>-1</v>
      </c>
      <c r="BP51" s="36">
        <v>898.290525</v>
      </c>
      <c r="BQ51" s="31">
        <f t="shared" si="48"/>
        <v>653.05721167499996</v>
      </c>
      <c r="BR51" s="31">
        <f t="shared" si="49"/>
        <v>245.23331332500001</v>
      </c>
      <c r="BS51" s="31">
        <f t="shared" si="50"/>
        <v>0</v>
      </c>
      <c r="BT51" s="31">
        <f t="shared" si="51"/>
        <v>0</v>
      </c>
      <c r="BU51" s="48"/>
      <c r="BV51" s="37">
        <f t="shared" si="11"/>
        <v>-1</v>
      </c>
      <c r="BW51" s="36">
        <v>898.290525</v>
      </c>
      <c r="BX51" s="31">
        <f t="shared" si="52"/>
        <v>653.05721167499996</v>
      </c>
      <c r="BY51" s="31">
        <f t="shared" si="53"/>
        <v>245.23331332500001</v>
      </c>
      <c r="BZ51" s="31">
        <f t="shared" si="54"/>
        <v>0</v>
      </c>
      <c r="CA51" s="31">
        <f t="shared" si="55"/>
        <v>0</v>
      </c>
      <c r="CB51" s="48"/>
      <c r="CC51" s="37">
        <f t="shared" si="12"/>
        <v>-1</v>
      </c>
      <c r="CD51" s="36">
        <v>898.290525</v>
      </c>
      <c r="CE51" s="31">
        <f t="shared" si="56"/>
        <v>653.05721167499996</v>
      </c>
      <c r="CF51" s="31">
        <f t="shared" si="57"/>
        <v>245.23331332500001</v>
      </c>
      <c r="CG51" s="31">
        <f t="shared" si="58"/>
        <v>0</v>
      </c>
      <c r="CH51" s="31">
        <f t="shared" si="59"/>
        <v>0</v>
      </c>
      <c r="CI51" s="48"/>
      <c r="CJ51" s="37">
        <f t="shared" si="13"/>
        <v>-1</v>
      </c>
      <c r="CK51" s="36">
        <v>898.290525</v>
      </c>
      <c r="CL51" s="31">
        <f t="shared" si="60"/>
        <v>653.05721167499996</v>
      </c>
      <c r="CM51" s="31">
        <f t="shared" si="61"/>
        <v>245.23331332500001</v>
      </c>
      <c r="CN51" s="31">
        <f t="shared" si="62"/>
        <v>0</v>
      </c>
      <c r="CO51" s="31">
        <f t="shared" si="63"/>
        <v>0</v>
      </c>
      <c r="CP51" s="48"/>
      <c r="CQ51" s="37">
        <f t="shared" si="14"/>
        <v>-1</v>
      </c>
    </row>
    <row r="52" spans="1:99" s="26" customFormat="1" ht="16" customHeight="1" x14ac:dyDescent="0.2">
      <c r="A52" s="29" t="s">
        <v>76</v>
      </c>
      <c r="B52" s="30">
        <f t="shared" si="64"/>
        <v>40000</v>
      </c>
      <c r="C52" s="31">
        <f t="shared" si="64"/>
        <v>29079.999999999996</v>
      </c>
      <c r="D52" s="32">
        <f t="shared" si="64"/>
        <v>10920.000000000002</v>
      </c>
      <c r="E52" s="30">
        <f t="shared" si="66"/>
        <v>13333.333333333334</v>
      </c>
      <c r="F52" s="33">
        <f t="shared" si="66"/>
        <v>9693.3333333333339</v>
      </c>
      <c r="G52" s="34">
        <f t="shared" si="66"/>
        <v>3640.0000000000005</v>
      </c>
      <c r="H52" s="31">
        <f t="shared" si="65"/>
        <v>105114.99618</v>
      </c>
      <c r="I52" s="33">
        <f t="shared" si="65"/>
        <v>39472.343820000009</v>
      </c>
      <c r="J52" s="33">
        <f t="shared" si="65"/>
        <v>144587.34</v>
      </c>
      <c r="K52" s="37">
        <f t="shared" si="2"/>
        <v>9.8440504999999998</v>
      </c>
      <c r="L52" s="36">
        <v>3333.3333333333335</v>
      </c>
      <c r="M52" s="31">
        <f t="shared" si="16"/>
        <v>2423.3333333333335</v>
      </c>
      <c r="N52" s="31">
        <f t="shared" si="17"/>
        <v>910.00000000000011</v>
      </c>
      <c r="O52" s="31">
        <f t="shared" si="18"/>
        <v>15880.398980000002</v>
      </c>
      <c r="P52" s="31">
        <f t="shared" si="19"/>
        <v>5963.3410200000008</v>
      </c>
      <c r="Q52" s="33">
        <f>21843.74</f>
        <v>21843.74</v>
      </c>
      <c r="R52" s="37">
        <f t="shared" si="3"/>
        <v>5.5531220000000001</v>
      </c>
      <c r="S52" s="36">
        <v>3333.3333333333335</v>
      </c>
      <c r="T52" s="31">
        <f t="shared" si="20"/>
        <v>2423.3333333333335</v>
      </c>
      <c r="U52" s="31">
        <f t="shared" si="21"/>
        <v>910.00000000000011</v>
      </c>
      <c r="V52" s="31">
        <f t="shared" si="22"/>
        <v>37623.456819999999</v>
      </c>
      <c r="W52" s="31">
        <f t="shared" si="23"/>
        <v>14128.203180000002</v>
      </c>
      <c r="X52" s="147">
        <f>51751.66</f>
        <v>51751.66</v>
      </c>
      <c r="Y52" s="37">
        <f t="shared" si="4"/>
        <v>14.525498000000001</v>
      </c>
      <c r="Z52" s="36">
        <v>3333.3333333333335</v>
      </c>
      <c r="AA52" s="31">
        <f t="shared" si="24"/>
        <v>2423.3333333333335</v>
      </c>
      <c r="AB52" s="31">
        <f t="shared" si="25"/>
        <v>910.00000000000011</v>
      </c>
      <c r="AC52" s="31">
        <f t="shared" si="26"/>
        <v>25018.46183</v>
      </c>
      <c r="AD52" s="31">
        <f t="shared" si="27"/>
        <v>9394.8281700000007</v>
      </c>
      <c r="AE52" s="27">
        <f>34413.29</f>
        <v>34413.29</v>
      </c>
      <c r="AF52" s="37">
        <f t="shared" si="5"/>
        <v>9.3239869999999989</v>
      </c>
      <c r="AG52" s="36">
        <v>3333.3333333333335</v>
      </c>
      <c r="AH52" s="31">
        <f t="shared" si="28"/>
        <v>2423.3333333333335</v>
      </c>
      <c r="AI52" s="31">
        <f t="shared" si="29"/>
        <v>910.00000000000011</v>
      </c>
      <c r="AJ52" s="31">
        <f t="shared" si="30"/>
        <v>9045.87925</v>
      </c>
      <c r="AK52" s="31">
        <f t="shared" si="31"/>
        <v>3396.87075</v>
      </c>
      <c r="AL52" s="27">
        <f>11444.75+998</f>
        <v>12442.75</v>
      </c>
      <c r="AM52" s="37">
        <f t="shared" si="6"/>
        <v>2.7328249999999996</v>
      </c>
      <c r="AN52" s="36">
        <v>3333.3333333333335</v>
      </c>
      <c r="AO52" s="31">
        <f t="shared" si="32"/>
        <v>2423.3333333333335</v>
      </c>
      <c r="AP52" s="31">
        <f t="shared" si="33"/>
        <v>910.00000000000011</v>
      </c>
      <c r="AQ52" s="31">
        <f t="shared" si="34"/>
        <v>7433.0660999999991</v>
      </c>
      <c r="AR52" s="31">
        <f t="shared" si="35"/>
        <v>2791.2339000000002</v>
      </c>
      <c r="AS52" s="27">
        <v>10224.299999999999</v>
      </c>
      <c r="AT52" s="37">
        <f t="shared" si="7"/>
        <v>2.0672899999999998</v>
      </c>
      <c r="AU52" s="36">
        <v>3333.3333333333335</v>
      </c>
      <c r="AV52" s="31">
        <f t="shared" si="36"/>
        <v>2423.3333333333335</v>
      </c>
      <c r="AW52" s="31">
        <f t="shared" si="37"/>
        <v>910.00000000000011</v>
      </c>
      <c r="AX52" s="31">
        <f t="shared" si="38"/>
        <v>10113.733200000001</v>
      </c>
      <c r="AY52" s="31">
        <f t="shared" si="39"/>
        <v>3797.8668000000002</v>
      </c>
      <c r="AZ52" s="27">
        <v>13911.6</v>
      </c>
      <c r="BA52" s="37">
        <f t="shared" si="8"/>
        <v>3.1734799999999996</v>
      </c>
      <c r="BB52" s="36">
        <v>3333.3333333333335</v>
      </c>
      <c r="BC52" s="31">
        <f t="shared" si="40"/>
        <v>2423.3333333333335</v>
      </c>
      <c r="BD52" s="31">
        <f t="shared" si="41"/>
        <v>910.00000000000011</v>
      </c>
      <c r="BE52" s="31">
        <f t="shared" si="42"/>
        <v>0</v>
      </c>
      <c r="BF52" s="31">
        <f t="shared" si="43"/>
        <v>0</v>
      </c>
      <c r="BG52" s="27"/>
      <c r="BH52" s="37">
        <f t="shared" si="9"/>
        <v>-1</v>
      </c>
      <c r="BI52" s="36">
        <v>3333.3333333333335</v>
      </c>
      <c r="BJ52" s="31">
        <f t="shared" si="44"/>
        <v>2423.3333333333335</v>
      </c>
      <c r="BK52" s="31">
        <f t="shared" si="45"/>
        <v>910.00000000000011</v>
      </c>
      <c r="BL52" s="31">
        <f t="shared" si="46"/>
        <v>0</v>
      </c>
      <c r="BM52" s="31">
        <f t="shared" si="47"/>
        <v>0</v>
      </c>
      <c r="BN52" s="27"/>
      <c r="BO52" s="37">
        <f t="shared" si="10"/>
        <v>-1</v>
      </c>
      <c r="BP52" s="36">
        <v>3333.3333333333335</v>
      </c>
      <c r="BQ52" s="31">
        <f t="shared" si="48"/>
        <v>2423.3333333333335</v>
      </c>
      <c r="BR52" s="31">
        <f t="shared" si="49"/>
        <v>910.00000000000011</v>
      </c>
      <c r="BS52" s="31">
        <f t="shared" si="50"/>
        <v>0</v>
      </c>
      <c r="BT52" s="31">
        <f t="shared" si="51"/>
        <v>0</v>
      </c>
      <c r="BU52" s="27"/>
      <c r="BV52" s="37">
        <f t="shared" si="11"/>
        <v>-1</v>
      </c>
      <c r="BW52" s="36">
        <v>3333.3333333333335</v>
      </c>
      <c r="BX52" s="31">
        <f t="shared" si="52"/>
        <v>2423.3333333333335</v>
      </c>
      <c r="BY52" s="31">
        <f t="shared" si="53"/>
        <v>910.00000000000011</v>
      </c>
      <c r="BZ52" s="31">
        <f t="shared" si="54"/>
        <v>0</v>
      </c>
      <c r="CA52" s="31">
        <f t="shared" si="55"/>
        <v>0</v>
      </c>
      <c r="CB52" s="27"/>
      <c r="CC52" s="37">
        <f t="shared" si="12"/>
        <v>-1</v>
      </c>
      <c r="CD52" s="36">
        <v>3333.3333333333335</v>
      </c>
      <c r="CE52" s="31">
        <f t="shared" si="56"/>
        <v>2423.3333333333335</v>
      </c>
      <c r="CF52" s="31">
        <f t="shared" si="57"/>
        <v>910.00000000000011</v>
      </c>
      <c r="CG52" s="31">
        <f t="shared" si="58"/>
        <v>0</v>
      </c>
      <c r="CH52" s="31">
        <f t="shared" si="59"/>
        <v>0</v>
      </c>
      <c r="CI52" s="27"/>
      <c r="CJ52" s="37">
        <f t="shared" si="13"/>
        <v>-1</v>
      </c>
      <c r="CK52" s="36">
        <v>3333.3333333333335</v>
      </c>
      <c r="CL52" s="31">
        <f t="shared" si="60"/>
        <v>2423.3333333333335</v>
      </c>
      <c r="CM52" s="31">
        <f t="shared" si="61"/>
        <v>910.00000000000011</v>
      </c>
      <c r="CN52" s="31">
        <f t="shared" si="62"/>
        <v>0</v>
      </c>
      <c r="CO52" s="31">
        <f t="shared" si="63"/>
        <v>0</v>
      </c>
      <c r="CP52" s="27"/>
      <c r="CQ52" s="37">
        <f t="shared" si="14"/>
        <v>-1</v>
      </c>
    </row>
    <row r="53" spans="1:99" s="26" customFormat="1" ht="16" customHeight="1" x14ac:dyDescent="0.2">
      <c r="A53" s="38" t="s">
        <v>77</v>
      </c>
      <c r="B53" s="30">
        <f t="shared" si="64"/>
        <v>60000</v>
      </c>
      <c r="C53" s="31">
        <f t="shared" si="64"/>
        <v>43620</v>
      </c>
      <c r="D53" s="32">
        <f t="shared" si="64"/>
        <v>16380</v>
      </c>
      <c r="E53" s="30">
        <f t="shared" si="66"/>
        <v>20000</v>
      </c>
      <c r="F53" s="33">
        <f t="shared" si="66"/>
        <v>14540</v>
      </c>
      <c r="G53" s="34">
        <f t="shared" si="66"/>
        <v>5460</v>
      </c>
      <c r="H53" s="31">
        <f t="shared" si="65"/>
        <v>55810.750390000001</v>
      </c>
      <c r="I53" s="33">
        <f t="shared" si="65"/>
        <v>20957.819610000002</v>
      </c>
      <c r="J53" s="33">
        <f t="shared" si="65"/>
        <v>76768.570000000007</v>
      </c>
      <c r="K53" s="37">
        <f t="shared" si="2"/>
        <v>2.8384285000000005</v>
      </c>
      <c r="L53" s="36">
        <v>5000</v>
      </c>
      <c r="M53" s="31">
        <f t="shared" si="16"/>
        <v>3635</v>
      </c>
      <c r="N53" s="31">
        <f t="shared" si="17"/>
        <v>1365</v>
      </c>
      <c r="O53" s="31">
        <f t="shared" si="18"/>
        <v>0</v>
      </c>
      <c r="P53" s="31">
        <f t="shared" si="19"/>
        <v>0</v>
      </c>
      <c r="Q53" s="33"/>
      <c r="R53" s="37">
        <f t="shared" si="3"/>
        <v>-1</v>
      </c>
      <c r="S53" s="36">
        <v>5000</v>
      </c>
      <c r="T53" s="31">
        <f t="shared" si="20"/>
        <v>3635</v>
      </c>
      <c r="U53" s="31">
        <f t="shared" si="21"/>
        <v>1365</v>
      </c>
      <c r="V53" s="31">
        <f t="shared" si="22"/>
        <v>20191.530790000001</v>
      </c>
      <c r="W53" s="31">
        <f t="shared" si="23"/>
        <v>7582.2392100000006</v>
      </c>
      <c r="X53" s="147">
        <f>27773.77</f>
        <v>27773.77</v>
      </c>
      <c r="Y53" s="37">
        <f t="shared" si="4"/>
        <v>4.554754</v>
      </c>
      <c r="Z53" s="36">
        <v>5000</v>
      </c>
      <c r="AA53" s="31">
        <f t="shared" si="24"/>
        <v>3635</v>
      </c>
      <c r="AB53" s="31">
        <f t="shared" si="25"/>
        <v>1365</v>
      </c>
      <c r="AC53" s="31">
        <f t="shared" si="26"/>
        <v>1411.1360799999998</v>
      </c>
      <c r="AD53" s="31">
        <f t="shared" si="27"/>
        <v>529.90392000000008</v>
      </c>
      <c r="AE53" s="27">
        <f>1941.04</f>
        <v>1941.04</v>
      </c>
      <c r="AF53" s="37">
        <f t="shared" si="5"/>
        <v>-0.611792</v>
      </c>
      <c r="AG53" s="36">
        <v>5000</v>
      </c>
      <c r="AH53" s="31">
        <f t="shared" si="28"/>
        <v>3635</v>
      </c>
      <c r="AI53" s="31">
        <f t="shared" si="29"/>
        <v>1365</v>
      </c>
      <c r="AJ53" s="31">
        <f t="shared" si="30"/>
        <v>208.73624000000001</v>
      </c>
      <c r="AK53" s="31">
        <f t="shared" si="31"/>
        <v>78.383760000000009</v>
      </c>
      <c r="AL53" s="27">
        <f>287.12</f>
        <v>287.12</v>
      </c>
      <c r="AM53" s="37">
        <f t="shared" si="6"/>
        <v>-0.94257599999999997</v>
      </c>
      <c r="AN53" s="36">
        <v>5000</v>
      </c>
      <c r="AO53" s="31">
        <f t="shared" si="32"/>
        <v>3635</v>
      </c>
      <c r="AP53" s="31">
        <f t="shared" si="33"/>
        <v>1365</v>
      </c>
      <c r="AQ53" s="31">
        <f t="shared" si="34"/>
        <v>33999.347280000002</v>
      </c>
      <c r="AR53" s="31">
        <f t="shared" si="35"/>
        <v>12767.292720000001</v>
      </c>
      <c r="AS53" s="27">
        <v>46766.64</v>
      </c>
      <c r="AT53" s="37">
        <f t="shared" si="7"/>
        <v>8.3533279999999994</v>
      </c>
      <c r="AU53" s="36">
        <v>5000</v>
      </c>
      <c r="AV53" s="31">
        <f t="shared" si="36"/>
        <v>3635</v>
      </c>
      <c r="AW53" s="31">
        <f t="shared" si="37"/>
        <v>1365</v>
      </c>
      <c r="AX53" s="31">
        <f t="shared" si="38"/>
        <v>0</v>
      </c>
      <c r="AY53" s="31">
        <f t="shared" si="39"/>
        <v>0</v>
      </c>
      <c r="AZ53" s="27"/>
      <c r="BA53" s="37">
        <f t="shared" si="8"/>
        <v>-1</v>
      </c>
      <c r="BB53" s="36">
        <v>5000</v>
      </c>
      <c r="BC53" s="31">
        <f t="shared" si="40"/>
        <v>3635</v>
      </c>
      <c r="BD53" s="31">
        <f t="shared" si="41"/>
        <v>1365</v>
      </c>
      <c r="BE53" s="31">
        <f t="shared" si="42"/>
        <v>0</v>
      </c>
      <c r="BF53" s="31">
        <f t="shared" si="43"/>
        <v>0</v>
      </c>
      <c r="BG53" s="27"/>
      <c r="BH53" s="37">
        <f t="shared" si="9"/>
        <v>-1</v>
      </c>
      <c r="BI53" s="36">
        <v>5000</v>
      </c>
      <c r="BJ53" s="31">
        <f t="shared" si="44"/>
        <v>3635</v>
      </c>
      <c r="BK53" s="31">
        <f t="shared" si="45"/>
        <v>1365</v>
      </c>
      <c r="BL53" s="31">
        <f t="shared" si="46"/>
        <v>0</v>
      </c>
      <c r="BM53" s="31">
        <f t="shared" si="47"/>
        <v>0</v>
      </c>
      <c r="BN53" s="27"/>
      <c r="BO53" s="37">
        <f t="shared" si="10"/>
        <v>-1</v>
      </c>
      <c r="BP53" s="36">
        <v>5000</v>
      </c>
      <c r="BQ53" s="31">
        <f t="shared" si="48"/>
        <v>3635</v>
      </c>
      <c r="BR53" s="31">
        <f t="shared" si="49"/>
        <v>1365</v>
      </c>
      <c r="BS53" s="31">
        <f t="shared" si="50"/>
        <v>0</v>
      </c>
      <c r="BT53" s="31">
        <f t="shared" si="51"/>
        <v>0</v>
      </c>
      <c r="BU53" s="27"/>
      <c r="BV53" s="37">
        <f t="shared" si="11"/>
        <v>-1</v>
      </c>
      <c r="BW53" s="36">
        <v>5000</v>
      </c>
      <c r="BX53" s="31">
        <f t="shared" si="52"/>
        <v>3635</v>
      </c>
      <c r="BY53" s="31">
        <f t="shared" si="53"/>
        <v>1365</v>
      </c>
      <c r="BZ53" s="31">
        <f t="shared" si="54"/>
        <v>0</v>
      </c>
      <c r="CA53" s="31">
        <f t="shared" si="55"/>
        <v>0</v>
      </c>
      <c r="CB53" s="27"/>
      <c r="CC53" s="37">
        <f t="shared" si="12"/>
        <v>-1</v>
      </c>
      <c r="CD53" s="36">
        <v>5000</v>
      </c>
      <c r="CE53" s="31">
        <f t="shared" si="56"/>
        <v>3635</v>
      </c>
      <c r="CF53" s="31">
        <f t="shared" si="57"/>
        <v>1365</v>
      </c>
      <c r="CG53" s="31">
        <f t="shared" si="58"/>
        <v>0</v>
      </c>
      <c r="CH53" s="31">
        <f t="shared" si="59"/>
        <v>0</v>
      </c>
      <c r="CI53" s="27"/>
      <c r="CJ53" s="37">
        <f t="shared" si="13"/>
        <v>-1</v>
      </c>
      <c r="CK53" s="36">
        <v>5000</v>
      </c>
      <c r="CL53" s="31">
        <f t="shared" si="60"/>
        <v>3635</v>
      </c>
      <c r="CM53" s="31">
        <f t="shared" si="61"/>
        <v>1365</v>
      </c>
      <c r="CN53" s="31">
        <f t="shared" si="62"/>
        <v>0</v>
      </c>
      <c r="CO53" s="31">
        <f t="shared" si="63"/>
        <v>0</v>
      </c>
      <c r="CP53" s="27"/>
      <c r="CQ53" s="37">
        <f t="shared" si="14"/>
        <v>-1</v>
      </c>
    </row>
    <row r="54" spans="1:99" s="26" customFormat="1" ht="16" customHeight="1" thickBot="1" x14ac:dyDescent="0.25">
      <c r="A54" s="39" t="s">
        <v>78</v>
      </c>
      <c r="B54" s="50">
        <f t="shared" si="64"/>
        <v>367266.02500000002</v>
      </c>
      <c r="C54" s="40">
        <f t="shared" si="64"/>
        <v>267002.40017499996</v>
      </c>
      <c r="D54" s="51">
        <f t="shared" si="64"/>
        <v>100263.62482500001</v>
      </c>
      <c r="E54" s="52">
        <f t="shared" si="66"/>
        <v>209866.3</v>
      </c>
      <c r="F54" s="53">
        <f t="shared" si="66"/>
        <v>152572.80009999999</v>
      </c>
      <c r="G54" s="54">
        <f t="shared" si="66"/>
        <v>57293.499900000003</v>
      </c>
      <c r="H54" s="40">
        <f t="shared" si="65"/>
        <v>359664.90778999991</v>
      </c>
      <c r="I54" s="53">
        <f t="shared" si="65"/>
        <v>135059.86220999999</v>
      </c>
      <c r="J54" s="53">
        <f t="shared" si="65"/>
        <v>494724.7699999999</v>
      </c>
      <c r="K54" s="60">
        <f t="shared" si="2"/>
        <v>1.3573330734853566</v>
      </c>
      <c r="L54" s="87">
        <v>52466.574999999997</v>
      </c>
      <c r="M54" s="40">
        <f t="shared" si="16"/>
        <v>38143.200024999998</v>
      </c>
      <c r="N54" s="40">
        <f t="shared" si="17"/>
        <v>14323.374975000001</v>
      </c>
      <c r="O54" s="40">
        <f t="shared" si="18"/>
        <v>13256.990400000001</v>
      </c>
      <c r="P54" s="40">
        <f t="shared" si="19"/>
        <v>4978.2096000000001</v>
      </c>
      <c r="Q54" s="53">
        <f>2908.23+13884.6+1442.37</f>
        <v>18235.2</v>
      </c>
      <c r="R54" s="60">
        <f t="shared" si="3"/>
        <v>-0.65244157828102933</v>
      </c>
      <c r="S54" s="87">
        <v>52466.574999999997</v>
      </c>
      <c r="T54" s="40">
        <f t="shared" si="20"/>
        <v>38143.200024999998</v>
      </c>
      <c r="U54" s="40">
        <f t="shared" si="21"/>
        <v>14323.374975000001</v>
      </c>
      <c r="V54" s="40">
        <f t="shared" si="22"/>
        <v>49923.831539999992</v>
      </c>
      <c r="W54" s="40">
        <f t="shared" si="23"/>
        <v>18747.188459999998</v>
      </c>
      <c r="X54" s="153">
        <f>67377.43+1293.59</f>
        <v>68671.01999999999</v>
      </c>
      <c r="Y54" s="60">
        <f t="shared" si="4"/>
        <v>0.30885273147713566</v>
      </c>
      <c r="Z54" s="87">
        <v>52466.574999999997</v>
      </c>
      <c r="AA54" s="40">
        <f t="shared" si="24"/>
        <v>38143.200024999998</v>
      </c>
      <c r="AB54" s="40">
        <f t="shared" si="25"/>
        <v>14323.374975000001</v>
      </c>
      <c r="AC54" s="40">
        <f t="shared" si="26"/>
        <v>40461.606660000049</v>
      </c>
      <c r="AD54" s="40">
        <f t="shared" si="27"/>
        <v>15193.973340000022</v>
      </c>
      <c r="AE54" s="61">
        <v>55655.580000000075</v>
      </c>
      <c r="AF54" s="60">
        <f t="shared" si="5"/>
        <v>6.0781650031473955E-2</v>
      </c>
      <c r="AG54" s="87">
        <v>52466.574999999997</v>
      </c>
      <c r="AH54" s="40">
        <f t="shared" si="28"/>
        <v>38143.200024999998</v>
      </c>
      <c r="AI54" s="40">
        <f t="shared" si="29"/>
        <v>14323.374975000001</v>
      </c>
      <c r="AJ54" s="40">
        <f t="shared" si="30"/>
        <v>103792.02338999987</v>
      </c>
      <c r="AK54" s="40">
        <f t="shared" si="31"/>
        <v>38975.546609999954</v>
      </c>
      <c r="AL54" s="61">
        <v>142767.56999999983</v>
      </c>
      <c r="AM54" s="60">
        <f t="shared" si="6"/>
        <v>1.7211147287582587</v>
      </c>
      <c r="AN54" s="56">
        <v>52466.574999999997</v>
      </c>
      <c r="AO54" s="40">
        <f t="shared" si="32"/>
        <v>38143.200024999998</v>
      </c>
      <c r="AP54" s="40">
        <f t="shared" si="33"/>
        <v>14323.374975000001</v>
      </c>
      <c r="AQ54" s="40">
        <f t="shared" si="34"/>
        <v>146376.32465</v>
      </c>
      <c r="AR54" s="40">
        <f t="shared" si="35"/>
        <v>54966.625350000009</v>
      </c>
      <c r="AS54" s="59">
        <v>201342.95</v>
      </c>
      <c r="AT54" s="60">
        <f t="shared" si="7"/>
        <v>2.8375470478109164</v>
      </c>
      <c r="AU54" s="56">
        <v>52466.574999999997</v>
      </c>
      <c r="AV54" s="40">
        <f t="shared" si="36"/>
        <v>38143.200024999998</v>
      </c>
      <c r="AW54" s="40">
        <f t="shared" si="37"/>
        <v>14323.374975000001</v>
      </c>
      <c r="AX54" s="40">
        <f t="shared" si="38"/>
        <v>5854.1311499999993</v>
      </c>
      <c r="AY54" s="40">
        <f t="shared" si="39"/>
        <v>2198.3188500000001</v>
      </c>
      <c r="AZ54" s="59">
        <v>8052.45</v>
      </c>
      <c r="BA54" s="60">
        <f t="shared" si="8"/>
        <v>-0.84652228585532785</v>
      </c>
      <c r="BB54" s="56">
        <v>52466.574999999997</v>
      </c>
      <c r="BC54" s="40">
        <f t="shared" si="40"/>
        <v>38143.200024999998</v>
      </c>
      <c r="BD54" s="40">
        <f t="shared" si="41"/>
        <v>14323.374975000001</v>
      </c>
      <c r="BE54" s="40">
        <f t="shared" si="42"/>
        <v>0</v>
      </c>
      <c r="BF54" s="40">
        <f t="shared" si="43"/>
        <v>0</v>
      </c>
      <c r="BG54" s="59"/>
      <c r="BH54" s="60">
        <f t="shared" si="9"/>
        <v>-1</v>
      </c>
      <c r="BI54" s="56">
        <v>0</v>
      </c>
      <c r="BJ54" s="40">
        <f t="shared" si="44"/>
        <v>0</v>
      </c>
      <c r="BK54" s="40">
        <f t="shared" si="45"/>
        <v>0</v>
      </c>
      <c r="BL54" s="40">
        <f t="shared" si="46"/>
        <v>0</v>
      </c>
      <c r="BM54" s="40">
        <f t="shared" si="47"/>
        <v>0</v>
      </c>
      <c r="BN54" s="59"/>
      <c r="BO54" s="60" t="str">
        <f t="shared" si="10"/>
        <v/>
      </c>
      <c r="BP54" s="56">
        <v>0</v>
      </c>
      <c r="BQ54" s="40">
        <f t="shared" si="48"/>
        <v>0</v>
      </c>
      <c r="BR54" s="40">
        <f t="shared" si="49"/>
        <v>0</v>
      </c>
      <c r="BS54" s="40">
        <f t="shared" si="50"/>
        <v>0</v>
      </c>
      <c r="BT54" s="40">
        <f t="shared" si="51"/>
        <v>0</v>
      </c>
      <c r="BU54" s="59"/>
      <c r="BV54" s="60" t="str">
        <f t="shared" si="11"/>
        <v/>
      </c>
      <c r="BW54" s="87">
        <v>0</v>
      </c>
      <c r="BX54" s="40">
        <f t="shared" si="52"/>
        <v>0</v>
      </c>
      <c r="BY54" s="40">
        <f t="shared" si="53"/>
        <v>0</v>
      </c>
      <c r="BZ54" s="40">
        <f t="shared" si="54"/>
        <v>0</v>
      </c>
      <c r="CA54" s="40">
        <f t="shared" si="55"/>
        <v>0</v>
      </c>
      <c r="CB54" s="61"/>
      <c r="CC54" s="60" t="str">
        <f t="shared" si="12"/>
        <v/>
      </c>
      <c r="CD54" s="87">
        <v>0</v>
      </c>
      <c r="CE54" s="40">
        <f t="shared" si="56"/>
        <v>0</v>
      </c>
      <c r="CF54" s="40">
        <f t="shared" si="57"/>
        <v>0</v>
      </c>
      <c r="CG54" s="40">
        <f t="shared" si="58"/>
        <v>0</v>
      </c>
      <c r="CH54" s="40">
        <f t="shared" si="59"/>
        <v>0</v>
      </c>
      <c r="CI54" s="61"/>
      <c r="CJ54" s="60" t="str">
        <f t="shared" si="13"/>
        <v/>
      </c>
      <c r="CK54" s="87">
        <v>0</v>
      </c>
      <c r="CL54" s="40">
        <f t="shared" si="60"/>
        <v>0</v>
      </c>
      <c r="CM54" s="40">
        <f t="shared" si="61"/>
        <v>0</v>
      </c>
      <c r="CN54" s="40">
        <f t="shared" si="62"/>
        <v>0</v>
      </c>
      <c r="CO54" s="40">
        <f t="shared" si="63"/>
        <v>0</v>
      </c>
      <c r="CP54" s="61"/>
      <c r="CQ54" s="60" t="str">
        <f t="shared" si="14"/>
        <v/>
      </c>
    </row>
    <row r="55" spans="1:99" s="26" customFormat="1" ht="16" customHeight="1" thickBot="1" x14ac:dyDescent="0.25">
      <c r="A55" s="119" t="s">
        <v>79</v>
      </c>
      <c r="B55" s="63">
        <f t="shared" ref="B55:J55" si="67">SUM(B4:B54)</f>
        <v>22485022.607643884</v>
      </c>
      <c r="C55" s="64">
        <f t="shared" si="67"/>
        <v>16346611.435757106</v>
      </c>
      <c r="D55" s="65">
        <f t="shared" si="67"/>
        <v>6138411.1718867822</v>
      </c>
      <c r="E55" s="63">
        <f t="shared" si="67"/>
        <v>9704331.147381844</v>
      </c>
      <c r="F55" s="66">
        <f t="shared" si="67"/>
        <v>7055048.7441465966</v>
      </c>
      <c r="G55" s="67">
        <f t="shared" si="67"/>
        <v>2649282.4032352436</v>
      </c>
      <c r="H55" s="64">
        <f t="shared" si="67"/>
        <v>10602533.314830001</v>
      </c>
      <c r="I55" s="66">
        <f t="shared" si="67"/>
        <v>3981418.9751699995</v>
      </c>
      <c r="J55" s="66">
        <f t="shared" si="67"/>
        <v>14583952.290000003</v>
      </c>
      <c r="K55" s="120">
        <f>+J55/E55-1</f>
        <v>0.50282920775376105</v>
      </c>
      <c r="L55" s="121">
        <f t="shared" ref="L55:Q55" si="68">SUM(L4:L54)</f>
        <v>2490410.1221516747</v>
      </c>
      <c r="M55" s="121">
        <f t="shared" si="68"/>
        <v>1810528.1588042667</v>
      </c>
      <c r="N55" s="121">
        <f t="shared" si="68"/>
        <v>679881.96334740717</v>
      </c>
      <c r="O55" s="122">
        <f t="shared" si="68"/>
        <v>2126012.0100499997</v>
      </c>
      <c r="P55" s="122">
        <f t="shared" si="68"/>
        <v>798351.13995000033</v>
      </c>
      <c r="Q55" s="123">
        <f t="shared" si="68"/>
        <v>2924363.1500000008</v>
      </c>
      <c r="R55" s="120">
        <f>+Q55/L55-1</f>
        <v>0.1742496241837459</v>
      </c>
      <c r="S55" s="121">
        <f t="shared" ref="S55:X55" si="69">SUM(S4:S54)</f>
        <v>2481252.0512599521</v>
      </c>
      <c r="T55" s="121">
        <f t="shared" si="69"/>
        <v>1803870.2412659843</v>
      </c>
      <c r="U55" s="121">
        <f t="shared" si="69"/>
        <v>677381.80999396683</v>
      </c>
      <c r="V55" s="122">
        <f t="shared" si="69"/>
        <v>1301707.9091399999</v>
      </c>
      <c r="W55" s="122">
        <f t="shared" si="69"/>
        <v>488811.91086000006</v>
      </c>
      <c r="X55" s="123">
        <f t="shared" si="69"/>
        <v>1790519.8200000003</v>
      </c>
      <c r="Y55" s="120">
        <f>+X55/S55-1</f>
        <v>-0.27838051797648111</v>
      </c>
      <c r="Z55" s="121">
        <f t="shared" ref="Z55:AE55" si="70">SUM(Z4:Z54)</f>
        <v>2553983.4596703588</v>
      </c>
      <c r="AA55" s="121">
        <f t="shared" si="70"/>
        <v>1856745.9751803498</v>
      </c>
      <c r="AB55" s="121">
        <f t="shared" si="70"/>
        <v>697237.48449000786</v>
      </c>
      <c r="AC55" s="122">
        <f t="shared" si="70"/>
        <v>1808024.8490599997</v>
      </c>
      <c r="AD55" s="122">
        <f t="shared" si="70"/>
        <v>678941.93093999999</v>
      </c>
      <c r="AE55" s="124">
        <f t="shared" si="70"/>
        <v>2486966.7800000012</v>
      </c>
      <c r="AF55" s="120">
        <f>+AE55/Z55-1</f>
        <v>-2.6240060176038638E-2</v>
      </c>
      <c r="AG55" s="121">
        <f t="shared" ref="AG55:AL55" si="71">SUM(AG4:AG54)</f>
        <v>2178685.5142998574</v>
      </c>
      <c r="AH55" s="121">
        <f t="shared" si="71"/>
        <v>1583904.3688959957</v>
      </c>
      <c r="AI55" s="121">
        <f t="shared" si="71"/>
        <v>594781.14540386118</v>
      </c>
      <c r="AJ55" s="122">
        <f t="shared" si="71"/>
        <v>2227746.2090500002</v>
      </c>
      <c r="AK55" s="122">
        <f t="shared" si="71"/>
        <v>836553.94094999996</v>
      </c>
      <c r="AL55" s="124">
        <f t="shared" si="71"/>
        <v>3064300.1500000008</v>
      </c>
      <c r="AM55" s="120">
        <f>+AL55/AG55-1</f>
        <v>0.40649034928969296</v>
      </c>
      <c r="AN55" s="121">
        <f t="shared" ref="AN55:AS55" si="72">SUM(AN4:AN54)</f>
        <v>2231267.6002893308</v>
      </c>
      <c r="AO55" s="121">
        <f t="shared" si="72"/>
        <v>1622131.5454103425</v>
      </c>
      <c r="AP55" s="121">
        <f t="shared" si="72"/>
        <v>609136.05487898726</v>
      </c>
      <c r="AQ55" s="122">
        <f t="shared" si="72"/>
        <v>1892145.5028900001</v>
      </c>
      <c r="AR55" s="122">
        <f t="shared" si="72"/>
        <v>710530.56711000006</v>
      </c>
      <c r="AS55" s="124">
        <f t="shared" si="72"/>
        <v>2602676.0700000003</v>
      </c>
      <c r="AT55" s="120">
        <f>+AS55/AN55-1</f>
        <v>0.1664562644402261</v>
      </c>
      <c r="AU55" s="121">
        <f t="shared" ref="AU55:AZ55" si="73">SUM(AU4:AU54)</f>
        <v>2210669.3377702264</v>
      </c>
      <c r="AV55" s="121">
        <f t="shared" si="73"/>
        <v>1607156.608558954</v>
      </c>
      <c r="AW55" s="121">
        <f t="shared" si="73"/>
        <v>603512.72921127186</v>
      </c>
      <c r="AX55" s="122">
        <f t="shared" si="73"/>
        <v>1246896.8346399995</v>
      </c>
      <c r="AY55" s="122">
        <f t="shared" si="73"/>
        <v>468229.48536000005</v>
      </c>
      <c r="AZ55" s="124">
        <f t="shared" si="73"/>
        <v>1715126.32</v>
      </c>
      <c r="BA55" s="120">
        <f>+AZ55/AU55-1</f>
        <v>-0.22415971909668397</v>
      </c>
      <c r="BB55" s="121">
        <f t="shared" ref="BB55:BG55" si="74">SUM(BB4:BB54)</f>
        <v>1892653.5570215352</v>
      </c>
      <c r="BC55" s="121">
        <f t="shared" si="74"/>
        <v>1375959.1359546557</v>
      </c>
      <c r="BD55" s="121">
        <f t="shared" si="74"/>
        <v>516694.42106687912</v>
      </c>
      <c r="BE55" s="122">
        <f t="shared" si="74"/>
        <v>0</v>
      </c>
      <c r="BF55" s="122">
        <f t="shared" si="74"/>
        <v>0</v>
      </c>
      <c r="BG55" s="124">
        <f t="shared" si="74"/>
        <v>0</v>
      </c>
      <c r="BH55" s="120">
        <f>+BG55/BB55-1</f>
        <v>-1</v>
      </c>
      <c r="BI55" s="121">
        <f t="shared" ref="BI55:BN55" si="75">SUM(BI4:BI54)</f>
        <v>1620325.7709148529</v>
      </c>
      <c r="BJ55" s="121">
        <f t="shared" si="75"/>
        <v>1177976.835455098</v>
      </c>
      <c r="BK55" s="121">
        <f t="shared" si="75"/>
        <v>442348.93545975484</v>
      </c>
      <c r="BL55" s="122">
        <f t="shared" si="75"/>
        <v>0</v>
      </c>
      <c r="BM55" s="122">
        <f t="shared" si="75"/>
        <v>0</v>
      </c>
      <c r="BN55" s="124">
        <f t="shared" si="75"/>
        <v>0</v>
      </c>
      <c r="BO55" s="120">
        <f>+BN55/BI55-1</f>
        <v>-1</v>
      </c>
      <c r="BP55" s="121">
        <f t="shared" ref="BP55:BU55" si="76">SUM(BP4:BP54)</f>
        <v>1475679.7857677646</v>
      </c>
      <c r="BQ55" s="121">
        <f t="shared" si="76"/>
        <v>1072819.2042531644</v>
      </c>
      <c r="BR55" s="121">
        <f t="shared" si="76"/>
        <v>402860.58151459967</v>
      </c>
      <c r="BS55" s="122">
        <f t="shared" si="76"/>
        <v>0</v>
      </c>
      <c r="BT55" s="122">
        <f t="shared" si="76"/>
        <v>0</v>
      </c>
      <c r="BU55" s="124">
        <f t="shared" si="76"/>
        <v>0</v>
      </c>
      <c r="BV55" s="120">
        <f>+BU55/BP55-1</f>
        <v>-1</v>
      </c>
      <c r="BW55" s="121">
        <f t="shared" ref="BW55:CB55" si="77">SUM(BW4:BW54)</f>
        <v>1170337.3560649003</v>
      </c>
      <c r="BX55" s="121">
        <f t="shared" si="77"/>
        <v>850835.25785918243</v>
      </c>
      <c r="BY55" s="121">
        <f t="shared" si="77"/>
        <v>319502.0982057178</v>
      </c>
      <c r="BZ55" s="122">
        <f t="shared" si="77"/>
        <v>0</v>
      </c>
      <c r="CA55" s="122">
        <f t="shared" si="77"/>
        <v>0</v>
      </c>
      <c r="CB55" s="124">
        <f t="shared" si="77"/>
        <v>0</v>
      </c>
      <c r="CC55" s="120">
        <f>+CB55/BW55-1</f>
        <v>-1</v>
      </c>
      <c r="CD55" s="121">
        <f t="shared" ref="CD55:CI55" si="78">SUM(CD4:CD54)</f>
        <v>1151979.8104975652</v>
      </c>
      <c r="CE55" s="121">
        <f t="shared" si="78"/>
        <v>837489.32223172998</v>
      </c>
      <c r="CF55" s="121">
        <f t="shared" si="57"/>
        <v>314490.48826583533</v>
      </c>
      <c r="CG55" s="122">
        <f t="shared" si="78"/>
        <v>0</v>
      </c>
      <c r="CH55" s="122">
        <f t="shared" si="78"/>
        <v>0</v>
      </c>
      <c r="CI55" s="124">
        <f t="shared" si="78"/>
        <v>0</v>
      </c>
      <c r="CJ55" s="120">
        <f>+CI55/CD55-1</f>
        <v>-1</v>
      </c>
      <c r="CK55" s="121">
        <f t="shared" ref="CK55:CP55" si="79">SUM(CK4:CK54)</f>
        <v>1027778.2419358694</v>
      </c>
      <c r="CL55" s="121">
        <f t="shared" si="79"/>
        <v>747194.78188737691</v>
      </c>
      <c r="CM55" s="121">
        <f t="shared" si="61"/>
        <v>280583.46004849236</v>
      </c>
      <c r="CN55" s="122">
        <f t="shared" si="79"/>
        <v>0</v>
      </c>
      <c r="CO55" s="122">
        <f t="shared" si="79"/>
        <v>0</v>
      </c>
      <c r="CP55" s="124">
        <f t="shared" si="79"/>
        <v>0</v>
      </c>
      <c r="CQ55" s="120">
        <f>+CP55/CK55-1</f>
        <v>-1</v>
      </c>
      <c r="CR55" s="72"/>
      <c r="CS55" s="72"/>
      <c r="CT55" s="72"/>
      <c r="CU55" s="72"/>
    </row>
    <row r="56" spans="1:99" s="26" customFormat="1" ht="16" customHeight="1" x14ac:dyDescent="0.2">
      <c r="A56" s="125" t="s">
        <v>80</v>
      </c>
      <c r="B56" s="75">
        <f>+L56+S56+Z56+AG56+AN56+AU56+BB56+BI56+BP56+BW56+CD56+CK56</f>
        <v>-378814.35986159177</v>
      </c>
      <c r="C56" s="76">
        <f t="shared" ref="C56:D57" si="80">+M56+T56+AA56+AH56+AO56+AV56+BC56+BJ56+BQ56+BX56+CE56+CL56</f>
        <v>-275398.03961937717</v>
      </c>
      <c r="D56" s="77">
        <f t="shared" si="80"/>
        <v>-103416.32024221454</v>
      </c>
      <c r="E56" s="75">
        <f>+L56+S56+Z56+AG56</f>
        <v>-126271.45328719723</v>
      </c>
      <c r="F56" s="78">
        <f t="shared" ref="F56:G57" si="81">+M56+T56+AA56+AH56</f>
        <v>-91799.346539792386</v>
      </c>
      <c r="G56" s="79">
        <f t="shared" si="81"/>
        <v>-34472.106747404847</v>
      </c>
      <c r="H56" s="76">
        <f t="shared" ref="H56:J57" si="82">+O56+V56+AC56+AJ56+AQ56+AX56+BE56+BL56+BS56+BZ56+CG56+CN56</f>
        <v>-152493.42624</v>
      </c>
      <c r="I56" s="78">
        <f t="shared" si="82"/>
        <v>-57263.693760000002</v>
      </c>
      <c r="J56" s="78">
        <f t="shared" si="82"/>
        <v>-209757.12</v>
      </c>
      <c r="K56" s="25">
        <f t="shared" ref="K56:K57" si="83">IF(E56=0,"",(+J56/E56-1))</f>
        <v>0.66116025862883965</v>
      </c>
      <c r="L56" s="23">
        <v>-31567.863321799308</v>
      </c>
      <c r="M56" s="18">
        <f t="shared" ref="M56:M57" si="84">L56-N56</f>
        <v>-22949.836634948097</v>
      </c>
      <c r="N56" s="40">
        <f t="shared" si="17"/>
        <v>-8618.0266868512117</v>
      </c>
      <c r="O56" s="18">
        <f t="shared" ref="O56:O57" si="85">+Q56-P56</f>
        <v>0</v>
      </c>
      <c r="P56" s="18">
        <f t="shared" ref="P56:P57" si="86">+Q56*27.3%</f>
        <v>0</v>
      </c>
      <c r="Q56" s="20"/>
      <c r="R56" s="25">
        <f t="shared" ref="R56:R57" si="87">IF(L56=0,"",(+Q56/L56-1))</f>
        <v>-1</v>
      </c>
      <c r="S56" s="23">
        <v>-31567.863321799308</v>
      </c>
      <c r="T56" s="18">
        <f t="shared" ref="T56:T57" si="88">S56-U56</f>
        <v>-22949.836634948097</v>
      </c>
      <c r="U56" s="18">
        <f t="shared" si="21"/>
        <v>-8618.0266868512117</v>
      </c>
      <c r="V56" s="18">
        <f t="shared" ref="V56:V57" si="89">+X56-W56</f>
        <v>-60108.36</v>
      </c>
      <c r="W56" s="18">
        <f t="shared" ref="W56:W57" si="90">+X56*27.3%</f>
        <v>-22571.640000000003</v>
      </c>
      <c r="X56" s="20">
        <v>-82680</v>
      </c>
      <c r="Y56" s="25">
        <f>IF(S56=0,"",(+X56/S56-1))</f>
        <v>1.6191192972793003</v>
      </c>
      <c r="Z56" s="23">
        <v>-31567.863321799308</v>
      </c>
      <c r="AA56" s="18">
        <f t="shared" ref="AA56:AA57" si="91">Z56-AB56</f>
        <v>-22949.836634948097</v>
      </c>
      <c r="AB56" s="18">
        <f t="shared" si="25"/>
        <v>-8618.0266868512117</v>
      </c>
      <c r="AC56" s="18">
        <f t="shared" ref="AC56:AC57" si="92">+AE56-AD56</f>
        <v>458.94782999999995</v>
      </c>
      <c r="AD56" s="18">
        <f t="shared" ref="AD56:AD57" si="93">+AE56*27.3%</f>
        <v>172.34217000000001</v>
      </c>
      <c r="AE56" s="24">
        <v>631.29</v>
      </c>
      <c r="AF56" s="25">
        <f t="shared" ref="AF56:AF57" si="94">IF(Z56=0,"",(+AE56/Z56-1))</f>
        <v>-1.0199978691482758</v>
      </c>
      <c r="AG56" s="23">
        <v>-31567.863321799308</v>
      </c>
      <c r="AH56" s="18">
        <f t="shared" ref="AH56:AH57" si="95">AG56-AI56</f>
        <v>-22949.836634948097</v>
      </c>
      <c r="AI56" s="18">
        <f t="shared" si="29"/>
        <v>-8618.0266868512117</v>
      </c>
      <c r="AJ56" s="18">
        <f t="shared" ref="AJ56:AJ57" si="96">+AL56-AK56</f>
        <v>-40302.720809999999</v>
      </c>
      <c r="AK56" s="18">
        <f t="shared" ref="AK56:AK57" si="97">+AL56*27.3%</f>
        <v>-15134.30919</v>
      </c>
      <c r="AL56" s="24">
        <f>-56180+742.97</f>
        <v>-55437.03</v>
      </c>
      <c r="AM56" s="25">
        <f t="shared" ref="AM56:AM57" si="98">IF(AG56=0,"",(+AL56/AG56-1))</f>
        <v>0.75612233982645716</v>
      </c>
      <c r="AN56" s="23">
        <v>-31567.863321799308</v>
      </c>
      <c r="AO56" s="18">
        <f t="shared" ref="AO56:AO57" si="99">AN56-AP56</f>
        <v>-22949.836634948097</v>
      </c>
      <c r="AP56" s="18">
        <f t="shared" si="33"/>
        <v>-8618.0266868512117</v>
      </c>
      <c r="AQ56" s="18">
        <f t="shared" ref="AQ56:AQ57" si="100">+AS56-AR56</f>
        <v>-53172.78</v>
      </c>
      <c r="AR56" s="18">
        <f t="shared" ref="AR56:AR57" si="101">+AS56*27.3%</f>
        <v>-19967.22</v>
      </c>
      <c r="AS56" s="24">
        <v>-73140</v>
      </c>
      <c r="AT56" s="25">
        <f t="shared" ref="AT56:AT57" si="102">IF(AN56=0,"",(+AS56/AN56-1))</f>
        <v>1.3169132245163042</v>
      </c>
      <c r="AU56" s="23">
        <v>-31567.863321799308</v>
      </c>
      <c r="AV56" s="18">
        <f t="shared" ref="AV56:AV57" si="103">AU56-AW56</f>
        <v>-22949.836634948097</v>
      </c>
      <c r="AW56" s="18">
        <f t="shared" si="37"/>
        <v>-8618.0266868512117</v>
      </c>
      <c r="AX56" s="18">
        <f t="shared" ref="AX56:AX57" si="104">+AZ56-AY56</f>
        <v>631.48674000000005</v>
      </c>
      <c r="AY56" s="18">
        <f t="shared" ref="AY56:AY57" si="105">+AZ56*27.3%</f>
        <v>237.13326000000001</v>
      </c>
      <c r="AZ56" s="24">
        <v>868.62</v>
      </c>
      <c r="BA56" s="25">
        <f t="shared" ref="BA56:BA57" si="106">IF(AU56=0,"",(+AZ56/AU56-1))</f>
        <v>-1.027515957958427</v>
      </c>
      <c r="BB56" s="23">
        <v>-31567.863321799308</v>
      </c>
      <c r="BC56" s="18">
        <f t="shared" ref="BC56:BC57" si="107">BB56-BD56</f>
        <v>-22949.836634948097</v>
      </c>
      <c r="BD56" s="18">
        <f t="shared" si="41"/>
        <v>-8618.0266868512117</v>
      </c>
      <c r="BE56" s="18">
        <f t="shared" ref="BE56:BE57" si="108">+BG56-BF56</f>
        <v>0</v>
      </c>
      <c r="BF56" s="18">
        <f t="shared" ref="BF56:BF57" si="109">+BG56*27.3%</f>
        <v>0</v>
      </c>
      <c r="BG56" s="24"/>
      <c r="BH56" s="25">
        <f t="shared" ref="BH56:BH57" si="110">IF(BB56=0,"",(+BG56/BB56-1))</f>
        <v>-1</v>
      </c>
      <c r="BI56" s="23">
        <v>-31567.863321799308</v>
      </c>
      <c r="BJ56" s="18">
        <f t="shared" ref="BJ56:BJ57" si="111">BI56-BK56</f>
        <v>-22949.836634948097</v>
      </c>
      <c r="BK56" s="18">
        <f t="shared" si="45"/>
        <v>-8618.0266868512117</v>
      </c>
      <c r="BL56" s="18">
        <f t="shared" ref="BL56:BL57" si="112">+BN56-BM56</f>
        <v>0</v>
      </c>
      <c r="BM56" s="18">
        <f t="shared" ref="BM56:BM57" si="113">+BN56*27.3%</f>
        <v>0</v>
      </c>
      <c r="BN56" s="24"/>
      <c r="BO56" s="25">
        <f t="shared" ref="BO56:BO57" si="114">IF(BI56=0,"",(+BN56/BI56-1))</f>
        <v>-1</v>
      </c>
      <c r="BP56" s="23">
        <v>-31567.863321799308</v>
      </c>
      <c r="BQ56" s="18">
        <f t="shared" ref="BQ56:BQ57" si="115">BP56-BR56</f>
        <v>-22949.836634948097</v>
      </c>
      <c r="BR56" s="18">
        <f t="shared" si="49"/>
        <v>-8618.0266868512117</v>
      </c>
      <c r="BS56" s="18">
        <f t="shared" ref="BS56:BS57" si="116">+BU56-BT56</f>
        <v>0</v>
      </c>
      <c r="BT56" s="18">
        <f t="shared" ref="BT56:BT57" si="117">+BU56*27.3%</f>
        <v>0</v>
      </c>
      <c r="BU56" s="24"/>
      <c r="BV56" s="25">
        <f t="shared" ref="BV56:BV57" si="118">IF(BP56=0,"",(+BU56/BP56-1))</f>
        <v>-1</v>
      </c>
      <c r="BW56" s="23">
        <v>-31567.863321799308</v>
      </c>
      <c r="BX56" s="18">
        <f t="shared" ref="BX56:BX57" si="119">BW56-BY56</f>
        <v>-22949.836634948097</v>
      </c>
      <c r="BY56" s="18">
        <f t="shared" si="53"/>
        <v>-8618.0266868512117</v>
      </c>
      <c r="BZ56" s="18">
        <f t="shared" ref="BZ56:BZ57" si="120">+CB56-CA56</f>
        <v>0</v>
      </c>
      <c r="CA56" s="18">
        <f t="shared" ref="CA56:CA57" si="121">+CB56*27.3%</f>
        <v>0</v>
      </c>
      <c r="CB56" s="24"/>
      <c r="CC56" s="25">
        <f t="shared" ref="CC56:CC57" si="122">IF(BW56=0,"",(+CB56/BW56-1))</f>
        <v>-1</v>
      </c>
      <c r="CD56" s="23">
        <v>-31567.863321799308</v>
      </c>
      <c r="CE56" s="18">
        <f t="shared" ref="CE56:CE57" si="123">CD56-CF56</f>
        <v>-22949.836634948097</v>
      </c>
      <c r="CF56" s="18">
        <f t="shared" si="57"/>
        <v>-8618.0266868512117</v>
      </c>
      <c r="CG56" s="18">
        <f t="shared" ref="CG56:CG57" si="124">+CI56-CH56</f>
        <v>0</v>
      </c>
      <c r="CH56" s="18">
        <f t="shared" ref="CH56:CH57" si="125">+CI56*27.3%</f>
        <v>0</v>
      </c>
      <c r="CI56" s="24"/>
      <c r="CJ56" s="25">
        <f t="shared" ref="CJ56:CJ57" si="126">IF(CD56=0,"",(+CI56/CD56-1))</f>
        <v>-1</v>
      </c>
      <c r="CK56" s="23">
        <v>-31567.863321799308</v>
      </c>
      <c r="CL56" s="18">
        <f t="shared" ref="CL56:CL57" si="127">CK56-CM56</f>
        <v>-22949.836634948097</v>
      </c>
      <c r="CM56" s="18">
        <f t="shared" si="61"/>
        <v>-8618.0266868512117</v>
      </c>
      <c r="CN56" s="18">
        <f t="shared" ref="CN56:CN57" si="128">+CP56-CO56</f>
        <v>0</v>
      </c>
      <c r="CO56" s="18">
        <f t="shared" ref="CO56:CO57" si="129">+CP56*27.3%</f>
        <v>0</v>
      </c>
      <c r="CP56" s="24"/>
      <c r="CQ56" s="25">
        <f t="shared" ref="CQ56:CQ57" si="130">IF(CK56=0,"",(+CP56/CK56-1))</f>
        <v>-1</v>
      </c>
    </row>
    <row r="57" spans="1:99" s="26" customFormat="1" ht="16" customHeight="1" thickBot="1" x14ac:dyDescent="0.25">
      <c r="A57" s="126" t="s">
        <v>81</v>
      </c>
      <c r="B57" s="52">
        <f>+L57+S57+Z57+AG57+AN57+AU57+BB57+BI57+BP57+BW57+CD57+CK57</f>
        <v>-126271.4532871972</v>
      </c>
      <c r="C57" s="40">
        <f t="shared" si="80"/>
        <v>-91799.346539792372</v>
      </c>
      <c r="D57" s="51">
        <f t="shared" si="80"/>
        <v>-34472.106747404847</v>
      </c>
      <c r="E57" s="50">
        <f>+L57+S57+Z57+AG57</f>
        <v>-42090.484429065742</v>
      </c>
      <c r="F57" s="58">
        <f t="shared" si="81"/>
        <v>-30599.782179930793</v>
      </c>
      <c r="G57" s="85">
        <f t="shared" si="81"/>
        <v>-11490.702249134949</v>
      </c>
      <c r="H57" s="57">
        <f t="shared" si="82"/>
        <v>-45442.821640000002</v>
      </c>
      <c r="I57" s="58">
        <f t="shared" si="82"/>
        <v>-17064.498360000005</v>
      </c>
      <c r="J57" s="58">
        <f t="shared" si="82"/>
        <v>-62507.32</v>
      </c>
      <c r="K57" s="127">
        <f t="shared" si="83"/>
        <v>0.48507010189778987</v>
      </c>
      <c r="L57" s="56">
        <v>-10522.621107266436</v>
      </c>
      <c r="M57" s="57">
        <f t="shared" si="84"/>
        <v>-7649.9455449826983</v>
      </c>
      <c r="N57" s="40">
        <f t="shared" si="17"/>
        <v>-2872.6755622837372</v>
      </c>
      <c r="O57" s="57">
        <f t="shared" si="85"/>
        <v>-28860.787689999997</v>
      </c>
      <c r="P57" s="57">
        <f t="shared" si="86"/>
        <v>-10837.682310000002</v>
      </c>
      <c r="Q57" s="58">
        <v>-39698.47</v>
      </c>
      <c r="R57" s="127">
        <f t="shared" si="87"/>
        <v>2.7726788406917051</v>
      </c>
      <c r="S57" s="56">
        <v>-10522.621107266436</v>
      </c>
      <c r="T57" s="57">
        <f t="shared" si="88"/>
        <v>-7649.9455449826983</v>
      </c>
      <c r="U57" s="57">
        <f t="shared" si="21"/>
        <v>-2872.6755622837372</v>
      </c>
      <c r="V57" s="57">
        <f t="shared" si="89"/>
        <v>-4264.2112299999999</v>
      </c>
      <c r="W57" s="57">
        <f t="shared" si="90"/>
        <v>-1601.2787700000001</v>
      </c>
      <c r="X57" s="58">
        <v>-5865.49</v>
      </c>
      <c r="Y57" s="127">
        <f>IF(S57=0,"",(+X57/S57-1))</f>
        <v>-0.44258279945577783</v>
      </c>
      <c r="Z57" s="56">
        <v>-10522.621107266436</v>
      </c>
      <c r="AA57" s="57">
        <f t="shared" si="91"/>
        <v>-7649.9455449826983</v>
      </c>
      <c r="AB57" s="57">
        <f t="shared" si="25"/>
        <v>-2872.6755622837372</v>
      </c>
      <c r="AC57" s="57">
        <f t="shared" si="92"/>
        <v>-18748.363089999999</v>
      </c>
      <c r="AD57" s="57">
        <f t="shared" si="93"/>
        <v>-7040.3069100000002</v>
      </c>
      <c r="AE57" s="59">
        <v>-25788.67</v>
      </c>
      <c r="AF57" s="127">
        <f t="shared" si="94"/>
        <v>1.4507838624153764</v>
      </c>
      <c r="AG57" s="56">
        <v>-10522.621107266436</v>
      </c>
      <c r="AH57" s="57">
        <f t="shared" si="95"/>
        <v>-7649.9455449826983</v>
      </c>
      <c r="AI57" s="57">
        <f t="shared" si="29"/>
        <v>-2872.6755622837372</v>
      </c>
      <c r="AJ57" s="57">
        <f t="shared" si="96"/>
        <v>0</v>
      </c>
      <c r="AK57" s="57">
        <f t="shared" si="97"/>
        <v>0</v>
      </c>
      <c r="AL57" s="59"/>
      <c r="AM57" s="127">
        <f t="shared" si="98"/>
        <v>-1</v>
      </c>
      <c r="AN57" s="56">
        <v>-10522.621107266436</v>
      </c>
      <c r="AO57" s="57">
        <f t="shared" si="99"/>
        <v>-7649.9455449826983</v>
      </c>
      <c r="AP57" s="57">
        <f t="shared" si="33"/>
        <v>-2872.6755622837372</v>
      </c>
      <c r="AQ57" s="57">
        <f t="shared" si="100"/>
        <v>2715.7012299999997</v>
      </c>
      <c r="AR57" s="57">
        <f t="shared" si="101"/>
        <v>1019.78877</v>
      </c>
      <c r="AS57" s="59">
        <v>3735.49</v>
      </c>
      <c r="AT57" s="127">
        <f t="shared" si="102"/>
        <v>-1.3549961518067435</v>
      </c>
      <c r="AU57" s="56">
        <v>-10522.621107266436</v>
      </c>
      <c r="AV57" s="57">
        <f t="shared" si="103"/>
        <v>-7649.9455449826983</v>
      </c>
      <c r="AW57" s="57">
        <f t="shared" si="37"/>
        <v>-2872.6755622837372</v>
      </c>
      <c r="AX57" s="57">
        <f t="shared" si="104"/>
        <v>3714.8391399999996</v>
      </c>
      <c r="AY57" s="57">
        <f t="shared" si="105"/>
        <v>1394.9808600000001</v>
      </c>
      <c r="AZ57" s="59">
        <v>5109.82</v>
      </c>
      <c r="BA57" s="127">
        <f t="shared" si="106"/>
        <v>-1.4856033442534002</v>
      </c>
      <c r="BB57" s="56">
        <v>-10522.621107266436</v>
      </c>
      <c r="BC57" s="57">
        <f t="shared" si="107"/>
        <v>-7649.9455449826983</v>
      </c>
      <c r="BD57" s="57">
        <f t="shared" si="41"/>
        <v>-2872.6755622837372</v>
      </c>
      <c r="BE57" s="57">
        <f t="shared" si="108"/>
        <v>0</v>
      </c>
      <c r="BF57" s="57">
        <f t="shared" si="109"/>
        <v>0</v>
      </c>
      <c r="BG57" s="59"/>
      <c r="BH57" s="127">
        <f t="shared" si="110"/>
        <v>-1</v>
      </c>
      <c r="BI57" s="56">
        <v>-10522.621107266436</v>
      </c>
      <c r="BJ57" s="57">
        <f t="shared" si="111"/>
        <v>-7649.9455449826983</v>
      </c>
      <c r="BK57" s="57">
        <f t="shared" si="45"/>
        <v>-2872.6755622837372</v>
      </c>
      <c r="BL57" s="57">
        <f t="shared" si="112"/>
        <v>0</v>
      </c>
      <c r="BM57" s="57">
        <f t="shared" si="113"/>
        <v>0</v>
      </c>
      <c r="BN57" s="59"/>
      <c r="BO57" s="127">
        <f t="shared" si="114"/>
        <v>-1</v>
      </c>
      <c r="BP57" s="56">
        <v>-10522.621107266436</v>
      </c>
      <c r="BQ57" s="57">
        <f t="shared" si="115"/>
        <v>-7649.9455449826983</v>
      </c>
      <c r="BR57" s="57">
        <f t="shared" si="49"/>
        <v>-2872.6755622837372</v>
      </c>
      <c r="BS57" s="57">
        <f t="shared" si="116"/>
        <v>0</v>
      </c>
      <c r="BT57" s="57">
        <f t="shared" si="117"/>
        <v>0</v>
      </c>
      <c r="BU57" s="59"/>
      <c r="BV57" s="127">
        <f t="shared" si="118"/>
        <v>-1</v>
      </c>
      <c r="BW57" s="56">
        <v>-10522.621107266436</v>
      </c>
      <c r="BX57" s="57">
        <f t="shared" si="119"/>
        <v>-7649.9455449826983</v>
      </c>
      <c r="BY57" s="57">
        <f t="shared" si="53"/>
        <v>-2872.6755622837372</v>
      </c>
      <c r="BZ57" s="57">
        <f t="shared" si="120"/>
        <v>0</v>
      </c>
      <c r="CA57" s="57">
        <f t="shared" si="121"/>
        <v>0</v>
      </c>
      <c r="CB57" s="59"/>
      <c r="CC57" s="127">
        <f t="shared" si="122"/>
        <v>-1</v>
      </c>
      <c r="CD57" s="56">
        <v>-10522.621107266436</v>
      </c>
      <c r="CE57" s="57">
        <f t="shared" si="123"/>
        <v>-7649.9455449826983</v>
      </c>
      <c r="CF57" s="57">
        <f t="shared" si="57"/>
        <v>-2872.6755622837372</v>
      </c>
      <c r="CG57" s="57">
        <f t="shared" si="124"/>
        <v>0</v>
      </c>
      <c r="CH57" s="57">
        <f t="shared" si="125"/>
        <v>0</v>
      </c>
      <c r="CI57" s="59"/>
      <c r="CJ57" s="127">
        <f t="shared" si="126"/>
        <v>-1</v>
      </c>
      <c r="CK57" s="56">
        <v>-10522.621107266436</v>
      </c>
      <c r="CL57" s="57">
        <f t="shared" si="127"/>
        <v>-7649.9455449826983</v>
      </c>
      <c r="CM57" s="57">
        <f t="shared" si="61"/>
        <v>-2872.6755622837372</v>
      </c>
      <c r="CN57" s="57">
        <f t="shared" si="128"/>
        <v>0</v>
      </c>
      <c r="CO57" s="57">
        <f t="shared" si="129"/>
        <v>0</v>
      </c>
      <c r="CP57" s="59"/>
      <c r="CQ57" s="127">
        <f t="shared" si="130"/>
        <v>-1</v>
      </c>
    </row>
    <row r="58" spans="1:99" s="26" customFormat="1" ht="16" customHeight="1" thickBot="1" x14ac:dyDescent="0.25">
      <c r="A58" s="131" t="s">
        <v>82</v>
      </c>
      <c r="B58" s="89">
        <f>+B55+B56+B57</f>
        <v>21979936.794495098</v>
      </c>
      <c r="C58" s="90">
        <f t="shared" ref="C58:D58" si="131">+C55+C56+C57</f>
        <v>15979414.049597938</v>
      </c>
      <c r="D58" s="91">
        <f t="shared" si="131"/>
        <v>6000522.7448971625</v>
      </c>
      <c r="E58" s="92">
        <f t="shared" ref="E58:J58" si="132">SUM(E55:E57)</f>
        <v>9535969.2096655816</v>
      </c>
      <c r="F58" s="93">
        <f t="shared" si="132"/>
        <v>6932649.6154268729</v>
      </c>
      <c r="G58" s="94">
        <f t="shared" si="132"/>
        <v>2603319.5942387041</v>
      </c>
      <c r="H58" s="95">
        <f t="shared" si="132"/>
        <v>10404597.066950001</v>
      </c>
      <c r="I58" s="96">
        <f t="shared" si="132"/>
        <v>3907090.7830499993</v>
      </c>
      <c r="J58" s="96">
        <f t="shared" si="132"/>
        <v>14311687.850000003</v>
      </c>
      <c r="K58" s="132">
        <f>+J58/E55-1</f>
        <v>0.47477323605771526</v>
      </c>
      <c r="L58" s="133">
        <f t="shared" ref="L58:Q58" si="133">SUM(L55:L57)</f>
        <v>2448319.6377226091</v>
      </c>
      <c r="M58" s="133">
        <f t="shared" si="133"/>
        <v>1779928.3766243358</v>
      </c>
      <c r="N58" s="133">
        <f t="shared" si="133"/>
        <v>668391.26109827228</v>
      </c>
      <c r="O58" s="95">
        <f t="shared" si="133"/>
        <v>2097151.2223599998</v>
      </c>
      <c r="P58" s="95">
        <f t="shared" si="133"/>
        <v>787513.45764000039</v>
      </c>
      <c r="Q58" s="96">
        <f t="shared" si="133"/>
        <v>2884664.6800000006</v>
      </c>
      <c r="R58" s="132">
        <f>+Q58/L55-1</f>
        <v>0.15830908906991437</v>
      </c>
      <c r="S58" s="133">
        <f t="shared" ref="S58:X58" si="134">SUM(S55:S57)</f>
        <v>2439161.5668308865</v>
      </c>
      <c r="T58" s="133">
        <f t="shared" si="134"/>
        <v>1773270.4590860533</v>
      </c>
      <c r="U58" s="133">
        <f t="shared" si="134"/>
        <v>665891.10774483194</v>
      </c>
      <c r="V58" s="95">
        <f t="shared" si="134"/>
        <v>1237335.3379099998</v>
      </c>
      <c r="W58" s="95">
        <f t="shared" si="134"/>
        <v>464638.99209000007</v>
      </c>
      <c r="X58" s="96">
        <f t="shared" si="134"/>
        <v>1701974.3300000003</v>
      </c>
      <c r="Y58" s="132">
        <f>+X58/S55-1</f>
        <v>-0.31406632827335834</v>
      </c>
      <c r="Z58" s="133">
        <f t="shared" ref="Z58:AE58" si="135">SUM(Z55:Z57)</f>
        <v>2511892.9752412932</v>
      </c>
      <c r="AA58" s="133">
        <f t="shared" si="135"/>
        <v>1826146.1930004188</v>
      </c>
      <c r="AB58" s="133">
        <f t="shared" si="135"/>
        <v>685746.78224087297</v>
      </c>
      <c r="AC58" s="95">
        <f t="shared" si="135"/>
        <v>1789735.4337999998</v>
      </c>
      <c r="AD58" s="95">
        <f t="shared" si="135"/>
        <v>672073.96619999991</v>
      </c>
      <c r="AE58" s="137">
        <f t="shared" si="135"/>
        <v>2461809.4000000013</v>
      </c>
      <c r="AF58" s="132">
        <f>+AE58/Z55-1</f>
        <v>-3.6090311909167339E-2</v>
      </c>
      <c r="AG58" s="133">
        <f t="shared" ref="AG58:AL58" si="136">SUM(AG55:AG57)</f>
        <v>2136595.0298707918</v>
      </c>
      <c r="AH58" s="133">
        <f t="shared" si="136"/>
        <v>1553304.5867160647</v>
      </c>
      <c r="AI58" s="133">
        <f t="shared" si="136"/>
        <v>583290.44315472629</v>
      </c>
      <c r="AJ58" s="95">
        <f t="shared" si="136"/>
        <v>2187443.4882400003</v>
      </c>
      <c r="AK58" s="95">
        <f t="shared" si="136"/>
        <v>821419.63176000002</v>
      </c>
      <c r="AL58" s="137">
        <f t="shared" si="136"/>
        <v>3008863.120000001</v>
      </c>
      <c r="AM58" s="132">
        <f>+AL58/AG55-1</f>
        <v>0.38104517620888911</v>
      </c>
      <c r="AN58" s="133">
        <f t="shared" ref="AN58:AS58" si="137">SUM(AN55:AN57)</f>
        <v>2189177.1158602652</v>
      </c>
      <c r="AO58" s="133">
        <f t="shared" si="137"/>
        <v>1591531.7632304116</v>
      </c>
      <c r="AP58" s="133">
        <f t="shared" si="137"/>
        <v>597645.35262985236</v>
      </c>
      <c r="AQ58" s="95">
        <f t="shared" si="137"/>
        <v>1841688.4241200001</v>
      </c>
      <c r="AR58" s="95">
        <f t="shared" si="137"/>
        <v>691583.13588000007</v>
      </c>
      <c r="AS58" s="137">
        <f t="shared" si="137"/>
        <v>2533271.5600000005</v>
      </c>
      <c r="AT58" s="132">
        <f>+AS58/AN55-1</f>
        <v>0.13535084705729994</v>
      </c>
      <c r="AU58" s="133">
        <f t="shared" ref="AU58:AZ58" si="138">SUM(AU55:AU57)</f>
        <v>2168578.8533411608</v>
      </c>
      <c r="AV58" s="133">
        <f t="shared" si="138"/>
        <v>1576556.826379023</v>
      </c>
      <c r="AW58" s="133">
        <f t="shared" si="138"/>
        <v>592022.02696213697</v>
      </c>
      <c r="AX58" s="95">
        <f t="shared" si="138"/>
        <v>1251243.1605199997</v>
      </c>
      <c r="AY58" s="95">
        <f t="shared" si="138"/>
        <v>469861.59948000003</v>
      </c>
      <c r="AZ58" s="137">
        <f t="shared" si="138"/>
        <v>1721104.7600000002</v>
      </c>
      <c r="BA58" s="132">
        <f>+AZ58/AU55-1</f>
        <v>-0.22145536168879132</v>
      </c>
      <c r="BB58" s="133">
        <f t="shared" ref="BB58:BG58" si="139">SUM(BB55:BB57)</f>
        <v>1850563.0725924694</v>
      </c>
      <c r="BC58" s="133">
        <f t="shared" si="139"/>
        <v>1345359.3537747248</v>
      </c>
      <c r="BD58" s="133">
        <f t="shared" si="139"/>
        <v>505203.71881774417</v>
      </c>
      <c r="BE58" s="95">
        <f t="shared" si="139"/>
        <v>0</v>
      </c>
      <c r="BF58" s="95">
        <f t="shared" si="139"/>
        <v>0</v>
      </c>
      <c r="BG58" s="137">
        <f t="shared" si="139"/>
        <v>0</v>
      </c>
      <c r="BH58" s="132">
        <f>+BG58/BB55-1</f>
        <v>-1</v>
      </c>
      <c r="BI58" s="133">
        <f t="shared" ref="BI58:BN58" si="140">SUM(BI55:BI57)</f>
        <v>1578235.286485787</v>
      </c>
      <c r="BJ58" s="133">
        <f t="shared" si="140"/>
        <v>1147377.053275167</v>
      </c>
      <c r="BK58" s="133">
        <f t="shared" si="140"/>
        <v>430858.23321061989</v>
      </c>
      <c r="BL58" s="95">
        <f t="shared" si="140"/>
        <v>0</v>
      </c>
      <c r="BM58" s="95">
        <f t="shared" si="140"/>
        <v>0</v>
      </c>
      <c r="BN58" s="137">
        <f t="shared" si="140"/>
        <v>0</v>
      </c>
      <c r="BO58" s="132">
        <f>+BN58/BI55-1</f>
        <v>-1</v>
      </c>
      <c r="BP58" s="133">
        <f t="shared" ref="BP58:BU58" si="141">SUM(BP55:BP57)</f>
        <v>1433589.3013386987</v>
      </c>
      <c r="BQ58" s="133">
        <f t="shared" si="141"/>
        <v>1042219.4220732335</v>
      </c>
      <c r="BR58" s="133">
        <f t="shared" si="141"/>
        <v>391369.87926546473</v>
      </c>
      <c r="BS58" s="95">
        <f t="shared" si="141"/>
        <v>0</v>
      </c>
      <c r="BT58" s="95">
        <f t="shared" si="141"/>
        <v>0</v>
      </c>
      <c r="BU58" s="137">
        <f t="shared" si="141"/>
        <v>0</v>
      </c>
      <c r="BV58" s="132">
        <f>+BU58/BP55-1</f>
        <v>-1</v>
      </c>
      <c r="BW58" s="133">
        <f t="shared" ref="BW58:CB58" si="142">SUM(BW55:BW57)</f>
        <v>1128246.8716358345</v>
      </c>
      <c r="BX58" s="133">
        <f t="shared" si="142"/>
        <v>820235.4756792516</v>
      </c>
      <c r="BY58" s="133">
        <f t="shared" si="142"/>
        <v>308011.39595658286</v>
      </c>
      <c r="BZ58" s="95">
        <f t="shared" si="142"/>
        <v>0</v>
      </c>
      <c r="CA58" s="95">
        <f t="shared" si="142"/>
        <v>0</v>
      </c>
      <c r="CB58" s="137">
        <f t="shared" si="142"/>
        <v>0</v>
      </c>
      <c r="CC58" s="132">
        <f>+CB58/BW55-1</f>
        <v>-1</v>
      </c>
      <c r="CD58" s="133">
        <f t="shared" ref="CD58:CI58" si="143">SUM(CD55:CD57)</f>
        <v>1109889.3260684994</v>
      </c>
      <c r="CE58" s="133">
        <f t="shared" si="143"/>
        <v>806889.54005179915</v>
      </c>
      <c r="CF58" s="133">
        <f t="shared" si="57"/>
        <v>302999.78601670032</v>
      </c>
      <c r="CG58" s="95">
        <f t="shared" si="143"/>
        <v>0</v>
      </c>
      <c r="CH58" s="95">
        <f t="shared" si="143"/>
        <v>0</v>
      </c>
      <c r="CI58" s="137">
        <f t="shared" si="143"/>
        <v>0</v>
      </c>
      <c r="CJ58" s="132">
        <f>+CI58/CD55-1</f>
        <v>-1</v>
      </c>
      <c r="CK58" s="133">
        <f t="shared" ref="CK58:CP58" si="144">SUM(CK55:CK57)</f>
        <v>985687.75750680373</v>
      </c>
      <c r="CL58" s="133">
        <f t="shared" si="144"/>
        <v>716594.99970744608</v>
      </c>
      <c r="CM58" s="133">
        <f t="shared" si="61"/>
        <v>269092.75779935741</v>
      </c>
      <c r="CN58" s="95">
        <f t="shared" si="144"/>
        <v>0</v>
      </c>
      <c r="CO58" s="95">
        <f t="shared" si="144"/>
        <v>0</v>
      </c>
      <c r="CP58" s="137">
        <f t="shared" si="144"/>
        <v>0</v>
      </c>
      <c r="CQ58" s="132">
        <f>+CP58/CK55-1</f>
        <v>-1</v>
      </c>
    </row>
    <row r="59" spans="1:99" s="105" customFormat="1" ht="14.25" customHeight="1" x14ac:dyDescent="0.2">
      <c r="B59" s="104"/>
      <c r="C59" s="104"/>
      <c r="D59" s="104"/>
      <c r="J59" s="104">
        <v>0</v>
      </c>
      <c r="K59" s="104"/>
      <c r="L59" s="104"/>
      <c r="M59" s="104"/>
      <c r="N59" s="104"/>
      <c r="O59" s="104"/>
      <c r="P59" s="104"/>
      <c r="Q59" s="104">
        <v>0</v>
      </c>
      <c r="R59" s="104"/>
      <c r="S59" s="104"/>
      <c r="T59" s="104"/>
      <c r="U59" s="104"/>
      <c r="V59" s="104"/>
      <c r="W59" s="104"/>
      <c r="X59" s="104">
        <v>0</v>
      </c>
      <c r="AE59" s="104">
        <v>0</v>
      </c>
      <c r="AL59" s="104">
        <v>0</v>
      </c>
      <c r="AS59" s="104">
        <v>0</v>
      </c>
      <c r="AZ59" s="104">
        <v>0</v>
      </c>
      <c r="BG59" s="104">
        <v>0</v>
      </c>
      <c r="BI59" s="104"/>
      <c r="BJ59" s="104"/>
      <c r="BK59" s="104"/>
      <c r="BL59" s="104"/>
      <c r="BM59" s="104"/>
      <c r="BN59" s="104">
        <v>0</v>
      </c>
      <c r="BU59" s="104">
        <v>0</v>
      </c>
      <c r="CB59" s="104">
        <v>0</v>
      </c>
      <c r="CI59" s="104">
        <v>0</v>
      </c>
      <c r="CP59" s="104">
        <v>0</v>
      </c>
    </row>
    <row r="60" spans="1:99" ht="14.25" customHeight="1" x14ac:dyDescent="0.2">
      <c r="L60" s="241" t="s">
        <v>83</v>
      </c>
      <c r="M60" s="242"/>
      <c r="N60" s="242"/>
      <c r="O60" s="242"/>
      <c r="P60" s="242"/>
      <c r="Q60" s="243"/>
      <c r="R60" s="244"/>
      <c r="S60" s="241" t="s">
        <v>83</v>
      </c>
      <c r="T60" s="242"/>
      <c r="U60" s="242"/>
      <c r="V60" s="242"/>
      <c r="W60" s="242"/>
      <c r="X60" s="243"/>
      <c r="Y60" s="244"/>
      <c r="Z60" s="241" t="s">
        <v>83</v>
      </c>
      <c r="AA60" s="242"/>
      <c r="AB60" s="242"/>
      <c r="AC60" s="242"/>
      <c r="AD60" s="242"/>
      <c r="AE60" s="243"/>
      <c r="AF60" s="244"/>
      <c r="AG60" s="241" t="s">
        <v>83</v>
      </c>
      <c r="AH60" s="242"/>
      <c r="AI60" s="242"/>
      <c r="AJ60" s="242"/>
      <c r="AK60" s="242"/>
      <c r="AL60" s="243"/>
      <c r="AM60" s="244"/>
      <c r="AN60" s="241" t="s">
        <v>83</v>
      </c>
      <c r="AO60" s="242"/>
      <c r="AP60" s="242"/>
      <c r="AQ60" s="242"/>
      <c r="AR60" s="242"/>
      <c r="AS60" s="243"/>
      <c r="AT60" s="244"/>
      <c r="AU60" s="241" t="s">
        <v>83</v>
      </c>
      <c r="AV60" s="242"/>
      <c r="AW60" s="242"/>
      <c r="AX60" s="242"/>
      <c r="AY60" s="242"/>
      <c r="AZ60" s="243"/>
      <c r="BA60" s="244"/>
      <c r="BB60" s="241" t="s">
        <v>83</v>
      </c>
      <c r="BC60" s="242"/>
      <c r="BD60" s="242"/>
      <c r="BE60" s="242"/>
      <c r="BF60" s="242"/>
      <c r="BG60" s="243"/>
      <c r="BH60" s="244"/>
      <c r="BI60" s="241" t="s">
        <v>83</v>
      </c>
      <c r="BJ60" s="242"/>
      <c r="BK60" s="242"/>
      <c r="BL60" s="242"/>
      <c r="BM60" s="242"/>
      <c r="BN60" s="243"/>
      <c r="BO60" s="244"/>
      <c r="BP60" s="241" t="s">
        <v>83</v>
      </c>
      <c r="BQ60" s="242"/>
      <c r="BR60" s="242"/>
      <c r="BS60" s="242"/>
      <c r="BT60" s="242"/>
      <c r="BU60" s="243"/>
      <c r="BV60" s="244"/>
      <c r="BW60" s="241" t="s">
        <v>83</v>
      </c>
      <c r="BX60" s="242"/>
      <c r="BY60" s="242"/>
      <c r="BZ60" s="242"/>
      <c r="CA60" s="242"/>
      <c r="CB60" s="243"/>
      <c r="CC60" s="244"/>
      <c r="CD60" s="241" t="s">
        <v>83</v>
      </c>
      <c r="CE60" s="242"/>
      <c r="CF60" s="242"/>
      <c r="CG60" s="242"/>
      <c r="CH60" s="242"/>
      <c r="CI60" s="243"/>
      <c r="CJ60" s="244"/>
      <c r="CK60" s="241" t="s">
        <v>83</v>
      </c>
      <c r="CL60" s="242"/>
      <c r="CM60" s="242"/>
      <c r="CN60" s="242"/>
      <c r="CO60" s="242"/>
      <c r="CP60" s="243"/>
      <c r="CQ60" s="244"/>
    </row>
    <row r="61" spans="1:99" ht="14.25" customHeight="1" x14ac:dyDescent="0.2">
      <c r="L61" s="107" t="s">
        <v>84</v>
      </c>
      <c r="M61" s="108"/>
      <c r="N61" s="108"/>
      <c r="O61" s="108"/>
      <c r="P61" s="108"/>
      <c r="Q61" s="109"/>
      <c r="R61" s="114">
        <f>28.9+1797.07+104.14+9.01+168.02+6.82+1622.27+477.49+254.66+852.65+101.18+17.05+14.55+92.78+1057.85+128.52+2.42+1797.07+14.95+1622.85+8.59</f>
        <v>10178.840000000002</v>
      </c>
      <c r="S61" s="107" t="s">
        <v>84</v>
      </c>
      <c r="T61" s="108"/>
      <c r="U61" s="108"/>
      <c r="V61" s="108"/>
      <c r="W61" s="108"/>
      <c r="X61" s="109"/>
      <c r="Y61" s="114">
        <f>40.93+31.42+50.03+168.03+38.09+34.11+1746.48+858.37+11.39+61.39+1797.07+204.64+9.01+59.74+6.82+18.19+852.65+17.05+165.21</f>
        <v>6170.619999999999</v>
      </c>
      <c r="Z61" s="107" t="s">
        <v>84</v>
      </c>
      <c r="AA61" s="108"/>
      <c r="AB61" s="108"/>
      <c r="AC61" s="108"/>
      <c r="AD61" s="108"/>
      <c r="AE61" s="109"/>
      <c r="AF61" s="114">
        <f>42.06+9.01+45.38+6.82+272.85+852.65+17.05+88.94+1797.07+93.03+736.56+128.64</f>
        <v>4090.06</v>
      </c>
      <c r="AG61" s="107" t="s">
        <v>84</v>
      </c>
      <c r="AH61" s="108"/>
      <c r="AI61" s="108"/>
      <c r="AJ61" s="108"/>
      <c r="AK61" s="108"/>
      <c r="AL61" s="109"/>
      <c r="AM61" s="114">
        <f>27.51+9.01+477.49+65.84+11.84+6.82+1658.14+852.65+17.05+381.99+75.03+84.29+965.8+114.06+1797.07+42.07</f>
        <v>6586.66</v>
      </c>
      <c r="AN61" s="107"/>
      <c r="AO61" s="108"/>
      <c r="AP61" s="108"/>
      <c r="AQ61" s="108"/>
      <c r="AR61" s="108"/>
      <c r="AS61" s="109"/>
      <c r="AT61" s="114"/>
      <c r="AU61" s="107"/>
      <c r="AV61" s="108"/>
      <c r="AW61" s="108"/>
      <c r="AX61" s="108"/>
      <c r="AY61" s="108"/>
      <c r="AZ61" s="109"/>
      <c r="BA61" s="114"/>
      <c r="BB61" s="107"/>
      <c r="BC61" s="108"/>
      <c r="BD61" s="108"/>
      <c r="BE61" s="108"/>
      <c r="BF61" s="108"/>
      <c r="BG61" s="109"/>
      <c r="BH61" s="114"/>
      <c r="BI61" s="107"/>
      <c r="BJ61" s="108"/>
      <c r="BK61" s="108"/>
      <c r="BL61" s="108"/>
      <c r="BM61" s="108"/>
      <c r="BN61" s="109"/>
      <c r="BO61" s="114"/>
      <c r="BP61" s="107"/>
      <c r="BQ61" s="108"/>
      <c r="BR61" s="108"/>
      <c r="BS61" s="108"/>
      <c r="BT61" s="108"/>
      <c r="BU61" s="109"/>
      <c r="BV61" s="114"/>
      <c r="BW61" s="107"/>
      <c r="BX61" s="108"/>
      <c r="BY61" s="108"/>
      <c r="BZ61" s="108"/>
      <c r="CA61" s="108"/>
      <c r="CB61" s="109"/>
      <c r="CC61" s="114"/>
      <c r="CD61" s="107"/>
      <c r="CE61" s="108"/>
      <c r="CF61" s="108"/>
      <c r="CG61" s="108"/>
      <c r="CH61" s="108"/>
      <c r="CI61" s="109"/>
      <c r="CJ61" s="114"/>
      <c r="CK61" s="107"/>
      <c r="CL61" s="108"/>
      <c r="CM61" s="108"/>
      <c r="CN61" s="108"/>
      <c r="CO61" s="108"/>
      <c r="CP61" s="109"/>
      <c r="CQ61" s="114"/>
    </row>
    <row r="62" spans="1:99" ht="14.25" customHeight="1" x14ac:dyDescent="0.2">
      <c r="L62" s="107" t="s">
        <v>85</v>
      </c>
      <c r="M62" s="108"/>
      <c r="N62" s="108"/>
      <c r="O62" s="108"/>
      <c r="P62" s="108"/>
      <c r="Q62" s="109"/>
      <c r="R62" s="114">
        <f>21.5</f>
        <v>21.5</v>
      </c>
      <c r="S62" s="107" t="s">
        <v>85</v>
      </c>
      <c r="T62" s="108"/>
      <c r="U62" s="108"/>
      <c r="V62" s="108"/>
      <c r="W62" s="108"/>
      <c r="X62" s="109"/>
      <c r="Y62" s="114">
        <f>339.6+55.7+24</f>
        <v>419.3</v>
      </c>
      <c r="Z62" s="107" t="s">
        <v>85</v>
      </c>
      <c r="AA62" s="108"/>
      <c r="AB62" s="108"/>
      <c r="AC62" s="108"/>
      <c r="AD62" s="108"/>
      <c r="AE62" s="109"/>
      <c r="AF62" s="114"/>
      <c r="AG62" s="107" t="s">
        <v>85</v>
      </c>
      <c r="AH62" s="108"/>
      <c r="AI62" s="108"/>
      <c r="AJ62" s="108"/>
      <c r="AK62" s="108"/>
      <c r="AL62" s="109"/>
      <c r="AM62" s="114"/>
      <c r="AN62" s="107"/>
      <c r="AO62" s="108"/>
      <c r="AP62" s="108"/>
      <c r="AQ62" s="108"/>
      <c r="AR62" s="108"/>
      <c r="AS62" s="109"/>
      <c r="AT62" s="114"/>
      <c r="AU62" s="107"/>
      <c r="AV62" s="108"/>
      <c r="AW62" s="108"/>
      <c r="AX62" s="108"/>
      <c r="AY62" s="108"/>
      <c r="AZ62" s="109"/>
      <c r="BA62" s="114"/>
      <c r="BB62" s="107"/>
      <c r="BC62" s="108"/>
      <c r="BD62" s="108"/>
      <c r="BE62" s="108"/>
      <c r="BF62" s="108"/>
      <c r="BG62" s="109"/>
      <c r="BH62" s="114"/>
      <c r="BI62" s="107"/>
      <c r="BJ62" s="108"/>
      <c r="BK62" s="108"/>
      <c r="BL62" s="108"/>
      <c r="BM62" s="108"/>
      <c r="BN62" s="109"/>
      <c r="BO62" s="114"/>
      <c r="BP62" s="107"/>
      <c r="BQ62" s="108"/>
      <c r="BR62" s="108"/>
      <c r="BS62" s="108"/>
      <c r="BT62" s="108"/>
      <c r="BU62" s="109"/>
      <c r="BV62" s="114"/>
      <c r="BW62" s="107"/>
      <c r="BX62" s="108"/>
      <c r="BY62" s="108"/>
      <c r="BZ62" s="108"/>
      <c r="CA62" s="108"/>
      <c r="CB62" s="109"/>
      <c r="CC62" s="114"/>
      <c r="CD62" s="107"/>
      <c r="CE62" s="108"/>
      <c r="CF62" s="108"/>
      <c r="CG62" s="108"/>
      <c r="CH62" s="108"/>
      <c r="CI62" s="109"/>
      <c r="CJ62" s="114"/>
      <c r="CK62" s="107"/>
      <c r="CL62" s="108"/>
      <c r="CM62" s="108"/>
      <c r="CN62" s="108"/>
      <c r="CO62" s="108"/>
      <c r="CP62" s="109"/>
      <c r="CQ62" s="114"/>
    </row>
    <row r="63" spans="1:99" ht="14.25" customHeight="1" x14ac:dyDescent="0.2">
      <c r="L63" s="107" t="s">
        <v>86</v>
      </c>
      <c r="M63" s="108"/>
      <c r="N63" s="108"/>
      <c r="O63" s="108"/>
      <c r="P63" s="108"/>
      <c r="Q63" s="109"/>
      <c r="R63" s="114">
        <f>1523.76</f>
        <v>1523.76</v>
      </c>
      <c r="S63" s="107" t="s">
        <v>86</v>
      </c>
      <c r="T63" s="108"/>
      <c r="U63" s="108"/>
      <c r="V63" s="108"/>
      <c r="W63" s="108"/>
      <c r="X63" s="109"/>
      <c r="Y63" s="114">
        <f>804.8</f>
        <v>804.8</v>
      </c>
      <c r="Z63" s="107" t="s">
        <v>86</v>
      </c>
      <c r="AA63" s="108"/>
      <c r="AB63" s="108"/>
      <c r="AC63" s="108"/>
      <c r="AD63" s="108"/>
      <c r="AE63" s="109"/>
      <c r="AF63" s="114">
        <f>1042.66</f>
        <v>1042.6600000000001</v>
      </c>
      <c r="AG63" s="107" t="s">
        <v>86</v>
      </c>
      <c r="AH63" s="108"/>
      <c r="AI63" s="108"/>
      <c r="AJ63" s="108"/>
      <c r="AK63" s="108"/>
      <c r="AL63" s="109"/>
      <c r="AM63" s="114">
        <f>973.11</f>
        <v>973.11</v>
      </c>
      <c r="AN63" s="107"/>
      <c r="AO63" s="108"/>
      <c r="AP63" s="108"/>
      <c r="AQ63" s="108"/>
      <c r="AR63" s="108"/>
      <c r="AS63" s="109"/>
      <c r="AT63" s="114"/>
      <c r="AU63" s="107"/>
      <c r="AV63" s="108"/>
      <c r="AW63" s="108"/>
      <c r="AX63" s="108"/>
      <c r="AY63" s="108"/>
      <c r="AZ63" s="109"/>
      <c r="BA63" s="114"/>
      <c r="BB63" s="107"/>
      <c r="BC63" s="108"/>
      <c r="BD63" s="108"/>
      <c r="BE63" s="108"/>
      <c r="BF63" s="108"/>
      <c r="BG63" s="109"/>
      <c r="BH63" s="114"/>
      <c r="BI63" s="107"/>
      <c r="BJ63" s="108"/>
      <c r="BK63" s="108"/>
      <c r="BL63" s="108"/>
      <c r="BM63" s="108"/>
      <c r="BN63" s="109"/>
      <c r="BO63" s="114"/>
      <c r="BP63" s="107"/>
      <c r="BQ63" s="108"/>
      <c r="BR63" s="108"/>
      <c r="BS63" s="108"/>
      <c r="BT63" s="108"/>
      <c r="BU63" s="109"/>
      <c r="BV63" s="114"/>
      <c r="BW63" s="107"/>
      <c r="BX63" s="108"/>
      <c r="BY63" s="108"/>
      <c r="BZ63" s="108"/>
      <c r="CA63" s="108"/>
      <c r="CB63" s="109"/>
      <c r="CC63" s="114"/>
      <c r="CD63" s="107"/>
      <c r="CE63" s="108"/>
      <c r="CF63" s="108"/>
      <c r="CG63" s="108"/>
      <c r="CH63" s="108"/>
      <c r="CI63" s="109"/>
      <c r="CJ63" s="114"/>
      <c r="CK63" s="107"/>
      <c r="CL63" s="108"/>
      <c r="CM63" s="108"/>
      <c r="CN63" s="108"/>
      <c r="CO63" s="108"/>
      <c r="CP63" s="109"/>
      <c r="CQ63" s="114"/>
    </row>
    <row r="64" spans="1:99" ht="14.25" customHeight="1" x14ac:dyDescent="0.2">
      <c r="L64" s="107" t="s">
        <v>87</v>
      </c>
      <c r="M64" s="108"/>
      <c r="N64" s="108"/>
      <c r="O64" s="108"/>
      <c r="P64" s="108"/>
      <c r="Q64" s="109"/>
      <c r="R64" s="114">
        <f>1146.28</f>
        <v>1146.28</v>
      </c>
      <c r="S64" s="107" t="s">
        <v>87</v>
      </c>
      <c r="T64" s="108"/>
      <c r="U64" s="108"/>
      <c r="V64" s="108"/>
      <c r="W64" s="108"/>
      <c r="X64" s="109"/>
      <c r="Y64" s="114">
        <f>779.56</f>
        <v>779.56</v>
      </c>
      <c r="Z64" s="107" t="s">
        <v>87</v>
      </c>
      <c r="AA64" s="108"/>
      <c r="AB64" s="108"/>
      <c r="AC64" s="108"/>
      <c r="AD64" s="108"/>
      <c r="AE64" s="109"/>
      <c r="AF64" s="114">
        <f>1330.79</f>
        <v>1330.79</v>
      </c>
      <c r="AG64" s="107" t="s">
        <v>87</v>
      </c>
      <c r="AH64" s="108"/>
      <c r="AI64" s="108"/>
      <c r="AJ64" s="108"/>
      <c r="AK64" s="108"/>
      <c r="AL64" s="109"/>
      <c r="AM64" s="114">
        <f>724.35+120</f>
        <v>844.35</v>
      </c>
      <c r="AN64" s="107"/>
      <c r="AO64" s="108"/>
      <c r="AP64" s="108"/>
      <c r="AQ64" s="108"/>
      <c r="AR64" s="108"/>
      <c r="AS64" s="109"/>
      <c r="AT64" s="114"/>
      <c r="AU64" s="107"/>
      <c r="AV64" s="108"/>
      <c r="AW64" s="108"/>
      <c r="AX64" s="108"/>
      <c r="AY64" s="108"/>
      <c r="AZ64" s="109"/>
      <c r="BA64" s="114"/>
      <c r="BB64" s="107"/>
      <c r="BC64" s="108"/>
      <c r="BD64" s="108"/>
      <c r="BE64" s="108"/>
      <c r="BF64" s="108"/>
      <c r="BG64" s="109"/>
      <c r="BH64" s="114"/>
      <c r="BI64" s="107"/>
      <c r="BJ64" s="108"/>
      <c r="BK64" s="108"/>
      <c r="BL64" s="108"/>
      <c r="BM64" s="108"/>
      <c r="BN64" s="109"/>
      <c r="BO64" s="114"/>
      <c r="BP64" s="107"/>
      <c r="BQ64" s="108"/>
      <c r="BR64" s="108"/>
      <c r="BS64" s="108"/>
      <c r="BT64" s="108"/>
      <c r="BU64" s="109"/>
      <c r="BV64" s="114"/>
      <c r="BW64" s="107"/>
      <c r="BX64" s="108"/>
      <c r="BY64" s="108"/>
      <c r="BZ64" s="108"/>
      <c r="CA64" s="108"/>
      <c r="CB64" s="109"/>
      <c r="CC64" s="114"/>
      <c r="CD64" s="107"/>
      <c r="CE64" s="108"/>
      <c r="CF64" s="108"/>
      <c r="CG64" s="108"/>
      <c r="CH64" s="108"/>
      <c r="CI64" s="109"/>
      <c r="CJ64" s="114"/>
      <c r="CK64" s="107"/>
      <c r="CL64" s="108"/>
      <c r="CM64" s="108"/>
      <c r="CN64" s="108"/>
      <c r="CO64" s="108"/>
      <c r="CP64" s="109"/>
      <c r="CQ64" s="114"/>
    </row>
    <row r="65" spans="12:99" ht="14.25" customHeight="1" x14ac:dyDescent="0.2">
      <c r="L65" s="107" t="s">
        <v>88</v>
      </c>
      <c r="M65" s="108"/>
      <c r="N65" s="108"/>
      <c r="O65" s="108"/>
      <c r="P65" s="108"/>
      <c r="Q65" s="109"/>
      <c r="R65" s="114">
        <f>220.5+480</f>
        <v>700.5</v>
      </c>
      <c r="S65" s="107" t="s">
        <v>88</v>
      </c>
      <c r="T65" s="108"/>
      <c r="U65" s="108"/>
      <c r="V65" s="108"/>
      <c r="W65" s="108"/>
      <c r="X65" s="109"/>
      <c r="Y65" s="114">
        <f>75</f>
        <v>75</v>
      </c>
      <c r="Z65" s="107" t="s">
        <v>88</v>
      </c>
      <c r="AA65" s="108"/>
      <c r="AB65" s="108"/>
      <c r="AC65" s="108"/>
      <c r="AD65" s="108"/>
      <c r="AE65" s="109"/>
      <c r="AF65" s="114"/>
      <c r="AG65" s="107" t="s">
        <v>88</v>
      </c>
      <c r="AH65" s="108"/>
      <c r="AI65" s="108"/>
      <c r="AJ65" s="108"/>
      <c r="AK65" s="108"/>
      <c r="AL65" s="109"/>
      <c r="AM65" s="114"/>
      <c r="AN65" s="107"/>
      <c r="AO65" s="108"/>
      <c r="AP65" s="108"/>
      <c r="AQ65" s="108"/>
      <c r="AR65" s="108"/>
      <c r="AS65" s="109"/>
      <c r="AT65" s="114"/>
      <c r="AU65" s="107"/>
      <c r="AV65" s="108"/>
      <c r="AW65" s="108"/>
      <c r="AX65" s="108"/>
      <c r="AY65" s="108"/>
      <c r="AZ65" s="109"/>
      <c r="BA65" s="114"/>
      <c r="BB65" s="107"/>
      <c r="BC65" s="108"/>
      <c r="BD65" s="108"/>
      <c r="BE65" s="108"/>
      <c r="BF65" s="108"/>
      <c r="BG65" s="109"/>
      <c r="BH65" s="114"/>
      <c r="BI65" s="107"/>
      <c r="BJ65" s="108"/>
      <c r="BK65" s="108"/>
      <c r="BL65" s="108"/>
      <c r="BM65" s="108"/>
      <c r="BN65" s="109"/>
      <c r="BO65" s="114"/>
      <c r="BP65" s="107"/>
      <c r="BQ65" s="108"/>
      <c r="BR65" s="108"/>
      <c r="BS65" s="108"/>
      <c r="BT65" s="108"/>
      <c r="BU65" s="109"/>
      <c r="BV65" s="114"/>
      <c r="BW65" s="107"/>
      <c r="BX65" s="108"/>
      <c r="BY65" s="108"/>
      <c r="BZ65" s="108"/>
      <c r="CA65" s="108"/>
      <c r="CB65" s="109"/>
      <c r="CC65" s="114"/>
      <c r="CD65" s="107"/>
      <c r="CE65" s="108"/>
      <c r="CF65" s="108"/>
      <c r="CG65" s="108"/>
      <c r="CH65" s="108"/>
      <c r="CI65" s="109"/>
      <c r="CJ65" s="114"/>
      <c r="CK65" s="107"/>
      <c r="CL65" s="108"/>
      <c r="CM65" s="108"/>
      <c r="CN65" s="108"/>
      <c r="CO65" s="108"/>
      <c r="CP65" s="109"/>
      <c r="CQ65" s="114"/>
    </row>
    <row r="66" spans="12:99" ht="14.25" customHeight="1" x14ac:dyDescent="0.2">
      <c r="L66" s="107" t="s">
        <v>89</v>
      </c>
      <c r="M66" s="108"/>
      <c r="N66" s="108"/>
      <c r="O66" s="108"/>
      <c r="P66" s="108"/>
      <c r="Q66" s="109"/>
      <c r="R66" s="114">
        <f>457.37+120</f>
        <v>577.37</v>
      </c>
      <c r="S66" s="107" t="s">
        <v>89</v>
      </c>
      <c r="T66" s="108"/>
      <c r="U66" s="108"/>
      <c r="V66" s="108"/>
      <c r="W66" s="108"/>
      <c r="X66" s="109"/>
      <c r="Y66" s="114">
        <f>417.22+118.6</f>
        <v>535.82000000000005</v>
      </c>
      <c r="Z66" s="107" t="s">
        <v>89</v>
      </c>
      <c r="AA66" s="108"/>
      <c r="AB66" s="108"/>
      <c r="AC66" s="108"/>
      <c r="AD66" s="108"/>
      <c r="AE66" s="109"/>
      <c r="AF66" s="114">
        <f>668.75</f>
        <v>668.75</v>
      </c>
      <c r="AG66" s="107" t="s">
        <v>89</v>
      </c>
      <c r="AH66" s="108"/>
      <c r="AI66" s="108"/>
      <c r="AJ66" s="108"/>
      <c r="AK66" s="108"/>
      <c r="AL66" s="109"/>
      <c r="AM66" s="114">
        <f>345.21</f>
        <v>345.21</v>
      </c>
      <c r="AN66" s="107"/>
      <c r="AO66" s="108"/>
      <c r="AP66" s="108"/>
      <c r="AQ66" s="108"/>
      <c r="AR66" s="108"/>
      <c r="AS66" s="109"/>
      <c r="AT66" s="114"/>
      <c r="AU66" s="107"/>
      <c r="AV66" s="108"/>
      <c r="AW66" s="108"/>
      <c r="AX66" s="108"/>
      <c r="AY66" s="108"/>
      <c r="AZ66" s="109"/>
      <c r="BA66" s="114"/>
      <c r="BB66" s="107"/>
      <c r="BC66" s="108"/>
      <c r="BD66" s="108"/>
      <c r="BE66" s="108"/>
      <c r="BF66" s="108"/>
      <c r="BG66" s="109"/>
      <c r="BH66" s="114"/>
      <c r="BI66" s="107"/>
      <c r="BJ66" s="108"/>
      <c r="BK66" s="108"/>
      <c r="BL66" s="108"/>
      <c r="BM66" s="108"/>
      <c r="BN66" s="109"/>
      <c r="BO66" s="114"/>
      <c r="BP66" s="107"/>
      <c r="BQ66" s="108"/>
      <c r="BR66" s="108"/>
      <c r="BS66" s="108"/>
      <c r="BT66" s="108"/>
      <c r="BU66" s="109"/>
      <c r="BV66" s="114"/>
      <c r="BW66" s="107"/>
      <c r="BX66" s="108"/>
      <c r="BY66" s="108"/>
      <c r="BZ66" s="108"/>
      <c r="CA66" s="108"/>
      <c r="CB66" s="109"/>
      <c r="CC66" s="114"/>
      <c r="CD66" s="107"/>
      <c r="CE66" s="108"/>
      <c r="CF66" s="108"/>
      <c r="CG66" s="108"/>
      <c r="CH66" s="108"/>
      <c r="CI66" s="109"/>
      <c r="CJ66" s="114"/>
      <c r="CK66" s="107"/>
      <c r="CL66" s="108"/>
      <c r="CM66" s="108"/>
      <c r="CN66" s="108"/>
      <c r="CO66" s="108"/>
      <c r="CP66" s="109"/>
      <c r="CQ66" s="114"/>
    </row>
    <row r="67" spans="12:99" ht="14.25" customHeight="1" x14ac:dyDescent="0.2">
      <c r="L67" s="107" t="s">
        <v>109</v>
      </c>
      <c r="M67" s="108"/>
      <c r="N67" s="108"/>
      <c r="O67" s="108"/>
      <c r="P67" s="108"/>
      <c r="Q67" s="109"/>
      <c r="R67" s="114">
        <f>168</f>
        <v>168</v>
      </c>
      <c r="S67" s="107" t="s">
        <v>109</v>
      </c>
      <c r="T67" s="108"/>
      <c r="U67" s="108"/>
      <c r="V67" s="108"/>
      <c r="W67" s="108"/>
      <c r="X67" s="109"/>
      <c r="Y67" s="114"/>
      <c r="Z67" s="107" t="s">
        <v>109</v>
      </c>
      <c r="AA67" s="108"/>
      <c r="AB67" s="108"/>
      <c r="AC67" s="108"/>
      <c r="AD67" s="108"/>
      <c r="AE67" s="109"/>
      <c r="AF67" s="114">
        <f>168</f>
        <v>168</v>
      </c>
      <c r="AG67" s="107" t="s">
        <v>109</v>
      </c>
      <c r="AH67" s="108"/>
      <c r="AI67" s="108"/>
      <c r="AJ67" s="108"/>
      <c r="AK67" s="108"/>
      <c r="AL67" s="109"/>
      <c r="AM67" s="114">
        <f>84+252</f>
        <v>336</v>
      </c>
      <c r="AN67" s="107"/>
      <c r="AO67" s="108"/>
      <c r="AP67" s="108"/>
      <c r="AQ67" s="108"/>
      <c r="AR67" s="108"/>
      <c r="AS67" s="109"/>
      <c r="AT67" s="114"/>
      <c r="AU67" s="107"/>
      <c r="AV67" s="108"/>
      <c r="AW67" s="108"/>
      <c r="AX67" s="108"/>
      <c r="AY67" s="108"/>
      <c r="AZ67" s="109"/>
      <c r="BA67" s="114"/>
      <c r="BB67" s="107"/>
      <c r="BC67" s="108"/>
      <c r="BD67" s="108"/>
      <c r="BE67" s="108"/>
      <c r="BF67" s="108"/>
      <c r="BG67" s="109"/>
      <c r="BH67" s="114"/>
      <c r="BI67" s="107"/>
      <c r="BJ67" s="108"/>
      <c r="BK67" s="108"/>
      <c r="BL67" s="108"/>
      <c r="BM67" s="108"/>
      <c r="BN67" s="109"/>
      <c r="BO67" s="114"/>
      <c r="BP67" s="107"/>
      <c r="BQ67" s="108"/>
      <c r="BR67" s="108"/>
      <c r="BS67" s="108"/>
      <c r="BT67" s="108"/>
      <c r="BU67" s="109"/>
      <c r="BV67" s="114"/>
      <c r="BW67" s="107"/>
      <c r="BX67" s="108"/>
      <c r="BY67" s="108"/>
      <c r="BZ67" s="108"/>
      <c r="CA67" s="108"/>
      <c r="CB67" s="109"/>
      <c r="CC67" s="114"/>
      <c r="CD67" s="107"/>
      <c r="CE67" s="108"/>
      <c r="CF67" s="108"/>
      <c r="CG67" s="108"/>
      <c r="CH67" s="108"/>
      <c r="CI67" s="109"/>
      <c r="CJ67" s="114"/>
      <c r="CK67" s="107"/>
      <c r="CL67" s="108"/>
      <c r="CM67" s="108"/>
      <c r="CN67" s="108"/>
      <c r="CO67" s="108"/>
      <c r="CP67" s="109"/>
      <c r="CQ67" s="114"/>
    </row>
    <row r="68" spans="12:99" ht="14.25" customHeight="1" x14ac:dyDescent="0.2">
      <c r="L68" s="107" t="s">
        <v>110</v>
      </c>
      <c r="M68" s="108"/>
      <c r="N68" s="108"/>
      <c r="O68" s="108"/>
      <c r="P68" s="108"/>
      <c r="Q68" s="109"/>
      <c r="R68" s="114">
        <f>158.58</f>
        <v>158.58000000000001</v>
      </c>
      <c r="S68" s="107" t="s">
        <v>110</v>
      </c>
      <c r="T68" s="108"/>
      <c r="U68" s="108"/>
      <c r="V68" s="108"/>
      <c r="W68" s="108"/>
      <c r="X68" s="109"/>
      <c r="Y68" s="114">
        <f>158.58</f>
        <v>158.58000000000001</v>
      </c>
      <c r="Z68" s="107" t="s">
        <v>110</v>
      </c>
      <c r="AA68" s="108"/>
      <c r="AB68" s="108"/>
      <c r="AC68" s="108"/>
      <c r="AD68" s="108"/>
      <c r="AE68" s="109"/>
      <c r="AF68" s="114"/>
      <c r="AG68" s="107" t="s">
        <v>110</v>
      </c>
      <c r="AH68" s="108"/>
      <c r="AI68" s="108"/>
      <c r="AJ68" s="108"/>
      <c r="AK68" s="108"/>
      <c r="AL68" s="109"/>
      <c r="AM68" s="114">
        <f>158.58</f>
        <v>158.58000000000001</v>
      </c>
      <c r="AN68" s="107"/>
      <c r="AO68" s="108"/>
      <c r="AP68" s="108"/>
      <c r="AQ68" s="108"/>
      <c r="AR68" s="108"/>
      <c r="AS68" s="109"/>
      <c r="AT68" s="114"/>
      <c r="AU68" s="107"/>
      <c r="AV68" s="108"/>
      <c r="AW68" s="108"/>
      <c r="AX68" s="108"/>
      <c r="AY68" s="108"/>
      <c r="AZ68" s="109"/>
      <c r="BA68" s="114"/>
      <c r="BB68" s="107"/>
      <c r="BC68" s="108"/>
      <c r="BD68" s="108"/>
      <c r="BE68" s="108"/>
      <c r="BF68" s="108"/>
      <c r="BG68" s="109"/>
      <c r="BH68" s="114"/>
      <c r="BI68" s="107"/>
      <c r="BJ68" s="108"/>
      <c r="BK68" s="108"/>
      <c r="BL68" s="108"/>
      <c r="BM68" s="108"/>
      <c r="BN68" s="109"/>
      <c r="BO68" s="114"/>
      <c r="BP68" s="107"/>
      <c r="BQ68" s="108"/>
      <c r="BR68" s="108"/>
      <c r="BS68" s="108"/>
      <c r="BT68" s="108"/>
      <c r="BU68" s="109"/>
      <c r="BV68" s="114"/>
      <c r="BW68" s="107"/>
      <c r="BX68" s="108"/>
      <c r="BY68" s="108"/>
      <c r="BZ68" s="108"/>
      <c r="CA68" s="108"/>
      <c r="CB68" s="109"/>
      <c r="CC68" s="114"/>
      <c r="CD68" s="107"/>
      <c r="CE68" s="108"/>
      <c r="CF68" s="108"/>
      <c r="CG68" s="108"/>
      <c r="CH68" s="108"/>
      <c r="CI68" s="109"/>
      <c r="CJ68" s="114"/>
      <c r="CK68" s="107"/>
      <c r="CL68" s="108"/>
      <c r="CM68" s="108"/>
      <c r="CN68" s="108"/>
      <c r="CO68" s="108"/>
      <c r="CP68" s="109"/>
      <c r="CQ68" s="114"/>
    </row>
    <row r="69" spans="12:99" ht="14.25" customHeight="1" x14ac:dyDescent="0.2">
      <c r="L69" s="107" t="s">
        <v>90</v>
      </c>
      <c r="M69" s="108"/>
      <c r="N69" s="108"/>
      <c r="O69" s="108"/>
      <c r="P69" s="108"/>
      <c r="Q69" s="109"/>
      <c r="R69" s="114">
        <f>1635+690</f>
        <v>2325</v>
      </c>
      <c r="S69" s="107" t="s">
        <v>90</v>
      </c>
      <c r="T69" s="108"/>
      <c r="U69" s="108"/>
      <c r="V69" s="108"/>
      <c r="W69" s="108"/>
      <c r="X69" s="109"/>
      <c r="Y69" s="114">
        <f>590</f>
        <v>590</v>
      </c>
      <c r="Z69" s="107" t="s">
        <v>90</v>
      </c>
      <c r="AA69" s="108"/>
      <c r="AB69" s="108"/>
      <c r="AC69" s="108"/>
      <c r="AD69" s="108"/>
      <c r="AE69" s="109"/>
      <c r="AF69" s="114">
        <f>76+1305+251</f>
        <v>1632</v>
      </c>
      <c r="AG69" s="107" t="s">
        <v>90</v>
      </c>
      <c r="AH69" s="108"/>
      <c r="AI69" s="108"/>
      <c r="AJ69" s="108"/>
      <c r="AK69" s="108"/>
      <c r="AL69" s="109"/>
      <c r="AM69" s="114">
        <f>91+1165+241+100</f>
        <v>1597</v>
      </c>
      <c r="AN69" s="107"/>
      <c r="AO69" s="108"/>
      <c r="AP69" s="108"/>
      <c r="AQ69" s="108"/>
      <c r="AR69" s="108"/>
      <c r="AS69" s="109"/>
      <c r="AT69" s="114"/>
      <c r="AU69" s="107"/>
      <c r="AV69" s="108"/>
      <c r="AW69" s="108"/>
      <c r="AX69" s="108"/>
      <c r="AY69" s="108"/>
      <c r="AZ69" s="109"/>
      <c r="BA69" s="114"/>
      <c r="BB69" s="107"/>
      <c r="BC69" s="108"/>
      <c r="BD69" s="108"/>
      <c r="BE69" s="108"/>
      <c r="BF69" s="108"/>
      <c r="BG69" s="109"/>
      <c r="BH69" s="114"/>
      <c r="BI69" s="107"/>
      <c r="BJ69" s="108"/>
      <c r="BK69" s="108"/>
      <c r="BL69" s="108"/>
      <c r="BM69" s="108"/>
      <c r="BN69" s="109"/>
      <c r="BO69" s="114"/>
      <c r="BP69" s="107"/>
      <c r="BQ69" s="108"/>
      <c r="BR69" s="108"/>
      <c r="BS69" s="108"/>
      <c r="BT69" s="108"/>
      <c r="BU69" s="109"/>
      <c r="BV69" s="114"/>
      <c r="BW69" s="107"/>
      <c r="BX69" s="108"/>
      <c r="BY69" s="108"/>
      <c r="BZ69" s="108"/>
      <c r="CA69" s="108"/>
      <c r="CB69" s="109"/>
      <c r="CC69" s="114"/>
      <c r="CD69" s="107"/>
      <c r="CE69" s="108"/>
      <c r="CF69" s="108"/>
      <c r="CG69" s="108"/>
      <c r="CH69" s="108"/>
      <c r="CI69" s="109"/>
      <c r="CJ69" s="114"/>
      <c r="CK69" s="107"/>
      <c r="CL69" s="108"/>
      <c r="CM69" s="108"/>
      <c r="CN69" s="108"/>
      <c r="CO69" s="108"/>
      <c r="CP69" s="109"/>
      <c r="CQ69" s="114"/>
    </row>
    <row r="70" spans="12:99" ht="14.25" customHeight="1" x14ac:dyDescent="0.2">
      <c r="L70" s="107" t="s">
        <v>111</v>
      </c>
      <c r="M70" s="108"/>
      <c r="N70" s="108"/>
      <c r="O70" s="108"/>
      <c r="P70" s="108"/>
      <c r="Q70" s="109"/>
      <c r="R70" s="114">
        <v>321.45</v>
      </c>
      <c r="S70" s="107" t="s">
        <v>111</v>
      </c>
      <c r="T70" s="108"/>
      <c r="U70" s="108"/>
      <c r="V70" s="108"/>
      <c r="W70" s="108"/>
      <c r="X70" s="109"/>
      <c r="Y70" s="114">
        <f>321.45+360.36+360.36</f>
        <v>1042.17</v>
      </c>
      <c r="Z70" s="107" t="s">
        <v>111</v>
      </c>
      <c r="AA70" s="108"/>
      <c r="AB70" s="108"/>
      <c r="AC70" s="108"/>
      <c r="AD70" s="108"/>
      <c r="AE70" s="109"/>
      <c r="AF70" s="114">
        <f>321.45+360.36</f>
        <v>681.81</v>
      </c>
      <c r="AG70" s="107" t="s">
        <v>111</v>
      </c>
      <c r="AH70" s="108"/>
      <c r="AI70" s="108"/>
      <c r="AJ70" s="108"/>
      <c r="AK70" s="108"/>
      <c r="AL70" s="109"/>
      <c r="AM70" s="114">
        <f>321.45+360.36</f>
        <v>681.81</v>
      </c>
      <c r="AN70" s="107"/>
      <c r="AO70" s="108"/>
      <c r="AP70" s="108"/>
      <c r="AQ70" s="108"/>
      <c r="AR70" s="108"/>
      <c r="AS70" s="109"/>
      <c r="AT70" s="114"/>
      <c r="AU70" s="107"/>
      <c r="AV70" s="108"/>
      <c r="AW70" s="108"/>
      <c r="AX70" s="108"/>
      <c r="AY70" s="108"/>
      <c r="AZ70" s="109"/>
      <c r="BA70" s="114"/>
      <c r="BB70" s="107"/>
      <c r="BC70" s="108"/>
      <c r="BD70" s="108"/>
      <c r="BE70" s="108"/>
      <c r="BF70" s="108"/>
      <c r="BG70" s="109"/>
      <c r="BH70" s="114"/>
      <c r="BI70" s="107"/>
      <c r="BJ70" s="108"/>
      <c r="BK70" s="108"/>
      <c r="BL70" s="108"/>
      <c r="BM70" s="108"/>
      <c r="BN70" s="109"/>
      <c r="BO70" s="114"/>
      <c r="BP70" s="107"/>
      <c r="BQ70" s="108"/>
      <c r="BR70" s="108"/>
      <c r="BS70" s="108"/>
      <c r="BT70" s="108"/>
      <c r="BU70" s="109"/>
      <c r="BV70" s="114"/>
      <c r="BW70" s="107"/>
      <c r="BX70" s="108"/>
      <c r="BY70" s="108"/>
      <c r="BZ70" s="108"/>
      <c r="CA70" s="108"/>
      <c r="CB70" s="109"/>
      <c r="CC70" s="114"/>
      <c r="CD70" s="107"/>
      <c r="CE70" s="108"/>
      <c r="CF70" s="108"/>
      <c r="CG70" s="108"/>
      <c r="CH70" s="108"/>
      <c r="CI70" s="109"/>
      <c r="CJ70" s="114"/>
      <c r="CK70" s="107"/>
      <c r="CL70" s="108"/>
      <c r="CM70" s="108"/>
      <c r="CN70" s="108"/>
      <c r="CO70" s="108"/>
      <c r="CP70" s="109"/>
      <c r="CQ70" s="114"/>
    </row>
    <row r="71" spans="12:99" ht="14.25" customHeight="1" x14ac:dyDescent="0.2">
      <c r="L71" s="107" t="s">
        <v>91</v>
      </c>
      <c r="M71" s="108"/>
      <c r="N71" s="108"/>
      <c r="O71" s="108"/>
      <c r="P71" s="108"/>
      <c r="Q71" s="109"/>
      <c r="R71" s="114">
        <f>1150</f>
        <v>1150</v>
      </c>
      <c r="S71" s="107" t="s">
        <v>112</v>
      </c>
      <c r="T71" s="108"/>
      <c r="U71" s="108"/>
      <c r="V71" s="108"/>
      <c r="W71" s="108"/>
      <c r="X71" s="109"/>
      <c r="Y71" s="114">
        <f>51.49</f>
        <v>51.49</v>
      </c>
      <c r="Z71" s="107" t="s">
        <v>112</v>
      </c>
      <c r="AA71" s="108"/>
      <c r="AB71" s="108"/>
      <c r="AC71" s="108"/>
      <c r="AD71" s="108"/>
      <c r="AE71" s="109"/>
      <c r="AF71" s="114"/>
      <c r="AG71" s="107" t="s">
        <v>112</v>
      </c>
      <c r="AH71" s="108"/>
      <c r="AI71" s="108"/>
      <c r="AJ71" s="108"/>
      <c r="AK71" s="108"/>
      <c r="AL71" s="109"/>
      <c r="AM71" s="114"/>
      <c r="AN71" s="107"/>
      <c r="AO71" s="108"/>
      <c r="AP71" s="108"/>
      <c r="AQ71" s="108"/>
      <c r="AR71" s="108"/>
      <c r="AS71" s="109"/>
      <c r="AT71" s="114"/>
      <c r="AU71" s="107"/>
      <c r="AV71" s="108"/>
      <c r="AW71" s="108"/>
      <c r="AX71" s="108"/>
      <c r="AY71" s="108"/>
      <c r="AZ71" s="109"/>
      <c r="BA71" s="114"/>
      <c r="BB71" s="107"/>
      <c r="BC71" s="108"/>
      <c r="BD71" s="108"/>
      <c r="BE71" s="108"/>
      <c r="BF71" s="108"/>
      <c r="BG71" s="109"/>
      <c r="BH71" s="114"/>
      <c r="BI71" s="107"/>
      <c r="BJ71" s="108"/>
      <c r="BK71" s="108"/>
      <c r="BL71" s="108"/>
      <c r="BM71" s="108"/>
      <c r="BN71" s="109"/>
      <c r="BO71" s="114"/>
      <c r="BP71" s="107"/>
      <c r="BQ71" s="108"/>
      <c r="BR71" s="108"/>
      <c r="BS71" s="108"/>
      <c r="BT71" s="108"/>
      <c r="BU71" s="109"/>
      <c r="BV71" s="114"/>
      <c r="BW71" s="107"/>
      <c r="BX71" s="108"/>
      <c r="BY71" s="108"/>
      <c r="BZ71" s="108"/>
      <c r="CA71" s="108"/>
      <c r="CB71" s="109"/>
      <c r="CC71" s="114"/>
      <c r="CD71" s="107"/>
      <c r="CE71" s="108"/>
      <c r="CF71" s="108"/>
      <c r="CG71" s="108"/>
      <c r="CH71" s="108"/>
      <c r="CI71" s="109"/>
      <c r="CJ71" s="114"/>
      <c r="CK71" s="107"/>
      <c r="CL71" s="108"/>
      <c r="CM71" s="108"/>
      <c r="CN71" s="108"/>
      <c r="CO71" s="108"/>
      <c r="CP71" s="109"/>
      <c r="CQ71" s="114"/>
    </row>
    <row r="72" spans="12:99" ht="14.25" customHeight="1" x14ac:dyDescent="0.2">
      <c r="L72" s="107" t="s">
        <v>113</v>
      </c>
      <c r="M72" s="108"/>
      <c r="N72" s="108"/>
      <c r="O72" s="108"/>
      <c r="P72" s="108"/>
      <c r="Q72" s="109"/>
      <c r="R72" s="114">
        <f>28.9</f>
        <v>28.9</v>
      </c>
      <c r="S72" s="107" t="s">
        <v>113</v>
      </c>
      <c r="T72" s="108"/>
      <c r="U72" s="108"/>
      <c r="V72" s="108"/>
      <c r="W72" s="108"/>
      <c r="X72" s="109"/>
      <c r="Y72" s="114">
        <f>880.12</f>
        <v>880.12</v>
      </c>
      <c r="Z72" s="107" t="s">
        <v>113</v>
      </c>
      <c r="AA72" s="108"/>
      <c r="AB72" s="108"/>
      <c r="AC72" s="108"/>
      <c r="AD72" s="108"/>
      <c r="AE72" s="109"/>
      <c r="AF72" s="114">
        <f>115.9+72.8</f>
        <v>188.7</v>
      </c>
      <c r="AG72" s="107" t="s">
        <v>113</v>
      </c>
      <c r="AH72" s="108"/>
      <c r="AI72" s="108"/>
      <c r="AJ72" s="108"/>
      <c r="AK72" s="108"/>
      <c r="AL72" s="109"/>
      <c r="AM72" s="114">
        <f>30.2</f>
        <v>30.2</v>
      </c>
      <c r="AN72" s="107"/>
      <c r="AO72" s="108"/>
      <c r="AP72" s="108"/>
      <c r="AQ72" s="108"/>
      <c r="AR72" s="108"/>
      <c r="AS72" s="109"/>
      <c r="AT72" s="114"/>
      <c r="AU72" s="107"/>
      <c r="AV72" s="108"/>
      <c r="AW72" s="108"/>
      <c r="AX72" s="108"/>
      <c r="AY72" s="108"/>
      <c r="AZ72" s="109"/>
      <c r="BA72" s="114"/>
      <c r="BB72" s="107"/>
      <c r="BC72" s="108"/>
      <c r="BD72" s="108"/>
      <c r="BE72" s="108"/>
      <c r="BF72" s="108"/>
      <c r="BG72" s="109"/>
      <c r="BH72" s="114"/>
      <c r="BI72" s="107"/>
      <c r="BJ72" s="108"/>
      <c r="BK72" s="108"/>
      <c r="BL72" s="108"/>
      <c r="BM72" s="108"/>
      <c r="BN72" s="109"/>
      <c r="BO72" s="114"/>
      <c r="BP72" s="107"/>
      <c r="BQ72" s="108"/>
      <c r="BR72" s="108"/>
      <c r="BS72" s="108"/>
      <c r="BT72" s="108"/>
      <c r="BU72" s="109"/>
      <c r="BV72" s="114"/>
      <c r="BW72" s="107"/>
      <c r="BX72" s="108"/>
      <c r="BY72" s="108"/>
      <c r="BZ72" s="108"/>
      <c r="CA72" s="108"/>
      <c r="CB72" s="109"/>
      <c r="CC72" s="114"/>
      <c r="CD72" s="107"/>
      <c r="CE72" s="108"/>
      <c r="CF72" s="108"/>
      <c r="CG72" s="108"/>
      <c r="CH72" s="108"/>
      <c r="CI72" s="109"/>
      <c r="CJ72" s="114"/>
      <c r="CK72" s="107"/>
      <c r="CL72" s="108"/>
      <c r="CM72" s="108"/>
      <c r="CN72" s="108"/>
      <c r="CO72" s="108"/>
      <c r="CP72" s="109"/>
      <c r="CQ72" s="114"/>
      <c r="CU72" s="154"/>
    </row>
    <row r="73" spans="12:99" ht="14.25" customHeight="1" x14ac:dyDescent="0.2">
      <c r="L73" s="107" t="s">
        <v>114</v>
      </c>
      <c r="M73" s="108"/>
      <c r="N73" s="108"/>
      <c r="O73" s="108"/>
      <c r="P73" s="108"/>
      <c r="Q73" s="109"/>
      <c r="R73" s="114">
        <f>108.5</f>
        <v>108.5</v>
      </c>
      <c r="S73" s="107" t="s">
        <v>114</v>
      </c>
      <c r="T73" s="108"/>
      <c r="U73" s="108"/>
      <c r="V73" s="108"/>
      <c r="W73" s="108"/>
      <c r="X73" s="109"/>
      <c r="Y73" s="114"/>
      <c r="Z73" s="107" t="s">
        <v>114</v>
      </c>
      <c r="AA73" s="108"/>
      <c r="AB73" s="108"/>
      <c r="AC73" s="108"/>
      <c r="AD73" s="108"/>
      <c r="AE73" s="109"/>
      <c r="AF73" s="114"/>
      <c r="AG73" s="107" t="s">
        <v>114</v>
      </c>
      <c r="AH73" s="108"/>
      <c r="AI73" s="108"/>
      <c r="AJ73" s="108"/>
      <c r="AK73" s="108"/>
      <c r="AL73" s="109"/>
      <c r="AM73" s="114">
        <f>112.5</f>
        <v>112.5</v>
      </c>
      <c r="AN73" s="107"/>
      <c r="AO73" s="108"/>
      <c r="AP73" s="108"/>
      <c r="AQ73" s="108"/>
      <c r="AR73" s="108"/>
      <c r="AS73" s="109"/>
      <c r="AT73" s="114"/>
      <c r="AU73" s="107"/>
      <c r="AV73" s="108"/>
      <c r="AW73" s="108"/>
      <c r="AX73" s="108"/>
      <c r="AY73" s="108"/>
      <c r="AZ73" s="109"/>
      <c r="BA73" s="114"/>
      <c r="BB73" s="107"/>
      <c r="BC73" s="108"/>
      <c r="BD73" s="108"/>
      <c r="BE73" s="108"/>
      <c r="BF73" s="108"/>
      <c r="BG73" s="109"/>
      <c r="BH73" s="114"/>
      <c r="BI73" s="107"/>
      <c r="BJ73" s="108"/>
      <c r="BK73" s="108"/>
      <c r="BL73" s="108"/>
      <c r="BM73" s="108"/>
      <c r="BN73" s="109"/>
      <c r="BO73" s="114"/>
      <c r="BP73" s="107"/>
      <c r="BQ73" s="108"/>
      <c r="BR73" s="108"/>
      <c r="BS73" s="108"/>
      <c r="BT73" s="108"/>
      <c r="BU73" s="109"/>
      <c r="BV73" s="114"/>
      <c r="BW73" s="107"/>
      <c r="BX73" s="108"/>
      <c r="BY73" s="108"/>
      <c r="BZ73" s="108"/>
      <c r="CA73" s="108"/>
      <c r="CB73" s="109"/>
      <c r="CC73" s="114"/>
      <c r="CD73" s="107"/>
      <c r="CE73" s="108"/>
      <c r="CF73" s="108"/>
      <c r="CG73" s="108"/>
      <c r="CH73" s="108"/>
      <c r="CI73" s="109"/>
      <c r="CJ73" s="114"/>
      <c r="CK73" s="107"/>
      <c r="CL73" s="108"/>
      <c r="CM73" s="108"/>
      <c r="CN73" s="108"/>
      <c r="CO73" s="108"/>
      <c r="CP73" s="109"/>
      <c r="CQ73" s="114"/>
      <c r="CU73" s="154"/>
    </row>
    <row r="74" spans="12:99" ht="14.25" customHeight="1" x14ac:dyDescent="0.2">
      <c r="L74" s="107" t="s">
        <v>115</v>
      </c>
      <c r="M74" s="108"/>
      <c r="N74" s="108"/>
      <c r="O74" s="108"/>
      <c r="P74" s="108"/>
      <c r="Q74" s="109"/>
      <c r="R74" s="114">
        <f>262</f>
        <v>262</v>
      </c>
      <c r="S74" s="107" t="s">
        <v>115</v>
      </c>
      <c r="T74" s="108"/>
      <c r="U74" s="108"/>
      <c r="V74" s="108"/>
      <c r="W74" s="108"/>
      <c r="X74" s="109"/>
      <c r="Y74" s="114">
        <f>140</f>
        <v>140</v>
      </c>
      <c r="Z74" s="107" t="s">
        <v>115</v>
      </c>
      <c r="AA74" s="108"/>
      <c r="AB74" s="108"/>
      <c r="AC74" s="108"/>
      <c r="AD74" s="108"/>
      <c r="AE74" s="109"/>
      <c r="AF74" s="114"/>
      <c r="AG74" s="107" t="s">
        <v>115</v>
      </c>
      <c r="AH74" s="108"/>
      <c r="AI74" s="108"/>
      <c r="AJ74" s="108"/>
      <c r="AK74" s="108"/>
      <c r="AL74" s="109"/>
      <c r="AM74" s="114"/>
      <c r="AN74" s="107"/>
      <c r="AO74" s="108"/>
      <c r="AP74" s="108"/>
      <c r="AQ74" s="108"/>
      <c r="AR74" s="108"/>
      <c r="AS74" s="109"/>
      <c r="AT74" s="114"/>
      <c r="AU74" s="107"/>
      <c r="AV74" s="108"/>
      <c r="AW74" s="108"/>
      <c r="AX74" s="108"/>
      <c r="AY74" s="108"/>
      <c r="AZ74" s="109"/>
      <c r="BA74" s="114"/>
      <c r="BB74" s="107"/>
      <c r="BC74" s="108"/>
      <c r="BD74" s="108"/>
      <c r="BE74" s="108"/>
      <c r="BF74" s="108"/>
      <c r="BG74" s="109"/>
      <c r="BH74" s="114"/>
      <c r="BI74" s="107"/>
      <c r="BJ74" s="108"/>
      <c r="BK74" s="108"/>
      <c r="BL74" s="108"/>
      <c r="BM74" s="108"/>
      <c r="BN74" s="109"/>
      <c r="BO74" s="114"/>
      <c r="BP74" s="107"/>
      <c r="BQ74" s="108"/>
      <c r="BR74" s="108"/>
      <c r="BS74" s="108"/>
      <c r="BT74" s="108"/>
      <c r="BU74" s="109"/>
      <c r="BV74" s="114"/>
      <c r="BW74" s="107"/>
      <c r="BX74" s="108"/>
      <c r="BY74" s="108"/>
      <c r="BZ74" s="108"/>
      <c r="CA74" s="108"/>
      <c r="CB74" s="109"/>
      <c r="CC74" s="114"/>
      <c r="CD74" s="107"/>
      <c r="CE74" s="108"/>
      <c r="CF74" s="108"/>
      <c r="CG74" s="108"/>
      <c r="CH74" s="108"/>
      <c r="CI74" s="109"/>
      <c r="CJ74" s="114"/>
      <c r="CK74" s="107"/>
      <c r="CL74" s="108"/>
      <c r="CM74" s="108"/>
      <c r="CN74" s="108"/>
      <c r="CO74" s="108"/>
      <c r="CP74" s="109"/>
      <c r="CQ74" s="114"/>
      <c r="CU74" s="154"/>
    </row>
    <row r="75" spans="12:99" ht="14.25" customHeight="1" x14ac:dyDescent="0.2">
      <c r="L75" s="107" t="s">
        <v>94</v>
      </c>
      <c r="M75" s="108"/>
      <c r="N75" s="108"/>
      <c r="O75" s="108"/>
      <c r="P75" s="108"/>
      <c r="Q75" s="109"/>
      <c r="R75" s="114">
        <f>246.54</f>
        <v>246.54</v>
      </c>
      <c r="S75" s="107" t="s">
        <v>94</v>
      </c>
      <c r="T75" s="108"/>
      <c r="U75" s="108"/>
      <c r="V75" s="108"/>
      <c r="W75" s="108"/>
      <c r="X75" s="109"/>
      <c r="Y75" s="114"/>
      <c r="Z75" s="107" t="s">
        <v>94</v>
      </c>
      <c r="AA75" s="108"/>
      <c r="AB75" s="108"/>
      <c r="AC75" s="108"/>
      <c r="AD75" s="108"/>
      <c r="AE75" s="109"/>
      <c r="AF75" s="114"/>
      <c r="AG75" s="107" t="s">
        <v>94</v>
      </c>
      <c r="AH75" s="108"/>
      <c r="AI75" s="108"/>
      <c r="AJ75" s="108"/>
      <c r="AK75" s="108"/>
      <c r="AL75" s="109"/>
      <c r="AM75" s="114"/>
      <c r="AN75" s="107"/>
      <c r="AO75" s="108"/>
      <c r="AP75" s="108"/>
      <c r="AQ75" s="108"/>
      <c r="AR75" s="108"/>
      <c r="AS75" s="109"/>
      <c r="AT75" s="114"/>
      <c r="AU75" s="107"/>
      <c r="AV75" s="108"/>
      <c r="AW75" s="108"/>
      <c r="AX75" s="108"/>
      <c r="AY75" s="108"/>
      <c r="AZ75" s="109"/>
      <c r="BA75" s="114"/>
      <c r="BB75" s="107"/>
      <c r="BC75" s="108"/>
      <c r="BD75" s="108"/>
      <c r="BE75" s="108"/>
      <c r="BF75" s="108"/>
      <c r="BG75" s="109"/>
      <c r="BH75" s="114"/>
      <c r="BI75" s="107"/>
      <c r="BJ75" s="108"/>
      <c r="BK75" s="108"/>
      <c r="BL75" s="108"/>
      <c r="BM75" s="108"/>
      <c r="BN75" s="109"/>
      <c r="BO75" s="114"/>
      <c r="BP75" s="107"/>
      <c r="BQ75" s="108"/>
      <c r="BR75" s="108"/>
      <c r="BS75" s="108"/>
      <c r="BT75" s="108"/>
      <c r="BU75" s="109"/>
      <c r="BV75" s="114"/>
      <c r="BW75" s="107"/>
      <c r="BX75" s="108"/>
      <c r="BY75" s="108"/>
      <c r="BZ75" s="108"/>
      <c r="CA75" s="108"/>
      <c r="CB75" s="109"/>
      <c r="CC75" s="114"/>
      <c r="CD75" s="107"/>
      <c r="CE75" s="108"/>
      <c r="CF75" s="108"/>
      <c r="CG75" s="108"/>
      <c r="CH75" s="108"/>
      <c r="CI75" s="109"/>
      <c r="CJ75" s="114"/>
      <c r="CK75" s="107"/>
      <c r="CL75" s="108"/>
      <c r="CM75" s="108"/>
      <c r="CN75" s="108"/>
      <c r="CO75" s="108"/>
      <c r="CP75" s="109"/>
      <c r="CQ75" s="114"/>
      <c r="CU75" s="154"/>
    </row>
    <row r="76" spans="12:99" ht="14.25" customHeight="1" x14ac:dyDescent="0.2">
      <c r="L76" s="107" t="s">
        <v>95</v>
      </c>
      <c r="M76" s="108"/>
      <c r="N76" s="108"/>
      <c r="O76" s="108"/>
      <c r="P76" s="108"/>
      <c r="Q76" s="109"/>
      <c r="R76" s="114">
        <f>652.5</f>
        <v>652.5</v>
      </c>
      <c r="S76" s="107" t="s">
        <v>95</v>
      </c>
      <c r="T76" s="108"/>
      <c r="U76" s="108"/>
      <c r="V76" s="108"/>
      <c r="W76" s="108"/>
      <c r="X76" s="109"/>
      <c r="Y76" s="114"/>
      <c r="Z76" s="107" t="s">
        <v>95</v>
      </c>
      <c r="AA76" s="108"/>
      <c r="AB76" s="108"/>
      <c r="AC76" s="108"/>
      <c r="AD76" s="108"/>
      <c r="AE76" s="109"/>
      <c r="AF76" s="114">
        <f>540</f>
        <v>540</v>
      </c>
      <c r="AG76" s="107" t="s">
        <v>95</v>
      </c>
      <c r="AH76" s="108"/>
      <c r="AI76" s="108"/>
      <c r="AJ76" s="108"/>
      <c r="AK76" s="108"/>
      <c r="AL76" s="109"/>
      <c r="AM76" s="114">
        <f>697.5</f>
        <v>697.5</v>
      </c>
      <c r="AN76" s="107"/>
      <c r="AO76" s="108"/>
      <c r="AP76" s="108"/>
      <c r="AQ76" s="108"/>
      <c r="AR76" s="108"/>
      <c r="AS76" s="109"/>
      <c r="AT76" s="114"/>
      <c r="AU76" s="107"/>
      <c r="AV76" s="108"/>
      <c r="AW76" s="108"/>
      <c r="AX76" s="108"/>
      <c r="AY76" s="108"/>
      <c r="AZ76" s="109"/>
      <c r="BA76" s="114"/>
      <c r="BB76" s="107"/>
      <c r="BC76" s="108"/>
      <c r="BD76" s="108"/>
      <c r="BE76" s="108"/>
      <c r="BF76" s="108"/>
      <c r="BG76" s="109"/>
      <c r="BH76" s="114"/>
      <c r="BI76" s="107"/>
      <c r="BJ76" s="108"/>
      <c r="BK76" s="108"/>
      <c r="BL76" s="108"/>
      <c r="BM76" s="108"/>
      <c r="BN76" s="109"/>
      <c r="BO76" s="114"/>
      <c r="BP76" s="107"/>
      <c r="BQ76" s="108"/>
      <c r="BR76" s="108"/>
      <c r="BS76" s="108"/>
      <c r="BT76" s="108"/>
      <c r="BU76" s="109"/>
      <c r="BV76" s="114"/>
      <c r="BW76" s="107"/>
      <c r="BX76" s="108"/>
      <c r="BY76" s="108"/>
      <c r="BZ76" s="108"/>
      <c r="CA76" s="108"/>
      <c r="CB76" s="109"/>
      <c r="CC76" s="114"/>
      <c r="CD76" s="107"/>
      <c r="CE76" s="108"/>
      <c r="CF76" s="108"/>
      <c r="CG76" s="108"/>
      <c r="CH76" s="108"/>
      <c r="CI76" s="109"/>
      <c r="CJ76" s="114"/>
      <c r="CK76" s="107"/>
      <c r="CL76" s="108"/>
      <c r="CM76" s="108"/>
      <c r="CN76" s="108"/>
      <c r="CO76" s="108"/>
      <c r="CP76" s="109"/>
      <c r="CQ76" s="114"/>
      <c r="CU76" s="154"/>
    </row>
    <row r="77" spans="12:99" ht="14.25" customHeight="1" x14ac:dyDescent="0.2">
      <c r="L77" s="107" t="s">
        <v>116</v>
      </c>
      <c r="M77" s="108"/>
      <c r="N77" s="108"/>
      <c r="O77" s="108"/>
      <c r="P77" s="108"/>
      <c r="Q77" s="109"/>
      <c r="R77" s="114">
        <f>307.1</f>
        <v>307.10000000000002</v>
      </c>
      <c r="S77" s="107" t="s">
        <v>116</v>
      </c>
      <c r="T77" s="108"/>
      <c r="U77" s="108"/>
      <c r="V77" s="108"/>
      <c r="W77" s="108"/>
      <c r="X77" s="109"/>
      <c r="Y77" s="114"/>
      <c r="Z77" s="107" t="s">
        <v>116</v>
      </c>
      <c r="AA77" s="108"/>
      <c r="AB77" s="108"/>
      <c r="AC77" s="108"/>
      <c r="AD77" s="108"/>
      <c r="AE77" s="109"/>
      <c r="AF77" s="114"/>
      <c r="AG77" s="107" t="s">
        <v>116</v>
      </c>
      <c r="AH77" s="108"/>
      <c r="AI77" s="108"/>
      <c r="AJ77" s="108"/>
      <c r="AK77" s="108"/>
      <c r="AL77" s="109"/>
      <c r="AM77" s="114"/>
      <c r="AN77" s="107"/>
      <c r="AO77" s="108"/>
      <c r="AP77" s="108"/>
      <c r="AQ77" s="108"/>
      <c r="AR77" s="108"/>
      <c r="AS77" s="109"/>
      <c r="AT77" s="114"/>
      <c r="AU77" s="107"/>
      <c r="AV77" s="108"/>
      <c r="AW77" s="108"/>
      <c r="AX77" s="108"/>
      <c r="AY77" s="108"/>
      <c r="AZ77" s="109"/>
      <c r="BA77" s="114"/>
      <c r="BB77" s="107"/>
      <c r="BC77" s="108"/>
      <c r="BD77" s="108"/>
      <c r="BE77" s="108"/>
      <c r="BF77" s="108"/>
      <c r="BG77" s="109"/>
      <c r="BH77" s="114"/>
      <c r="BI77" s="107"/>
      <c r="BJ77" s="108"/>
      <c r="BK77" s="108"/>
      <c r="BL77" s="108"/>
      <c r="BM77" s="108"/>
      <c r="BN77" s="109"/>
      <c r="BO77" s="114"/>
      <c r="BP77" s="107"/>
      <c r="BQ77" s="108"/>
      <c r="BR77" s="108"/>
      <c r="BS77" s="108"/>
      <c r="BT77" s="108"/>
      <c r="BU77" s="109"/>
      <c r="BV77" s="114"/>
      <c r="BW77" s="107"/>
      <c r="BX77" s="108"/>
      <c r="BY77" s="108"/>
      <c r="BZ77" s="108"/>
      <c r="CA77" s="108"/>
      <c r="CB77" s="109"/>
      <c r="CC77" s="114"/>
      <c r="CD77" s="107"/>
      <c r="CE77" s="108"/>
      <c r="CF77" s="108"/>
      <c r="CG77" s="108"/>
      <c r="CH77" s="108"/>
      <c r="CI77" s="109"/>
      <c r="CJ77" s="114"/>
      <c r="CK77" s="107"/>
      <c r="CL77" s="108"/>
      <c r="CM77" s="108"/>
      <c r="CN77" s="108"/>
      <c r="CO77" s="108"/>
      <c r="CP77" s="109"/>
      <c r="CQ77" s="114"/>
      <c r="CU77" s="154"/>
    </row>
    <row r="78" spans="12:99" ht="14.25" customHeight="1" x14ac:dyDescent="0.2">
      <c r="L78" s="107" t="s">
        <v>117</v>
      </c>
      <c r="M78" s="108"/>
      <c r="N78" s="108"/>
      <c r="O78" s="108"/>
      <c r="P78" s="108"/>
      <c r="Q78" s="109"/>
      <c r="R78" s="114">
        <f>146</f>
        <v>146</v>
      </c>
      <c r="S78" s="107" t="s">
        <v>99</v>
      </c>
      <c r="T78" s="108"/>
      <c r="U78" s="108"/>
      <c r="V78" s="108"/>
      <c r="W78" s="108"/>
      <c r="X78" s="109"/>
      <c r="Y78" s="114">
        <f>720+62.5</f>
        <v>782.5</v>
      </c>
      <c r="Z78" s="107" t="s">
        <v>99</v>
      </c>
      <c r="AA78" s="108"/>
      <c r="AB78" s="108"/>
      <c r="AC78" s="108"/>
      <c r="AD78" s="108"/>
      <c r="AE78" s="109"/>
      <c r="AF78" s="114">
        <f>788.88</f>
        <v>788.88</v>
      </c>
      <c r="AG78" s="107" t="s">
        <v>99</v>
      </c>
      <c r="AH78" s="108"/>
      <c r="AI78" s="108"/>
      <c r="AJ78" s="108"/>
      <c r="AK78" s="108"/>
      <c r="AL78" s="109"/>
      <c r="AM78" s="114"/>
      <c r="AN78" s="107"/>
      <c r="AO78" s="108"/>
      <c r="AP78" s="108"/>
      <c r="AQ78" s="108"/>
      <c r="AR78" s="108"/>
      <c r="AS78" s="109"/>
      <c r="AT78" s="114"/>
      <c r="AU78" s="107"/>
      <c r="AV78" s="108"/>
      <c r="AW78" s="108"/>
      <c r="AX78" s="108"/>
      <c r="AY78" s="108"/>
      <c r="AZ78" s="109"/>
      <c r="BA78" s="114"/>
      <c r="BB78" s="107"/>
      <c r="BC78" s="108"/>
      <c r="BD78" s="108"/>
      <c r="BE78" s="108"/>
      <c r="BF78" s="108"/>
      <c r="BG78" s="109"/>
      <c r="BH78" s="114"/>
      <c r="BI78" s="107"/>
      <c r="BJ78" s="108"/>
      <c r="BK78" s="108"/>
      <c r="BL78" s="108"/>
      <c r="BM78" s="108"/>
      <c r="BN78" s="109"/>
      <c r="BO78" s="114"/>
      <c r="BP78" s="107"/>
      <c r="BQ78" s="108"/>
      <c r="BR78" s="108"/>
      <c r="BS78" s="108"/>
      <c r="BT78" s="108"/>
      <c r="BU78" s="109"/>
      <c r="BV78" s="114"/>
      <c r="BW78" s="107"/>
      <c r="BX78" s="108"/>
      <c r="BY78" s="108"/>
      <c r="BZ78" s="108"/>
      <c r="CA78" s="108"/>
      <c r="CB78" s="109"/>
      <c r="CC78" s="114"/>
      <c r="CD78" s="107"/>
      <c r="CE78" s="108"/>
      <c r="CF78" s="108"/>
      <c r="CG78" s="108"/>
      <c r="CH78" s="108"/>
      <c r="CI78" s="109"/>
      <c r="CJ78" s="114"/>
      <c r="CK78" s="107"/>
      <c r="CL78" s="108"/>
      <c r="CM78" s="108"/>
      <c r="CN78" s="108"/>
      <c r="CO78" s="108"/>
      <c r="CP78" s="109"/>
      <c r="CQ78" s="114"/>
      <c r="CU78" s="154"/>
    </row>
    <row r="79" spans="12:99" ht="14.25" customHeight="1" x14ac:dyDescent="0.2">
      <c r="L79" s="107" t="s">
        <v>97</v>
      </c>
      <c r="M79" s="108"/>
      <c r="N79" s="108"/>
      <c r="O79" s="108"/>
      <c r="P79" s="108"/>
      <c r="Q79" s="109"/>
      <c r="R79" s="114">
        <v>1008</v>
      </c>
      <c r="S79" s="107" t="s">
        <v>97</v>
      </c>
      <c r="T79" s="108"/>
      <c r="U79" s="108"/>
      <c r="V79" s="108"/>
      <c r="W79" s="108"/>
      <c r="X79" s="109"/>
      <c r="Y79" s="114">
        <f>960</f>
        <v>960</v>
      </c>
      <c r="Z79" s="107" t="s">
        <v>97</v>
      </c>
      <c r="AA79" s="108"/>
      <c r="AB79" s="108"/>
      <c r="AC79" s="108"/>
      <c r="AD79" s="108"/>
      <c r="AE79" s="109"/>
      <c r="AF79" s="114">
        <f>1056</f>
        <v>1056</v>
      </c>
      <c r="AG79" s="107" t="s">
        <v>97</v>
      </c>
      <c r="AH79" s="108"/>
      <c r="AI79" s="108"/>
      <c r="AJ79" s="108"/>
      <c r="AK79" s="108"/>
      <c r="AL79" s="109"/>
      <c r="AM79" s="114">
        <f>1056</f>
        <v>1056</v>
      </c>
      <c r="AN79" s="107"/>
      <c r="AO79" s="108"/>
      <c r="AP79" s="108"/>
      <c r="AQ79" s="108"/>
      <c r="AR79" s="108"/>
      <c r="AS79" s="109"/>
      <c r="AT79" s="114"/>
      <c r="AU79" s="107"/>
      <c r="AV79" s="108"/>
      <c r="AW79" s="108"/>
      <c r="AX79" s="108"/>
      <c r="AY79" s="108"/>
      <c r="AZ79" s="109"/>
      <c r="BA79" s="114"/>
      <c r="BB79" s="107"/>
      <c r="BC79" s="108"/>
      <c r="BD79" s="108"/>
      <c r="BE79" s="108"/>
      <c r="BF79" s="108"/>
      <c r="BG79" s="109"/>
      <c r="BH79" s="114"/>
      <c r="BI79" s="107"/>
      <c r="BJ79" s="108"/>
      <c r="BK79" s="108"/>
      <c r="BL79" s="108"/>
      <c r="BM79" s="108"/>
      <c r="BN79" s="109"/>
      <c r="BO79" s="114"/>
      <c r="BP79" s="107"/>
      <c r="BQ79" s="108"/>
      <c r="BR79" s="108"/>
      <c r="BS79" s="108"/>
      <c r="BT79" s="108"/>
      <c r="BU79" s="109"/>
      <c r="BV79" s="114"/>
      <c r="BW79" s="107"/>
      <c r="BX79" s="108"/>
      <c r="BY79" s="108"/>
      <c r="BZ79" s="108"/>
      <c r="CA79" s="108"/>
      <c r="CB79" s="109"/>
      <c r="CC79" s="114"/>
      <c r="CD79" s="107"/>
      <c r="CE79" s="108"/>
      <c r="CF79" s="108"/>
      <c r="CG79" s="108"/>
      <c r="CH79" s="108"/>
      <c r="CI79" s="109"/>
      <c r="CJ79" s="114"/>
      <c r="CK79" s="107"/>
      <c r="CL79" s="108"/>
      <c r="CM79" s="108"/>
      <c r="CN79" s="108"/>
      <c r="CO79" s="108"/>
      <c r="CP79" s="109"/>
      <c r="CQ79" s="114"/>
      <c r="CU79" s="154"/>
    </row>
    <row r="80" spans="12:99" ht="14.25" customHeight="1" x14ac:dyDescent="0.2">
      <c r="L80" s="108" t="s">
        <v>98</v>
      </c>
      <c r="M80" s="108"/>
      <c r="N80" s="108"/>
      <c r="O80" s="108"/>
      <c r="P80" s="108"/>
      <c r="Q80" s="109"/>
      <c r="R80" s="114">
        <f>141.46</f>
        <v>141.46</v>
      </c>
      <c r="S80" s="108" t="s">
        <v>98</v>
      </c>
      <c r="T80" s="108"/>
      <c r="U80" s="108"/>
      <c r="V80" s="108"/>
      <c r="W80" s="108"/>
      <c r="X80" s="109"/>
      <c r="Y80" s="114">
        <f>140.41</f>
        <v>140.41</v>
      </c>
      <c r="Z80" s="108" t="s">
        <v>98</v>
      </c>
      <c r="AA80" s="108"/>
      <c r="AB80" s="108"/>
      <c r="AC80" s="108"/>
      <c r="AD80" s="108"/>
      <c r="AE80" s="109"/>
      <c r="AF80" s="114">
        <f>279.82</f>
        <v>279.82</v>
      </c>
      <c r="AG80" s="108" t="s">
        <v>98</v>
      </c>
      <c r="AH80" s="108"/>
      <c r="AI80" s="108"/>
      <c r="AJ80" s="108"/>
      <c r="AK80" s="108"/>
      <c r="AL80" s="109"/>
      <c r="AM80" s="114">
        <f>138.32</f>
        <v>138.32</v>
      </c>
      <c r="AN80" s="108"/>
      <c r="AO80" s="108"/>
      <c r="AP80" s="108"/>
      <c r="AQ80" s="108"/>
      <c r="AR80" s="108"/>
      <c r="AS80" s="109"/>
      <c r="AT80" s="114"/>
      <c r="AU80" s="108"/>
      <c r="AV80" s="108"/>
      <c r="AW80" s="108"/>
      <c r="AX80" s="108"/>
      <c r="AY80" s="108"/>
      <c r="AZ80" s="109"/>
      <c r="BA80" s="114"/>
      <c r="BB80" s="108"/>
      <c r="BC80" s="108"/>
      <c r="BD80" s="108"/>
      <c r="BE80" s="108"/>
      <c r="BF80" s="108"/>
      <c r="BG80" s="109"/>
      <c r="BH80" s="114"/>
      <c r="BI80" s="108"/>
      <c r="BJ80" s="108"/>
      <c r="BK80" s="108"/>
      <c r="BL80" s="108"/>
      <c r="BM80" s="108"/>
      <c r="BN80" s="109"/>
      <c r="BO80" s="114"/>
      <c r="BP80" s="108"/>
      <c r="BQ80" s="108"/>
      <c r="BR80" s="108"/>
      <c r="BS80" s="108"/>
      <c r="BT80" s="108"/>
      <c r="BU80" s="109"/>
      <c r="BV80" s="114"/>
      <c r="BW80" s="108"/>
      <c r="BX80" s="108"/>
      <c r="BY80" s="108"/>
      <c r="BZ80" s="108"/>
      <c r="CA80" s="108"/>
      <c r="CB80" s="109"/>
      <c r="CC80" s="114"/>
      <c r="CD80" s="108"/>
      <c r="CE80" s="108"/>
      <c r="CF80" s="108"/>
      <c r="CG80" s="108"/>
      <c r="CH80" s="108"/>
      <c r="CI80" s="109"/>
      <c r="CJ80" s="114"/>
      <c r="CK80" s="108"/>
      <c r="CL80" s="108"/>
      <c r="CM80" s="108"/>
      <c r="CN80" s="108"/>
      <c r="CO80" s="108"/>
      <c r="CP80" s="109"/>
      <c r="CQ80" s="114"/>
    </row>
    <row r="81" spans="12:99" ht="14.25" customHeight="1" x14ac:dyDescent="0.2">
      <c r="L81" s="108" t="s">
        <v>118</v>
      </c>
      <c r="M81" s="108"/>
      <c r="N81" s="108"/>
      <c r="O81" s="108"/>
      <c r="P81" s="108"/>
      <c r="Q81" s="108"/>
      <c r="R81" s="114">
        <f>212.71</f>
        <v>212.71</v>
      </c>
      <c r="S81" s="108" t="s">
        <v>118</v>
      </c>
      <c r="T81" s="108"/>
      <c r="U81" s="108"/>
      <c r="V81" s="108"/>
      <c r="W81" s="108"/>
      <c r="X81" s="108"/>
      <c r="Y81" s="114"/>
      <c r="Z81" s="108" t="s">
        <v>118</v>
      </c>
      <c r="AA81" s="108"/>
      <c r="AB81" s="108"/>
      <c r="AC81" s="108"/>
      <c r="AD81" s="108"/>
      <c r="AE81" s="108"/>
      <c r="AF81" s="114"/>
      <c r="AG81" s="108" t="s">
        <v>118</v>
      </c>
      <c r="AH81" s="108"/>
      <c r="AI81" s="108"/>
      <c r="AJ81" s="108"/>
      <c r="AK81" s="108"/>
      <c r="AL81" s="108"/>
      <c r="AM81" s="114"/>
      <c r="AN81" s="108"/>
      <c r="AO81" s="108"/>
      <c r="AP81" s="108"/>
      <c r="AQ81" s="108"/>
      <c r="AR81" s="108"/>
      <c r="AS81" s="108"/>
      <c r="AT81" s="114"/>
      <c r="AU81" s="108"/>
      <c r="AV81" s="108"/>
      <c r="AW81" s="108"/>
      <c r="AX81" s="108"/>
      <c r="AY81" s="108"/>
      <c r="AZ81" s="108"/>
      <c r="BA81" s="114"/>
      <c r="BB81" s="108"/>
      <c r="BC81" s="108"/>
      <c r="BD81" s="108"/>
      <c r="BE81" s="108"/>
      <c r="BF81" s="108"/>
      <c r="BG81" s="108"/>
      <c r="BH81" s="114"/>
      <c r="BI81" s="108"/>
      <c r="BJ81" s="108"/>
      <c r="BK81" s="108"/>
      <c r="BL81" s="108"/>
      <c r="BM81" s="108"/>
      <c r="BN81" s="108"/>
      <c r="BO81" s="114"/>
      <c r="BP81" s="108"/>
      <c r="BQ81" s="108"/>
      <c r="BR81" s="108"/>
      <c r="BS81" s="108"/>
      <c r="BT81" s="108"/>
      <c r="BU81" s="108"/>
      <c r="BV81" s="114"/>
      <c r="BW81" s="108"/>
      <c r="BX81" s="108"/>
      <c r="BY81" s="108"/>
      <c r="BZ81" s="108"/>
      <c r="CA81" s="108"/>
      <c r="CB81" s="108"/>
      <c r="CC81" s="114"/>
      <c r="CD81" s="108"/>
      <c r="CE81" s="108"/>
      <c r="CF81" s="108"/>
      <c r="CG81" s="108"/>
      <c r="CH81" s="108"/>
      <c r="CI81" s="108"/>
      <c r="CJ81" s="114"/>
      <c r="CK81" s="108"/>
      <c r="CL81" s="108"/>
      <c r="CM81" s="108"/>
      <c r="CN81" s="108"/>
      <c r="CO81" s="108"/>
      <c r="CP81" s="108"/>
      <c r="CQ81" s="114"/>
    </row>
    <row r="82" spans="12:99" ht="14.25" customHeight="1" x14ac:dyDescent="0.2">
      <c r="L82" s="107"/>
      <c r="M82" s="108"/>
      <c r="N82" s="108"/>
      <c r="O82" s="108"/>
      <c r="P82" s="108"/>
      <c r="Q82" s="109"/>
      <c r="R82" s="114"/>
      <c r="S82" s="107" t="s">
        <v>119</v>
      </c>
      <c r="T82" s="108"/>
      <c r="U82" s="108"/>
      <c r="V82" s="108"/>
      <c r="W82" s="108"/>
      <c r="X82" s="109"/>
      <c r="Y82" s="114">
        <f>1029.2</f>
        <v>1029.2</v>
      </c>
      <c r="Z82" s="107" t="s">
        <v>119</v>
      </c>
      <c r="AA82" s="108"/>
      <c r="AB82" s="108"/>
      <c r="AC82" s="108"/>
      <c r="AD82" s="108"/>
      <c r="AE82" s="109"/>
      <c r="AF82" s="114"/>
      <c r="AG82" s="107" t="s">
        <v>119</v>
      </c>
      <c r="AH82" s="108"/>
      <c r="AI82" s="108"/>
      <c r="AJ82" s="108"/>
      <c r="AK82" s="108"/>
      <c r="AL82" s="109"/>
      <c r="AM82" s="114"/>
      <c r="AN82" s="107"/>
      <c r="AO82" s="108"/>
      <c r="AP82" s="108"/>
      <c r="AQ82" s="108"/>
      <c r="AR82" s="108"/>
      <c r="AS82" s="109"/>
      <c r="AT82" s="114"/>
      <c r="AU82" s="107"/>
      <c r="AV82" s="108"/>
      <c r="AW82" s="108"/>
      <c r="AX82" s="108"/>
      <c r="AY82" s="108"/>
      <c r="AZ82" s="109"/>
      <c r="BA82" s="114"/>
      <c r="BB82" s="107"/>
      <c r="BC82" s="108"/>
      <c r="BD82" s="108"/>
      <c r="BE82" s="108"/>
      <c r="BF82" s="108"/>
      <c r="BG82" s="109"/>
      <c r="BH82" s="114"/>
      <c r="BI82" s="107"/>
      <c r="BJ82" s="108"/>
      <c r="BK82" s="108"/>
      <c r="BL82" s="108"/>
      <c r="BM82" s="108"/>
      <c r="BN82" s="109"/>
      <c r="BO82" s="114"/>
      <c r="BP82" s="107"/>
      <c r="BQ82" s="108"/>
      <c r="BR82" s="108"/>
      <c r="BS82" s="108"/>
      <c r="BT82" s="108"/>
      <c r="BU82" s="109"/>
      <c r="BV82" s="114"/>
      <c r="BW82" s="107"/>
      <c r="BX82" s="108"/>
      <c r="BY82" s="108"/>
      <c r="BZ82" s="108"/>
      <c r="CA82" s="108"/>
      <c r="CB82" s="109"/>
      <c r="CC82" s="114"/>
      <c r="CD82" s="107"/>
      <c r="CE82" s="108"/>
      <c r="CF82" s="108"/>
      <c r="CG82" s="108"/>
      <c r="CH82" s="108"/>
      <c r="CI82" s="109"/>
      <c r="CJ82" s="114"/>
      <c r="CK82" s="107"/>
      <c r="CL82" s="108"/>
      <c r="CM82" s="108"/>
      <c r="CN82" s="108"/>
      <c r="CO82" s="108"/>
      <c r="CP82" s="109"/>
      <c r="CQ82" s="114"/>
    </row>
    <row r="83" spans="12:99" ht="14.25" customHeight="1" x14ac:dyDescent="0.2">
      <c r="L83" s="107"/>
      <c r="M83" s="108"/>
      <c r="N83" s="108"/>
      <c r="O83" s="108"/>
      <c r="P83" s="108"/>
      <c r="Q83" s="109"/>
      <c r="R83" s="114"/>
      <c r="S83" s="107" t="s">
        <v>120</v>
      </c>
      <c r="T83" s="108"/>
      <c r="U83" s="108"/>
      <c r="V83" s="108"/>
      <c r="W83" s="108"/>
      <c r="X83" s="109"/>
      <c r="Y83" s="114">
        <f>220+933.05</f>
        <v>1153.05</v>
      </c>
      <c r="Z83" s="107" t="s">
        <v>120</v>
      </c>
      <c r="AA83" s="108"/>
      <c r="AB83" s="108"/>
      <c r="AC83" s="108"/>
      <c r="AD83" s="108"/>
      <c r="AE83" s="109"/>
      <c r="AF83" s="114"/>
      <c r="AG83" s="107" t="s">
        <v>120</v>
      </c>
      <c r="AH83" s="108"/>
      <c r="AI83" s="108"/>
      <c r="AJ83" s="108"/>
      <c r="AK83" s="108"/>
      <c r="AL83" s="109"/>
      <c r="AM83" s="114"/>
      <c r="AN83" s="107"/>
      <c r="AO83" s="108"/>
      <c r="AP83" s="108"/>
      <c r="AQ83" s="108"/>
      <c r="AR83" s="108"/>
      <c r="AS83" s="109"/>
      <c r="AT83" s="114"/>
      <c r="AU83" s="107"/>
      <c r="AV83" s="108"/>
      <c r="AW83" s="108"/>
      <c r="AX83" s="108"/>
      <c r="AY83" s="108"/>
      <c r="AZ83" s="109"/>
      <c r="BA83" s="114"/>
      <c r="BB83" s="107"/>
      <c r="BC83" s="108"/>
      <c r="BD83" s="108"/>
      <c r="BE83" s="108"/>
      <c r="BF83" s="108"/>
      <c r="BG83" s="109"/>
      <c r="BH83" s="114"/>
      <c r="BI83" s="107"/>
      <c r="BJ83" s="108"/>
      <c r="BK83" s="108"/>
      <c r="BL83" s="108"/>
      <c r="BM83" s="108"/>
      <c r="BN83" s="109"/>
      <c r="BO83" s="114"/>
      <c r="BP83" s="107"/>
      <c r="BQ83" s="108"/>
      <c r="BR83" s="108"/>
      <c r="BS83" s="108"/>
      <c r="BT83" s="108"/>
      <c r="BU83" s="109"/>
      <c r="BV83" s="114"/>
      <c r="BW83" s="107"/>
      <c r="BX83" s="108"/>
      <c r="BY83" s="108"/>
      <c r="BZ83" s="108"/>
      <c r="CA83" s="108"/>
      <c r="CB83" s="109"/>
      <c r="CC83" s="114"/>
      <c r="CD83" s="107"/>
      <c r="CE83" s="108"/>
      <c r="CF83" s="108"/>
      <c r="CG83" s="108"/>
      <c r="CH83" s="108"/>
      <c r="CI83" s="109"/>
      <c r="CJ83" s="114"/>
      <c r="CK83" s="107"/>
      <c r="CL83" s="108"/>
      <c r="CM83" s="108"/>
      <c r="CN83" s="108"/>
      <c r="CO83" s="108"/>
      <c r="CP83" s="109"/>
      <c r="CQ83" s="114"/>
    </row>
    <row r="84" spans="12:99" ht="14.25" customHeight="1" x14ac:dyDescent="0.2">
      <c r="L84" s="107"/>
      <c r="M84" s="108"/>
      <c r="N84" s="108"/>
      <c r="O84" s="108"/>
      <c r="P84" s="108"/>
      <c r="Q84" s="109"/>
      <c r="R84" s="114"/>
      <c r="S84" s="107"/>
      <c r="T84" s="108"/>
      <c r="U84" s="108"/>
      <c r="V84" s="108"/>
      <c r="W84" s="108"/>
      <c r="X84" s="109"/>
      <c r="Y84" s="114"/>
      <c r="Z84" s="107" t="s">
        <v>121</v>
      </c>
      <c r="AA84" s="108"/>
      <c r="AB84" s="108"/>
      <c r="AC84" s="108"/>
      <c r="AD84" s="108"/>
      <c r="AE84" s="109"/>
      <c r="AF84" s="114">
        <f>1408.64</f>
        <v>1408.64</v>
      </c>
      <c r="AG84" s="107" t="s">
        <v>121</v>
      </c>
      <c r="AH84" s="108"/>
      <c r="AI84" s="108"/>
      <c r="AJ84" s="108"/>
      <c r="AK84" s="108"/>
      <c r="AL84" s="109"/>
      <c r="AM84" s="114"/>
      <c r="AN84" s="107"/>
      <c r="AO84" s="108"/>
      <c r="AP84" s="108"/>
      <c r="AQ84" s="108"/>
      <c r="AR84" s="108"/>
      <c r="AS84" s="109"/>
      <c r="AT84" s="114"/>
      <c r="AU84" s="107"/>
      <c r="AV84" s="108"/>
      <c r="AW84" s="108"/>
      <c r="AX84" s="108"/>
      <c r="AY84" s="108"/>
      <c r="AZ84" s="109"/>
      <c r="BA84" s="114"/>
      <c r="BB84" s="107"/>
      <c r="BC84" s="108"/>
      <c r="BD84" s="108"/>
      <c r="BE84" s="108"/>
      <c r="BF84" s="108"/>
      <c r="BG84" s="109"/>
      <c r="BH84" s="114"/>
      <c r="BI84" s="107"/>
      <c r="BJ84" s="108"/>
      <c r="BK84" s="108"/>
      <c r="BL84" s="108"/>
      <c r="BM84" s="108"/>
      <c r="BN84" s="109"/>
      <c r="BO84" s="114"/>
      <c r="BP84" s="107"/>
      <c r="BQ84" s="108"/>
      <c r="BR84" s="108"/>
      <c r="BS84" s="108"/>
      <c r="BT84" s="108"/>
      <c r="BU84" s="109"/>
      <c r="BV84" s="114"/>
      <c r="BW84" s="107"/>
      <c r="BX84" s="108"/>
      <c r="BY84" s="108"/>
      <c r="BZ84" s="108"/>
      <c r="CA84" s="108"/>
      <c r="CB84" s="109"/>
      <c r="CC84" s="114"/>
      <c r="CD84" s="107"/>
      <c r="CE84" s="108"/>
      <c r="CF84" s="108"/>
      <c r="CG84" s="108"/>
      <c r="CH84" s="108"/>
      <c r="CI84" s="109"/>
      <c r="CJ84" s="114"/>
      <c r="CK84" s="107"/>
      <c r="CL84" s="108"/>
      <c r="CM84" s="108"/>
      <c r="CN84" s="108"/>
      <c r="CO84" s="108"/>
      <c r="CP84" s="109"/>
      <c r="CQ84" s="114"/>
    </row>
    <row r="85" spans="12:99" ht="14.25" customHeight="1" x14ac:dyDescent="0.2">
      <c r="L85" s="107"/>
      <c r="M85" s="108"/>
      <c r="N85" s="108"/>
      <c r="O85" s="108"/>
      <c r="P85" s="108"/>
      <c r="Q85" s="109"/>
      <c r="R85" s="114"/>
      <c r="S85" s="107"/>
      <c r="T85" s="108"/>
      <c r="U85" s="108"/>
      <c r="V85" s="108"/>
      <c r="W85" s="108"/>
      <c r="X85" s="109"/>
      <c r="Y85" s="114"/>
      <c r="Z85" s="107"/>
      <c r="AA85" s="108"/>
      <c r="AB85" s="108"/>
      <c r="AC85" s="108"/>
      <c r="AD85" s="108"/>
      <c r="AE85" s="109"/>
      <c r="AF85" s="114"/>
      <c r="AG85" s="107" t="s">
        <v>122</v>
      </c>
      <c r="AH85" s="108"/>
      <c r="AI85" s="108"/>
      <c r="AJ85" s="108"/>
      <c r="AK85" s="108"/>
      <c r="AL85" s="109"/>
      <c r="AM85" s="114">
        <f>94+29+335.12+86.3+45.9</f>
        <v>590.31999999999994</v>
      </c>
      <c r="AN85" s="107"/>
      <c r="AO85" s="108"/>
      <c r="AP85" s="108"/>
      <c r="AQ85" s="108"/>
      <c r="AR85" s="108"/>
      <c r="AS85" s="109"/>
      <c r="AT85" s="114"/>
      <c r="AU85" s="107"/>
      <c r="AV85" s="108"/>
      <c r="AW85" s="108"/>
      <c r="AX85" s="108"/>
      <c r="AY85" s="108"/>
      <c r="AZ85" s="109"/>
      <c r="BA85" s="114"/>
      <c r="BB85" s="107"/>
      <c r="BC85" s="108"/>
      <c r="BD85" s="108"/>
      <c r="BE85" s="108"/>
      <c r="BF85" s="108"/>
      <c r="BG85" s="109"/>
      <c r="BH85" s="114"/>
      <c r="BI85" s="107"/>
      <c r="BJ85" s="108"/>
      <c r="BK85" s="108"/>
      <c r="BL85" s="108"/>
      <c r="BM85" s="108"/>
      <c r="BN85" s="109"/>
      <c r="BO85" s="114"/>
      <c r="BP85" s="107"/>
      <c r="BQ85" s="108"/>
      <c r="BR85" s="108"/>
      <c r="BS85" s="108"/>
      <c r="BT85" s="108"/>
      <c r="BU85" s="109"/>
      <c r="BV85" s="114"/>
      <c r="BW85" s="107"/>
      <c r="BX85" s="108"/>
      <c r="BY85" s="108"/>
      <c r="BZ85" s="108"/>
      <c r="CA85" s="108"/>
      <c r="CB85" s="109"/>
      <c r="CC85" s="114"/>
      <c r="CD85" s="107"/>
      <c r="CE85" s="108"/>
      <c r="CF85" s="108"/>
      <c r="CG85" s="108"/>
      <c r="CH85" s="108"/>
      <c r="CI85" s="109"/>
      <c r="CJ85" s="114"/>
      <c r="CK85" s="107"/>
      <c r="CL85" s="108"/>
      <c r="CM85" s="108"/>
      <c r="CN85" s="108"/>
      <c r="CO85" s="108"/>
      <c r="CP85" s="109"/>
      <c r="CQ85" s="114"/>
    </row>
    <row r="86" spans="12:99" ht="14.25" customHeight="1" x14ac:dyDescent="0.2">
      <c r="L86" s="107"/>
      <c r="M86" s="108"/>
      <c r="N86" s="108"/>
      <c r="O86" s="108"/>
      <c r="P86" s="108"/>
      <c r="Q86" s="109"/>
      <c r="R86" s="114"/>
      <c r="S86" s="107"/>
      <c r="T86" s="108"/>
      <c r="U86" s="108"/>
      <c r="V86" s="108"/>
      <c r="W86" s="108"/>
      <c r="X86" s="109"/>
      <c r="Y86" s="114"/>
      <c r="Z86" s="107"/>
      <c r="AA86" s="108"/>
      <c r="AB86" s="108"/>
      <c r="AC86" s="108"/>
      <c r="AD86" s="108"/>
      <c r="AE86" s="109"/>
      <c r="AF86" s="114"/>
      <c r="AG86" s="107" t="s">
        <v>123</v>
      </c>
      <c r="AH86" s="108"/>
      <c r="AI86" s="108"/>
      <c r="AJ86" s="108"/>
      <c r="AK86" s="108"/>
      <c r="AL86" s="109"/>
      <c r="AM86" s="114">
        <f>250</f>
        <v>250</v>
      </c>
      <c r="AN86" s="107"/>
      <c r="AO86" s="108"/>
      <c r="AP86" s="108"/>
      <c r="AQ86" s="108"/>
      <c r="AR86" s="108"/>
      <c r="AS86" s="109"/>
      <c r="AT86" s="114"/>
      <c r="AU86" s="107"/>
      <c r="AV86" s="108"/>
      <c r="AW86" s="108"/>
      <c r="AX86" s="108"/>
      <c r="AY86" s="108"/>
      <c r="AZ86" s="109"/>
      <c r="BA86" s="114"/>
      <c r="BB86" s="107"/>
      <c r="BC86" s="108"/>
      <c r="BD86" s="108"/>
      <c r="BE86" s="108"/>
      <c r="BF86" s="108"/>
      <c r="BG86" s="109"/>
      <c r="BH86" s="114"/>
      <c r="BI86" s="107"/>
      <c r="BJ86" s="108"/>
      <c r="BK86" s="108"/>
      <c r="BL86" s="108"/>
      <c r="BM86" s="108"/>
      <c r="BN86" s="109"/>
      <c r="BO86" s="114"/>
      <c r="BP86" s="107"/>
      <c r="BQ86" s="108"/>
      <c r="BR86" s="108"/>
      <c r="BS86" s="108"/>
      <c r="BT86" s="108"/>
      <c r="BU86" s="109"/>
      <c r="BV86" s="114"/>
      <c r="BW86" s="107"/>
      <c r="BX86" s="108"/>
      <c r="BY86" s="108"/>
      <c r="BZ86" s="108"/>
      <c r="CA86" s="108"/>
      <c r="CB86" s="109"/>
      <c r="CC86" s="114"/>
      <c r="CD86" s="107"/>
      <c r="CE86" s="108"/>
      <c r="CF86" s="108"/>
      <c r="CG86" s="108"/>
      <c r="CH86" s="108"/>
      <c r="CI86" s="109"/>
      <c r="CJ86" s="114"/>
      <c r="CK86" s="107"/>
      <c r="CL86" s="108"/>
      <c r="CM86" s="108"/>
      <c r="CN86" s="108"/>
      <c r="CO86" s="108"/>
      <c r="CP86" s="109"/>
      <c r="CQ86" s="114"/>
    </row>
    <row r="87" spans="12:99" ht="14.25" customHeight="1" x14ac:dyDescent="0.2">
      <c r="L87" s="107"/>
      <c r="M87" s="108"/>
      <c r="N87" s="108"/>
      <c r="O87" s="108"/>
      <c r="P87" s="108"/>
      <c r="Q87" s="109"/>
      <c r="R87" s="114"/>
      <c r="S87" s="107"/>
      <c r="T87" s="108"/>
      <c r="U87" s="108"/>
      <c r="V87" s="108"/>
      <c r="W87" s="108"/>
      <c r="X87" s="109"/>
      <c r="Y87" s="114"/>
      <c r="Z87" s="107"/>
      <c r="AA87" s="108"/>
      <c r="AB87" s="108"/>
      <c r="AC87" s="108"/>
      <c r="AD87" s="108"/>
      <c r="AE87" s="109"/>
      <c r="AF87" s="114"/>
      <c r="AG87" s="107"/>
      <c r="AH87" s="108"/>
      <c r="AI87" s="108"/>
      <c r="AJ87" s="108"/>
      <c r="AK87" s="108"/>
      <c r="AL87" s="109"/>
      <c r="AM87" s="114"/>
      <c r="AN87" s="107"/>
      <c r="AO87" s="108"/>
      <c r="AP87" s="108"/>
      <c r="AQ87" s="108"/>
      <c r="AR87" s="108"/>
      <c r="AS87" s="109"/>
      <c r="AT87" s="114"/>
      <c r="AU87" s="107"/>
      <c r="AV87" s="108"/>
      <c r="AW87" s="108"/>
      <c r="AX87" s="108"/>
      <c r="AY87" s="108"/>
      <c r="AZ87" s="109"/>
      <c r="BA87" s="114"/>
      <c r="BB87" s="107"/>
      <c r="BC87" s="108"/>
      <c r="BD87" s="108"/>
      <c r="BE87" s="108"/>
      <c r="BF87" s="108"/>
      <c r="BG87" s="109"/>
      <c r="BH87" s="114"/>
      <c r="BI87" s="107"/>
      <c r="BJ87" s="108"/>
      <c r="BK87" s="108"/>
      <c r="BL87" s="108"/>
      <c r="BM87" s="108"/>
      <c r="BN87" s="109"/>
      <c r="BO87" s="114"/>
      <c r="BP87" s="107"/>
      <c r="BQ87" s="108"/>
      <c r="BR87" s="108"/>
      <c r="BS87" s="108"/>
      <c r="BT87" s="108"/>
      <c r="BU87" s="109"/>
      <c r="BV87" s="114"/>
      <c r="BW87" s="107"/>
      <c r="BX87" s="108"/>
      <c r="BY87" s="108"/>
      <c r="BZ87" s="108"/>
      <c r="CA87" s="108"/>
      <c r="CB87" s="109"/>
      <c r="CC87" s="114"/>
      <c r="CD87" s="107"/>
      <c r="CE87" s="108"/>
      <c r="CF87" s="108"/>
      <c r="CG87" s="108"/>
      <c r="CH87" s="108"/>
      <c r="CI87" s="109"/>
      <c r="CJ87" s="114"/>
      <c r="CK87" s="107"/>
      <c r="CL87" s="108"/>
      <c r="CM87" s="108"/>
      <c r="CN87" s="108"/>
      <c r="CO87" s="108"/>
      <c r="CP87" s="109"/>
      <c r="CQ87" s="114"/>
    </row>
    <row r="88" spans="12:99" ht="14.25" customHeight="1" x14ac:dyDescent="0.2">
      <c r="L88" s="108" t="s">
        <v>82</v>
      </c>
      <c r="M88" s="108"/>
      <c r="N88" s="108"/>
      <c r="O88" s="108"/>
      <c r="P88" s="108"/>
      <c r="Q88" s="108"/>
      <c r="R88" s="114">
        <f>SUM(R61:R87)</f>
        <v>21384.99</v>
      </c>
      <c r="S88" s="108" t="s">
        <v>82</v>
      </c>
      <c r="T88" s="108"/>
      <c r="U88" s="108"/>
      <c r="V88" s="108"/>
      <c r="W88" s="108"/>
      <c r="X88" s="108"/>
      <c r="Y88" s="114">
        <f>SUM(Y61:Y87)</f>
        <v>15712.619999999999</v>
      </c>
      <c r="Z88" s="108" t="s">
        <v>82</v>
      </c>
      <c r="AA88" s="108"/>
      <c r="AB88" s="108"/>
      <c r="AC88" s="108"/>
      <c r="AD88" s="108"/>
      <c r="AE88" s="108"/>
      <c r="AF88" s="114">
        <f>SUM(AF61:AF87)</f>
        <v>13876.109999999999</v>
      </c>
      <c r="AG88" s="108" t="s">
        <v>82</v>
      </c>
      <c r="AH88" s="108"/>
      <c r="AI88" s="108"/>
      <c r="AJ88" s="108"/>
      <c r="AK88" s="108"/>
      <c r="AL88" s="108"/>
      <c r="AM88" s="114">
        <f>SUM(AM61:AM87)</f>
        <v>14397.559999999998</v>
      </c>
      <c r="AN88" s="108" t="s">
        <v>82</v>
      </c>
      <c r="AO88" s="108"/>
      <c r="AP88" s="108"/>
      <c r="AQ88" s="108"/>
      <c r="AR88" s="108"/>
      <c r="AS88" s="108"/>
      <c r="AT88" s="114">
        <f>SUM(AT61:AT87)</f>
        <v>0</v>
      </c>
      <c r="AU88" s="108" t="s">
        <v>82</v>
      </c>
      <c r="AV88" s="108"/>
      <c r="AW88" s="108"/>
      <c r="AX88" s="108"/>
      <c r="AY88" s="108"/>
      <c r="AZ88" s="108"/>
      <c r="BA88" s="114">
        <f>SUM(BA61:BA87)</f>
        <v>0</v>
      </c>
      <c r="BB88" s="108" t="s">
        <v>82</v>
      </c>
      <c r="BC88" s="108"/>
      <c r="BD88" s="108"/>
      <c r="BE88" s="108"/>
      <c r="BF88" s="108"/>
      <c r="BG88" s="108"/>
      <c r="BH88" s="114">
        <f>SUM(BH61:BH87)</f>
        <v>0</v>
      </c>
      <c r="BI88" s="108" t="s">
        <v>82</v>
      </c>
      <c r="BJ88" s="108"/>
      <c r="BK88" s="108"/>
      <c r="BL88" s="108"/>
      <c r="BM88" s="108"/>
      <c r="BN88" s="108"/>
      <c r="BO88" s="114">
        <f>SUM(BO61:BO87)</f>
        <v>0</v>
      </c>
      <c r="BP88" s="108" t="s">
        <v>82</v>
      </c>
      <c r="BQ88" s="108"/>
      <c r="BR88" s="108"/>
      <c r="BS88" s="108"/>
      <c r="BT88" s="108"/>
      <c r="BU88" s="108"/>
      <c r="BV88" s="114">
        <f>SUM(BV61:BV87)</f>
        <v>0</v>
      </c>
      <c r="BW88" s="108" t="s">
        <v>82</v>
      </c>
      <c r="BX88" s="108"/>
      <c r="BY88" s="108"/>
      <c r="BZ88" s="108"/>
      <c r="CA88" s="108"/>
      <c r="CB88" s="108"/>
      <c r="CC88" s="114">
        <f>SUM(CC61:CC87)</f>
        <v>0</v>
      </c>
      <c r="CD88" s="108" t="s">
        <v>82</v>
      </c>
      <c r="CE88" s="108"/>
      <c r="CF88" s="108"/>
      <c r="CG88" s="108"/>
      <c r="CH88" s="108"/>
      <c r="CI88" s="108"/>
      <c r="CJ88" s="114">
        <f>SUM(CJ61:CJ87)</f>
        <v>0</v>
      </c>
      <c r="CK88" s="108" t="s">
        <v>82</v>
      </c>
      <c r="CL88" s="108"/>
      <c r="CM88" s="108"/>
      <c r="CN88" s="108"/>
      <c r="CO88" s="108"/>
      <c r="CP88" s="108"/>
      <c r="CQ88" s="114">
        <f>SUM(CQ61:CQ87)</f>
        <v>0</v>
      </c>
    </row>
    <row r="89" spans="12:99" ht="14.25" customHeight="1" x14ac:dyDescent="0.2">
      <c r="AT89" s="139"/>
      <c r="BA89" s="155"/>
      <c r="BV89" s="140"/>
      <c r="CJ89" s="155"/>
      <c r="CQ89" s="155"/>
    </row>
    <row r="90" spans="12:99" ht="14.25" customHeight="1" x14ac:dyDescent="0.2">
      <c r="AT90" s="139"/>
      <c r="BA90" s="140"/>
      <c r="CJ90" s="155"/>
      <c r="CQ90" s="155"/>
    </row>
    <row r="91" spans="12:99" ht="14.25" customHeight="1" x14ac:dyDescent="0.2">
      <c r="AT91" s="139"/>
      <c r="CJ91" s="140"/>
      <c r="CQ91" s="140"/>
    </row>
    <row r="92" spans="12:99" ht="14.25" customHeight="1" x14ac:dyDescent="0.2">
      <c r="AT92" s="139"/>
      <c r="BA92" s="139"/>
    </row>
    <row r="93" spans="12:99" ht="14.25" customHeight="1" x14ac:dyDescent="0.2">
      <c r="AT93" s="139"/>
      <c r="BA93" s="139"/>
    </row>
    <row r="94" spans="12:99" ht="14.25" customHeight="1" x14ac:dyDescent="0.2">
      <c r="AT94" s="140"/>
      <c r="BA94" s="139"/>
    </row>
    <row r="95" spans="12:99" ht="14.25" customHeight="1" x14ac:dyDescent="0.2">
      <c r="BA95" s="139"/>
      <c r="CU95" s="154"/>
    </row>
    <row r="96" spans="12:99" ht="14.25" customHeight="1" x14ac:dyDescent="0.2">
      <c r="BA96" s="139"/>
    </row>
    <row r="97" spans="53:53" ht="14.25" customHeight="1" x14ac:dyDescent="0.2">
      <c r="BA97" s="139"/>
    </row>
    <row r="98" spans="53:53" ht="14.25" customHeight="1" x14ac:dyDescent="0.2">
      <c r="BA98" s="139"/>
    </row>
    <row r="99" spans="53:53" ht="14.25" customHeight="1" x14ac:dyDescent="0.2">
      <c r="BA99" s="139"/>
    </row>
    <row r="100" spans="53:53" ht="14.25" customHeight="1" x14ac:dyDescent="0.2">
      <c r="BA100" s="139"/>
    </row>
    <row r="101" spans="53:53" ht="14.25" customHeight="1" x14ac:dyDescent="0.2">
      <c r="BA101" s="139"/>
    </row>
    <row r="102" spans="53:53" ht="14.25" customHeight="1" x14ac:dyDescent="0.2">
      <c r="BA102" s="139"/>
    </row>
    <row r="103" spans="53:53" ht="14.25" customHeight="1" x14ac:dyDescent="0.2">
      <c r="BA103" s="139"/>
    </row>
    <row r="104" spans="53:53" ht="14.25" customHeight="1" x14ac:dyDescent="0.2">
      <c r="BA104" s="139"/>
    </row>
    <row r="105" spans="53:53" ht="14.25" customHeight="1" x14ac:dyDescent="0.2">
      <c r="BA105" s="139"/>
    </row>
    <row r="106" spans="53:53" ht="14.25" customHeight="1" x14ac:dyDescent="0.2">
      <c r="BA106" s="139"/>
    </row>
    <row r="107" spans="53:53" ht="14.25" customHeight="1" x14ac:dyDescent="0.2">
      <c r="BA107" s="139"/>
    </row>
    <row r="108" spans="53:53" ht="14.25" customHeight="1" x14ac:dyDescent="0.2">
      <c r="BA108" s="139"/>
    </row>
    <row r="109" spans="53:53" ht="14.25" customHeight="1" x14ac:dyDescent="0.2">
      <c r="BA109" s="139"/>
    </row>
    <row r="110" spans="53:53" ht="14.25" customHeight="1" x14ac:dyDescent="0.2">
      <c r="BA110" s="139"/>
    </row>
    <row r="111" spans="53:53" ht="14.25" customHeight="1" x14ac:dyDescent="0.2">
      <c r="BA111" s="139"/>
    </row>
    <row r="112" spans="53:53" ht="14.25" customHeight="1" x14ac:dyDescent="0.2">
      <c r="BA112" s="139"/>
    </row>
    <row r="113" spans="53:53" ht="14.25" customHeight="1" x14ac:dyDescent="0.2">
      <c r="BA113" s="139"/>
    </row>
    <row r="114" spans="53:53" ht="14.25" customHeight="1" x14ac:dyDescent="0.2"/>
    <row r="115" spans="53:53" ht="14.25" customHeight="1" x14ac:dyDescent="0.2"/>
    <row r="116" spans="53:53" ht="14.25" customHeight="1" x14ac:dyDescent="0.2"/>
    <row r="117" spans="53:53" ht="14.25" customHeight="1" x14ac:dyDescent="0.2"/>
    <row r="118" spans="53:53" ht="14.25" customHeight="1" x14ac:dyDescent="0.2"/>
    <row r="119" spans="53:53" ht="14.25" customHeight="1" x14ac:dyDescent="0.2"/>
    <row r="120" spans="53:53" ht="14.25" customHeight="1" x14ac:dyDescent="0.2"/>
    <row r="121" spans="53:53" ht="14.25" customHeight="1" x14ac:dyDescent="0.2"/>
    <row r="122" spans="53:53" ht="14.25" customHeight="1" x14ac:dyDescent="0.2"/>
    <row r="123" spans="53:53" ht="14.25" customHeight="1" x14ac:dyDescent="0.2"/>
    <row r="124" spans="53:53" ht="14.25" customHeight="1" x14ac:dyDescent="0.2"/>
    <row r="125" spans="53:53" ht="14.25" customHeight="1" x14ac:dyDescent="0.2"/>
    <row r="126" spans="53:53" ht="14.25" customHeight="1" x14ac:dyDescent="0.2"/>
    <row r="127" spans="53:53" ht="14.25" customHeight="1" x14ac:dyDescent="0.2"/>
    <row r="128" spans="53:53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spans="99:99" ht="14.25" customHeight="1" x14ac:dyDescent="0.2"/>
    <row r="194" spans="99:99" ht="14.25" customHeight="1" x14ac:dyDescent="0.2"/>
    <row r="195" spans="99:99" ht="14.25" customHeight="1" x14ac:dyDescent="0.2"/>
    <row r="196" spans="99:99" ht="14.25" customHeight="1" x14ac:dyDescent="0.2"/>
    <row r="197" spans="99:99" ht="14.25" customHeight="1" x14ac:dyDescent="0.2"/>
    <row r="198" spans="99:99" ht="14.25" customHeight="1" x14ac:dyDescent="0.2"/>
    <row r="199" spans="99:99" ht="14.25" customHeight="1" x14ac:dyDescent="0.2"/>
    <row r="200" spans="99:99" ht="14.25" customHeight="1" x14ac:dyDescent="0.2"/>
    <row r="201" spans="99:99" ht="14.25" customHeight="1" x14ac:dyDescent="0.2"/>
    <row r="202" spans="99:99" ht="14.25" customHeight="1" x14ac:dyDescent="0.2"/>
    <row r="203" spans="99:99" ht="14.25" customHeight="1" x14ac:dyDescent="0.2">
      <c r="CU203" s="154"/>
    </row>
    <row r="204" spans="99:99" ht="14.25" customHeight="1" x14ac:dyDescent="0.2">
      <c r="CU204" s="154"/>
    </row>
    <row r="205" spans="99:99" ht="14.25" customHeight="1" x14ac:dyDescent="0.2">
      <c r="CU205" s="154"/>
    </row>
    <row r="206" spans="99:99" ht="14.25" customHeight="1" x14ac:dyDescent="0.2">
      <c r="CU206" s="154"/>
    </row>
    <row r="207" spans="99:99" ht="14.25" customHeight="1" x14ac:dyDescent="0.2">
      <c r="CU207" s="154"/>
    </row>
    <row r="208" spans="99:99" ht="14.25" customHeight="1" x14ac:dyDescent="0.2">
      <c r="CU208" s="154"/>
    </row>
    <row r="209" spans="99:99" ht="14.25" customHeight="1" x14ac:dyDescent="0.2">
      <c r="CU209" s="154"/>
    </row>
    <row r="210" spans="99:99" ht="14.25" customHeight="1" x14ac:dyDescent="0.2">
      <c r="CU210" s="154"/>
    </row>
    <row r="211" spans="99:99" ht="14.25" customHeight="1" x14ac:dyDescent="0.2">
      <c r="CU211" s="154"/>
    </row>
    <row r="212" spans="99:99" ht="14.25" customHeight="1" x14ac:dyDescent="0.2">
      <c r="CU212" s="154"/>
    </row>
    <row r="213" spans="99:99" ht="14.25" customHeight="1" x14ac:dyDescent="0.2">
      <c r="CU213" s="154"/>
    </row>
    <row r="214" spans="99:99" ht="14.25" customHeight="1" x14ac:dyDescent="0.2">
      <c r="CU214" s="154"/>
    </row>
    <row r="215" spans="99:99" ht="14.25" customHeight="1" x14ac:dyDescent="0.2">
      <c r="CU215" s="154"/>
    </row>
    <row r="216" spans="99:99" ht="14.25" customHeight="1" x14ac:dyDescent="0.2">
      <c r="CU216" s="154"/>
    </row>
    <row r="217" spans="99:99" ht="14.25" customHeight="1" x14ac:dyDescent="0.2">
      <c r="CU217" s="154"/>
    </row>
    <row r="218" spans="99:99" ht="14.25" customHeight="1" x14ac:dyDescent="0.2">
      <c r="CU218" s="154"/>
    </row>
    <row r="219" spans="99:99" ht="14.25" customHeight="1" x14ac:dyDescent="0.2">
      <c r="CU219" s="154"/>
    </row>
    <row r="220" spans="99:99" ht="14.25" customHeight="1" x14ac:dyDescent="0.2">
      <c r="CU220" s="154"/>
    </row>
    <row r="221" spans="99:99" ht="14.25" customHeight="1" x14ac:dyDescent="0.2">
      <c r="CU221" s="154"/>
    </row>
    <row r="222" spans="99:99" ht="14.25" customHeight="1" x14ac:dyDescent="0.2">
      <c r="CU222" s="154"/>
    </row>
    <row r="223" spans="99:99" ht="14.25" customHeight="1" x14ac:dyDescent="0.2">
      <c r="CU223" s="154"/>
    </row>
    <row r="224" spans="99:99" ht="14.25" customHeight="1" x14ac:dyDescent="0.2">
      <c r="CU224" s="154"/>
    </row>
    <row r="225" spans="99:99" ht="14.25" customHeight="1" x14ac:dyDescent="0.2">
      <c r="CU225" s="154"/>
    </row>
    <row r="226" spans="99:99" ht="14.25" customHeight="1" x14ac:dyDescent="0.2">
      <c r="CU226" s="154"/>
    </row>
    <row r="227" spans="99:99" ht="14.25" customHeight="1" x14ac:dyDescent="0.2">
      <c r="CU227" s="154"/>
    </row>
    <row r="228" spans="99:99" ht="14.25" customHeight="1" x14ac:dyDescent="0.2">
      <c r="CU228" s="154"/>
    </row>
    <row r="229" spans="99:99" ht="14.25" customHeight="1" x14ac:dyDescent="0.2">
      <c r="CU229" s="154"/>
    </row>
    <row r="230" spans="99:99" ht="14.25" customHeight="1" x14ac:dyDescent="0.2">
      <c r="CU230" s="154"/>
    </row>
    <row r="231" spans="99:99" ht="14.25" customHeight="1" x14ac:dyDescent="0.2">
      <c r="CU231" s="154"/>
    </row>
    <row r="232" spans="99:99" ht="14.25" customHeight="1" x14ac:dyDescent="0.2">
      <c r="CU232" s="154"/>
    </row>
    <row r="233" spans="99:99" ht="14.25" customHeight="1" x14ac:dyDescent="0.2">
      <c r="CU233" s="154"/>
    </row>
    <row r="234" spans="99:99" ht="14.25" customHeight="1" x14ac:dyDescent="0.2">
      <c r="CU234" s="154"/>
    </row>
    <row r="235" spans="99:99" ht="14.25" customHeight="1" x14ac:dyDescent="0.2">
      <c r="CU235" s="154"/>
    </row>
    <row r="236" spans="99:99" ht="14.25" customHeight="1" x14ac:dyDescent="0.2">
      <c r="CU236" s="154"/>
    </row>
    <row r="237" spans="99:99" ht="14.25" customHeight="1" x14ac:dyDescent="0.2">
      <c r="CU237" s="154"/>
    </row>
    <row r="238" spans="99:99" ht="14.25" customHeight="1" x14ac:dyDescent="0.2">
      <c r="CU238" s="154"/>
    </row>
    <row r="239" spans="99:99" ht="14.25" customHeight="1" x14ac:dyDescent="0.2">
      <c r="CU239" s="154"/>
    </row>
    <row r="240" spans="99:99" ht="14.25" customHeight="1" x14ac:dyDescent="0.2">
      <c r="CU240" s="154"/>
    </row>
    <row r="241" spans="99:99" ht="14.25" customHeight="1" x14ac:dyDescent="0.2">
      <c r="CU241" s="154"/>
    </row>
    <row r="242" spans="99:99" ht="14.25" customHeight="1" x14ac:dyDescent="0.2">
      <c r="CU242" s="154"/>
    </row>
    <row r="243" spans="99:99" ht="14.25" customHeight="1" x14ac:dyDescent="0.2">
      <c r="CU243" s="154"/>
    </row>
    <row r="244" spans="99:99" ht="14.25" customHeight="1" x14ac:dyDescent="0.2">
      <c r="CU244" s="154"/>
    </row>
    <row r="245" spans="99:99" ht="14.25" customHeight="1" x14ac:dyDescent="0.2">
      <c r="CU245" s="154"/>
    </row>
    <row r="246" spans="99:99" ht="14.25" customHeight="1" x14ac:dyDescent="0.2">
      <c r="CU246" s="154"/>
    </row>
    <row r="247" spans="99:99" ht="14.25" customHeight="1" x14ac:dyDescent="0.2">
      <c r="CU247" s="154"/>
    </row>
    <row r="248" spans="99:99" ht="14.25" customHeight="1" x14ac:dyDescent="0.2">
      <c r="CU248" s="154"/>
    </row>
    <row r="249" spans="99:99" ht="14.25" customHeight="1" x14ac:dyDescent="0.2">
      <c r="CU249" s="154"/>
    </row>
    <row r="250" spans="99:99" ht="14.25" customHeight="1" x14ac:dyDescent="0.2">
      <c r="CU250" s="154"/>
    </row>
    <row r="251" spans="99:99" ht="14.25" customHeight="1" x14ac:dyDescent="0.2">
      <c r="CU251" s="154"/>
    </row>
    <row r="252" spans="99:99" ht="14.25" customHeight="1" x14ac:dyDescent="0.2">
      <c r="CU252" s="154"/>
    </row>
    <row r="253" spans="99:99" ht="14.25" customHeight="1" x14ac:dyDescent="0.2">
      <c r="CU253" s="154"/>
    </row>
    <row r="254" spans="99:99" ht="14.25" customHeight="1" x14ac:dyDescent="0.2">
      <c r="CU254" s="154"/>
    </row>
    <row r="255" spans="99:99" ht="14.25" customHeight="1" x14ac:dyDescent="0.2">
      <c r="CU255" s="154"/>
    </row>
    <row r="256" spans="99:99" ht="14.25" customHeight="1" x14ac:dyDescent="0.2">
      <c r="CU256" s="154"/>
    </row>
    <row r="257" spans="99:99" ht="14.25" customHeight="1" x14ac:dyDescent="0.2">
      <c r="CU257" s="154"/>
    </row>
    <row r="258" spans="99:99" ht="14.25" customHeight="1" x14ac:dyDescent="0.2">
      <c r="CU258" s="154"/>
    </row>
    <row r="259" spans="99:99" ht="14.25" customHeight="1" x14ac:dyDescent="0.2">
      <c r="CU259" s="154"/>
    </row>
    <row r="260" spans="99:99" ht="14.25" customHeight="1" x14ac:dyDescent="0.2">
      <c r="CU260" s="154"/>
    </row>
    <row r="261" spans="99:99" ht="14.25" customHeight="1" x14ac:dyDescent="0.2">
      <c r="CU261" s="154"/>
    </row>
    <row r="262" spans="99:99" ht="14.25" customHeight="1" x14ac:dyDescent="0.2">
      <c r="CU262" s="154"/>
    </row>
    <row r="263" spans="99:99" ht="14.25" customHeight="1" x14ac:dyDescent="0.2">
      <c r="CU263" s="154"/>
    </row>
    <row r="264" spans="99:99" ht="14.25" customHeight="1" x14ac:dyDescent="0.2">
      <c r="CU264" s="154"/>
    </row>
    <row r="265" spans="99:99" ht="14.25" customHeight="1" x14ac:dyDescent="0.2">
      <c r="CU265" s="154"/>
    </row>
    <row r="266" spans="99:99" ht="14.25" customHeight="1" x14ac:dyDescent="0.2">
      <c r="CU266" s="154"/>
    </row>
    <row r="267" spans="99:99" ht="14.25" customHeight="1" x14ac:dyDescent="0.2">
      <c r="CU267" s="154"/>
    </row>
    <row r="268" spans="99:99" ht="14.25" customHeight="1" x14ac:dyDescent="0.2">
      <c r="CU268" s="154"/>
    </row>
    <row r="269" spans="99:99" ht="14.25" customHeight="1" x14ac:dyDescent="0.2">
      <c r="CU269" s="154"/>
    </row>
    <row r="270" spans="99:99" ht="14.25" customHeight="1" x14ac:dyDescent="0.2">
      <c r="CU270" s="154"/>
    </row>
    <row r="271" spans="99:99" ht="14.25" customHeight="1" x14ac:dyDescent="0.2">
      <c r="CU271" s="154"/>
    </row>
    <row r="272" spans="99:99" ht="14.25" customHeight="1" x14ac:dyDescent="0.2">
      <c r="CU272" s="154"/>
    </row>
    <row r="273" spans="99:99" ht="14.25" customHeight="1" x14ac:dyDescent="0.2">
      <c r="CU273" s="154"/>
    </row>
    <row r="274" spans="99:99" ht="14.25" customHeight="1" x14ac:dyDescent="0.2">
      <c r="CU274" s="154"/>
    </row>
    <row r="275" spans="99:99" ht="14.25" customHeight="1" x14ac:dyDescent="0.2">
      <c r="CU275" s="154"/>
    </row>
    <row r="276" spans="99:99" ht="14.25" customHeight="1" x14ac:dyDescent="0.2">
      <c r="CU276" s="154"/>
    </row>
    <row r="277" spans="99:99" ht="14.25" customHeight="1" x14ac:dyDescent="0.2">
      <c r="CU277" s="154"/>
    </row>
    <row r="278" spans="99:99" ht="14.25" customHeight="1" x14ac:dyDescent="0.2">
      <c r="CU278" s="154"/>
    </row>
    <row r="279" spans="99:99" ht="14.25" customHeight="1" x14ac:dyDescent="0.2">
      <c r="CU279" s="154"/>
    </row>
    <row r="280" spans="99:99" ht="14.25" customHeight="1" x14ac:dyDescent="0.2">
      <c r="CU280" s="154"/>
    </row>
    <row r="281" spans="99:99" ht="14.25" customHeight="1" x14ac:dyDescent="0.2">
      <c r="CU281" s="154"/>
    </row>
    <row r="282" spans="99:99" ht="14.25" customHeight="1" x14ac:dyDescent="0.2">
      <c r="CU282" s="154"/>
    </row>
    <row r="283" spans="99:99" ht="14.25" customHeight="1" x14ac:dyDescent="0.2">
      <c r="CU283" s="154"/>
    </row>
    <row r="284" spans="99:99" ht="14.25" customHeight="1" x14ac:dyDescent="0.2">
      <c r="CU284" s="154"/>
    </row>
    <row r="285" spans="99:99" ht="14.25" customHeight="1" x14ac:dyDescent="0.2">
      <c r="CU285" s="154"/>
    </row>
    <row r="286" spans="99:99" ht="14.25" customHeight="1" x14ac:dyDescent="0.2">
      <c r="CU286" s="154"/>
    </row>
    <row r="287" spans="99:99" ht="14.25" customHeight="1" x14ac:dyDescent="0.2">
      <c r="CU287" s="154"/>
    </row>
    <row r="288" spans="99:99" ht="14.25" customHeight="1" x14ac:dyDescent="0.2">
      <c r="CU288" s="154"/>
    </row>
    <row r="289" spans="99:99" ht="14.25" customHeight="1" x14ac:dyDescent="0.2">
      <c r="CU289" s="154"/>
    </row>
    <row r="290" spans="99:99" ht="14.25" customHeight="1" x14ac:dyDescent="0.2">
      <c r="CU290" s="154"/>
    </row>
    <row r="291" spans="99:99" ht="14.25" customHeight="1" x14ac:dyDescent="0.2">
      <c r="CU291" s="154"/>
    </row>
    <row r="292" spans="99:99" ht="14.25" customHeight="1" x14ac:dyDescent="0.2">
      <c r="CU292" s="154"/>
    </row>
    <row r="293" spans="99:99" ht="14.25" customHeight="1" x14ac:dyDescent="0.2">
      <c r="CU293" s="154"/>
    </row>
    <row r="294" spans="99:99" ht="14.25" customHeight="1" x14ac:dyDescent="0.2">
      <c r="CU294" s="154"/>
    </row>
    <row r="295" spans="99:99" ht="14.25" customHeight="1" x14ac:dyDescent="0.2">
      <c r="CU295" s="154"/>
    </row>
    <row r="296" spans="99:99" ht="14.25" customHeight="1" x14ac:dyDescent="0.2">
      <c r="CU296" s="154"/>
    </row>
    <row r="297" spans="99:99" ht="14.25" customHeight="1" x14ac:dyDescent="0.2">
      <c r="CU297" s="154"/>
    </row>
    <row r="298" spans="99:99" ht="14.25" customHeight="1" x14ac:dyDescent="0.2">
      <c r="CU298" s="154"/>
    </row>
    <row r="299" spans="99:99" ht="14.25" customHeight="1" x14ac:dyDescent="0.2">
      <c r="CU299" s="154"/>
    </row>
    <row r="300" spans="99:99" ht="14.25" customHeight="1" x14ac:dyDescent="0.2">
      <c r="CU300" s="154"/>
    </row>
    <row r="301" spans="99:99" ht="14.25" customHeight="1" x14ac:dyDescent="0.2">
      <c r="CU301" s="154"/>
    </row>
    <row r="302" spans="99:99" ht="14.25" customHeight="1" x14ac:dyDescent="0.2">
      <c r="CU302" s="154"/>
    </row>
    <row r="303" spans="99:99" ht="14.25" customHeight="1" x14ac:dyDescent="0.2">
      <c r="CU303" s="154"/>
    </row>
    <row r="304" spans="99:99" ht="14.25" customHeight="1" x14ac:dyDescent="0.2">
      <c r="CU304" s="154"/>
    </row>
    <row r="305" spans="99:99" ht="14.25" customHeight="1" x14ac:dyDescent="0.2">
      <c r="CU305" s="154"/>
    </row>
    <row r="306" spans="99:99" ht="14.25" customHeight="1" x14ac:dyDescent="0.2">
      <c r="CU306" s="154"/>
    </row>
    <row r="307" spans="99:99" ht="14.25" customHeight="1" x14ac:dyDescent="0.2">
      <c r="CU307" s="154"/>
    </row>
    <row r="308" spans="99:99" ht="14.25" customHeight="1" x14ac:dyDescent="0.2">
      <c r="CU308" s="154"/>
    </row>
    <row r="309" spans="99:99" ht="14.25" customHeight="1" x14ac:dyDescent="0.2">
      <c r="CU309" s="154"/>
    </row>
    <row r="310" spans="99:99" ht="14.25" customHeight="1" x14ac:dyDescent="0.2">
      <c r="CU310" s="154"/>
    </row>
    <row r="311" spans="99:99" ht="14.25" customHeight="1" x14ac:dyDescent="0.2">
      <c r="CU311" s="154"/>
    </row>
    <row r="312" spans="99:99" ht="14.25" customHeight="1" x14ac:dyDescent="0.2">
      <c r="CU312" s="154"/>
    </row>
    <row r="313" spans="99:99" ht="14.25" customHeight="1" x14ac:dyDescent="0.2">
      <c r="CU313" s="154"/>
    </row>
    <row r="314" spans="99:99" ht="14.25" customHeight="1" x14ac:dyDescent="0.2">
      <c r="CU314" s="154"/>
    </row>
    <row r="315" spans="99:99" ht="14.25" customHeight="1" x14ac:dyDescent="0.2">
      <c r="CU315" s="154"/>
    </row>
    <row r="316" spans="99:99" ht="14.25" customHeight="1" x14ac:dyDescent="0.2">
      <c r="CU316" s="154"/>
    </row>
    <row r="317" spans="99:99" ht="14.25" customHeight="1" x14ac:dyDescent="0.2">
      <c r="CU317" s="154"/>
    </row>
    <row r="318" spans="99:99" ht="14.25" customHeight="1" x14ac:dyDescent="0.2">
      <c r="CU318" s="154"/>
    </row>
    <row r="319" spans="99:99" ht="14.25" customHeight="1" x14ac:dyDescent="0.2">
      <c r="CU319" s="154"/>
    </row>
    <row r="320" spans="99:99" ht="14.25" customHeight="1" x14ac:dyDescent="0.2">
      <c r="CU320" s="154"/>
    </row>
    <row r="321" spans="99:99" ht="14.25" customHeight="1" x14ac:dyDescent="0.2">
      <c r="CU321" s="154"/>
    </row>
    <row r="322" spans="99:99" ht="14.25" customHeight="1" x14ac:dyDescent="0.2">
      <c r="CU322" s="154"/>
    </row>
    <row r="323" spans="99:99" ht="14.25" customHeight="1" x14ac:dyDescent="0.2">
      <c r="CU323" s="154"/>
    </row>
    <row r="324" spans="99:99" ht="14.25" customHeight="1" x14ac:dyDescent="0.2">
      <c r="CU324" s="154"/>
    </row>
    <row r="325" spans="99:99" ht="14.25" customHeight="1" x14ac:dyDescent="0.2">
      <c r="CU325" s="154"/>
    </row>
    <row r="326" spans="99:99" ht="14.25" customHeight="1" x14ac:dyDescent="0.2">
      <c r="CU326" s="154"/>
    </row>
    <row r="327" spans="99:99" ht="14.25" customHeight="1" x14ac:dyDescent="0.2">
      <c r="CU327" s="154"/>
    </row>
    <row r="328" spans="99:99" ht="14.25" customHeight="1" x14ac:dyDescent="0.2">
      <c r="CU328" s="154"/>
    </row>
    <row r="329" spans="99:99" ht="14.25" customHeight="1" x14ac:dyDescent="0.2">
      <c r="CU329" s="154"/>
    </row>
    <row r="330" spans="99:99" ht="14.25" customHeight="1" x14ac:dyDescent="0.2">
      <c r="CU330" s="154"/>
    </row>
    <row r="331" spans="99:99" ht="14.25" customHeight="1" x14ac:dyDescent="0.2">
      <c r="CU331" s="154"/>
    </row>
    <row r="332" spans="99:99" ht="14.25" customHeight="1" x14ac:dyDescent="0.2">
      <c r="CU332" s="154"/>
    </row>
    <row r="333" spans="99:99" ht="14.25" customHeight="1" x14ac:dyDescent="0.2">
      <c r="CU333" s="154"/>
    </row>
    <row r="334" spans="99:99" ht="14.25" customHeight="1" x14ac:dyDescent="0.2">
      <c r="CU334" s="154"/>
    </row>
    <row r="335" spans="99:99" ht="14.25" customHeight="1" x14ac:dyDescent="0.2">
      <c r="CU335" s="154"/>
    </row>
    <row r="336" spans="99:99" ht="14.25" customHeight="1" x14ac:dyDescent="0.2">
      <c r="CU336" s="154"/>
    </row>
    <row r="337" spans="99:99" ht="14.25" customHeight="1" x14ac:dyDescent="0.2">
      <c r="CU337" s="154"/>
    </row>
    <row r="338" spans="99:99" ht="14.25" customHeight="1" x14ac:dyDescent="0.2">
      <c r="CU338" s="154"/>
    </row>
    <row r="339" spans="99:99" ht="14.25" customHeight="1" x14ac:dyDescent="0.2">
      <c r="CU339" s="154"/>
    </row>
    <row r="340" spans="99:99" ht="14.25" customHeight="1" x14ac:dyDescent="0.2">
      <c r="CU340" s="154"/>
    </row>
    <row r="341" spans="99:99" ht="14.25" customHeight="1" x14ac:dyDescent="0.2">
      <c r="CU341" s="154"/>
    </row>
    <row r="342" spans="99:99" ht="14.25" customHeight="1" x14ac:dyDescent="0.2">
      <c r="CU342" s="154"/>
    </row>
    <row r="343" spans="99:99" ht="14.25" customHeight="1" x14ac:dyDescent="0.2">
      <c r="CU343" s="154"/>
    </row>
    <row r="344" spans="99:99" ht="14.25" customHeight="1" x14ac:dyDescent="0.2">
      <c r="CU344" s="154"/>
    </row>
    <row r="345" spans="99:99" ht="14.25" customHeight="1" x14ac:dyDescent="0.2">
      <c r="CU345" s="154"/>
    </row>
    <row r="346" spans="99:99" ht="14.25" customHeight="1" x14ac:dyDescent="0.2">
      <c r="CU346" s="154"/>
    </row>
    <row r="347" spans="99:99" ht="14.25" customHeight="1" x14ac:dyDescent="0.2">
      <c r="CU347" s="154"/>
    </row>
    <row r="348" spans="99:99" ht="14.25" customHeight="1" x14ac:dyDescent="0.2">
      <c r="CU348" s="154"/>
    </row>
    <row r="349" spans="99:99" ht="14.25" customHeight="1" x14ac:dyDescent="0.2">
      <c r="CU349" s="154"/>
    </row>
    <row r="350" spans="99:99" ht="14.25" customHeight="1" x14ac:dyDescent="0.2">
      <c r="CU350" s="154"/>
    </row>
    <row r="351" spans="99:99" ht="14.25" customHeight="1" x14ac:dyDescent="0.2">
      <c r="CU351" s="154"/>
    </row>
    <row r="352" spans="99:99" ht="14.25" customHeight="1" x14ac:dyDescent="0.2">
      <c r="CU352" s="154"/>
    </row>
    <row r="353" spans="99:99" ht="14.25" customHeight="1" x14ac:dyDescent="0.2">
      <c r="CU353" s="154"/>
    </row>
    <row r="354" spans="99:99" ht="14.25" customHeight="1" x14ac:dyDescent="0.2">
      <c r="CU354" s="154"/>
    </row>
    <row r="355" spans="99:99" ht="14.25" customHeight="1" x14ac:dyDescent="0.2">
      <c r="CU355" s="154"/>
    </row>
    <row r="356" spans="99:99" ht="14.25" customHeight="1" x14ac:dyDescent="0.2">
      <c r="CU356" s="154"/>
    </row>
    <row r="357" spans="99:99" ht="14.25" customHeight="1" x14ac:dyDescent="0.2">
      <c r="CU357" s="154"/>
    </row>
    <row r="358" spans="99:99" ht="14.25" customHeight="1" x14ac:dyDescent="0.2">
      <c r="CU358" s="154"/>
    </row>
    <row r="359" spans="99:99" ht="14.25" customHeight="1" x14ac:dyDescent="0.2">
      <c r="CU359" s="154"/>
    </row>
    <row r="360" spans="99:99" ht="14.25" customHeight="1" x14ac:dyDescent="0.2">
      <c r="CU360" s="154"/>
    </row>
    <row r="361" spans="99:99" ht="14.25" customHeight="1" x14ac:dyDescent="0.2">
      <c r="CU361" s="154"/>
    </row>
    <row r="362" spans="99:99" ht="14.25" customHeight="1" x14ac:dyDescent="0.2">
      <c r="CU362" s="154"/>
    </row>
    <row r="363" spans="99:99" ht="14.25" customHeight="1" x14ac:dyDescent="0.2">
      <c r="CU363" s="154"/>
    </row>
    <row r="364" spans="99:99" ht="14.25" customHeight="1" x14ac:dyDescent="0.2">
      <c r="CU364" s="154"/>
    </row>
    <row r="365" spans="99:99" ht="14.25" customHeight="1" x14ac:dyDescent="0.2">
      <c r="CU365" s="154"/>
    </row>
    <row r="366" spans="99:99" ht="14.25" customHeight="1" x14ac:dyDescent="0.2">
      <c r="CU366" s="154"/>
    </row>
    <row r="367" spans="99:99" ht="14.25" customHeight="1" x14ac:dyDescent="0.2">
      <c r="CU367" s="154"/>
    </row>
    <row r="368" spans="99:99" ht="14.25" customHeight="1" x14ac:dyDescent="0.2">
      <c r="CU368" s="154"/>
    </row>
    <row r="369" spans="99:99" ht="14.25" customHeight="1" x14ac:dyDescent="0.2">
      <c r="CU369" s="154"/>
    </row>
    <row r="370" spans="99:99" ht="14.25" customHeight="1" x14ac:dyDescent="0.2">
      <c r="CU370" s="154"/>
    </row>
    <row r="371" spans="99:99" ht="14.25" customHeight="1" x14ac:dyDescent="0.2">
      <c r="CU371" s="154"/>
    </row>
    <row r="372" spans="99:99" ht="14.25" customHeight="1" x14ac:dyDescent="0.2">
      <c r="CU372" s="154"/>
    </row>
    <row r="373" spans="99:99" ht="14.25" customHeight="1" x14ac:dyDescent="0.2">
      <c r="CU373" s="154"/>
    </row>
    <row r="374" spans="99:99" ht="14.25" customHeight="1" x14ac:dyDescent="0.2">
      <c r="CU374" s="154"/>
    </row>
    <row r="375" spans="99:99" ht="14.25" customHeight="1" x14ac:dyDescent="0.2">
      <c r="CU375" s="154"/>
    </row>
    <row r="376" spans="99:99" ht="14.25" customHeight="1" x14ac:dyDescent="0.2">
      <c r="CU376" s="154"/>
    </row>
    <row r="377" spans="99:99" ht="14.25" customHeight="1" x14ac:dyDescent="0.2">
      <c r="CU377" s="154"/>
    </row>
    <row r="378" spans="99:99" ht="14.25" customHeight="1" x14ac:dyDescent="0.2">
      <c r="CU378" s="154"/>
    </row>
    <row r="379" spans="99:99" ht="14.25" customHeight="1" x14ac:dyDescent="0.2">
      <c r="CU379" s="154"/>
    </row>
    <row r="380" spans="99:99" ht="14.25" customHeight="1" x14ac:dyDescent="0.2">
      <c r="CU380" s="154"/>
    </row>
    <row r="381" spans="99:99" ht="14.25" customHeight="1" x14ac:dyDescent="0.2">
      <c r="CU381" s="154"/>
    </row>
    <row r="382" spans="99:99" ht="14.25" customHeight="1" x14ac:dyDescent="0.2">
      <c r="CU382" s="154"/>
    </row>
    <row r="383" spans="99:99" ht="14.25" customHeight="1" x14ac:dyDescent="0.2">
      <c r="CU383" s="154"/>
    </row>
    <row r="384" spans="99:99" ht="14.25" customHeight="1" x14ac:dyDescent="0.2">
      <c r="CU384" s="154"/>
    </row>
    <row r="385" spans="99:99" ht="14.25" customHeight="1" x14ac:dyDescent="0.2">
      <c r="CU385" s="154"/>
    </row>
    <row r="386" spans="99:99" ht="14.25" customHeight="1" x14ac:dyDescent="0.2">
      <c r="CU386" s="154"/>
    </row>
    <row r="387" spans="99:99" ht="14.25" customHeight="1" x14ac:dyDescent="0.2">
      <c r="CU387" s="154"/>
    </row>
    <row r="388" spans="99:99" ht="14.25" customHeight="1" x14ac:dyDescent="0.2">
      <c r="CU388" s="154"/>
    </row>
    <row r="389" spans="99:99" ht="14.25" customHeight="1" x14ac:dyDescent="0.2">
      <c r="CU389" s="154"/>
    </row>
    <row r="390" spans="99:99" ht="14.25" customHeight="1" x14ac:dyDescent="0.2">
      <c r="CU390" s="154"/>
    </row>
    <row r="391" spans="99:99" ht="14.25" customHeight="1" x14ac:dyDescent="0.2">
      <c r="CU391" s="154"/>
    </row>
    <row r="392" spans="99:99" ht="14.25" customHeight="1" x14ac:dyDescent="0.2">
      <c r="CU392" s="154"/>
    </row>
    <row r="393" spans="99:99" ht="14.25" customHeight="1" x14ac:dyDescent="0.2">
      <c r="CU393" s="154"/>
    </row>
    <row r="394" spans="99:99" ht="14.25" customHeight="1" x14ac:dyDescent="0.2">
      <c r="CU394" s="154"/>
    </row>
    <row r="395" spans="99:99" ht="14.25" customHeight="1" x14ac:dyDescent="0.2">
      <c r="CU395" s="154"/>
    </row>
    <row r="396" spans="99:99" ht="14.25" customHeight="1" x14ac:dyDescent="0.2">
      <c r="CU396" s="154"/>
    </row>
    <row r="397" spans="99:99" ht="14.25" customHeight="1" x14ac:dyDescent="0.2">
      <c r="CU397" s="154"/>
    </row>
    <row r="398" spans="99:99" ht="14.25" customHeight="1" x14ac:dyDescent="0.2">
      <c r="CU398" s="154"/>
    </row>
    <row r="399" spans="99:99" ht="14.25" customHeight="1" x14ac:dyDescent="0.2">
      <c r="CU399" s="154"/>
    </row>
    <row r="400" spans="99:99" ht="14.25" customHeight="1" x14ac:dyDescent="0.2">
      <c r="CU400" s="154"/>
    </row>
    <row r="401" spans="99:99" ht="14.25" customHeight="1" x14ac:dyDescent="0.2">
      <c r="CU401" s="154"/>
    </row>
    <row r="402" spans="99:99" ht="14.25" customHeight="1" x14ac:dyDescent="0.2">
      <c r="CU402" s="154"/>
    </row>
    <row r="403" spans="99:99" ht="14.25" customHeight="1" x14ac:dyDescent="0.2">
      <c r="CU403" s="154"/>
    </row>
    <row r="404" spans="99:99" ht="14.25" customHeight="1" x14ac:dyDescent="0.2">
      <c r="CU404" s="154"/>
    </row>
    <row r="405" spans="99:99" ht="14.25" customHeight="1" x14ac:dyDescent="0.2">
      <c r="CU405" s="154"/>
    </row>
    <row r="406" spans="99:99" ht="14.25" customHeight="1" x14ac:dyDescent="0.2">
      <c r="CU406" s="154"/>
    </row>
    <row r="407" spans="99:99" ht="14.25" customHeight="1" x14ac:dyDescent="0.2">
      <c r="CU407" s="154"/>
    </row>
    <row r="408" spans="99:99" ht="14.25" customHeight="1" x14ac:dyDescent="0.2">
      <c r="CU408" s="154"/>
    </row>
    <row r="409" spans="99:99" ht="14.25" customHeight="1" x14ac:dyDescent="0.2">
      <c r="CU409" s="154"/>
    </row>
    <row r="410" spans="99:99" ht="14.25" customHeight="1" x14ac:dyDescent="0.2">
      <c r="CU410" s="154"/>
    </row>
    <row r="411" spans="99:99" ht="14.25" customHeight="1" x14ac:dyDescent="0.2">
      <c r="CU411" s="154"/>
    </row>
    <row r="412" spans="99:99" ht="14.25" customHeight="1" x14ac:dyDescent="0.2">
      <c r="CU412" s="154"/>
    </row>
    <row r="413" spans="99:99" ht="14.25" customHeight="1" x14ac:dyDescent="0.2">
      <c r="CU413" s="154"/>
    </row>
    <row r="414" spans="99:99" ht="14.25" customHeight="1" x14ac:dyDescent="0.2">
      <c r="CU414" s="154"/>
    </row>
    <row r="415" spans="99:99" ht="14.25" customHeight="1" x14ac:dyDescent="0.2">
      <c r="CU415" s="154"/>
    </row>
    <row r="416" spans="99:99" ht="14.25" customHeight="1" x14ac:dyDescent="0.2">
      <c r="CU416" s="154"/>
    </row>
    <row r="417" spans="99:99" ht="14.25" customHeight="1" x14ac:dyDescent="0.2">
      <c r="CU417" s="154"/>
    </row>
    <row r="418" spans="99:99" ht="14.25" customHeight="1" x14ac:dyDescent="0.2">
      <c r="CU418" s="154"/>
    </row>
    <row r="419" spans="99:99" ht="14.25" customHeight="1" x14ac:dyDescent="0.2">
      <c r="CU419" s="154"/>
    </row>
    <row r="420" spans="99:99" ht="14.25" customHeight="1" x14ac:dyDescent="0.2">
      <c r="CU420" s="154"/>
    </row>
    <row r="421" spans="99:99" ht="14.25" customHeight="1" x14ac:dyDescent="0.2">
      <c r="CU421" s="154"/>
    </row>
    <row r="422" spans="99:99" ht="14.25" customHeight="1" x14ac:dyDescent="0.2">
      <c r="CU422" s="154"/>
    </row>
    <row r="423" spans="99:99" ht="14.25" customHeight="1" x14ac:dyDescent="0.2">
      <c r="CU423" s="154"/>
    </row>
    <row r="424" spans="99:99" ht="14.25" customHeight="1" x14ac:dyDescent="0.2">
      <c r="CU424" s="154"/>
    </row>
    <row r="425" spans="99:99" ht="14.25" customHeight="1" x14ac:dyDescent="0.2">
      <c r="CU425" s="154"/>
    </row>
    <row r="426" spans="99:99" ht="14.25" customHeight="1" x14ac:dyDescent="0.2">
      <c r="CU426" s="154"/>
    </row>
    <row r="427" spans="99:99" ht="14.25" customHeight="1" x14ac:dyDescent="0.2">
      <c r="CU427" s="154"/>
    </row>
    <row r="428" spans="99:99" ht="14.25" customHeight="1" x14ac:dyDescent="0.2">
      <c r="CU428" s="154"/>
    </row>
    <row r="429" spans="99:99" ht="14.25" customHeight="1" x14ac:dyDescent="0.2">
      <c r="CU429" s="154"/>
    </row>
    <row r="430" spans="99:99" ht="14.25" customHeight="1" x14ac:dyDescent="0.2">
      <c r="CU430" s="154"/>
    </row>
    <row r="431" spans="99:99" ht="14.25" customHeight="1" x14ac:dyDescent="0.2">
      <c r="CU431" s="154"/>
    </row>
    <row r="432" spans="99:99" ht="14.25" customHeight="1" x14ac:dyDescent="0.2">
      <c r="CU432" s="154"/>
    </row>
    <row r="433" spans="99:99" ht="14.25" customHeight="1" x14ac:dyDescent="0.2">
      <c r="CU433" s="154"/>
    </row>
    <row r="434" spans="99:99" ht="14.25" customHeight="1" x14ac:dyDescent="0.2">
      <c r="CU434" s="154"/>
    </row>
    <row r="435" spans="99:99" ht="14.25" customHeight="1" x14ac:dyDescent="0.2">
      <c r="CU435" s="154"/>
    </row>
    <row r="436" spans="99:99" ht="14.25" customHeight="1" x14ac:dyDescent="0.2">
      <c r="CU436" s="154"/>
    </row>
    <row r="437" spans="99:99" ht="14.25" customHeight="1" x14ac:dyDescent="0.2">
      <c r="CU437" s="154"/>
    </row>
    <row r="438" spans="99:99" ht="14.25" customHeight="1" x14ac:dyDescent="0.2">
      <c r="CU438" s="154"/>
    </row>
    <row r="439" spans="99:99" ht="14.25" customHeight="1" x14ac:dyDescent="0.2">
      <c r="CU439" s="154"/>
    </row>
    <row r="440" spans="99:99" ht="14.25" customHeight="1" x14ac:dyDescent="0.2">
      <c r="CU440" s="154"/>
    </row>
    <row r="441" spans="99:99" ht="14.25" customHeight="1" x14ac:dyDescent="0.2">
      <c r="CU441" s="154"/>
    </row>
    <row r="442" spans="99:99" ht="14.25" customHeight="1" x14ac:dyDescent="0.2">
      <c r="CU442" s="154"/>
    </row>
    <row r="443" spans="99:99" ht="14.25" customHeight="1" x14ac:dyDescent="0.2">
      <c r="CU443" s="154"/>
    </row>
    <row r="444" spans="99:99" ht="14.25" customHeight="1" x14ac:dyDescent="0.2">
      <c r="CU444" s="154"/>
    </row>
    <row r="445" spans="99:99" ht="14.25" customHeight="1" x14ac:dyDescent="0.2">
      <c r="CU445" s="154"/>
    </row>
    <row r="446" spans="99:99" ht="14.25" customHeight="1" x14ac:dyDescent="0.2">
      <c r="CU446" s="154"/>
    </row>
    <row r="447" spans="99:99" ht="14.25" customHeight="1" x14ac:dyDescent="0.2">
      <c r="CU447" s="154"/>
    </row>
    <row r="448" spans="99:99" ht="14.25" customHeight="1" x14ac:dyDescent="0.2">
      <c r="CU448" s="154"/>
    </row>
    <row r="449" spans="99:99" ht="14.25" customHeight="1" x14ac:dyDescent="0.2">
      <c r="CU449" s="154"/>
    </row>
    <row r="450" spans="99:99" ht="14.25" customHeight="1" x14ac:dyDescent="0.2">
      <c r="CU450" s="154"/>
    </row>
    <row r="451" spans="99:99" ht="14.25" customHeight="1" x14ac:dyDescent="0.2">
      <c r="CU451" s="154"/>
    </row>
    <row r="452" spans="99:99" ht="14.25" customHeight="1" x14ac:dyDescent="0.2">
      <c r="CU452" s="154"/>
    </row>
    <row r="453" spans="99:99" ht="14.25" customHeight="1" x14ac:dyDescent="0.2">
      <c r="CU453" s="154"/>
    </row>
    <row r="454" spans="99:99" ht="14.25" customHeight="1" x14ac:dyDescent="0.2">
      <c r="CU454" s="154"/>
    </row>
    <row r="455" spans="99:99" ht="14.25" customHeight="1" x14ac:dyDescent="0.2">
      <c r="CU455" s="154"/>
    </row>
    <row r="456" spans="99:99" ht="14.25" customHeight="1" x14ac:dyDescent="0.2">
      <c r="CU456" s="154"/>
    </row>
    <row r="457" spans="99:99" ht="14.25" customHeight="1" x14ac:dyDescent="0.2">
      <c r="CU457" s="154"/>
    </row>
    <row r="458" spans="99:99" ht="14.25" customHeight="1" x14ac:dyDescent="0.2">
      <c r="CU458" s="154"/>
    </row>
    <row r="459" spans="99:99" ht="14.25" customHeight="1" x14ac:dyDescent="0.2">
      <c r="CU459" s="154"/>
    </row>
    <row r="460" spans="99:99" ht="14.25" customHeight="1" x14ac:dyDescent="0.2">
      <c r="CU460" s="154"/>
    </row>
    <row r="461" spans="99:99" ht="14.25" customHeight="1" x14ac:dyDescent="0.2">
      <c r="CU461" s="154"/>
    </row>
    <row r="462" spans="99:99" ht="14.25" customHeight="1" x14ac:dyDescent="0.2">
      <c r="CU462" s="154"/>
    </row>
    <row r="463" spans="99:99" ht="14.25" customHeight="1" x14ac:dyDescent="0.2">
      <c r="CU463" s="154"/>
    </row>
    <row r="464" spans="99:99" ht="14.25" customHeight="1" x14ac:dyDescent="0.2">
      <c r="CU464" s="154"/>
    </row>
    <row r="465" spans="99:99" ht="14.25" customHeight="1" x14ac:dyDescent="0.2">
      <c r="CU465" s="154"/>
    </row>
    <row r="466" spans="99:99" ht="14.25" customHeight="1" x14ac:dyDescent="0.2">
      <c r="CU466" s="154"/>
    </row>
    <row r="467" spans="99:99" ht="14.25" customHeight="1" x14ac:dyDescent="0.2">
      <c r="CU467" s="154"/>
    </row>
    <row r="468" spans="99:99" ht="14.25" customHeight="1" x14ac:dyDescent="0.2">
      <c r="CU468" s="154"/>
    </row>
    <row r="469" spans="99:99" ht="14.25" customHeight="1" x14ac:dyDescent="0.2">
      <c r="CU469" s="154"/>
    </row>
    <row r="470" spans="99:99" ht="14.25" customHeight="1" x14ac:dyDescent="0.2">
      <c r="CU470" s="154"/>
    </row>
    <row r="471" spans="99:99" ht="14.25" customHeight="1" x14ac:dyDescent="0.2">
      <c r="CU471" s="154"/>
    </row>
    <row r="472" spans="99:99" ht="14.25" customHeight="1" x14ac:dyDescent="0.2">
      <c r="CU472" s="154"/>
    </row>
    <row r="473" spans="99:99" ht="14.25" customHeight="1" x14ac:dyDescent="0.2">
      <c r="CU473" s="154"/>
    </row>
    <row r="474" spans="99:99" ht="14.25" customHeight="1" x14ac:dyDescent="0.2">
      <c r="CU474" s="154"/>
    </row>
    <row r="475" spans="99:99" ht="14.25" customHeight="1" x14ac:dyDescent="0.2">
      <c r="CU475" s="154"/>
    </row>
    <row r="476" spans="99:99" ht="14.25" customHeight="1" x14ac:dyDescent="0.2">
      <c r="CU476" s="154"/>
    </row>
    <row r="477" spans="99:99" ht="14.25" customHeight="1" x14ac:dyDescent="0.2">
      <c r="CU477" s="154"/>
    </row>
    <row r="478" spans="99:99" ht="14.25" customHeight="1" x14ac:dyDescent="0.2">
      <c r="CU478" s="154"/>
    </row>
    <row r="479" spans="99:99" ht="14.25" customHeight="1" x14ac:dyDescent="0.2">
      <c r="CU479" s="154"/>
    </row>
    <row r="480" spans="99:99" ht="14.25" customHeight="1" x14ac:dyDescent="0.2">
      <c r="CU480" s="154"/>
    </row>
    <row r="481" spans="99:99" ht="14.25" customHeight="1" x14ac:dyDescent="0.2">
      <c r="CU481" s="154"/>
    </row>
    <row r="482" spans="99:99" ht="14.25" customHeight="1" x14ac:dyDescent="0.2">
      <c r="CU482" s="154"/>
    </row>
    <row r="483" spans="99:99" ht="14.25" customHeight="1" x14ac:dyDescent="0.2">
      <c r="CU483" s="154"/>
    </row>
    <row r="484" spans="99:99" ht="14.25" customHeight="1" x14ac:dyDescent="0.2">
      <c r="CU484" s="154"/>
    </row>
    <row r="485" spans="99:99" ht="14.25" customHeight="1" x14ac:dyDescent="0.2">
      <c r="CU485" s="154"/>
    </row>
    <row r="486" spans="99:99" ht="14.25" customHeight="1" x14ac:dyDescent="0.2">
      <c r="CU486" s="154"/>
    </row>
    <row r="487" spans="99:99" ht="14.25" customHeight="1" x14ac:dyDescent="0.2">
      <c r="CU487" s="154"/>
    </row>
    <row r="488" spans="99:99" ht="14.25" customHeight="1" x14ac:dyDescent="0.2">
      <c r="CU488" s="154"/>
    </row>
    <row r="489" spans="99:99" ht="14.25" customHeight="1" x14ac:dyDescent="0.2">
      <c r="CU489" s="154"/>
    </row>
    <row r="490" spans="99:99" ht="14.25" customHeight="1" x14ac:dyDescent="0.2">
      <c r="CU490" s="154"/>
    </row>
    <row r="491" spans="99:99" ht="14.25" customHeight="1" x14ac:dyDescent="0.2">
      <c r="CU491" s="154"/>
    </row>
    <row r="492" spans="99:99" ht="14.25" customHeight="1" x14ac:dyDescent="0.2">
      <c r="CU492" s="154"/>
    </row>
    <row r="493" spans="99:99" ht="14.25" customHeight="1" x14ac:dyDescent="0.2">
      <c r="CU493" s="154"/>
    </row>
    <row r="494" spans="99:99" ht="14.25" customHeight="1" x14ac:dyDescent="0.2">
      <c r="CU494" s="154"/>
    </row>
    <row r="495" spans="99:99" ht="14.25" customHeight="1" x14ac:dyDescent="0.2">
      <c r="CU495" s="154"/>
    </row>
    <row r="496" spans="99:99" ht="14.25" customHeight="1" x14ac:dyDescent="0.2">
      <c r="CU496" s="154"/>
    </row>
    <row r="497" spans="99:99" ht="14.25" customHeight="1" x14ac:dyDescent="0.2">
      <c r="CU497" s="154"/>
    </row>
    <row r="498" spans="99:99" ht="14.25" customHeight="1" x14ac:dyDescent="0.2">
      <c r="CU498" s="154"/>
    </row>
    <row r="499" spans="99:99" ht="14.25" customHeight="1" x14ac:dyDescent="0.2">
      <c r="CU499" s="154"/>
    </row>
    <row r="500" spans="99:99" ht="14.25" customHeight="1" x14ac:dyDescent="0.2">
      <c r="CU500" s="154"/>
    </row>
    <row r="501" spans="99:99" ht="14.25" customHeight="1" x14ac:dyDescent="0.2">
      <c r="CU501" s="154"/>
    </row>
    <row r="502" spans="99:99" ht="14.25" customHeight="1" x14ac:dyDescent="0.2">
      <c r="CU502" s="154"/>
    </row>
    <row r="503" spans="99:99" ht="14.25" customHeight="1" x14ac:dyDescent="0.2">
      <c r="CU503" s="154"/>
    </row>
    <row r="504" spans="99:99" ht="14.25" customHeight="1" x14ac:dyDescent="0.2">
      <c r="CU504" s="154"/>
    </row>
    <row r="505" spans="99:99" ht="14.25" customHeight="1" x14ac:dyDescent="0.2">
      <c r="CU505" s="154"/>
    </row>
    <row r="506" spans="99:99" ht="14.25" customHeight="1" x14ac:dyDescent="0.2">
      <c r="CU506" s="154"/>
    </row>
    <row r="507" spans="99:99" ht="14.25" customHeight="1" x14ac:dyDescent="0.2">
      <c r="CU507" s="154"/>
    </row>
    <row r="508" spans="99:99" ht="14.25" customHeight="1" x14ac:dyDescent="0.2">
      <c r="CU508" s="154"/>
    </row>
    <row r="509" spans="99:99" ht="14.25" customHeight="1" x14ac:dyDescent="0.2">
      <c r="CU509" s="154"/>
    </row>
    <row r="510" spans="99:99" ht="14.25" customHeight="1" x14ac:dyDescent="0.2">
      <c r="CU510" s="154"/>
    </row>
    <row r="511" spans="99:99" ht="14.25" customHeight="1" x14ac:dyDescent="0.2">
      <c r="CU511" s="154"/>
    </row>
    <row r="512" spans="99:99" ht="14.25" customHeight="1" x14ac:dyDescent="0.2">
      <c r="CU512" s="154"/>
    </row>
    <row r="513" spans="99:99" ht="14.25" customHeight="1" x14ac:dyDescent="0.2">
      <c r="CU513" s="154"/>
    </row>
    <row r="514" spans="99:99" ht="14.25" customHeight="1" x14ac:dyDescent="0.2">
      <c r="CU514" s="154"/>
    </row>
    <row r="515" spans="99:99" ht="14.25" customHeight="1" x14ac:dyDescent="0.2">
      <c r="CU515" s="154"/>
    </row>
    <row r="516" spans="99:99" ht="14.25" customHeight="1" x14ac:dyDescent="0.2">
      <c r="CU516" s="154"/>
    </row>
    <row r="517" spans="99:99" ht="14.25" customHeight="1" x14ac:dyDescent="0.2">
      <c r="CU517" s="154"/>
    </row>
    <row r="518" spans="99:99" ht="14.25" customHeight="1" x14ac:dyDescent="0.2">
      <c r="CU518" s="154"/>
    </row>
    <row r="519" spans="99:99" ht="14.25" customHeight="1" x14ac:dyDescent="0.2">
      <c r="CU519" s="154"/>
    </row>
    <row r="520" spans="99:99" ht="14.25" customHeight="1" x14ac:dyDescent="0.2">
      <c r="CU520" s="154"/>
    </row>
    <row r="521" spans="99:99" ht="14.25" customHeight="1" x14ac:dyDescent="0.2">
      <c r="CU521" s="154"/>
    </row>
    <row r="522" spans="99:99" ht="14.25" customHeight="1" x14ac:dyDescent="0.2">
      <c r="CU522" s="154"/>
    </row>
    <row r="523" spans="99:99" ht="14.25" customHeight="1" x14ac:dyDescent="0.2">
      <c r="CU523" s="154"/>
    </row>
    <row r="524" spans="99:99" ht="14.25" customHeight="1" x14ac:dyDescent="0.2">
      <c r="CU524" s="154"/>
    </row>
    <row r="525" spans="99:99" ht="14.25" customHeight="1" x14ac:dyDescent="0.2">
      <c r="CU525" s="154"/>
    </row>
    <row r="526" spans="99:99" ht="14.25" customHeight="1" x14ac:dyDescent="0.2">
      <c r="CU526" s="154"/>
    </row>
    <row r="527" spans="99:99" ht="14.25" customHeight="1" x14ac:dyDescent="0.2">
      <c r="CU527" s="154"/>
    </row>
    <row r="528" spans="99:99" ht="14.25" customHeight="1" x14ac:dyDescent="0.2">
      <c r="CU528" s="154"/>
    </row>
    <row r="529" spans="99:99" ht="14.25" customHeight="1" x14ac:dyDescent="0.2">
      <c r="CU529" s="154"/>
    </row>
    <row r="530" spans="99:99" ht="14.25" customHeight="1" x14ac:dyDescent="0.2">
      <c r="CU530" s="154"/>
    </row>
    <row r="531" spans="99:99" ht="14.25" customHeight="1" x14ac:dyDescent="0.2">
      <c r="CU531" s="154"/>
    </row>
    <row r="532" spans="99:99" ht="14.25" customHeight="1" x14ac:dyDescent="0.2">
      <c r="CU532" s="154"/>
    </row>
    <row r="533" spans="99:99" ht="14.25" customHeight="1" x14ac:dyDescent="0.2">
      <c r="CU533" s="154"/>
    </row>
    <row r="534" spans="99:99" ht="14.25" customHeight="1" x14ac:dyDescent="0.2">
      <c r="CU534" s="154"/>
    </row>
    <row r="535" spans="99:99" ht="14.25" customHeight="1" x14ac:dyDescent="0.2">
      <c r="CU535" s="154"/>
    </row>
    <row r="536" spans="99:99" ht="14.25" customHeight="1" x14ac:dyDescent="0.2">
      <c r="CU536" s="154"/>
    </row>
    <row r="537" spans="99:99" ht="14.25" customHeight="1" x14ac:dyDescent="0.2">
      <c r="CU537" s="154"/>
    </row>
    <row r="538" spans="99:99" ht="14.25" customHeight="1" x14ac:dyDescent="0.2">
      <c r="CU538" s="154"/>
    </row>
    <row r="539" spans="99:99" ht="14.25" customHeight="1" x14ac:dyDescent="0.2">
      <c r="CU539" s="154"/>
    </row>
    <row r="540" spans="99:99" ht="14.25" customHeight="1" x14ac:dyDescent="0.2">
      <c r="CU540" s="154"/>
    </row>
    <row r="541" spans="99:99" ht="14.25" customHeight="1" x14ac:dyDescent="0.2">
      <c r="CU541" s="154"/>
    </row>
    <row r="542" spans="99:99" ht="14.25" customHeight="1" x14ac:dyDescent="0.2">
      <c r="CU542" s="154"/>
    </row>
    <row r="543" spans="99:99" ht="14.25" customHeight="1" x14ac:dyDescent="0.2">
      <c r="CU543" s="154"/>
    </row>
    <row r="544" spans="99:99" ht="14.25" customHeight="1" x14ac:dyDescent="0.2">
      <c r="CU544" s="154"/>
    </row>
    <row r="545" spans="99:99" ht="14.25" customHeight="1" x14ac:dyDescent="0.2">
      <c r="CU545" s="154"/>
    </row>
    <row r="546" spans="99:99" ht="14.25" customHeight="1" x14ac:dyDescent="0.2">
      <c r="CU546" s="154"/>
    </row>
    <row r="547" spans="99:99" ht="14.25" customHeight="1" x14ac:dyDescent="0.2">
      <c r="CU547" s="154"/>
    </row>
    <row r="548" spans="99:99" ht="14.25" customHeight="1" x14ac:dyDescent="0.2">
      <c r="CU548" s="154"/>
    </row>
    <row r="549" spans="99:99" ht="14.25" customHeight="1" x14ac:dyDescent="0.2">
      <c r="CU549" s="154"/>
    </row>
    <row r="550" spans="99:99" ht="14.25" customHeight="1" x14ac:dyDescent="0.2">
      <c r="CU550" s="154"/>
    </row>
    <row r="551" spans="99:99" ht="14.25" customHeight="1" x14ac:dyDescent="0.2">
      <c r="CU551" s="154"/>
    </row>
    <row r="552" spans="99:99" ht="14.25" customHeight="1" x14ac:dyDescent="0.2">
      <c r="CU552" s="154"/>
    </row>
    <row r="553" spans="99:99" ht="14.25" customHeight="1" x14ac:dyDescent="0.2">
      <c r="CU553" s="154"/>
    </row>
    <row r="554" spans="99:99" ht="14.25" customHeight="1" x14ac:dyDescent="0.2">
      <c r="CU554" s="154"/>
    </row>
    <row r="555" spans="99:99" ht="14.25" customHeight="1" x14ac:dyDescent="0.2">
      <c r="CU555" s="154"/>
    </row>
    <row r="556" spans="99:99" ht="14.25" customHeight="1" x14ac:dyDescent="0.2">
      <c r="CU556" s="154"/>
    </row>
    <row r="557" spans="99:99" ht="14.25" customHeight="1" x14ac:dyDescent="0.2">
      <c r="CU557" s="154"/>
    </row>
    <row r="558" spans="99:99" ht="14.25" customHeight="1" x14ac:dyDescent="0.2">
      <c r="CU558" s="154"/>
    </row>
    <row r="559" spans="99:99" ht="14.25" customHeight="1" x14ac:dyDescent="0.2">
      <c r="CU559" s="154"/>
    </row>
    <row r="560" spans="99:99" ht="14.25" customHeight="1" x14ac:dyDescent="0.2">
      <c r="CU560" s="154"/>
    </row>
    <row r="561" spans="99:99" ht="14.25" customHeight="1" x14ac:dyDescent="0.2">
      <c r="CU561" s="154"/>
    </row>
    <row r="562" spans="99:99" ht="14.25" customHeight="1" x14ac:dyDescent="0.2">
      <c r="CU562" s="154"/>
    </row>
    <row r="563" spans="99:99" ht="14.25" customHeight="1" x14ac:dyDescent="0.2">
      <c r="CU563" s="154"/>
    </row>
    <row r="564" spans="99:99" ht="14.25" customHeight="1" x14ac:dyDescent="0.2">
      <c r="CU564" s="154"/>
    </row>
    <row r="565" spans="99:99" ht="14.25" customHeight="1" x14ac:dyDescent="0.2">
      <c r="CU565" s="154"/>
    </row>
    <row r="566" spans="99:99" ht="14.25" customHeight="1" x14ac:dyDescent="0.2">
      <c r="CU566" s="154"/>
    </row>
    <row r="567" spans="99:99" ht="14.25" customHeight="1" x14ac:dyDescent="0.2">
      <c r="CU567" s="154"/>
    </row>
    <row r="568" spans="99:99" ht="14.25" customHeight="1" x14ac:dyDescent="0.2">
      <c r="CU568" s="154"/>
    </row>
    <row r="569" spans="99:99" ht="14.25" customHeight="1" x14ac:dyDescent="0.2">
      <c r="CU569" s="154"/>
    </row>
    <row r="570" spans="99:99" ht="14.25" customHeight="1" x14ac:dyDescent="0.2">
      <c r="CU570" s="154"/>
    </row>
    <row r="571" spans="99:99" ht="14.25" customHeight="1" x14ac:dyDescent="0.2">
      <c r="CU571" s="154"/>
    </row>
    <row r="572" spans="99:99" ht="14.25" customHeight="1" x14ac:dyDescent="0.2">
      <c r="CU572" s="154"/>
    </row>
    <row r="573" spans="99:99" ht="14.25" customHeight="1" x14ac:dyDescent="0.2">
      <c r="CU573" s="154"/>
    </row>
    <row r="574" spans="99:99" ht="14.25" customHeight="1" x14ac:dyDescent="0.2">
      <c r="CU574" s="154"/>
    </row>
    <row r="575" spans="99:99" ht="14.25" customHeight="1" x14ac:dyDescent="0.2">
      <c r="CU575" s="154"/>
    </row>
    <row r="576" spans="99:99" ht="14.25" customHeight="1" x14ac:dyDescent="0.2">
      <c r="CU576" s="154"/>
    </row>
    <row r="577" spans="99:99" ht="14.25" customHeight="1" x14ac:dyDescent="0.2">
      <c r="CU577" s="154"/>
    </row>
    <row r="578" spans="99:99" ht="14.25" customHeight="1" x14ac:dyDescent="0.2">
      <c r="CU578" s="154"/>
    </row>
    <row r="579" spans="99:99" ht="14.25" customHeight="1" x14ac:dyDescent="0.2">
      <c r="CU579" s="154"/>
    </row>
    <row r="580" spans="99:99" ht="14.25" customHeight="1" x14ac:dyDescent="0.2">
      <c r="CU580" s="154"/>
    </row>
    <row r="581" spans="99:99" ht="14.25" customHeight="1" x14ac:dyDescent="0.2">
      <c r="CU581" s="154"/>
    </row>
    <row r="582" spans="99:99" ht="14.25" customHeight="1" x14ac:dyDescent="0.2">
      <c r="CU582" s="154"/>
    </row>
    <row r="583" spans="99:99" ht="14.25" customHeight="1" x14ac:dyDescent="0.2">
      <c r="CU583" s="154"/>
    </row>
    <row r="584" spans="99:99" ht="14.25" customHeight="1" x14ac:dyDescent="0.2">
      <c r="CU584" s="154"/>
    </row>
    <row r="585" spans="99:99" ht="14.25" customHeight="1" x14ac:dyDescent="0.2">
      <c r="CU585" s="154"/>
    </row>
    <row r="586" spans="99:99" ht="14.25" customHeight="1" x14ac:dyDescent="0.2">
      <c r="CU586" s="154"/>
    </row>
    <row r="587" spans="99:99" ht="14.25" customHeight="1" x14ac:dyDescent="0.2">
      <c r="CU587" s="154"/>
    </row>
    <row r="588" spans="99:99" ht="14.25" customHeight="1" x14ac:dyDescent="0.2">
      <c r="CU588" s="154"/>
    </row>
    <row r="589" spans="99:99" ht="14.25" customHeight="1" x14ac:dyDescent="0.2">
      <c r="CU589" s="154"/>
    </row>
    <row r="590" spans="99:99" ht="14.25" customHeight="1" x14ac:dyDescent="0.2">
      <c r="CU590" s="154"/>
    </row>
    <row r="591" spans="99:99" ht="14.25" customHeight="1" x14ac:dyDescent="0.2">
      <c r="CU591" s="154"/>
    </row>
    <row r="592" spans="99:99" ht="14.25" customHeight="1" x14ac:dyDescent="0.2">
      <c r="CU592" s="154"/>
    </row>
    <row r="593" spans="99:99" ht="14.25" customHeight="1" x14ac:dyDescent="0.2">
      <c r="CU593" s="154"/>
    </row>
    <row r="594" spans="99:99" ht="14.25" customHeight="1" x14ac:dyDescent="0.2">
      <c r="CU594" s="154"/>
    </row>
    <row r="595" spans="99:99" ht="14.25" customHeight="1" x14ac:dyDescent="0.2">
      <c r="CU595" s="154"/>
    </row>
    <row r="596" spans="99:99" ht="14.25" customHeight="1" x14ac:dyDescent="0.2">
      <c r="CU596" s="154"/>
    </row>
    <row r="597" spans="99:99" ht="14.25" customHeight="1" x14ac:dyDescent="0.2">
      <c r="CU597" s="154"/>
    </row>
    <row r="598" spans="99:99" ht="14.25" customHeight="1" x14ac:dyDescent="0.2">
      <c r="CU598" s="154"/>
    </row>
    <row r="599" spans="99:99" ht="14.25" customHeight="1" x14ac:dyDescent="0.2">
      <c r="CU599" s="154"/>
    </row>
    <row r="600" spans="99:99" ht="14.25" customHeight="1" x14ac:dyDescent="0.2">
      <c r="CU600" s="154"/>
    </row>
    <row r="601" spans="99:99" ht="14.25" customHeight="1" x14ac:dyDescent="0.2">
      <c r="CU601" s="154"/>
    </row>
    <row r="602" spans="99:99" ht="14.25" customHeight="1" x14ac:dyDescent="0.2">
      <c r="CU602" s="154"/>
    </row>
    <row r="603" spans="99:99" ht="14.25" customHeight="1" x14ac:dyDescent="0.2">
      <c r="CU603" s="154"/>
    </row>
    <row r="604" spans="99:99" ht="14.25" customHeight="1" x14ac:dyDescent="0.2">
      <c r="CU604" s="154"/>
    </row>
    <row r="605" spans="99:99" ht="14.25" customHeight="1" x14ac:dyDescent="0.2">
      <c r="CU605" s="154"/>
    </row>
    <row r="606" spans="99:99" ht="14.25" customHeight="1" x14ac:dyDescent="0.2">
      <c r="CU606" s="154"/>
    </row>
    <row r="607" spans="99:99" ht="14.25" customHeight="1" x14ac:dyDescent="0.2">
      <c r="CU607" s="154"/>
    </row>
    <row r="608" spans="99:99" ht="14.25" customHeight="1" x14ac:dyDescent="0.2">
      <c r="CU608" s="154"/>
    </row>
    <row r="609" spans="99:99" ht="14.25" customHeight="1" x14ac:dyDescent="0.2">
      <c r="CU609" s="154"/>
    </row>
    <row r="610" spans="99:99" ht="14.25" customHeight="1" x14ac:dyDescent="0.2">
      <c r="CU610" s="154"/>
    </row>
    <row r="611" spans="99:99" ht="14.25" customHeight="1" x14ac:dyDescent="0.2">
      <c r="CU611" s="154"/>
    </row>
    <row r="612" spans="99:99" ht="14.25" customHeight="1" x14ac:dyDescent="0.2">
      <c r="CU612" s="154"/>
    </row>
    <row r="613" spans="99:99" ht="14.25" customHeight="1" x14ac:dyDescent="0.2">
      <c r="CU613" s="154"/>
    </row>
    <row r="614" spans="99:99" ht="14.25" customHeight="1" x14ac:dyDescent="0.2">
      <c r="CU614" s="154"/>
    </row>
    <row r="615" spans="99:99" ht="14.25" customHeight="1" x14ac:dyDescent="0.2">
      <c r="CU615" s="154"/>
    </row>
    <row r="616" spans="99:99" ht="14.25" customHeight="1" x14ac:dyDescent="0.2">
      <c r="CU616" s="154"/>
    </row>
    <row r="617" spans="99:99" ht="14.25" customHeight="1" x14ac:dyDescent="0.2">
      <c r="CU617" s="154"/>
    </row>
    <row r="618" spans="99:99" ht="14.25" customHeight="1" x14ac:dyDescent="0.2">
      <c r="CU618" s="154"/>
    </row>
    <row r="619" spans="99:99" ht="14.25" customHeight="1" x14ac:dyDescent="0.2">
      <c r="CU619" s="154"/>
    </row>
    <row r="620" spans="99:99" ht="14.25" customHeight="1" x14ac:dyDescent="0.2">
      <c r="CU620" s="154"/>
    </row>
    <row r="621" spans="99:99" ht="14.25" customHeight="1" x14ac:dyDescent="0.2">
      <c r="CU621" s="154"/>
    </row>
    <row r="622" spans="99:99" ht="14.25" customHeight="1" x14ac:dyDescent="0.2">
      <c r="CU622" s="154"/>
    </row>
    <row r="623" spans="99:99" ht="14.25" customHeight="1" x14ac:dyDescent="0.2">
      <c r="CU623" s="154"/>
    </row>
    <row r="624" spans="99:99" ht="14.25" customHeight="1" x14ac:dyDescent="0.2">
      <c r="CU624" s="154"/>
    </row>
    <row r="625" spans="99:99" ht="14.25" customHeight="1" x14ac:dyDescent="0.2">
      <c r="CU625" s="154"/>
    </row>
    <row r="626" spans="99:99" ht="14.25" customHeight="1" x14ac:dyDescent="0.2">
      <c r="CU626" s="154"/>
    </row>
    <row r="627" spans="99:99" ht="14.25" customHeight="1" x14ac:dyDescent="0.2">
      <c r="CU627" s="154"/>
    </row>
    <row r="628" spans="99:99" ht="14.25" customHeight="1" x14ac:dyDescent="0.2">
      <c r="CU628" s="154"/>
    </row>
    <row r="629" spans="99:99" ht="14.25" customHeight="1" x14ac:dyDescent="0.2">
      <c r="CU629" s="154"/>
    </row>
    <row r="630" spans="99:99" ht="14.25" customHeight="1" x14ac:dyDescent="0.2">
      <c r="CU630" s="154"/>
    </row>
    <row r="631" spans="99:99" ht="14.25" customHeight="1" x14ac:dyDescent="0.2">
      <c r="CU631" s="154"/>
    </row>
    <row r="632" spans="99:99" ht="14.25" customHeight="1" x14ac:dyDescent="0.2">
      <c r="CU632" s="154"/>
    </row>
    <row r="633" spans="99:99" ht="14.25" customHeight="1" x14ac:dyDescent="0.2">
      <c r="CU633" s="154"/>
    </row>
    <row r="634" spans="99:99" ht="14.25" customHeight="1" x14ac:dyDescent="0.2">
      <c r="CU634" s="154"/>
    </row>
    <row r="635" spans="99:99" ht="14.25" customHeight="1" x14ac:dyDescent="0.2">
      <c r="CU635" s="154"/>
    </row>
    <row r="636" spans="99:99" ht="14.25" customHeight="1" x14ac:dyDescent="0.2">
      <c r="CU636" s="154"/>
    </row>
    <row r="637" spans="99:99" ht="14.25" customHeight="1" x14ac:dyDescent="0.2">
      <c r="CU637" s="154"/>
    </row>
    <row r="638" spans="99:99" ht="14.25" customHeight="1" x14ac:dyDescent="0.2">
      <c r="CU638" s="154"/>
    </row>
    <row r="639" spans="99:99" ht="14.25" customHeight="1" x14ac:dyDescent="0.2">
      <c r="CU639" s="154"/>
    </row>
    <row r="640" spans="99:99" ht="14.25" customHeight="1" x14ac:dyDescent="0.2">
      <c r="CU640" s="154"/>
    </row>
    <row r="641" spans="99:99" ht="14.25" customHeight="1" x14ac:dyDescent="0.2">
      <c r="CU641" s="154"/>
    </row>
    <row r="642" spans="99:99" ht="14.25" customHeight="1" x14ac:dyDescent="0.2">
      <c r="CU642" s="154"/>
    </row>
    <row r="643" spans="99:99" ht="14.25" customHeight="1" x14ac:dyDescent="0.2">
      <c r="CU643" s="154"/>
    </row>
    <row r="644" spans="99:99" ht="14.25" customHeight="1" x14ac:dyDescent="0.2">
      <c r="CU644" s="154"/>
    </row>
    <row r="645" spans="99:99" ht="14.25" customHeight="1" x14ac:dyDescent="0.2">
      <c r="CU645" s="154"/>
    </row>
    <row r="646" spans="99:99" ht="14.25" customHeight="1" x14ac:dyDescent="0.2">
      <c r="CU646" s="154"/>
    </row>
    <row r="647" spans="99:99" ht="14.25" customHeight="1" x14ac:dyDescent="0.2">
      <c r="CU647" s="154"/>
    </row>
    <row r="648" spans="99:99" ht="14.25" customHeight="1" x14ac:dyDescent="0.2">
      <c r="CU648" s="154"/>
    </row>
    <row r="649" spans="99:99" ht="14.25" customHeight="1" x14ac:dyDescent="0.2">
      <c r="CU649" s="154"/>
    </row>
    <row r="650" spans="99:99" ht="14.25" customHeight="1" x14ac:dyDescent="0.2">
      <c r="CU650" s="154"/>
    </row>
    <row r="651" spans="99:99" ht="14.25" customHeight="1" x14ac:dyDescent="0.2">
      <c r="CU651" s="154"/>
    </row>
    <row r="652" spans="99:99" ht="14.25" customHeight="1" x14ac:dyDescent="0.2">
      <c r="CU652" s="154"/>
    </row>
    <row r="653" spans="99:99" ht="14.25" customHeight="1" x14ac:dyDescent="0.2">
      <c r="CU653" s="154"/>
    </row>
    <row r="654" spans="99:99" ht="14.25" customHeight="1" x14ac:dyDescent="0.2">
      <c r="CU654" s="154"/>
    </row>
    <row r="655" spans="99:99" ht="14.25" customHeight="1" x14ac:dyDescent="0.2">
      <c r="CU655" s="154"/>
    </row>
    <row r="656" spans="99:99" ht="14.25" customHeight="1" x14ac:dyDescent="0.2">
      <c r="CU656" s="154"/>
    </row>
    <row r="657" spans="99:99" ht="14.25" customHeight="1" x14ac:dyDescent="0.2">
      <c r="CU657" s="154"/>
    </row>
    <row r="658" spans="99:99" ht="14.25" customHeight="1" x14ac:dyDescent="0.2">
      <c r="CU658" s="154"/>
    </row>
    <row r="659" spans="99:99" ht="14.25" customHeight="1" x14ac:dyDescent="0.2">
      <c r="CU659" s="154"/>
    </row>
    <row r="660" spans="99:99" ht="14.25" customHeight="1" x14ac:dyDescent="0.2">
      <c r="CU660" s="154"/>
    </row>
    <row r="661" spans="99:99" ht="14.25" customHeight="1" x14ac:dyDescent="0.2">
      <c r="CU661" s="154"/>
    </row>
    <row r="662" spans="99:99" ht="14.25" customHeight="1" x14ac:dyDescent="0.2">
      <c r="CU662" s="154"/>
    </row>
    <row r="663" spans="99:99" ht="14.25" customHeight="1" x14ac:dyDescent="0.2">
      <c r="CU663" s="154"/>
    </row>
    <row r="664" spans="99:99" ht="14.25" customHeight="1" x14ac:dyDescent="0.2">
      <c r="CU664" s="154"/>
    </row>
    <row r="665" spans="99:99" ht="14.25" customHeight="1" x14ac:dyDescent="0.2">
      <c r="CU665" s="154"/>
    </row>
    <row r="666" spans="99:99" ht="14.25" customHeight="1" x14ac:dyDescent="0.2">
      <c r="CU666" s="154"/>
    </row>
    <row r="667" spans="99:99" ht="14.25" customHeight="1" x14ac:dyDescent="0.2">
      <c r="CU667" s="154"/>
    </row>
    <row r="668" spans="99:99" ht="14.25" customHeight="1" x14ac:dyDescent="0.2">
      <c r="CU668" s="154"/>
    </row>
    <row r="669" spans="99:99" ht="14.25" customHeight="1" x14ac:dyDescent="0.2">
      <c r="CU669" s="154"/>
    </row>
    <row r="670" spans="99:99" ht="14.25" customHeight="1" x14ac:dyDescent="0.2">
      <c r="CU670" s="154"/>
    </row>
    <row r="671" spans="99:99" ht="14.25" customHeight="1" x14ac:dyDescent="0.2">
      <c r="CU671" s="154"/>
    </row>
    <row r="672" spans="99:99" ht="14.25" customHeight="1" x14ac:dyDescent="0.2">
      <c r="CU672" s="154"/>
    </row>
    <row r="673" spans="99:99" ht="14.25" customHeight="1" x14ac:dyDescent="0.2">
      <c r="CU673" s="154"/>
    </row>
    <row r="674" spans="99:99" ht="14.25" customHeight="1" x14ac:dyDescent="0.2">
      <c r="CU674" s="154"/>
    </row>
    <row r="675" spans="99:99" ht="14.25" customHeight="1" x14ac:dyDescent="0.2">
      <c r="CU675" s="154"/>
    </row>
    <row r="676" spans="99:99" ht="14.25" customHeight="1" x14ac:dyDescent="0.2">
      <c r="CU676" s="154"/>
    </row>
    <row r="677" spans="99:99" ht="14.25" customHeight="1" x14ac:dyDescent="0.2">
      <c r="CU677" s="154"/>
    </row>
    <row r="678" spans="99:99" ht="14.25" customHeight="1" x14ac:dyDescent="0.2">
      <c r="CU678" s="154"/>
    </row>
    <row r="679" spans="99:99" ht="14.25" customHeight="1" x14ac:dyDescent="0.2">
      <c r="CU679" s="154"/>
    </row>
    <row r="680" spans="99:99" ht="14.25" customHeight="1" x14ac:dyDescent="0.2">
      <c r="CU680" s="154"/>
    </row>
    <row r="681" spans="99:99" ht="14.25" customHeight="1" x14ac:dyDescent="0.2">
      <c r="CU681" s="154"/>
    </row>
    <row r="682" spans="99:99" ht="14.25" customHeight="1" x14ac:dyDescent="0.2">
      <c r="CU682" s="154"/>
    </row>
    <row r="683" spans="99:99" ht="14.25" customHeight="1" x14ac:dyDescent="0.2">
      <c r="CU683" s="154"/>
    </row>
    <row r="684" spans="99:99" ht="14.25" customHeight="1" x14ac:dyDescent="0.2">
      <c r="CU684" s="154"/>
    </row>
    <row r="685" spans="99:99" ht="14.25" customHeight="1" x14ac:dyDescent="0.2">
      <c r="CU685" s="154"/>
    </row>
    <row r="686" spans="99:99" ht="14.25" customHeight="1" x14ac:dyDescent="0.2">
      <c r="CU686" s="154"/>
    </row>
    <row r="687" spans="99:99" ht="14.25" customHeight="1" x14ac:dyDescent="0.2">
      <c r="CU687" s="154"/>
    </row>
    <row r="688" spans="99:99" ht="14.25" customHeight="1" x14ac:dyDescent="0.2">
      <c r="CU688" s="154"/>
    </row>
    <row r="689" spans="99:99" ht="14.25" customHeight="1" x14ac:dyDescent="0.2">
      <c r="CU689" s="154"/>
    </row>
    <row r="690" spans="99:99" ht="14.25" customHeight="1" x14ac:dyDescent="0.2">
      <c r="CU690" s="154"/>
    </row>
    <row r="691" spans="99:99" ht="14.25" customHeight="1" x14ac:dyDescent="0.2">
      <c r="CU691" s="154"/>
    </row>
    <row r="692" spans="99:99" ht="14.25" customHeight="1" x14ac:dyDescent="0.2">
      <c r="CU692" s="154"/>
    </row>
    <row r="693" spans="99:99" ht="14.25" customHeight="1" x14ac:dyDescent="0.2">
      <c r="CU693" s="154"/>
    </row>
    <row r="694" spans="99:99" ht="14.25" customHeight="1" x14ac:dyDescent="0.2">
      <c r="CU694" s="154"/>
    </row>
    <row r="695" spans="99:99" ht="14.25" customHeight="1" x14ac:dyDescent="0.2">
      <c r="CU695" s="154"/>
    </row>
    <row r="696" spans="99:99" ht="14.25" customHeight="1" x14ac:dyDescent="0.2">
      <c r="CU696" s="154"/>
    </row>
    <row r="697" spans="99:99" ht="14.25" customHeight="1" x14ac:dyDescent="0.2">
      <c r="CU697" s="154"/>
    </row>
    <row r="698" spans="99:99" ht="14.25" customHeight="1" x14ac:dyDescent="0.2">
      <c r="CU698" s="154"/>
    </row>
    <row r="699" spans="99:99" ht="14.25" customHeight="1" x14ac:dyDescent="0.2">
      <c r="CU699" s="154"/>
    </row>
    <row r="700" spans="99:99" ht="14.25" customHeight="1" x14ac:dyDescent="0.2">
      <c r="CU700" s="154"/>
    </row>
    <row r="701" spans="99:99" ht="14.25" customHeight="1" x14ac:dyDescent="0.2">
      <c r="CU701" s="154"/>
    </row>
    <row r="702" spans="99:99" ht="14.25" customHeight="1" x14ac:dyDescent="0.2">
      <c r="CU702" s="154"/>
    </row>
    <row r="703" spans="99:99" ht="14.25" customHeight="1" x14ac:dyDescent="0.2">
      <c r="CU703" s="154"/>
    </row>
    <row r="704" spans="99:99" ht="14.25" customHeight="1" x14ac:dyDescent="0.2">
      <c r="CU704" s="154"/>
    </row>
    <row r="705" spans="99:99" ht="14.25" customHeight="1" x14ac:dyDescent="0.2">
      <c r="CU705" s="154"/>
    </row>
    <row r="706" spans="99:99" ht="14.25" customHeight="1" x14ac:dyDescent="0.2">
      <c r="CU706" s="154"/>
    </row>
    <row r="707" spans="99:99" ht="14.25" customHeight="1" x14ac:dyDescent="0.2">
      <c r="CU707" s="154"/>
    </row>
    <row r="708" spans="99:99" ht="14.25" customHeight="1" x14ac:dyDescent="0.2">
      <c r="CU708" s="154"/>
    </row>
    <row r="709" spans="99:99" ht="14.25" customHeight="1" x14ac:dyDescent="0.2">
      <c r="CU709" s="154"/>
    </row>
    <row r="710" spans="99:99" ht="14.25" customHeight="1" x14ac:dyDescent="0.2">
      <c r="CU710" s="154"/>
    </row>
    <row r="711" spans="99:99" ht="14.25" customHeight="1" x14ac:dyDescent="0.2">
      <c r="CU711" s="154"/>
    </row>
    <row r="712" spans="99:99" ht="14.25" customHeight="1" x14ac:dyDescent="0.2">
      <c r="CU712" s="154"/>
    </row>
    <row r="713" spans="99:99" ht="14.25" customHeight="1" x14ac:dyDescent="0.2">
      <c r="CU713" s="154"/>
    </row>
    <row r="714" spans="99:99" ht="14.25" customHeight="1" x14ac:dyDescent="0.2">
      <c r="CU714" s="154"/>
    </row>
    <row r="715" spans="99:99" ht="14.25" customHeight="1" x14ac:dyDescent="0.2">
      <c r="CU715" s="154"/>
    </row>
    <row r="716" spans="99:99" ht="14.25" customHeight="1" x14ac:dyDescent="0.2">
      <c r="CU716" s="154"/>
    </row>
    <row r="717" spans="99:99" ht="14.25" customHeight="1" x14ac:dyDescent="0.2">
      <c r="CU717" s="154"/>
    </row>
    <row r="718" spans="99:99" ht="14.25" customHeight="1" x14ac:dyDescent="0.2">
      <c r="CU718" s="154"/>
    </row>
    <row r="719" spans="99:99" ht="14.25" customHeight="1" x14ac:dyDescent="0.2">
      <c r="CU719" s="154"/>
    </row>
    <row r="720" spans="99:99" ht="14.25" customHeight="1" x14ac:dyDescent="0.2">
      <c r="CU720" s="154"/>
    </row>
    <row r="721" spans="99:99" ht="14.25" customHeight="1" x14ac:dyDescent="0.2">
      <c r="CU721" s="154"/>
    </row>
    <row r="722" spans="99:99" ht="14.25" customHeight="1" x14ac:dyDescent="0.2">
      <c r="CU722" s="154"/>
    </row>
    <row r="723" spans="99:99" ht="14.25" customHeight="1" x14ac:dyDescent="0.2">
      <c r="CU723" s="154"/>
    </row>
    <row r="724" spans="99:99" ht="14.25" customHeight="1" x14ac:dyDescent="0.2">
      <c r="CU724" s="154"/>
    </row>
    <row r="725" spans="99:99" ht="14.25" customHeight="1" x14ac:dyDescent="0.2">
      <c r="CU725" s="154"/>
    </row>
    <row r="726" spans="99:99" ht="14.25" customHeight="1" x14ac:dyDescent="0.2">
      <c r="CU726" s="154"/>
    </row>
    <row r="727" spans="99:99" ht="14.25" customHeight="1" x14ac:dyDescent="0.2">
      <c r="CU727" s="154"/>
    </row>
    <row r="728" spans="99:99" ht="14.25" customHeight="1" x14ac:dyDescent="0.2">
      <c r="CU728" s="154"/>
    </row>
    <row r="729" spans="99:99" ht="14.25" customHeight="1" x14ac:dyDescent="0.2">
      <c r="CU729" s="154"/>
    </row>
    <row r="730" spans="99:99" ht="14.25" customHeight="1" x14ac:dyDescent="0.2">
      <c r="CU730" s="154"/>
    </row>
    <row r="731" spans="99:99" ht="14.25" customHeight="1" x14ac:dyDescent="0.2">
      <c r="CU731" s="154"/>
    </row>
    <row r="732" spans="99:99" ht="14.25" customHeight="1" x14ac:dyDescent="0.2">
      <c r="CU732" s="154"/>
    </row>
    <row r="733" spans="99:99" ht="14.25" customHeight="1" x14ac:dyDescent="0.2">
      <c r="CU733" s="154"/>
    </row>
    <row r="734" spans="99:99" ht="14.25" customHeight="1" x14ac:dyDescent="0.2">
      <c r="CU734" s="154"/>
    </row>
    <row r="735" spans="99:99" ht="14.25" customHeight="1" x14ac:dyDescent="0.2">
      <c r="CU735" s="154"/>
    </row>
    <row r="736" spans="99:99" ht="14.25" customHeight="1" x14ac:dyDescent="0.2">
      <c r="CU736" s="154"/>
    </row>
    <row r="737" spans="99:99" ht="14.25" customHeight="1" x14ac:dyDescent="0.2">
      <c r="CU737" s="154"/>
    </row>
    <row r="738" spans="99:99" ht="14.25" customHeight="1" x14ac:dyDescent="0.2">
      <c r="CU738" s="154"/>
    </row>
    <row r="739" spans="99:99" ht="14.25" customHeight="1" x14ac:dyDescent="0.2">
      <c r="CU739" s="154"/>
    </row>
    <row r="740" spans="99:99" ht="14.25" customHeight="1" x14ac:dyDescent="0.2">
      <c r="CU740" s="154"/>
    </row>
    <row r="741" spans="99:99" ht="14.25" customHeight="1" x14ac:dyDescent="0.2">
      <c r="CU741" s="154"/>
    </row>
    <row r="742" spans="99:99" ht="14.25" customHeight="1" x14ac:dyDescent="0.2">
      <c r="CU742" s="154"/>
    </row>
    <row r="743" spans="99:99" ht="14.25" customHeight="1" x14ac:dyDescent="0.2">
      <c r="CU743" s="154"/>
    </row>
    <row r="744" spans="99:99" ht="14.25" customHeight="1" x14ac:dyDescent="0.2">
      <c r="CU744" s="154"/>
    </row>
    <row r="745" spans="99:99" ht="14.25" customHeight="1" x14ac:dyDescent="0.2">
      <c r="CU745" s="154"/>
    </row>
    <row r="746" spans="99:99" ht="14.25" customHeight="1" x14ac:dyDescent="0.2">
      <c r="CU746" s="154"/>
    </row>
    <row r="747" spans="99:99" ht="14.25" customHeight="1" x14ac:dyDescent="0.2">
      <c r="CU747" s="154"/>
    </row>
    <row r="748" spans="99:99" ht="14.25" customHeight="1" x14ac:dyDescent="0.2">
      <c r="CU748" s="154"/>
    </row>
    <row r="749" spans="99:99" ht="14.25" customHeight="1" x14ac:dyDescent="0.2">
      <c r="CU749" s="154"/>
    </row>
    <row r="750" spans="99:99" ht="14.25" customHeight="1" x14ac:dyDescent="0.2">
      <c r="CU750" s="154"/>
    </row>
    <row r="751" spans="99:99" ht="14.25" customHeight="1" x14ac:dyDescent="0.2">
      <c r="CU751" s="154"/>
    </row>
    <row r="752" spans="99:99" ht="14.25" customHeight="1" x14ac:dyDescent="0.2">
      <c r="CU752" s="154"/>
    </row>
    <row r="753" spans="99:99" ht="14.25" customHeight="1" x14ac:dyDescent="0.2">
      <c r="CU753" s="154"/>
    </row>
    <row r="754" spans="99:99" ht="14.25" customHeight="1" x14ac:dyDescent="0.2">
      <c r="CU754" s="154"/>
    </row>
    <row r="755" spans="99:99" ht="14.25" customHeight="1" x14ac:dyDescent="0.2">
      <c r="CU755" s="154"/>
    </row>
    <row r="756" spans="99:99" ht="14.25" customHeight="1" x14ac:dyDescent="0.2">
      <c r="CU756" s="154"/>
    </row>
    <row r="757" spans="99:99" ht="14.25" customHeight="1" x14ac:dyDescent="0.2">
      <c r="CU757" s="154"/>
    </row>
    <row r="758" spans="99:99" ht="14.25" customHeight="1" x14ac:dyDescent="0.2">
      <c r="CU758" s="154"/>
    </row>
    <row r="759" spans="99:99" ht="14.25" customHeight="1" x14ac:dyDescent="0.2">
      <c r="CU759" s="154"/>
    </row>
    <row r="760" spans="99:99" ht="14.25" customHeight="1" x14ac:dyDescent="0.2">
      <c r="CU760" s="154"/>
    </row>
    <row r="761" spans="99:99" ht="14.25" customHeight="1" x14ac:dyDescent="0.2">
      <c r="CU761" s="154"/>
    </row>
    <row r="762" spans="99:99" ht="14.25" customHeight="1" x14ac:dyDescent="0.2">
      <c r="CU762" s="154"/>
    </row>
    <row r="763" spans="99:99" ht="14.25" customHeight="1" x14ac:dyDescent="0.2">
      <c r="CU763" s="154"/>
    </row>
    <row r="764" spans="99:99" ht="14.25" customHeight="1" x14ac:dyDescent="0.2">
      <c r="CU764" s="154"/>
    </row>
    <row r="765" spans="99:99" ht="14.25" customHeight="1" x14ac:dyDescent="0.2">
      <c r="CU765" s="154"/>
    </row>
    <row r="766" spans="99:99" ht="14.25" customHeight="1" x14ac:dyDescent="0.2">
      <c r="CU766" s="154"/>
    </row>
    <row r="767" spans="99:99" ht="14.25" customHeight="1" x14ac:dyDescent="0.2">
      <c r="CU767" s="154"/>
    </row>
    <row r="768" spans="99:99" ht="14.25" customHeight="1" x14ac:dyDescent="0.2">
      <c r="CU768" s="154"/>
    </row>
    <row r="769" spans="99:99" ht="14.25" customHeight="1" x14ac:dyDescent="0.2">
      <c r="CU769" s="154"/>
    </row>
    <row r="770" spans="99:99" ht="14.25" customHeight="1" x14ac:dyDescent="0.2">
      <c r="CU770" s="154"/>
    </row>
    <row r="771" spans="99:99" ht="14.25" customHeight="1" x14ac:dyDescent="0.2">
      <c r="CU771" s="154"/>
    </row>
    <row r="772" spans="99:99" ht="14.25" customHeight="1" x14ac:dyDescent="0.2">
      <c r="CU772" s="154"/>
    </row>
    <row r="773" spans="99:99" ht="14.25" customHeight="1" x14ac:dyDescent="0.2">
      <c r="CU773" s="154"/>
    </row>
    <row r="774" spans="99:99" ht="14.25" customHeight="1" x14ac:dyDescent="0.2">
      <c r="CU774" s="154"/>
    </row>
    <row r="775" spans="99:99" ht="14.25" customHeight="1" x14ac:dyDescent="0.2">
      <c r="CU775" s="154"/>
    </row>
    <row r="776" spans="99:99" ht="14.25" customHeight="1" x14ac:dyDescent="0.2">
      <c r="CU776" s="154"/>
    </row>
    <row r="777" spans="99:99" ht="14.25" customHeight="1" x14ac:dyDescent="0.2">
      <c r="CU777" s="154"/>
    </row>
    <row r="778" spans="99:99" ht="14.25" customHeight="1" x14ac:dyDescent="0.2">
      <c r="CU778" s="154"/>
    </row>
    <row r="779" spans="99:99" ht="14.25" customHeight="1" x14ac:dyDescent="0.2">
      <c r="CU779" s="154"/>
    </row>
    <row r="780" spans="99:99" ht="14.25" customHeight="1" x14ac:dyDescent="0.2">
      <c r="CU780" s="154"/>
    </row>
    <row r="781" spans="99:99" ht="14.25" customHeight="1" x14ac:dyDescent="0.2">
      <c r="CU781" s="154"/>
    </row>
    <row r="782" spans="99:99" ht="14.25" customHeight="1" x14ac:dyDescent="0.2">
      <c r="CU782" s="154"/>
    </row>
    <row r="783" spans="99:99" ht="14.25" customHeight="1" x14ac:dyDescent="0.2">
      <c r="CU783" s="154"/>
    </row>
    <row r="784" spans="99:99" ht="14.25" customHeight="1" x14ac:dyDescent="0.2">
      <c r="CU784" s="154"/>
    </row>
    <row r="785" spans="99:99" ht="14.25" customHeight="1" x14ac:dyDescent="0.2">
      <c r="CU785" s="154"/>
    </row>
    <row r="786" spans="99:99" ht="14.25" customHeight="1" x14ac:dyDescent="0.2">
      <c r="CU786" s="154"/>
    </row>
    <row r="787" spans="99:99" ht="14.25" customHeight="1" x14ac:dyDescent="0.2">
      <c r="CU787" s="154"/>
    </row>
    <row r="788" spans="99:99" ht="14.25" customHeight="1" x14ac:dyDescent="0.2">
      <c r="CU788" s="154"/>
    </row>
    <row r="789" spans="99:99" ht="14.25" customHeight="1" x14ac:dyDescent="0.2">
      <c r="CU789" s="154"/>
    </row>
    <row r="790" spans="99:99" ht="14.25" customHeight="1" x14ac:dyDescent="0.2">
      <c r="CU790" s="154"/>
    </row>
    <row r="791" spans="99:99" ht="14.25" customHeight="1" x14ac:dyDescent="0.2">
      <c r="CU791" s="154"/>
    </row>
    <row r="792" spans="99:99" ht="14.25" customHeight="1" x14ac:dyDescent="0.2">
      <c r="CU792" s="154"/>
    </row>
    <row r="793" spans="99:99" ht="14.25" customHeight="1" x14ac:dyDescent="0.2">
      <c r="CU793" s="154"/>
    </row>
    <row r="794" spans="99:99" ht="14.25" customHeight="1" x14ac:dyDescent="0.2">
      <c r="CU794" s="154"/>
    </row>
    <row r="795" spans="99:99" ht="14.25" customHeight="1" x14ac:dyDescent="0.2">
      <c r="CU795" s="154"/>
    </row>
    <row r="796" spans="99:99" ht="14.25" customHeight="1" x14ac:dyDescent="0.2">
      <c r="CU796" s="154"/>
    </row>
    <row r="797" spans="99:99" ht="14.25" customHeight="1" x14ac:dyDescent="0.2">
      <c r="CU797" s="154"/>
    </row>
    <row r="798" spans="99:99" ht="14.25" customHeight="1" x14ac:dyDescent="0.2">
      <c r="CU798" s="154"/>
    </row>
    <row r="799" spans="99:99" ht="14.25" customHeight="1" x14ac:dyDescent="0.2">
      <c r="CU799" s="154"/>
    </row>
    <row r="800" spans="99:99" ht="14.25" customHeight="1" x14ac:dyDescent="0.2">
      <c r="CU800" s="154"/>
    </row>
    <row r="801" spans="99:99" ht="14.25" customHeight="1" x14ac:dyDescent="0.2">
      <c r="CU801" s="154"/>
    </row>
    <row r="802" spans="99:99" ht="14.25" customHeight="1" x14ac:dyDescent="0.2">
      <c r="CU802" s="154"/>
    </row>
    <row r="803" spans="99:99" ht="14.25" customHeight="1" x14ac:dyDescent="0.2">
      <c r="CU803" s="154"/>
    </row>
    <row r="804" spans="99:99" ht="14.25" customHeight="1" x14ac:dyDescent="0.2">
      <c r="CU804" s="154"/>
    </row>
    <row r="805" spans="99:99" ht="14.25" customHeight="1" x14ac:dyDescent="0.2">
      <c r="CU805" s="154"/>
    </row>
    <row r="806" spans="99:99" ht="14.25" customHeight="1" x14ac:dyDescent="0.2">
      <c r="CU806" s="154"/>
    </row>
    <row r="807" spans="99:99" ht="14.25" customHeight="1" x14ac:dyDescent="0.2">
      <c r="CU807" s="154"/>
    </row>
    <row r="808" spans="99:99" ht="14.25" customHeight="1" x14ac:dyDescent="0.2">
      <c r="CU808" s="154"/>
    </row>
    <row r="809" spans="99:99" ht="14.25" customHeight="1" x14ac:dyDescent="0.2">
      <c r="CU809" s="154"/>
    </row>
    <row r="810" spans="99:99" ht="14.25" customHeight="1" x14ac:dyDescent="0.2">
      <c r="CU810" s="154"/>
    </row>
    <row r="811" spans="99:99" ht="14.25" customHeight="1" x14ac:dyDescent="0.2">
      <c r="CU811" s="154"/>
    </row>
    <row r="812" spans="99:99" ht="14.25" customHeight="1" x14ac:dyDescent="0.2">
      <c r="CU812" s="154"/>
    </row>
    <row r="813" spans="99:99" ht="14.25" customHeight="1" x14ac:dyDescent="0.2">
      <c r="CU813" s="154"/>
    </row>
    <row r="814" spans="99:99" ht="14.25" customHeight="1" x14ac:dyDescent="0.2">
      <c r="CU814" s="154"/>
    </row>
    <row r="815" spans="99:99" ht="14.25" customHeight="1" x14ac:dyDescent="0.2">
      <c r="CU815" s="154"/>
    </row>
    <row r="816" spans="99:99" ht="14.25" customHeight="1" x14ac:dyDescent="0.2">
      <c r="CU816" s="154"/>
    </row>
    <row r="817" spans="99:99" ht="14.25" customHeight="1" x14ac:dyDescent="0.2">
      <c r="CU817" s="154"/>
    </row>
    <row r="818" spans="99:99" ht="14.25" customHeight="1" x14ac:dyDescent="0.2">
      <c r="CU818" s="154"/>
    </row>
    <row r="819" spans="99:99" ht="14.25" customHeight="1" x14ac:dyDescent="0.2">
      <c r="CU819" s="154"/>
    </row>
    <row r="820" spans="99:99" ht="14.25" customHeight="1" x14ac:dyDescent="0.2">
      <c r="CU820" s="154"/>
    </row>
    <row r="821" spans="99:99" ht="14.25" customHeight="1" x14ac:dyDescent="0.2">
      <c r="CU821" s="154"/>
    </row>
    <row r="822" spans="99:99" ht="14.25" customHeight="1" x14ac:dyDescent="0.2">
      <c r="CU822" s="154"/>
    </row>
    <row r="823" spans="99:99" ht="14.25" customHeight="1" x14ac:dyDescent="0.2">
      <c r="CU823" s="154"/>
    </row>
    <row r="824" spans="99:99" ht="14.25" customHeight="1" x14ac:dyDescent="0.2">
      <c r="CU824" s="154"/>
    </row>
    <row r="825" spans="99:99" ht="14.25" customHeight="1" x14ac:dyDescent="0.2">
      <c r="CU825" s="154"/>
    </row>
    <row r="826" spans="99:99" ht="14.25" customHeight="1" x14ac:dyDescent="0.2">
      <c r="CU826" s="154"/>
    </row>
    <row r="827" spans="99:99" ht="14.25" customHeight="1" x14ac:dyDescent="0.2">
      <c r="CU827" s="154"/>
    </row>
    <row r="828" spans="99:99" ht="14.25" customHeight="1" x14ac:dyDescent="0.2">
      <c r="CU828" s="154"/>
    </row>
    <row r="829" spans="99:99" ht="14.25" customHeight="1" x14ac:dyDescent="0.2">
      <c r="CU829" s="154"/>
    </row>
    <row r="830" spans="99:99" ht="14.25" customHeight="1" x14ac:dyDescent="0.2">
      <c r="CU830" s="154"/>
    </row>
    <row r="831" spans="99:99" ht="14.25" customHeight="1" x14ac:dyDescent="0.2">
      <c r="CU831" s="154"/>
    </row>
    <row r="832" spans="99:99" ht="14.25" customHeight="1" x14ac:dyDescent="0.2">
      <c r="CU832" s="154"/>
    </row>
    <row r="833" spans="99:99" ht="14.25" customHeight="1" x14ac:dyDescent="0.2">
      <c r="CU833" s="154"/>
    </row>
    <row r="834" spans="99:99" ht="14.25" customHeight="1" x14ac:dyDescent="0.2">
      <c r="CU834" s="154"/>
    </row>
    <row r="835" spans="99:99" ht="14.25" customHeight="1" x14ac:dyDescent="0.2">
      <c r="CU835" s="154"/>
    </row>
    <row r="836" spans="99:99" ht="14.25" customHeight="1" x14ac:dyDescent="0.2">
      <c r="CU836" s="154"/>
    </row>
    <row r="837" spans="99:99" ht="14.25" customHeight="1" x14ac:dyDescent="0.2">
      <c r="CU837" s="154"/>
    </row>
    <row r="838" spans="99:99" ht="14.25" customHeight="1" x14ac:dyDescent="0.2">
      <c r="CU838" s="154"/>
    </row>
    <row r="839" spans="99:99" ht="14.25" customHeight="1" x14ac:dyDescent="0.2">
      <c r="CU839" s="154"/>
    </row>
    <row r="840" spans="99:99" ht="14.25" customHeight="1" x14ac:dyDescent="0.2">
      <c r="CU840" s="154"/>
    </row>
    <row r="841" spans="99:99" ht="14.25" customHeight="1" x14ac:dyDescent="0.2">
      <c r="CU841" s="154"/>
    </row>
    <row r="842" spans="99:99" ht="14.25" customHeight="1" x14ac:dyDescent="0.2">
      <c r="CU842" s="154"/>
    </row>
    <row r="843" spans="99:99" ht="14.25" customHeight="1" x14ac:dyDescent="0.2">
      <c r="CU843" s="154"/>
    </row>
    <row r="844" spans="99:99" ht="14.25" customHeight="1" x14ac:dyDescent="0.2">
      <c r="CU844" s="154"/>
    </row>
    <row r="845" spans="99:99" ht="14.25" customHeight="1" x14ac:dyDescent="0.2">
      <c r="CU845" s="154"/>
    </row>
    <row r="846" spans="99:99" ht="14.25" customHeight="1" x14ac:dyDescent="0.2">
      <c r="CU846" s="154"/>
    </row>
    <row r="847" spans="99:99" ht="14.25" customHeight="1" x14ac:dyDescent="0.2">
      <c r="CU847" s="154"/>
    </row>
    <row r="848" spans="99:99" ht="14.25" customHeight="1" x14ac:dyDescent="0.2">
      <c r="CU848" s="154"/>
    </row>
    <row r="849" spans="99:99" ht="14.25" customHeight="1" x14ac:dyDescent="0.2">
      <c r="CU849" s="154"/>
    </row>
    <row r="850" spans="99:99" ht="14.25" customHeight="1" x14ac:dyDescent="0.2">
      <c r="CU850" s="154"/>
    </row>
    <row r="851" spans="99:99" ht="14.25" customHeight="1" x14ac:dyDescent="0.2">
      <c r="CU851" s="154"/>
    </row>
    <row r="852" spans="99:99" ht="14.25" customHeight="1" x14ac:dyDescent="0.2">
      <c r="CU852" s="154"/>
    </row>
    <row r="853" spans="99:99" ht="14.25" customHeight="1" x14ac:dyDescent="0.2">
      <c r="CU853" s="154"/>
    </row>
    <row r="854" spans="99:99" ht="14.25" customHeight="1" x14ac:dyDescent="0.2">
      <c r="CU854" s="154"/>
    </row>
    <row r="855" spans="99:99" ht="14.25" customHeight="1" x14ac:dyDescent="0.2">
      <c r="CU855" s="154"/>
    </row>
    <row r="856" spans="99:99" ht="14.25" customHeight="1" x14ac:dyDescent="0.2">
      <c r="CU856" s="154"/>
    </row>
    <row r="857" spans="99:99" ht="14.25" customHeight="1" x14ac:dyDescent="0.2">
      <c r="CU857" s="154"/>
    </row>
    <row r="858" spans="99:99" ht="14.25" customHeight="1" x14ac:dyDescent="0.2">
      <c r="CU858" s="154"/>
    </row>
    <row r="859" spans="99:99" ht="14.25" customHeight="1" x14ac:dyDescent="0.2">
      <c r="CU859" s="154"/>
    </row>
    <row r="860" spans="99:99" ht="14.25" customHeight="1" x14ac:dyDescent="0.2">
      <c r="CU860" s="154"/>
    </row>
    <row r="861" spans="99:99" ht="14.25" customHeight="1" x14ac:dyDescent="0.2">
      <c r="CU861" s="154"/>
    </row>
    <row r="862" spans="99:99" ht="14.25" customHeight="1" x14ac:dyDescent="0.2">
      <c r="CU862" s="154"/>
    </row>
    <row r="863" spans="99:99" ht="14.25" customHeight="1" x14ac:dyDescent="0.2">
      <c r="CU863" s="154"/>
    </row>
    <row r="864" spans="99:99" ht="14.25" customHeight="1" x14ac:dyDescent="0.2">
      <c r="CU864" s="154"/>
    </row>
    <row r="865" spans="99:99" ht="14.25" customHeight="1" x14ac:dyDescent="0.2">
      <c r="CU865" s="154"/>
    </row>
    <row r="866" spans="99:99" ht="14.25" customHeight="1" x14ac:dyDescent="0.2">
      <c r="CU866" s="154"/>
    </row>
    <row r="867" spans="99:99" ht="14.25" customHeight="1" x14ac:dyDescent="0.2">
      <c r="CU867" s="154"/>
    </row>
    <row r="868" spans="99:99" ht="14.25" customHeight="1" x14ac:dyDescent="0.2">
      <c r="CU868" s="154"/>
    </row>
    <row r="869" spans="99:99" ht="14.25" customHeight="1" x14ac:dyDescent="0.2">
      <c r="CU869" s="154"/>
    </row>
    <row r="870" spans="99:99" ht="14.25" customHeight="1" x14ac:dyDescent="0.2">
      <c r="CU870" s="154"/>
    </row>
    <row r="871" spans="99:99" ht="14.25" customHeight="1" x14ac:dyDescent="0.2">
      <c r="CU871" s="154"/>
    </row>
    <row r="872" spans="99:99" ht="14.25" customHeight="1" x14ac:dyDescent="0.2">
      <c r="CU872" s="154"/>
    </row>
    <row r="873" spans="99:99" ht="14.25" customHeight="1" x14ac:dyDescent="0.2">
      <c r="CU873" s="154"/>
    </row>
    <row r="874" spans="99:99" ht="14.25" customHeight="1" x14ac:dyDescent="0.2">
      <c r="CU874" s="154"/>
    </row>
    <row r="875" spans="99:99" ht="14.25" customHeight="1" x14ac:dyDescent="0.2">
      <c r="CU875" s="154"/>
    </row>
    <row r="876" spans="99:99" ht="14.25" customHeight="1" x14ac:dyDescent="0.2">
      <c r="CU876" s="154"/>
    </row>
    <row r="877" spans="99:99" ht="14.25" customHeight="1" x14ac:dyDescent="0.2">
      <c r="CU877" s="154"/>
    </row>
    <row r="878" spans="99:99" ht="14.25" customHeight="1" x14ac:dyDescent="0.2">
      <c r="CU878" s="154"/>
    </row>
    <row r="879" spans="99:99" ht="14.25" customHeight="1" x14ac:dyDescent="0.2">
      <c r="CU879" s="154"/>
    </row>
    <row r="880" spans="99:99" ht="14.25" customHeight="1" x14ac:dyDescent="0.2">
      <c r="CU880" s="154"/>
    </row>
    <row r="881" spans="99:99" ht="14.25" customHeight="1" x14ac:dyDescent="0.2">
      <c r="CU881" s="154"/>
    </row>
    <row r="882" spans="99:99" ht="14.25" customHeight="1" x14ac:dyDescent="0.2">
      <c r="CU882" s="154"/>
    </row>
    <row r="883" spans="99:99" ht="14.25" customHeight="1" x14ac:dyDescent="0.2">
      <c r="CU883" s="154"/>
    </row>
    <row r="884" spans="99:99" ht="14.25" customHeight="1" x14ac:dyDescent="0.2">
      <c r="CU884" s="154"/>
    </row>
    <row r="885" spans="99:99" ht="14.25" customHeight="1" x14ac:dyDescent="0.2">
      <c r="CU885" s="154"/>
    </row>
    <row r="886" spans="99:99" ht="14.25" customHeight="1" x14ac:dyDescent="0.2">
      <c r="CU886" s="154"/>
    </row>
    <row r="887" spans="99:99" ht="14.25" customHeight="1" x14ac:dyDescent="0.2">
      <c r="CU887" s="154"/>
    </row>
    <row r="888" spans="99:99" ht="14.25" customHeight="1" x14ac:dyDescent="0.2">
      <c r="CU888" s="154"/>
    </row>
    <row r="889" spans="99:99" ht="14.25" customHeight="1" x14ac:dyDescent="0.2">
      <c r="CU889" s="154"/>
    </row>
    <row r="890" spans="99:99" ht="14.25" customHeight="1" x14ac:dyDescent="0.2">
      <c r="CU890" s="154"/>
    </row>
    <row r="891" spans="99:99" ht="14.25" customHeight="1" x14ac:dyDescent="0.2">
      <c r="CU891" s="154"/>
    </row>
    <row r="892" spans="99:99" ht="14.25" customHeight="1" x14ac:dyDescent="0.2">
      <c r="CU892" s="154"/>
    </row>
    <row r="893" spans="99:99" ht="14.25" customHeight="1" x14ac:dyDescent="0.2">
      <c r="CU893" s="154"/>
    </row>
    <row r="894" spans="99:99" ht="14.25" customHeight="1" x14ac:dyDescent="0.2">
      <c r="CU894" s="154"/>
    </row>
    <row r="895" spans="99:99" ht="14.25" customHeight="1" x14ac:dyDescent="0.2">
      <c r="CU895" s="154"/>
    </row>
    <row r="896" spans="99:99" ht="14.25" customHeight="1" x14ac:dyDescent="0.2">
      <c r="CU896" s="154"/>
    </row>
    <row r="897" spans="99:99" ht="14.25" customHeight="1" x14ac:dyDescent="0.2">
      <c r="CU897" s="154"/>
    </row>
    <row r="898" spans="99:99" ht="14.25" customHeight="1" x14ac:dyDescent="0.2">
      <c r="CU898" s="154"/>
    </row>
    <row r="899" spans="99:99" ht="14.25" customHeight="1" x14ac:dyDescent="0.2">
      <c r="CU899" s="154"/>
    </row>
    <row r="900" spans="99:99" ht="14.25" customHeight="1" x14ac:dyDescent="0.2">
      <c r="CU900" s="154"/>
    </row>
    <row r="901" spans="99:99" ht="14.25" customHeight="1" x14ac:dyDescent="0.2">
      <c r="CU901" s="154"/>
    </row>
    <row r="902" spans="99:99" ht="14.25" customHeight="1" x14ac:dyDescent="0.2">
      <c r="CU902" s="154"/>
    </row>
    <row r="903" spans="99:99" ht="14.25" customHeight="1" x14ac:dyDescent="0.2">
      <c r="CU903" s="154"/>
    </row>
    <row r="904" spans="99:99" ht="14.25" customHeight="1" x14ac:dyDescent="0.2">
      <c r="CU904" s="154"/>
    </row>
    <row r="905" spans="99:99" ht="14.25" customHeight="1" x14ac:dyDescent="0.2">
      <c r="CU905" s="154"/>
    </row>
    <row r="906" spans="99:99" ht="14.25" customHeight="1" x14ac:dyDescent="0.2">
      <c r="CU906" s="154"/>
    </row>
    <row r="907" spans="99:99" ht="14.25" customHeight="1" x14ac:dyDescent="0.2">
      <c r="CU907" s="154"/>
    </row>
    <row r="908" spans="99:99" ht="14.25" customHeight="1" x14ac:dyDescent="0.2">
      <c r="CU908" s="154"/>
    </row>
    <row r="909" spans="99:99" ht="14.25" customHeight="1" x14ac:dyDescent="0.2">
      <c r="CU909" s="154"/>
    </row>
    <row r="910" spans="99:99" ht="14.25" customHeight="1" x14ac:dyDescent="0.2">
      <c r="CU910" s="154"/>
    </row>
    <row r="911" spans="99:99" ht="14.25" customHeight="1" x14ac:dyDescent="0.2">
      <c r="CU911" s="154"/>
    </row>
    <row r="912" spans="99:99" ht="14.25" customHeight="1" x14ac:dyDescent="0.2">
      <c r="CU912" s="154"/>
    </row>
    <row r="913" spans="99:99" ht="14.25" customHeight="1" x14ac:dyDescent="0.2">
      <c r="CU913" s="154"/>
    </row>
    <row r="914" spans="99:99" ht="14.25" customHeight="1" x14ac:dyDescent="0.2">
      <c r="CU914" s="154"/>
    </row>
    <row r="915" spans="99:99" ht="14.25" customHeight="1" x14ac:dyDescent="0.2">
      <c r="CU915" s="154"/>
    </row>
    <row r="916" spans="99:99" ht="14.25" customHeight="1" x14ac:dyDescent="0.2">
      <c r="CU916" s="154"/>
    </row>
    <row r="917" spans="99:99" ht="14.25" customHeight="1" x14ac:dyDescent="0.2">
      <c r="CU917" s="154"/>
    </row>
    <row r="918" spans="99:99" ht="14.25" customHeight="1" x14ac:dyDescent="0.2">
      <c r="CU918" s="154"/>
    </row>
    <row r="919" spans="99:99" ht="14.25" customHeight="1" x14ac:dyDescent="0.2">
      <c r="CU919" s="154"/>
    </row>
    <row r="920" spans="99:99" ht="14.25" customHeight="1" x14ac:dyDescent="0.2">
      <c r="CU920" s="154"/>
    </row>
    <row r="921" spans="99:99" ht="14.25" customHeight="1" x14ac:dyDescent="0.2">
      <c r="CU921" s="154"/>
    </row>
    <row r="922" spans="99:99" ht="14.25" customHeight="1" x14ac:dyDescent="0.2">
      <c r="CU922" s="154"/>
    </row>
    <row r="923" spans="99:99" ht="14.25" customHeight="1" x14ac:dyDescent="0.2">
      <c r="CU923" s="154"/>
    </row>
    <row r="924" spans="99:99" ht="14.25" customHeight="1" x14ac:dyDescent="0.2">
      <c r="CU924" s="154"/>
    </row>
    <row r="925" spans="99:99" ht="14.25" customHeight="1" x14ac:dyDescent="0.2">
      <c r="CU925" s="154"/>
    </row>
    <row r="926" spans="99:99" ht="14.25" customHeight="1" x14ac:dyDescent="0.2">
      <c r="CU926" s="154"/>
    </row>
    <row r="927" spans="99:99" ht="14.25" customHeight="1" x14ac:dyDescent="0.2">
      <c r="CU927" s="154"/>
    </row>
    <row r="928" spans="99:99" ht="14.25" customHeight="1" x14ac:dyDescent="0.2">
      <c r="CU928" s="154"/>
    </row>
    <row r="929" spans="99:99" ht="14.25" customHeight="1" x14ac:dyDescent="0.2">
      <c r="CU929" s="154"/>
    </row>
    <row r="930" spans="99:99" ht="14.25" customHeight="1" x14ac:dyDescent="0.2">
      <c r="CU930" s="154"/>
    </row>
    <row r="931" spans="99:99" ht="14.25" customHeight="1" x14ac:dyDescent="0.2">
      <c r="CU931" s="154"/>
    </row>
    <row r="932" spans="99:99" ht="14.25" customHeight="1" x14ac:dyDescent="0.2">
      <c r="CU932" s="154"/>
    </row>
    <row r="933" spans="99:99" ht="14.25" customHeight="1" x14ac:dyDescent="0.2">
      <c r="CU933" s="154"/>
    </row>
    <row r="934" spans="99:99" ht="14.25" customHeight="1" x14ac:dyDescent="0.2">
      <c r="CU934" s="154"/>
    </row>
    <row r="935" spans="99:99" ht="14.25" customHeight="1" x14ac:dyDescent="0.2">
      <c r="CU935" s="154"/>
    </row>
    <row r="936" spans="99:99" ht="14.25" customHeight="1" x14ac:dyDescent="0.2">
      <c r="CU936" s="154"/>
    </row>
    <row r="937" spans="99:99" ht="14.25" customHeight="1" x14ac:dyDescent="0.2">
      <c r="CU937" s="154"/>
    </row>
    <row r="938" spans="99:99" ht="14.25" customHeight="1" x14ac:dyDescent="0.2">
      <c r="CU938" s="154"/>
    </row>
    <row r="939" spans="99:99" ht="14.25" customHeight="1" x14ac:dyDescent="0.2">
      <c r="CU939" s="154"/>
    </row>
    <row r="940" spans="99:99" ht="14.25" customHeight="1" x14ac:dyDescent="0.2">
      <c r="CU940" s="154"/>
    </row>
    <row r="941" spans="99:99" ht="14.25" customHeight="1" x14ac:dyDescent="0.2">
      <c r="CU941" s="154"/>
    </row>
    <row r="942" spans="99:99" ht="14.25" customHeight="1" x14ac:dyDescent="0.2">
      <c r="CU942" s="154"/>
    </row>
    <row r="943" spans="99:99" ht="14.25" customHeight="1" x14ac:dyDescent="0.2">
      <c r="CU943" s="154"/>
    </row>
    <row r="944" spans="99:99" ht="14.25" customHeight="1" x14ac:dyDescent="0.2">
      <c r="CU944" s="154"/>
    </row>
    <row r="945" spans="99:99" ht="14.25" customHeight="1" x14ac:dyDescent="0.2">
      <c r="CU945" s="154"/>
    </row>
    <row r="946" spans="99:99" ht="14.25" customHeight="1" x14ac:dyDescent="0.2">
      <c r="CU946" s="154"/>
    </row>
    <row r="947" spans="99:99" ht="14.25" customHeight="1" x14ac:dyDescent="0.2">
      <c r="CU947" s="154"/>
    </row>
    <row r="948" spans="99:99" ht="14.25" customHeight="1" x14ac:dyDescent="0.2">
      <c r="CU948" s="154"/>
    </row>
    <row r="949" spans="99:99" ht="14.25" customHeight="1" x14ac:dyDescent="0.2">
      <c r="CU949" s="154"/>
    </row>
    <row r="950" spans="99:99" ht="14.25" customHeight="1" x14ac:dyDescent="0.2">
      <c r="CU950" s="154"/>
    </row>
    <row r="951" spans="99:99" ht="14.25" customHeight="1" x14ac:dyDescent="0.2">
      <c r="CU951" s="154"/>
    </row>
    <row r="952" spans="99:99" ht="14.25" customHeight="1" x14ac:dyDescent="0.2">
      <c r="CU952" s="154"/>
    </row>
    <row r="953" spans="99:99" ht="14.25" customHeight="1" x14ac:dyDescent="0.2">
      <c r="CU953" s="154"/>
    </row>
    <row r="954" spans="99:99" ht="14.25" customHeight="1" x14ac:dyDescent="0.2">
      <c r="CU954" s="154"/>
    </row>
    <row r="955" spans="99:99" ht="14.25" customHeight="1" x14ac:dyDescent="0.2">
      <c r="CU955" s="154"/>
    </row>
    <row r="956" spans="99:99" ht="14.25" customHeight="1" x14ac:dyDescent="0.2">
      <c r="CU956" s="154"/>
    </row>
    <row r="957" spans="99:99" ht="14.25" customHeight="1" x14ac:dyDescent="0.2">
      <c r="CU957" s="154"/>
    </row>
    <row r="958" spans="99:99" ht="14.25" customHeight="1" x14ac:dyDescent="0.2">
      <c r="CU958" s="154"/>
    </row>
    <row r="959" spans="99:99" ht="14.25" customHeight="1" x14ac:dyDescent="0.2">
      <c r="CU959" s="154"/>
    </row>
    <row r="960" spans="99:99" ht="14.25" customHeight="1" x14ac:dyDescent="0.2">
      <c r="CU960" s="154"/>
    </row>
    <row r="961" spans="99:99" ht="14.25" customHeight="1" x14ac:dyDescent="0.2">
      <c r="CU961" s="154"/>
    </row>
    <row r="962" spans="99:99" ht="14.25" customHeight="1" x14ac:dyDescent="0.2">
      <c r="CU962" s="154"/>
    </row>
    <row r="963" spans="99:99" ht="14.25" customHeight="1" x14ac:dyDescent="0.2">
      <c r="CU963" s="154"/>
    </row>
    <row r="964" spans="99:99" ht="14.25" customHeight="1" x14ac:dyDescent="0.2">
      <c r="CU964" s="154"/>
    </row>
    <row r="965" spans="99:99" ht="14.25" customHeight="1" x14ac:dyDescent="0.2">
      <c r="CU965" s="154"/>
    </row>
    <row r="966" spans="99:99" ht="14.25" customHeight="1" x14ac:dyDescent="0.2">
      <c r="CU966" s="154"/>
    </row>
    <row r="967" spans="99:99" ht="14.25" customHeight="1" x14ac:dyDescent="0.2">
      <c r="CU967" s="154"/>
    </row>
    <row r="968" spans="99:99" ht="14.25" customHeight="1" x14ac:dyDescent="0.2">
      <c r="CU968" s="154"/>
    </row>
    <row r="969" spans="99:99" ht="14.25" customHeight="1" x14ac:dyDescent="0.2">
      <c r="CU969" s="154"/>
    </row>
    <row r="970" spans="99:99" ht="14.25" customHeight="1" x14ac:dyDescent="0.2">
      <c r="CU970" s="154"/>
    </row>
    <row r="971" spans="99:99" ht="14.25" customHeight="1" x14ac:dyDescent="0.2">
      <c r="CU971" s="154"/>
    </row>
    <row r="972" spans="99:99" ht="14.25" customHeight="1" x14ac:dyDescent="0.2">
      <c r="CU972" s="154"/>
    </row>
    <row r="973" spans="99:99" ht="14.25" customHeight="1" x14ac:dyDescent="0.2">
      <c r="CU973" s="154"/>
    </row>
    <row r="974" spans="99:99" ht="14.25" customHeight="1" x14ac:dyDescent="0.2">
      <c r="CU974" s="154"/>
    </row>
    <row r="975" spans="99:99" ht="14.25" customHeight="1" x14ac:dyDescent="0.2">
      <c r="CU975" s="154"/>
    </row>
    <row r="976" spans="99:99" ht="14.25" customHeight="1" x14ac:dyDescent="0.2">
      <c r="CU976" s="154"/>
    </row>
    <row r="977" spans="99:99" ht="14.25" customHeight="1" x14ac:dyDescent="0.2">
      <c r="CU977" s="154"/>
    </row>
    <row r="978" spans="99:99" ht="14.25" customHeight="1" x14ac:dyDescent="0.2">
      <c r="CU978" s="154"/>
    </row>
    <row r="979" spans="99:99" ht="14.25" customHeight="1" x14ac:dyDescent="0.2">
      <c r="CU979" s="154"/>
    </row>
    <row r="980" spans="99:99" ht="14.25" customHeight="1" x14ac:dyDescent="0.2">
      <c r="CU980" s="154"/>
    </row>
    <row r="981" spans="99:99" ht="14.25" customHeight="1" x14ac:dyDescent="0.2">
      <c r="CU981" s="154"/>
    </row>
    <row r="982" spans="99:99" ht="14.25" customHeight="1" x14ac:dyDescent="0.2">
      <c r="CU982" s="154"/>
    </row>
    <row r="983" spans="99:99" ht="14.25" customHeight="1" x14ac:dyDescent="0.2">
      <c r="CU983" s="154"/>
    </row>
    <row r="984" spans="99:99" ht="14.25" customHeight="1" x14ac:dyDescent="0.2">
      <c r="CU984" s="154"/>
    </row>
    <row r="985" spans="99:99" ht="14.25" customHeight="1" x14ac:dyDescent="0.2">
      <c r="CU985" s="154"/>
    </row>
    <row r="986" spans="99:99" ht="14.25" customHeight="1" x14ac:dyDescent="0.2">
      <c r="CU986" s="154"/>
    </row>
    <row r="987" spans="99:99" ht="14.25" customHeight="1" x14ac:dyDescent="0.2">
      <c r="CU987" s="154"/>
    </row>
    <row r="988" spans="99:99" ht="14.25" customHeight="1" x14ac:dyDescent="0.2">
      <c r="CU988" s="154"/>
    </row>
    <row r="989" spans="99:99" ht="14.25" customHeight="1" x14ac:dyDescent="0.2">
      <c r="CU989" s="154"/>
    </row>
    <row r="990" spans="99:99" ht="14.25" customHeight="1" x14ac:dyDescent="0.2">
      <c r="CU990" s="154"/>
    </row>
    <row r="991" spans="99:99" ht="14.25" customHeight="1" x14ac:dyDescent="0.2">
      <c r="CU991" s="154"/>
    </row>
    <row r="992" spans="99:99" ht="14.25" customHeight="1" x14ac:dyDescent="0.2">
      <c r="CU992" s="154"/>
    </row>
    <row r="993" spans="99:99" ht="14.25" customHeight="1" x14ac:dyDescent="0.2">
      <c r="CU993" s="154"/>
    </row>
    <row r="994" spans="99:99" ht="14.25" customHeight="1" x14ac:dyDescent="0.2">
      <c r="CU994" s="154"/>
    </row>
    <row r="995" spans="99:99" ht="14.25" customHeight="1" x14ac:dyDescent="0.2">
      <c r="CU995" s="154"/>
    </row>
    <row r="996" spans="99:99" ht="14.25" customHeight="1" x14ac:dyDescent="0.2">
      <c r="CU996" s="154"/>
    </row>
    <row r="997" spans="99:99" ht="14.25" customHeight="1" x14ac:dyDescent="0.2">
      <c r="CU997" s="154"/>
    </row>
    <row r="998" spans="99:99" ht="14.25" customHeight="1" x14ac:dyDescent="0.2">
      <c r="CU998" s="154"/>
    </row>
    <row r="999" spans="99:99" ht="14.25" customHeight="1" x14ac:dyDescent="0.2">
      <c r="CU999" s="154"/>
    </row>
    <row r="1000" spans="99:99" ht="14.25" customHeight="1" x14ac:dyDescent="0.2">
      <c r="CU1000" s="154"/>
    </row>
  </sheetData>
  <mergeCells count="25">
    <mergeCell ref="BW60:CC60"/>
    <mergeCell ref="CD60:CJ60"/>
    <mergeCell ref="CK60:CQ60"/>
    <mergeCell ref="CK2:CQ2"/>
    <mergeCell ref="L60:R60"/>
    <mergeCell ref="S60:Y60"/>
    <mergeCell ref="Z60:AF60"/>
    <mergeCell ref="AG60:AM60"/>
    <mergeCell ref="AN60:AT60"/>
    <mergeCell ref="AU60:BA60"/>
    <mergeCell ref="BB60:BH60"/>
    <mergeCell ref="BI60:BO60"/>
    <mergeCell ref="BP60:BV60"/>
    <mergeCell ref="AU2:BA2"/>
    <mergeCell ref="BB2:BH2"/>
    <mergeCell ref="BI2:BO2"/>
    <mergeCell ref="BP2:BV2"/>
    <mergeCell ref="BW2:CC2"/>
    <mergeCell ref="CD2:CJ2"/>
    <mergeCell ref="B2:K2"/>
    <mergeCell ref="L2:R2"/>
    <mergeCell ref="S2:Y2"/>
    <mergeCell ref="Z2:AF2"/>
    <mergeCell ref="AG2:AM2"/>
    <mergeCell ref="AN2:AT2"/>
  </mergeCells>
  <printOptions horizontalCentered="1"/>
  <pageMargins left="9.8425196850393706E-2" right="9.8425196850393706E-2" top="0.59055118110236227" bottom="0.39370078740157483" header="0" footer="0"/>
  <pageSetup paperSize="9" scale="43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FA1E2-7599-BE49-815C-462E1897D5CC}">
  <sheetPr>
    <pageSetUpPr fitToPage="1"/>
  </sheetPr>
  <dimension ref="A1:CU1000"/>
  <sheetViews>
    <sheetView zoomScale="85" zoomScaleNormal="85" workbookViewId="0">
      <pane xSplit="1" ySplit="3" topLeftCell="AT21" activePane="bottomRight" state="frozen"/>
      <selection pane="topRight" activeCell="B1" sqref="B1"/>
      <selection pane="bottomLeft" activeCell="A4" sqref="A4"/>
      <selection pane="bottomRight" activeCell="AZ56" sqref="AZ56:AZ57"/>
    </sheetView>
  </sheetViews>
  <sheetFormatPr baseColWidth="10" defaultColWidth="14.5" defaultRowHeight="15" customHeight="1" x14ac:dyDescent="0.2"/>
  <cols>
    <col min="1" max="1" width="32.33203125" customWidth="1"/>
    <col min="2" max="9" width="11.5" customWidth="1"/>
    <col min="10" max="10" width="11.33203125" customWidth="1"/>
    <col min="11" max="96" width="11.5" customWidth="1"/>
    <col min="97" max="98" width="10.5" customWidth="1"/>
    <col min="99" max="99" width="2.6640625" customWidth="1"/>
  </cols>
  <sheetData>
    <row r="1" spans="1:99" ht="20" customHeight="1" thickBot="1" x14ac:dyDescent="0.25">
      <c r="A1" s="1" t="s">
        <v>124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45"/>
    </row>
    <row r="2" spans="1:99" ht="14.25" customHeight="1" thickBot="1" x14ac:dyDescent="0.25">
      <c r="A2" s="5"/>
      <c r="B2" s="245"/>
      <c r="C2" s="246"/>
      <c r="D2" s="246"/>
      <c r="E2" s="247"/>
      <c r="F2" s="247"/>
      <c r="G2" s="247"/>
      <c r="H2" s="247"/>
      <c r="I2" s="247"/>
      <c r="J2" s="247"/>
      <c r="K2" s="248"/>
      <c r="L2" s="245" t="s">
        <v>2</v>
      </c>
      <c r="M2" s="246"/>
      <c r="N2" s="246"/>
      <c r="O2" s="246"/>
      <c r="P2" s="246"/>
      <c r="Q2" s="247"/>
      <c r="R2" s="248"/>
      <c r="S2" s="245" t="s">
        <v>3</v>
      </c>
      <c r="T2" s="246"/>
      <c r="U2" s="246"/>
      <c r="V2" s="246"/>
      <c r="W2" s="246"/>
      <c r="X2" s="247"/>
      <c r="Y2" s="248"/>
      <c r="Z2" s="245" t="s">
        <v>4</v>
      </c>
      <c r="AA2" s="246"/>
      <c r="AB2" s="246"/>
      <c r="AC2" s="246"/>
      <c r="AD2" s="246"/>
      <c r="AE2" s="247"/>
      <c r="AF2" s="248"/>
      <c r="AG2" s="245" t="s">
        <v>5</v>
      </c>
      <c r="AH2" s="246"/>
      <c r="AI2" s="246"/>
      <c r="AJ2" s="246"/>
      <c r="AK2" s="246"/>
      <c r="AL2" s="247"/>
      <c r="AM2" s="248"/>
      <c r="AN2" s="245" t="s">
        <v>6</v>
      </c>
      <c r="AO2" s="246"/>
      <c r="AP2" s="246"/>
      <c r="AQ2" s="246"/>
      <c r="AR2" s="246"/>
      <c r="AS2" s="247"/>
      <c r="AT2" s="248"/>
      <c r="AU2" s="245" t="s">
        <v>7</v>
      </c>
      <c r="AV2" s="246"/>
      <c r="AW2" s="246"/>
      <c r="AX2" s="246"/>
      <c r="AY2" s="246"/>
      <c r="AZ2" s="247"/>
      <c r="BA2" s="248"/>
      <c r="BB2" s="245" t="s">
        <v>8</v>
      </c>
      <c r="BC2" s="246"/>
      <c r="BD2" s="246"/>
      <c r="BE2" s="246"/>
      <c r="BF2" s="246"/>
      <c r="BG2" s="247"/>
      <c r="BH2" s="248"/>
      <c r="BI2" s="245" t="s">
        <v>9</v>
      </c>
      <c r="BJ2" s="246"/>
      <c r="BK2" s="246"/>
      <c r="BL2" s="246"/>
      <c r="BM2" s="246"/>
      <c r="BN2" s="247"/>
      <c r="BO2" s="248"/>
      <c r="BP2" s="245" t="s">
        <v>10</v>
      </c>
      <c r="BQ2" s="246"/>
      <c r="BR2" s="246"/>
      <c r="BS2" s="246"/>
      <c r="BT2" s="246"/>
      <c r="BU2" s="247"/>
      <c r="BV2" s="248"/>
      <c r="BW2" s="245" t="s">
        <v>11</v>
      </c>
      <c r="BX2" s="246"/>
      <c r="BY2" s="246"/>
      <c r="BZ2" s="246"/>
      <c r="CA2" s="246"/>
      <c r="CB2" s="247"/>
      <c r="CC2" s="248"/>
      <c r="CD2" s="245" t="s">
        <v>12</v>
      </c>
      <c r="CE2" s="246"/>
      <c r="CF2" s="246"/>
      <c r="CG2" s="246"/>
      <c r="CH2" s="246"/>
      <c r="CI2" s="247"/>
      <c r="CJ2" s="248"/>
      <c r="CK2" s="245" t="s">
        <v>13</v>
      </c>
      <c r="CL2" s="246"/>
      <c r="CM2" s="246"/>
      <c r="CN2" s="246"/>
      <c r="CO2" s="246"/>
      <c r="CP2" s="247"/>
      <c r="CQ2" s="248"/>
    </row>
    <row r="3" spans="1:99" ht="45" customHeight="1" thickBot="1" x14ac:dyDescent="0.25">
      <c r="A3" s="5"/>
      <c r="B3" s="8" t="s">
        <v>14</v>
      </c>
      <c r="C3" s="9" t="s">
        <v>15</v>
      </c>
      <c r="D3" s="10" t="s">
        <v>16</v>
      </c>
      <c r="E3" s="8" t="s">
        <v>17</v>
      </c>
      <c r="F3" s="11" t="s">
        <v>18</v>
      </c>
      <c r="G3" s="12" t="s">
        <v>19</v>
      </c>
      <c r="H3" s="13" t="s">
        <v>20</v>
      </c>
      <c r="I3" s="14" t="s">
        <v>21</v>
      </c>
      <c r="J3" s="14" t="s">
        <v>22</v>
      </c>
      <c r="K3" s="15" t="s">
        <v>23</v>
      </c>
      <c r="L3" s="6" t="s">
        <v>24</v>
      </c>
      <c r="M3" s="14" t="s">
        <v>25</v>
      </c>
      <c r="N3" s="14" t="s">
        <v>26</v>
      </c>
      <c r="O3" s="14" t="s">
        <v>20</v>
      </c>
      <c r="P3" s="14" t="s">
        <v>21</v>
      </c>
      <c r="Q3" s="14" t="s">
        <v>22</v>
      </c>
      <c r="R3" s="15" t="s">
        <v>23</v>
      </c>
      <c r="S3" s="6" t="s">
        <v>24</v>
      </c>
      <c r="T3" s="14" t="s">
        <v>25</v>
      </c>
      <c r="U3" s="14" t="s">
        <v>26</v>
      </c>
      <c r="V3" s="14" t="s">
        <v>20</v>
      </c>
      <c r="W3" s="14" t="s">
        <v>21</v>
      </c>
      <c r="X3" s="14" t="s">
        <v>22</v>
      </c>
      <c r="Y3" s="15" t="s">
        <v>23</v>
      </c>
      <c r="Z3" s="6" t="s">
        <v>24</v>
      </c>
      <c r="AA3" s="14" t="s">
        <v>25</v>
      </c>
      <c r="AB3" s="14" t="s">
        <v>26</v>
      </c>
      <c r="AC3" s="14" t="s">
        <v>20</v>
      </c>
      <c r="AD3" s="14" t="s">
        <v>21</v>
      </c>
      <c r="AE3" s="14" t="s">
        <v>22</v>
      </c>
      <c r="AF3" s="15" t="s">
        <v>23</v>
      </c>
      <c r="AG3" s="6" t="s">
        <v>24</v>
      </c>
      <c r="AH3" s="14" t="s">
        <v>25</v>
      </c>
      <c r="AI3" s="14" t="s">
        <v>26</v>
      </c>
      <c r="AJ3" s="14" t="s">
        <v>20</v>
      </c>
      <c r="AK3" s="14" t="s">
        <v>21</v>
      </c>
      <c r="AL3" s="14" t="s">
        <v>22</v>
      </c>
      <c r="AM3" s="15" t="s">
        <v>23</v>
      </c>
      <c r="AN3" s="6" t="s">
        <v>24</v>
      </c>
      <c r="AO3" s="14" t="s">
        <v>25</v>
      </c>
      <c r="AP3" s="14" t="s">
        <v>26</v>
      </c>
      <c r="AQ3" s="14" t="s">
        <v>20</v>
      </c>
      <c r="AR3" s="14" t="s">
        <v>21</v>
      </c>
      <c r="AS3" s="14" t="s">
        <v>22</v>
      </c>
      <c r="AT3" s="15" t="s">
        <v>23</v>
      </c>
      <c r="AU3" s="6" t="s">
        <v>24</v>
      </c>
      <c r="AV3" s="14" t="s">
        <v>25</v>
      </c>
      <c r="AW3" s="14" t="s">
        <v>26</v>
      </c>
      <c r="AX3" s="14" t="s">
        <v>20</v>
      </c>
      <c r="AY3" s="14" t="s">
        <v>21</v>
      </c>
      <c r="AZ3" s="14" t="s">
        <v>22</v>
      </c>
      <c r="BA3" s="15" t="s">
        <v>23</v>
      </c>
      <c r="BB3" s="6" t="s">
        <v>24</v>
      </c>
      <c r="BC3" s="14" t="s">
        <v>25</v>
      </c>
      <c r="BD3" s="14" t="s">
        <v>26</v>
      </c>
      <c r="BE3" s="14" t="s">
        <v>20</v>
      </c>
      <c r="BF3" s="14" t="s">
        <v>21</v>
      </c>
      <c r="BG3" s="14" t="s">
        <v>22</v>
      </c>
      <c r="BH3" s="15" t="s">
        <v>23</v>
      </c>
      <c r="BI3" s="6" t="s">
        <v>24</v>
      </c>
      <c r="BJ3" s="14" t="s">
        <v>25</v>
      </c>
      <c r="BK3" s="14" t="s">
        <v>26</v>
      </c>
      <c r="BL3" s="14" t="s">
        <v>20</v>
      </c>
      <c r="BM3" s="14" t="s">
        <v>21</v>
      </c>
      <c r="BN3" s="14" t="s">
        <v>22</v>
      </c>
      <c r="BO3" s="15" t="s">
        <v>23</v>
      </c>
      <c r="BP3" s="6" t="s">
        <v>24</v>
      </c>
      <c r="BQ3" s="14" t="s">
        <v>25</v>
      </c>
      <c r="BR3" s="14" t="s">
        <v>26</v>
      </c>
      <c r="BS3" s="14" t="s">
        <v>20</v>
      </c>
      <c r="BT3" s="14" t="s">
        <v>21</v>
      </c>
      <c r="BU3" s="14" t="s">
        <v>22</v>
      </c>
      <c r="BV3" s="15" t="s">
        <v>23</v>
      </c>
      <c r="BW3" s="6" t="s">
        <v>24</v>
      </c>
      <c r="BX3" s="14" t="s">
        <v>25</v>
      </c>
      <c r="BY3" s="14" t="s">
        <v>26</v>
      </c>
      <c r="BZ3" s="14" t="s">
        <v>20</v>
      </c>
      <c r="CA3" s="14" t="s">
        <v>21</v>
      </c>
      <c r="CB3" s="14" t="s">
        <v>22</v>
      </c>
      <c r="CC3" s="15" t="s">
        <v>23</v>
      </c>
      <c r="CD3" s="6" t="s">
        <v>24</v>
      </c>
      <c r="CE3" s="14" t="s">
        <v>25</v>
      </c>
      <c r="CF3" s="14" t="s">
        <v>26</v>
      </c>
      <c r="CG3" s="14" t="s">
        <v>20</v>
      </c>
      <c r="CH3" s="14" t="s">
        <v>21</v>
      </c>
      <c r="CI3" s="14" t="s">
        <v>22</v>
      </c>
      <c r="CJ3" s="15" t="s">
        <v>23</v>
      </c>
      <c r="CK3" s="6" t="s">
        <v>24</v>
      </c>
      <c r="CL3" s="14" t="s">
        <v>25</v>
      </c>
      <c r="CM3" s="14" t="s">
        <v>26</v>
      </c>
      <c r="CN3" s="14" t="s">
        <v>20</v>
      </c>
      <c r="CO3" s="14" t="s">
        <v>21</v>
      </c>
      <c r="CP3" s="14" t="s">
        <v>22</v>
      </c>
      <c r="CQ3" s="15" t="s">
        <v>23</v>
      </c>
    </row>
    <row r="4" spans="1:99" s="26" customFormat="1" ht="14.25" customHeight="1" thickBot="1" x14ac:dyDescent="0.25">
      <c r="A4" s="16" t="s">
        <v>28</v>
      </c>
      <c r="B4" s="17">
        <f t="shared" ref="B4:D35" si="0">+L4+S4+Z4+AG4+AN4+AU4+BB4+BI4+BP4+BW4+CD4+CK4</f>
        <v>1385880.542072</v>
      </c>
      <c r="C4" s="18">
        <f t="shared" si="0"/>
        <v>1174672.3474602271</v>
      </c>
      <c r="D4" s="19">
        <f t="shared" si="0"/>
        <v>211208.19461177284</v>
      </c>
      <c r="E4" s="17">
        <f>+L4+S4+Z4+AG4</f>
        <v>487880.20711999992</v>
      </c>
      <c r="F4" s="20">
        <f>+M4+T4+AA4+AH4</f>
        <v>413527.26355491194</v>
      </c>
      <c r="G4" s="21">
        <f>+N4+U4+AB4+AI4</f>
        <v>74352.94356508799</v>
      </c>
      <c r="H4" s="18">
        <f t="shared" ref="H4:J35" si="1">+O4+V4+AC4+AJ4+AQ4+AX4+BE4+BL4+BS4+BZ4+CG4+CN4</f>
        <v>619680.92789200007</v>
      </c>
      <c r="I4" s="20">
        <f t="shared" si="1"/>
        <v>111419.74210800001</v>
      </c>
      <c r="J4" s="20">
        <f t="shared" si="1"/>
        <v>731100.67</v>
      </c>
      <c r="K4" s="25">
        <f t="shared" ref="K4:K54" si="2">IF(E4=0,"",(+J4/E4-1))</f>
        <v>0.49852496438777893</v>
      </c>
      <c r="L4" s="23">
        <f>[1]BOA!$E4</f>
        <v>106904.80177999998</v>
      </c>
      <c r="M4" s="23">
        <f>L4-N4</f>
        <v>90612.509988727979</v>
      </c>
      <c r="N4" s="23">
        <f>+L4*15.24%</f>
        <v>16292.291791271999</v>
      </c>
      <c r="O4" s="23">
        <f>+Q4-P4</f>
        <v>83472.43626799999</v>
      </c>
      <c r="P4" s="23">
        <f>+Q4*15.24%</f>
        <v>15008.493731999999</v>
      </c>
      <c r="Q4" s="23">
        <f>51460.95+88709.46-Q5-Q6-Q7-Q8-Q9</f>
        <v>98480.93</v>
      </c>
      <c r="R4" s="23">
        <f t="shared" ref="R4:R54" si="3">IF(L4=0,"",(+Q4/L4-1))</f>
        <v>-7.8797880354668504E-2</v>
      </c>
      <c r="S4" s="23">
        <f>[1]BOA!$F4</f>
        <v>167165.80177999998</v>
      </c>
      <c r="T4" s="23">
        <f>S4-U4</f>
        <v>141689.73358872798</v>
      </c>
      <c r="U4" s="23">
        <f>+S4*15.24%</f>
        <v>25476.068191271999</v>
      </c>
      <c r="V4" s="23">
        <f>+X4-W4</f>
        <v>105420.43647200003</v>
      </c>
      <c r="W4" s="23">
        <f>+X4*15.24%</f>
        <v>18954.783528000007</v>
      </c>
      <c r="X4" s="23">
        <f>164165.5-X5-X6-X7-X8-X9</f>
        <v>124375.22000000003</v>
      </c>
      <c r="Y4" s="23">
        <f t="shared" ref="Y4:Y54" si="4">IF(S4=0,"",(+X4/S4-1))</f>
        <v>-0.25597688836090338</v>
      </c>
      <c r="Z4" s="23">
        <f>[1]BOA!$G4</f>
        <v>106904.80177999998</v>
      </c>
      <c r="AA4" s="23">
        <f>Z4-AB4</f>
        <v>90612.509988727979</v>
      </c>
      <c r="AB4" s="23">
        <f>+Z4*15.24%</f>
        <v>16292.291791271999</v>
      </c>
      <c r="AC4" s="23">
        <f>+AE4-AD4</f>
        <v>81364.929723999987</v>
      </c>
      <c r="AD4" s="23">
        <f>+AE4*15.24%</f>
        <v>14629.560276</v>
      </c>
      <c r="AE4" s="23">
        <f>144166.36-AE5-AE6-AE7-AE8-AE9</f>
        <v>95994.489999999991</v>
      </c>
      <c r="AF4" s="23">
        <f t="shared" ref="AF4:AF54" si="5">IF(Z4=0,"",(+AE4/Z4-1))</f>
        <v>-0.10205633047664575</v>
      </c>
      <c r="AG4" s="23">
        <f>[1]BOA!$H4</f>
        <v>106904.80177999998</v>
      </c>
      <c r="AH4" s="23">
        <f>AG4-AI4</f>
        <v>90612.509988727979</v>
      </c>
      <c r="AI4" s="23">
        <f>+AG4*15.24%</f>
        <v>16292.291791271999</v>
      </c>
      <c r="AJ4" s="23">
        <f>+AL4-AK4</f>
        <v>134686.61507600002</v>
      </c>
      <c r="AK4" s="23">
        <f>+AL4*15.24%</f>
        <v>24216.894924000004</v>
      </c>
      <c r="AL4" s="23">
        <f>203654.32-AL5-AL6-AL7-AL8-AL9</f>
        <v>158903.51</v>
      </c>
      <c r="AM4" s="23">
        <f t="shared" ref="AM4:AM54" si="6">IF(AG4=0,"",(+AL4/AG4-1))</f>
        <v>0.48640198900521314</v>
      </c>
      <c r="AN4" s="23">
        <f>[1]BOA!$I4</f>
        <v>106904.80177999998</v>
      </c>
      <c r="AO4" s="23">
        <f>AN4-AP4</f>
        <v>90612.509988727979</v>
      </c>
      <c r="AP4" s="23">
        <f>+AN4*15.24%</f>
        <v>16292.291791271999</v>
      </c>
      <c r="AQ4" s="23">
        <f>+AS4-AR4</f>
        <v>111304.39938800001</v>
      </c>
      <c r="AR4" s="23">
        <f>+AS4*15.24%</f>
        <v>20012.730612000003</v>
      </c>
      <c r="AS4" s="20">
        <v>131317.13</v>
      </c>
      <c r="AT4" s="25">
        <f t="shared" ref="AT4:AT54" si="7">IF(AN4=0,"",(+AS4/AN4-1))</f>
        <v>0.22835576899752641</v>
      </c>
      <c r="AU4" s="23">
        <f>[1]BOA!$J4</f>
        <v>106904.80177999998</v>
      </c>
      <c r="AV4" s="18">
        <f>AU4-AW4</f>
        <v>90612.509988727979</v>
      </c>
      <c r="AW4" s="18">
        <f>+AU4*15.24%</f>
        <v>16292.291791271999</v>
      </c>
      <c r="AX4" s="18">
        <f>+AZ4-AY4</f>
        <v>103432.11096399999</v>
      </c>
      <c r="AY4" s="18">
        <f>+AZ4*15.24%</f>
        <v>18597.279036</v>
      </c>
      <c r="AZ4" s="156">
        <v>122029.39</v>
      </c>
      <c r="BA4" s="25">
        <f t="shared" ref="BA4:BA54" si="8">IF(AU4=0,"",(+AZ4/AU4-1))</f>
        <v>0.14147716443200564</v>
      </c>
      <c r="BB4" s="23">
        <f>[1]BOA!$K4</f>
        <v>106904.80177999998</v>
      </c>
      <c r="BC4" s="18">
        <f>BB4-BD4</f>
        <v>90612.509988727979</v>
      </c>
      <c r="BD4" s="18">
        <f>+BB4*15.24%</f>
        <v>16292.291791271999</v>
      </c>
      <c r="BE4" s="18">
        <f>+BG4-BF4</f>
        <v>0</v>
      </c>
      <c r="BF4" s="18">
        <f>+BG4*15.24%</f>
        <v>0</v>
      </c>
      <c r="BG4" s="20"/>
      <c r="BH4" s="25">
        <f t="shared" ref="BH4:BH54" si="9">IF(BB4=0,"",(+BG4/BB4-1))</f>
        <v>-1</v>
      </c>
      <c r="BI4" s="23">
        <f>[1]BOA!$L4</f>
        <v>115457.18592239999</v>
      </c>
      <c r="BJ4" s="18">
        <f>BI4-BK4</f>
        <v>97861.510787826235</v>
      </c>
      <c r="BK4" s="18">
        <f>+BI4*15.24%</f>
        <v>17595.675134573761</v>
      </c>
      <c r="BL4" s="18">
        <f>+BN4-BM4</f>
        <v>0</v>
      </c>
      <c r="BM4" s="18">
        <f>+BN4*15.24%</f>
        <v>0</v>
      </c>
      <c r="BN4" s="20"/>
      <c r="BO4" s="25">
        <f t="shared" ref="BO4:BO54" si="10">IF(BI4=0,"",(+BN4/BI4-1))</f>
        <v>-1</v>
      </c>
      <c r="BP4" s="23">
        <f>[1]BOA!$M4</f>
        <v>115457.18592239999</v>
      </c>
      <c r="BQ4" s="18">
        <f>BP4-BR4</f>
        <v>97861.510787826235</v>
      </c>
      <c r="BR4" s="18">
        <f>+BP4*15.24%</f>
        <v>17595.675134573761</v>
      </c>
      <c r="BS4" s="18">
        <f>+BU4-BT4</f>
        <v>0</v>
      </c>
      <c r="BT4" s="18">
        <f>+BU4*15.24%</f>
        <v>0</v>
      </c>
      <c r="BU4" s="20"/>
      <c r="BV4" s="25">
        <f t="shared" ref="BV4:BV54" si="11">IF(BP4=0,"",(+BU4/BP4-1))</f>
        <v>-1</v>
      </c>
      <c r="BW4" s="23">
        <f>[1]BOA!$N4</f>
        <v>115457.18592239999</v>
      </c>
      <c r="BX4" s="18">
        <f>BW4-BY4</f>
        <v>97861.510787826235</v>
      </c>
      <c r="BY4" s="18">
        <f>+BW4*15.24%</f>
        <v>17595.675134573761</v>
      </c>
      <c r="BZ4" s="18">
        <f>+CB4-CA4</f>
        <v>0</v>
      </c>
      <c r="CA4" s="18">
        <f>+CB4*15.24%</f>
        <v>0</v>
      </c>
      <c r="CB4" s="20"/>
      <c r="CC4" s="25">
        <f t="shared" ref="CC4:CC54" si="12">IF(BW4=0,"",(+CB4/BW4-1))</f>
        <v>-1</v>
      </c>
      <c r="CD4" s="23">
        <f>[1]BOA!$O4</f>
        <v>115457.18592239999</v>
      </c>
      <c r="CE4" s="18">
        <f>CD4-CF4</f>
        <v>97861.510787826235</v>
      </c>
      <c r="CF4" s="18">
        <f>+CD4*15.24%</f>
        <v>17595.675134573761</v>
      </c>
      <c r="CG4" s="18">
        <f>+CI4-CH4</f>
        <v>0</v>
      </c>
      <c r="CH4" s="18">
        <f>+CI4*15.24%</f>
        <v>0</v>
      </c>
      <c r="CI4" s="20"/>
      <c r="CJ4" s="25">
        <f t="shared" ref="CJ4:CJ54" si="13">IF(CD4=0,"",(+CI4/CD4-1))</f>
        <v>-1</v>
      </c>
      <c r="CK4" s="23">
        <f>[1]BOA!$P4</f>
        <v>115457.18592239999</v>
      </c>
      <c r="CL4" s="18">
        <f>CK4-CM4</f>
        <v>97861.510787826235</v>
      </c>
      <c r="CM4" s="18">
        <f>+CK4*15.24%</f>
        <v>17595.675134573761</v>
      </c>
      <c r="CN4" s="18">
        <f>+CP4-CO4</f>
        <v>0</v>
      </c>
      <c r="CO4" s="18">
        <f>+CP4*15.24%</f>
        <v>0</v>
      </c>
      <c r="CP4" s="20"/>
      <c r="CQ4" s="25">
        <f t="shared" ref="CQ4:CQ54" si="14">IF(CK4=0,"",(+CP4/CK4-1))</f>
        <v>-1</v>
      </c>
    </row>
    <row r="5" spans="1:99" s="26" customFormat="1" ht="14.25" customHeight="1" thickBot="1" x14ac:dyDescent="0.25">
      <c r="A5" s="29" t="s">
        <v>29</v>
      </c>
      <c r="B5" s="30">
        <f t="shared" si="0"/>
        <v>87000</v>
      </c>
      <c r="C5" s="31">
        <f t="shared" si="0"/>
        <v>73741.2</v>
      </c>
      <c r="D5" s="32">
        <f t="shared" si="0"/>
        <v>13258.799999999997</v>
      </c>
      <c r="E5" s="30">
        <f t="shared" ref="E5:G36" si="15">+L5+S5+Z5+AG5</f>
        <v>29000</v>
      </c>
      <c r="F5" s="33">
        <f t="shared" si="15"/>
        <v>24580.400000000001</v>
      </c>
      <c r="G5" s="34">
        <f t="shared" si="15"/>
        <v>4419.6000000000004</v>
      </c>
      <c r="H5" s="31">
        <f t="shared" si="1"/>
        <v>42984.279468000001</v>
      </c>
      <c r="I5" s="33">
        <f t="shared" si="1"/>
        <v>7728.6505320000006</v>
      </c>
      <c r="J5" s="33">
        <f t="shared" si="1"/>
        <v>50712.93</v>
      </c>
      <c r="K5" s="37">
        <f t="shared" si="2"/>
        <v>0.74872172413793114</v>
      </c>
      <c r="L5" s="36">
        <f>[1]BOA!$E5</f>
        <v>7250</v>
      </c>
      <c r="M5" s="36">
        <f t="shared" ref="M5:M54" si="16">L5-N5</f>
        <v>6145.1</v>
      </c>
      <c r="N5" s="36">
        <f t="shared" ref="N5:N58" si="17">+L5*15.24%</f>
        <v>1104.9000000000001</v>
      </c>
      <c r="O5" s="36">
        <f t="shared" ref="O5:O54" si="18">+Q5-P5</f>
        <v>8642.0109360000006</v>
      </c>
      <c r="P5" s="36">
        <f t="shared" ref="P5:P54" si="19">+Q5*15.24%</f>
        <v>1553.8490640000002</v>
      </c>
      <c r="Q5" s="36">
        <f>6428.29+3767.57</f>
        <v>10195.86</v>
      </c>
      <c r="R5" s="36">
        <f t="shared" si="3"/>
        <v>0.40632551724137933</v>
      </c>
      <c r="S5" s="36">
        <f>[1]BOA!$F5</f>
        <v>7250</v>
      </c>
      <c r="T5" s="36">
        <f t="shared" ref="T5:T54" si="20">S5-U5</f>
        <v>6145.1</v>
      </c>
      <c r="U5" s="36">
        <f t="shared" ref="U5:U58" si="21">+S5*15.24%</f>
        <v>1104.9000000000001</v>
      </c>
      <c r="V5" s="36">
        <f t="shared" ref="V5:V54" si="22">+X5-W5</f>
        <v>7567.0422360000002</v>
      </c>
      <c r="W5" s="36">
        <f t="shared" ref="W5:W54" si="23">+X5*15.24%</f>
        <v>1360.5677640000001</v>
      </c>
      <c r="X5" s="36">
        <f>5146.09+3781.52</f>
        <v>8927.61</v>
      </c>
      <c r="Y5" s="36">
        <f t="shared" si="4"/>
        <v>0.23139448275862073</v>
      </c>
      <c r="Z5" s="36">
        <f>[1]BOA!$G5</f>
        <v>7250</v>
      </c>
      <c r="AA5" s="36">
        <f t="shared" ref="AA5:AA54" si="24">Z5-AB5</f>
        <v>6145.1</v>
      </c>
      <c r="AB5" s="36">
        <f t="shared" ref="AB5:AB58" si="25">+Z5*15.24%</f>
        <v>1104.9000000000001</v>
      </c>
      <c r="AC5" s="36">
        <f t="shared" ref="AC5:AC54" si="26">+AE5-AD5</f>
        <v>7440.5972680000004</v>
      </c>
      <c r="AD5" s="36">
        <f t="shared" ref="AD5:AD54" si="27">+AE5*15.24%</f>
        <v>1337.8327320000001</v>
      </c>
      <c r="AE5" s="36">
        <f>5076.01+3702.42</f>
        <v>8778.43</v>
      </c>
      <c r="AF5" s="36">
        <f t="shared" si="5"/>
        <v>0.21081793103448287</v>
      </c>
      <c r="AG5" s="36">
        <f>[1]BOA!$H5</f>
        <v>7250</v>
      </c>
      <c r="AH5" s="36">
        <f t="shared" ref="AH5:AH54" si="28">AG5-AI5</f>
        <v>6145.1</v>
      </c>
      <c r="AI5" s="36">
        <f t="shared" ref="AI5:AI58" si="29">+AG5*15.24%</f>
        <v>1104.9000000000001</v>
      </c>
      <c r="AJ5" s="36">
        <f t="shared" ref="AJ5:AJ54" si="30">+AL5-AK5</f>
        <v>7292.7758280000007</v>
      </c>
      <c r="AK5" s="36">
        <f t="shared" ref="AK5:AK54" si="31">+AL5*15.24%</f>
        <v>1311.2541720000002</v>
      </c>
      <c r="AL5" s="36">
        <f>8604.03</f>
        <v>8604.0300000000007</v>
      </c>
      <c r="AM5" s="36">
        <f t="shared" si="6"/>
        <v>0.1867627586206897</v>
      </c>
      <c r="AN5" s="36">
        <f>[1]BOA!$I5</f>
        <v>7250</v>
      </c>
      <c r="AO5" s="36">
        <f t="shared" ref="AO5:AO54" si="32">AN5-AP5</f>
        <v>6145.1</v>
      </c>
      <c r="AP5" s="36">
        <f t="shared" ref="AP5:AP58" si="33">+AN5*15.24%</f>
        <v>1104.9000000000001</v>
      </c>
      <c r="AQ5" s="36">
        <f t="shared" ref="AQ5:AQ54" si="34">+AS5-AR5</f>
        <v>6020.9265999999998</v>
      </c>
      <c r="AR5" s="36">
        <f t="shared" ref="AR5:AR54" si="35">+AS5*15.24%</f>
        <v>1082.5734</v>
      </c>
      <c r="AS5" s="33">
        <v>7103.5</v>
      </c>
      <c r="AT5" s="37">
        <f t="shared" si="7"/>
        <v>-2.0206896551724141E-2</v>
      </c>
      <c r="AU5" s="36">
        <f>[1]BOA!$J5</f>
        <v>7250</v>
      </c>
      <c r="AV5" s="31">
        <f t="shared" ref="AV5:AV54" si="36">AU5-AW5</f>
        <v>6145.1</v>
      </c>
      <c r="AW5" s="18">
        <f t="shared" ref="AW5:AW58" si="37">+AU5*15.24%</f>
        <v>1104.9000000000001</v>
      </c>
      <c r="AX5" s="31">
        <f t="shared" ref="AX5:AX54" si="38">+AZ5-AY5</f>
        <v>6020.9265999999998</v>
      </c>
      <c r="AY5" s="31">
        <f t="shared" ref="AY5:AY54" si="39">+AZ5*15.24%</f>
        <v>1082.5734</v>
      </c>
      <c r="AZ5" s="157">
        <v>7103.5</v>
      </c>
      <c r="BA5" s="37">
        <f t="shared" si="8"/>
        <v>-2.0206896551724141E-2</v>
      </c>
      <c r="BB5" s="36">
        <f>[1]BOA!$K5</f>
        <v>7250</v>
      </c>
      <c r="BC5" s="31">
        <f t="shared" ref="BC5:BC54" si="40">BB5-BD5</f>
        <v>6145.1</v>
      </c>
      <c r="BD5" s="18">
        <f t="shared" ref="BD5:BD58" si="41">+BB5*15.24%</f>
        <v>1104.9000000000001</v>
      </c>
      <c r="BE5" s="31">
        <f t="shared" ref="BE5:BE54" si="42">+BG5-BF5</f>
        <v>0</v>
      </c>
      <c r="BF5" s="31">
        <f t="shared" ref="BF5:BF54" si="43">+BG5*15.24%</f>
        <v>0</v>
      </c>
      <c r="BG5" s="33"/>
      <c r="BH5" s="37">
        <f t="shared" si="9"/>
        <v>-1</v>
      </c>
      <c r="BI5" s="36">
        <f>[1]BOA!$L5</f>
        <v>7250</v>
      </c>
      <c r="BJ5" s="31">
        <f t="shared" ref="BJ5:BJ54" si="44">BI5-BK5</f>
        <v>6145.1</v>
      </c>
      <c r="BK5" s="18">
        <f t="shared" ref="BK5:BK58" si="45">+BI5*15.24%</f>
        <v>1104.9000000000001</v>
      </c>
      <c r="BL5" s="31">
        <f t="shared" ref="BL5:BL54" si="46">+BN5-BM5</f>
        <v>0</v>
      </c>
      <c r="BM5" s="31">
        <f t="shared" ref="BM5:BM54" si="47">+BN5*15.24%</f>
        <v>0</v>
      </c>
      <c r="BN5" s="33"/>
      <c r="BO5" s="37">
        <f t="shared" si="10"/>
        <v>-1</v>
      </c>
      <c r="BP5" s="36">
        <f>[1]BOA!$M5</f>
        <v>7250</v>
      </c>
      <c r="BQ5" s="31">
        <f t="shared" ref="BQ5:BQ54" si="48">BP5-BR5</f>
        <v>6145.1</v>
      </c>
      <c r="BR5" s="18">
        <f t="shared" ref="BR5:BR58" si="49">+BP5*15.24%</f>
        <v>1104.9000000000001</v>
      </c>
      <c r="BS5" s="31">
        <f t="shared" ref="BS5:BS54" si="50">+BU5-BT5</f>
        <v>0</v>
      </c>
      <c r="BT5" s="31">
        <f t="shared" ref="BT5:BT54" si="51">+BU5*15.24%</f>
        <v>0</v>
      </c>
      <c r="BU5" s="33"/>
      <c r="BV5" s="37">
        <f t="shared" si="11"/>
        <v>-1</v>
      </c>
      <c r="BW5" s="36">
        <f>[1]BOA!$N5</f>
        <v>7250</v>
      </c>
      <c r="BX5" s="31">
        <f t="shared" ref="BX5:BX54" si="52">BW5-BY5</f>
        <v>6145.1</v>
      </c>
      <c r="BY5" s="18">
        <f t="shared" ref="BY5:BY58" si="53">+BW5*15.24%</f>
        <v>1104.9000000000001</v>
      </c>
      <c r="BZ5" s="31">
        <f t="shared" ref="BZ5:BZ54" si="54">+CB5-CA5</f>
        <v>0</v>
      </c>
      <c r="CA5" s="31">
        <f t="shared" ref="CA5:CA54" si="55">+CB5*15.24%</f>
        <v>0</v>
      </c>
      <c r="CB5" s="33"/>
      <c r="CC5" s="37">
        <f t="shared" si="12"/>
        <v>-1</v>
      </c>
      <c r="CD5" s="36">
        <f>[1]BOA!$O5</f>
        <v>7250</v>
      </c>
      <c r="CE5" s="31">
        <f t="shared" ref="CE5:CE54" si="56">CD5-CF5</f>
        <v>6145.1</v>
      </c>
      <c r="CF5" s="18">
        <f t="shared" ref="CF5:CF58" si="57">+CD5*15.24%</f>
        <v>1104.9000000000001</v>
      </c>
      <c r="CG5" s="31">
        <f t="shared" ref="CG5:CG54" si="58">+CI5-CH5</f>
        <v>0</v>
      </c>
      <c r="CH5" s="31">
        <f t="shared" ref="CH5:CH54" si="59">+CI5*15.24%</f>
        <v>0</v>
      </c>
      <c r="CI5" s="33"/>
      <c r="CJ5" s="37">
        <f t="shared" si="13"/>
        <v>-1</v>
      </c>
      <c r="CK5" s="36">
        <f>[1]BOA!$P5</f>
        <v>7250</v>
      </c>
      <c r="CL5" s="31">
        <f t="shared" ref="CL5:CL54" si="60">CK5-CM5</f>
        <v>6145.1</v>
      </c>
      <c r="CM5" s="18">
        <f t="shared" ref="CM5:CM58" si="61">+CK5*15.24%</f>
        <v>1104.9000000000001</v>
      </c>
      <c r="CN5" s="31">
        <f t="shared" ref="CN5:CN54" si="62">+CP5-CO5</f>
        <v>0</v>
      </c>
      <c r="CO5" s="31">
        <f t="shared" ref="CO5:CO54" si="63">+CP5*15.24%</f>
        <v>0</v>
      </c>
      <c r="CP5" s="33"/>
      <c r="CQ5" s="37">
        <f t="shared" si="14"/>
        <v>-1</v>
      </c>
    </row>
    <row r="6" spans="1:99" s="26" customFormat="1" ht="14.25" customHeight="1" thickBot="1" x14ac:dyDescent="0.25">
      <c r="A6" s="29" t="s">
        <v>30</v>
      </c>
      <c r="B6" s="30">
        <f t="shared" si="0"/>
        <v>168373.56688731996</v>
      </c>
      <c r="C6" s="31">
        <f t="shared" si="0"/>
        <v>142713.4352936924</v>
      </c>
      <c r="D6" s="32">
        <f t="shared" si="0"/>
        <v>25660.131593627561</v>
      </c>
      <c r="E6" s="30">
        <f t="shared" si="15"/>
        <v>54417.144157199989</v>
      </c>
      <c r="F6" s="33">
        <f t="shared" si="15"/>
        <v>46123.971387642712</v>
      </c>
      <c r="G6" s="34">
        <f t="shared" si="15"/>
        <v>8293.172769557279</v>
      </c>
      <c r="H6" s="31">
        <f t="shared" si="1"/>
        <v>71614.029135999997</v>
      </c>
      <c r="I6" s="33">
        <f t="shared" si="1"/>
        <v>12876.330864</v>
      </c>
      <c r="J6" s="33">
        <f t="shared" si="1"/>
        <v>84490.36</v>
      </c>
      <c r="K6" s="37">
        <f t="shared" si="2"/>
        <v>0.55264230250533997</v>
      </c>
      <c r="L6" s="36">
        <f>[1]BOA!$E6</f>
        <v>13604.286039299997</v>
      </c>
      <c r="M6" s="36">
        <f t="shared" si="16"/>
        <v>11530.992846910678</v>
      </c>
      <c r="N6" s="36">
        <f t="shared" si="17"/>
        <v>2073.2931923893198</v>
      </c>
      <c r="O6" s="36">
        <f t="shared" si="18"/>
        <v>11302.61886</v>
      </c>
      <c r="P6" s="36">
        <f t="shared" si="19"/>
        <v>2032.2311400000001</v>
      </c>
      <c r="Q6" s="36">
        <f>13334.85</f>
        <v>13334.85</v>
      </c>
      <c r="R6" s="36">
        <f t="shared" si="3"/>
        <v>-1.9805231860139605E-2</v>
      </c>
      <c r="S6" s="36">
        <f>[1]BOA!$F6</f>
        <v>13604.286039299997</v>
      </c>
      <c r="T6" s="36">
        <f t="shared" si="20"/>
        <v>11530.992846910678</v>
      </c>
      <c r="U6" s="36">
        <f t="shared" si="21"/>
        <v>2073.2931923893198</v>
      </c>
      <c r="V6" s="36">
        <f t="shared" si="22"/>
        <v>11199.092995999999</v>
      </c>
      <c r="W6" s="36">
        <f t="shared" si="23"/>
        <v>2013.617004</v>
      </c>
      <c r="X6" s="36">
        <v>13212.71</v>
      </c>
      <c r="Y6" s="36">
        <f t="shared" si="4"/>
        <v>-2.878328478016523E-2</v>
      </c>
      <c r="Z6" s="36">
        <f>[1]BOA!$G6</f>
        <v>13604.286039299997</v>
      </c>
      <c r="AA6" s="36">
        <f t="shared" si="24"/>
        <v>11530.992846910678</v>
      </c>
      <c r="AB6" s="36">
        <f t="shared" si="25"/>
        <v>2073.2931923893198</v>
      </c>
      <c r="AC6" s="36">
        <f t="shared" si="26"/>
        <v>12079.817204000001</v>
      </c>
      <c r="AD6" s="36">
        <f t="shared" si="27"/>
        <v>2171.972796</v>
      </c>
      <c r="AE6" s="36">
        <v>14251.79</v>
      </c>
      <c r="AF6" s="36">
        <f t="shared" si="5"/>
        <v>4.7595585599236712E-2</v>
      </c>
      <c r="AG6" s="36">
        <f>[1]BOA!$H6</f>
        <v>13604.286039299997</v>
      </c>
      <c r="AH6" s="36">
        <f t="shared" si="28"/>
        <v>11530.992846910678</v>
      </c>
      <c r="AI6" s="36">
        <f t="shared" si="29"/>
        <v>2073.2931923893198</v>
      </c>
      <c r="AJ6" s="36">
        <f t="shared" si="30"/>
        <v>11905.126844</v>
      </c>
      <c r="AK6" s="36">
        <f t="shared" si="31"/>
        <v>2140.5631560000002</v>
      </c>
      <c r="AL6" s="36">
        <f>13556+489.69</f>
        <v>14045.69</v>
      </c>
      <c r="AM6" s="36">
        <f t="shared" si="6"/>
        <v>3.2445948241964118E-2</v>
      </c>
      <c r="AN6" s="36">
        <f>[1]BOA!$I6</f>
        <v>13604.286039299997</v>
      </c>
      <c r="AO6" s="36">
        <f t="shared" si="32"/>
        <v>11530.992846910678</v>
      </c>
      <c r="AP6" s="36">
        <f t="shared" si="33"/>
        <v>2073.2931923893198</v>
      </c>
      <c r="AQ6" s="36">
        <f t="shared" si="34"/>
        <v>13391.495155999999</v>
      </c>
      <c r="AR6" s="36">
        <f t="shared" si="35"/>
        <v>2407.814844</v>
      </c>
      <c r="AS6" s="33">
        <v>15799.31</v>
      </c>
      <c r="AT6" s="37">
        <f t="shared" si="7"/>
        <v>0.16134797183468708</v>
      </c>
      <c r="AU6" s="36">
        <f>[1]BOA!$J6</f>
        <v>13604.286039299997</v>
      </c>
      <c r="AV6" s="31">
        <f t="shared" si="36"/>
        <v>11530.992846910678</v>
      </c>
      <c r="AW6" s="18">
        <f t="shared" si="37"/>
        <v>2073.2931923893198</v>
      </c>
      <c r="AX6" s="31">
        <f t="shared" si="38"/>
        <v>11735.878076000001</v>
      </c>
      <c r="AY6" s="31">
        <f t="shared" si="39"/>
        <v>2110.1319240000003</v>
      </c>
      <c r="AZ6" s="157">
        <v>13846.01</v>
      </c>
      <c r="BA6" s="37">
        <f t="shared" si="8"/>
        <v>1.7768220985777017E-2</v>
      </c>
      <c r="BB6" s="36">
        <f>[1]BOA!$K6</f>
        <v>13604.286039299997</v>
      </c>
      <c r="BC6" s="31">
        <f t="shared" si="40"/>
        <v>11530.992846910678</v>
      </c>
      <c r="BD6" s="18">
        <f t="shared" si="41"/>
        <v>2073.2931923893198</v>
      </c>
      <c r="BE6" s="31">
        <f t="shared" si="42"/>
        <v>0</v>
      </c>
      <c r="BF6" s="31">
        <f t="shared" si="43"/>
        <v>0</v>
      </c>
      <c r="BG6" s="33"/>
      <c r="BH6" s="37">
        <f t="shared" si="9"/>
        <v>-1</v>
      </c>
      <c r="BI6" s="36">
        <f>[1]BOA!$L6</f>
        <v>14628.712922443998</v>
      </c>
      <c r="BJ6" s="31">
        <f t="shared" si="44"/>
        <v>12399.297073063532</v>
      </c>
      <c r="BK6" s="18">
        <f t="shared" si="45"/>
        <v>2229.4158493804653</v>
      </c>
      <c r="BL6" s="31">
        <f t="shared" si="46"/>
        <v>0</v>
      </c>
      <c r="BM6" s="31">
        <f t="shared" si="47"/>
        <v>0</v>
      </c>
      <c r="BN6" s="33"/>
      <c r="BO6" s="37">
        <f t="shared" si="10"/>
        <v>-1</v>
      </c>
      <c r="BP6" s="36">
        <f>[1]BOA!$M6</f>
        <v>14628.712922443998</v>
      </c>
      <c r="BQ6" s="31">
        <f t="shared" si="48"/>
        <v>12399.297073063532</v>
      </c>
      <c r="BR6" s="18">
        <f t="shared" si="49"/>
        <v>2229.4158493804653</v>
      </c>
      <c r="BS6" s="31">
        <f t="shared" si="50"/>
        <v>0</v>
      </c>
      <c r="BT6" s="31">
        <f t="shared" si="51"/>
        <v>0</v>
      </c>
      <c r="BU6" s="33"/>
      <c r="BV6" s="37">
        <f t="shared" si="11"/>
        <v>-1</v>
      </c>
      <c r="BW6" s="36">
        <f>[1]BOA!$N6</f>
        <v>14628.712922443998</v>
      </c>
      <c r="BX6" s="31">
        <f t="shared" si="52"/>
        <v>12399.297073063532</v>
      </c>
      <c r="BY6" s="18">
        <f t="shared" si="53"/>
        <v>2229.4158493804653</v>
      </c>
      <c r="BZ6" s="31">
        <f t="shared" si="54"/>
        <v>0</v>
      </c>
      <c r="CA6" s="31">
        <f t="shared" si="55"/>
        <v>0</v>
      </c>
      <c r="CB6" s="33"/>
      <c r="CC6" s="37">
        <f t="shared" si="12"/>
        <v>-1</v>
      </c>
      <c r="CD6" s="36">
        <f>[1]BOA!$O6</f>
        <v>14628.712922443998</v>
      </c>
      <c r="CE6" s="31">
        <f t="shared" si="56"/>
        <v>12399.297073063532</v>
      </c>
      <c r="CF6" s="18">
        <f t="shared" si="57"/>
        <v>2229.4158493804653</v>
      </c>
      <c r="CG6" s="31">
        <f t="shared" si="58"/>
        <v>0</v>
      </c>
      <c r="CH6" s="31">
        <f t="shared" si="59"/>
        <v>0</v>
      </c>
      <c r="CI6" s="33"/>
      <c r="CJ6" s="37">
        <f t="shared" si="13"/>
        <v>-1</v>
      </c>
      <c r="CK6" s="36">
        <f>[1]BOA!$P6</f>
        <v>14628.712922443998</v>
      </c>
      <c r="CL6" s="31">
        <f t="shared" si="60"/>
        <v>12399.297073063532</v>
      </c>
      <c r="CM6" s="18">
        <f t="shared" si="61"/>
        <v>2229.4158493804653</v>
      </c>
      <c r="CN6" s="31">
        <f t="shared" si="62"/>
        <v>0</v>
      </c>
      <c r="CO6" s="31">
        <f t="shared" si="63"/>
        <v>0</v>
      </c>
      <c r="CP6" s="33"/>
      <c r="CQ6" s="37">
        <f t="shared" si="14"/>
        <v>-1</v>
      </c>
    </row>
    <row r="7" spans="1:99" s="26" customFormat="1" ht="14.25" customHeight="1" thickBot="1" x14ac:dyDescent="0.25">
      <c r="A7" s="29" t="s">
        <v>31</v>
      </c>
      <c r="B7" s="30">
        <f t="shared" si="0"/>
        <v>130634.66396429995</v>
      </c>
      <c r="C7" s="31">
        <f t="shared" si="0"/>
        <v>110725.94117614067</v>
      </c>
      <c r="D7" s="32">
        <f t="shared" si="0"/>
        <v>19908.722788159317</v>
      </c>
      <c r="E7" s="30">
        <f t="shared" si="15"/>
        <v>42220.198052999986</v>
      </c>
      <c r="F7" s="33">
        <f t="shared" si="15"/>
        <v>35785.839869722789</v>
      </c>
      <c r="G7" s="34">
        <f t="shared" si="15"/>
        <v>6434.3581832771979</v>
      </c>
      <c r="H7" s="31">
        <f t="shared" si="1"/>
        <v>49085.778923999998</v>
      </c>
      <c r="I7" s="33">
        <f t="shared" si="1"/>
        <v>8825.7110760000014</v>
      </c>
      <c r="J7" s="33">
        <f t="shared" si="1"/>
        <v>57911.489999999991</v>
      </c>
      <c r="K7" s="37">
        <f t="shared" si="2"/>
        <v>0.37165367929592286</v>
      </c>
      <c r="L7" s="36">
        <f>[1]BOA!$E7</f>
        <v>10555.049513249996</v>
      </c>
      <c r="M7" s="36">
        <f t="shared" si="16"/>
        <v>8946.4599674306974</v>
      </c>
      <c r="N7" s="36">
        <f t="shared" si="17"/>
        <v>1608.5895458192995</v>
      </c>
      <c r="O7" s="36">
        <f t="shared" si="18"/>
        <v>7790.757779999999</v>
      </c>
      <c r="P7" s="36">
        <f t="shared" si="19"/>
        <v>1400.79222</v>
      </c>
      <c r="Q7" s="36">
        <f>9191.55</f>
        <v>9191.5499999999993</v>
      </c>
      <c r="R7" s="36">
        <f t="shared" si="3"/>
        <v>-0.12917983108827347</v>
      </c>
      <c r="S7" s="36">
        <f>[1]BOA!$F7</f>
        <v>10555.049513249996</v>
      </c>
      <c r="T7" s="36">
        <f t="shared" si="20"/>
        <v>8946.4599674306974</v>
      </c>
      <c r="U7" s="36">
        <f t="shared" si="21"/>
        <v>1608.5895458192995</v>
      </c>
      <c r="V7" s="36">
        <f t="shared" si="22"/>
        <v>7806.7350399999996</v>
      </c>
      <c r="W7" s="36">
        <f t="shared" si="23"/>
        <v>1403.6649600000001</v>
      </c>
      <c r="X7" s="36">
        <v>9210.4</v>
      </c>
      <c r="Y7" s="36">
        <f t="shared" si="4"/>
        <v>-0.12739395599821934</v>
      </c>
      <c r="Z7" s="36">
        <f>[1]BOA!$G7</f>
        <v>10555.049513249996</v>
      </c>
      <c r="AA7" s="36">
        <f t="shared" si="24"/>
        <v>8946.4599674306974</v>
      </c>
      <c r="AB7" s="36">
        <f t="shared" si="25"/>
        <v>1608.5895458192995</v>
      </c>
      <c r="AC7" s="36">
        <f t="shared" si="26"/>
        <v>8253.6999479999995</v>
      </c>
      <c r="AD7" s="36">
        <f t="shared" si="27"/>
        <v>1484.0300520000001</v>
      </c>
      <c r="AE7" s="36">
        <v>9737.73</v>
      </c>
      <c r="AF7" s="36">
        <f t="shared" si="5"/>
        <v>-7.7433981927227946E-2</v>
      </c>
      <c r="AG7" s="36">
        <f>[1]BOA!$H7</f>
        <v>10555.049513249996</v>
      </c>
      <c r="AH7" s="36">
        <f t="shared" si="28"/>
        <v>8946.4599674306974</v>
      </c>
      <c r="AI7" s="36">
        <f t="shared" si="29"/>
        <v>1608.5895458192995</v>
      </c>
      <c r="AJ7" s="36">
        <f t="shared" si="30"/>
        <v>8080.6369799999993</v>
      </c>
      <c r="AK7" s="36">
        <f t="shared" si="31"/>
        <v>1452.91302</v>
      </c>
      <c r="AL7" s="36">
        <v>9533.5499999999993</v>
      </c>
      <c r="AM7" s="36">
        <f t="shared" si="6"/>
        <v>-9.6778277730264151E-2</v>
      </c>
      <c r="AN7" s="36">
        <f>[1]BOA!$I7</f>
        <v>10555.049513249996</v>
      </c>
      <c r="AO7" s="36">
        <f t="shared" si="32"/>
        <v>8946.4599674306974</v>
      </c>
      <c r="AP7" s="36">
        <f t="shared" si="33"/>
        <v>1608.5895458192995</v>
      </c>
      <c r="AQ7" s="36">
        <f t="shared" si="34"/>
        <v>9064.1920200000004</v>
      </c>
      <c r="AR7" s="36">
        <f t="shared" si="35"/>
        <v>1629.7579800000001</v>
      </c>
      <c r="AS7" s="33">
        <v>10693.95</v>
      </c>
      <c r="AT7" s="37">
        <f t="shared" si="7"/>
        <v>1.3159624365157052E-2</v>
      </c>
      <c r="AU7" s="36">
        <f>[1]BOA!$J7</f>
        <v>10555.049513249996</v>
      </c>
      <c r="AV7" s="31">
        <f t="shared" si="36"/>
        <v>8946.4599674306974</v>
      </c>
      <c r="AW7" s="18">
        <f t="shared" si="37"/>
        <v>1608.5895458192995</v>
      </c>
      <c r="AX7" s="31">
        <f t="shared" si="38"/>
        <v>8089.7571559999997</v>
      </c>
      <c r="AY7" s="31">
        <f t="shared" si="39"/>
        <v>1454.5528440000001</v>
      </c>
      <c r="AZ7" s="157">
        <v>9544.31</v>
      </c>
      <c r="BA7" s="37">
        <f t="shared" si="8"/>
        <v>-9.5758860437479942E-2</v>
      </c>
      <c r="BB7" s="36">
        <f>[1]BOA!$K7</f>
        <v>10555.049513249996</v>
      </c>
      <c r="BC7" s="31">
        <f t="shared" si="40"/>
        <v>8946.4599674306974</v>
      </c>
      <c r="BD7" s="18">
        <f t="shared" si="41"/>
        <v>1608.5895458192995</v>
      </c>
      <c r="BE7" s="31">
        <f t="shared" si="42"/>
        <v>0</v>
      </c>
      <c r="BF7" s="31">
        <f t="shared" si="43"/>
        <v>0</v>
      </c>
      <c r="BG7" s="33"/>
      <c r="BH7" s="37">
        <f t="shared" si="9"/>
        <v>-1</v>
      </c>
      <c r="BI7" s="36">
        <f>[1]BOA!$L7</f>
        <v>11349.863474309997</v>
      </c>
      <c r="BJ7" s="31">
        <f t="shared" si="44"/>
        <v>9620.1442808251541</v>
      </c>
      <c r="BK7" s="18">
        <f t="shared" si="45"/>
        <v>1729.7191934848438</v>
      </c>
      <c r="BL7" s="31">
        <f t="shared" si="46"/>
        <v>0</v>
      </c>
      <c r="BM7" s="31">
        <f t="shared" si="47"/>
        <v>0</v>
      </c>
      <c r="BN7" s="33"/>
      <c r="BO7" s="37">
        <f t="shared" si="10"/>
        <v>-1</v>
      </c>
      <c r="BP7" s="36">
        <f>[1]BOA!$M7</f>
        <v>11349.863474309997</v>
      </c>
      <c r="BQ7" s="31">
        <f t="shared" si="48"/>
        <v>9620.1442808251541</v>
      </c>
      <c r="BR7" s="18">
        <f t="shared" si="49"/>
        <v>1729.7191934848438</v>
      </c>
      <c r="BS7" s="31">
        <f t="shared" si="50"/>
        <v>0</v>
      </c>
      <c r="BT7" s="31">
        <f t="shared" si="51"/>
        <v>0</v>
      </c>
      <c r="BU7" s="33"/>
      <c r="BV7" s="37">
        <f t="shared" si="11"/>
        <v>-1</v>
      </c>
      <c r="BW7" s="36">
        <f>[1]BOA!$N7</f>
        <v>11349.863474309997</v>
      </c>
      <c r="BX7" s="31">
        <f t="shared" si="52"/>
        <v>9620.1442808251541</v>
      </c>
      <c r="BY7" s="18">
        <f t="shared" si="53"/>
        <v>1729.7191934848438</v>
      </c>
      <c r="BZ7" s="31">
        <f t="shared" si="54"/>
        <v>0</v>
      </c>
      <c r="CA7" s="31">
        <f t="shared" si="55"/>
        <v>0</v>
      </c>
      <c r="CB7" s="33"/>
      <c r="CC7" s="37">
        <f t="shared" si="12"/>
        <v>-1</v>
      </c>
      <c r="CD7" s="36">
        <f>[1]BOA!$O7</f>
        <v>11349.863474309997</v>
      </c>
      <c r="CE7" s="31">
        <f t="shared" si="56"/>
        <v>9620.1442808251541</v>
      </c>
      <c r="CF7" s="18">
        <f t="shared" si="57"/>
        <v>1729.7191934848438</v>
      </c>
      <c r="CG7" s="31">
        <f t="shared" si="58"/>
        <v>0</v>
      </c>
      <c r="CH7" s="31">
        <f t="shared" si="59"/>
        <v>0</v>
      </c>
      <c r="CI7" s="33"/>
      <c r="CJ7" s="37">
        <f t="shared" si="13"/>
        <v>-1</v>
      </c>
      <c r="CK7" s="36">
        <f>[1]BOA!$P7</f>
        <v>11349.863474309997</v>
      </c>
      <c r="CL7" s="31">
        <f t="shared" si="60"/>
        <v>9620.1442808251541</v>
      </c>
      <c r="CM7" s="18">
        <f t="shared" si="61"/>
        <v>1729.7191934848438</v>
      </c>
      <c r="CN7" s="31">
        <f t="shared" si="62"/>
        <v>0</v>
      </c>
      <c r="CO7" s="31">
        <f t="shared" si="63"/>
        <v>0</v>
      </c>
      <c r="CP7" s="33"/>
      <c r="CQ7" s="37">
        <f t="shared" si="14"/>
        <v>-1</v>
      </c>
    </row>
    <row r="8" spans="1:99" s="26" customFormat="1" ht="14.25" customHeight="1" thickBot="1" x14ac:dyDescent="0.25">
      <c r="A8" s="38" t="s">
        <v>32</v>
      </c>
      <c r="B8" s="30">
        <f t="shared" si="0"/>
        <v>127249.00634594599</v>
      </c>
      <c r="C8" s="31">
        <f t="shared" si="0"/>
        <v>107856.25777882383</v>
      </c>
      <c r="D8" s="32">
        <f t="shared" si="0"/>
        <v>19392.748567122169</v>
      </c>
      <c r="E8" s="30">
        <f t="shared" si="15"/>
        <v>0</v>
      </c>
      <c r="F8" s="33">
        <f t="shared" si="15"/>
        <v>0</v>
      </c>
      <c r="G8" s="34">
        <f t="shared" si="15"/>
        <v>0</v>
      </c>
      <c r="H8" s="31">
        <f t="shared" si="1"/>
        <v>0</v>
      </c>
      <c r="I8" s="33">
        <f t="shared" si="1"/>
        <v>0</v>
      </c>
      <c r="J8" s="33">
        <f t="shared" si="1"/>
        <v>0</v>
      </c>
      <c r="K8" s="37" t="str">
        <f t="shared" si="2"/>
        <v/>
      </c>
      <c r="L8" s="36">
        <f>[1]BOA!$E8</f>
        <v>0</v>
      </c>
      <c r="M8" s="36">
        <f t="shared" si="16"/>
        <v>0</v>
      </c>
      <c r="N8" s="36">
        <f t="shared" si="17"/>
        <v>0</v>
      </c>
      <c r="O8" s="36">
        <f t="shared" si="18"/>
        <v>0</v>
      </c>
      <c r="P8" s="36">
        <f t="shared" si="19"/>
        <v>0</v>
      </c>
      <c r="Q8" s="36"/>
      <c r="R8" s="36" t="str">
        <f t="shared" si="3"/>
        <v/>
      </c>
      <c r="S8" s="36">
        <f>[1]BOA!$F8</f>
        <v>0</v>
      </c>
      <c r="T8" s="36">
        <f t="shared" si="20"/>
        <v>0</v>
      </c>
      <c r="U8" s="36">
        <f t="shared" si="21"/>
        <v>0</v>
      </c>
      <c r="V8" s="36">
        <f t="shared" si="22"/>
        <v>0</v>
      </c>
      <c r="W8" s="36">
        <f t="shared" si="23"/>
        <v>0</v>
      </c>
      <c r="X8" s="36"/>
      <c r="Y8" s="36" t="str">
        <f t="shared" si="4"/>
        <v/>
      </c>
      <c r="Z8" s="36">
        <f>[1]BOA!$G8</f>
        <v>0</v>
      </c>
      <c r="AA8" s="36">
        <f t="shared" si="24"/>
        <v>0</v>
      </c>
      <c r="AB8" s="36">
        <f t="shared" si="25"/>
        <v>0</v>
      </c>
      <c r="AC8" s="36">
        <f t="shared" si="26"/>
        <v>0</v>
      </c>
      <c r="AD8" s="36">
        <f t="shared" si="27"/>
        <v>0</v>
      </c>
      <c r="AE8" s="36"/>
      <c r="AF8" s="36" t="str">
        <f t="shared" si="5"/>
        <v/>
      </c>
      <c r="AG8" s="36">
        <f>[1]BOA!$H8</f>
        <v>0</v>
      </c>
      <c r="AH8" s="36">
        <f t="shared" si="28"/>
        <v>0</v>
      </c>
      <c r="AI8" s="36">
        <f t="shared" si="29"/>
        <v>0</v>
      </c>
      <c r="AJ8" s="36">
        <f t="shared" si="30"/>
        <v>0</v>
      </c>
      <c r="AK8" s="36">
        <f t="shared" si="31"/>
        <v>0</v>
      </c>
      <c r="AL8" s="36"/>
      <c r="AM8" s="36" t="str">
        <f t="shared" si="6"/>
        <v/>
      </c>
      <c r="AN8" s="36">
        <f>[1]BOA!$I8</f>
        <v>0</v>
      </c>
      <c r="AO8" s="36">
        <f t="shared" si="32"/>
        <v>0</v>
      </c>
      <c r="AP8" s="36">
        <f t="shared" si="33"/>
        <v>0</v>
      </c>
      <c r="AQ8" s="36">
        <f t="shared" si="34"/>
        <v>0</v>
      </c>
      <c r="AR8" s="36">
        <f t="shared" si="35"/>
        <v>0</v>
      </c>
      <c r="AS8" s="33"/>
      <c r="AT8" s="37" t="str">
        <f t="shared" si="7"/>
        <v/>
      </c>
      <c r="AU8" s="36">
        <f>[1]BOA!$J8</f>
        <v>0</v>
      </c>
      <c r="AV8" s="31">
        <f t="shared" si="36"/>
        <v>0</v>
      </c>
      <c r="AW8" s="18">
        <f t="shared" si="37"/>
        <v>0</v>
      </c>
      <c r="AX8" s="31">
        <f t="shared" si="38"/>
        <v>0</v>
      </c>
      <c r="AY8" s="31">
        <f t="shared" si="39"/>
        <v>0</v>
      </c>
      <c r="AZ8" s="157"/>
      <c r="BA8" s="37" t="str">
        <f t="shared" si="8"/>
        <v/>
      </c>
      <c r="BB8" s="36">
        <f>[1]BOA!$K8</f>
        <v>127249.00634594599</v>
      </c>
      <c r="BC8" s="31">
        <f t="shared" si="40"/>
        <v>107856.25777882383</v>
      </c>
      <c r="BD8" s="18">
        <f t="shared" si="41"/>
        <v>19392.748567122169</v>
      </c>
      <c r="BE8" s="31">
        <f t="shared" si="42"/>
        <v>0</v>
      </c>
      <c r="BF8" s="31">
        <f t="shared" si="43"/>
        <v>0</v>
      </c>
      <c r="BG8" s="33"/>
      <c r="BH8" s="37">
        <f t="shared" si="9"/>
        <v>-1</v>
      </c>
      <c r="BI8" s="36">
        <f>[1]BOA!$L8</f>
        <v>0</v>
      </c>
      <c r="BJ8" s="31">
        <f t="shared" si="44"/>
        <v>0</v>
      </c>
      <c r="BK8" s="18">
        <f t="shared" si="45"/>
        <v>0</v>
      </c>
      <c r="BL8" s="31">
        <f t="shared" si="46"/>
        <v>0</v>
      </c>
      <c r="BM8" s="31">
        <f t="shared" si="47"/>
        <v>0</v>
      </c>
      <c r="BN8" s="33"/>
      <c r="BO8" s="37" t="str">
        <f t="shared" si="10"/>
        <v/>
      </c>
      <c r="BP8" s="36">
        <f>[1]BOA!$M8</f>
        <v>0</v>
      </c>
      <c r="BQ8" s="31">
        <f t="shared" si="48"/>
        <v>0</v>
      </c>
      <c r="BR8" s="18">
        <f t="shared" si="49"/>
        <v>0</v>
      </c>
      <c r="BS8" s="31">
        <f t="shared" si="50"/>
        <v>0</v>
      </c>
      <c r="BT8" s="31">
        <f t="shared" si="51"/>
        <v>0</v>
      </c>
      <c r="BU8" s="33"/>
      <c r="BV8" s="37" t="str">
        <f t="shared" si="11"/>
        <v/>
      </c>
      <c r="BW8" s="36">
        <f>[1]BOA!$N8</f>
        <v>0</v>
      </c>
      <c r="BX8" s="31">
        <f t="shared" si="52"/>
        <v>0</v>
      </c>
      <c r="BY8" s="18">
        <f t="shared" si="53"/>
        <v>0</v>
      </c>
      <c r="BZ8" s="31">
        <f t="shared" si="54"/>
        <v>0</v>
      </c>
      <c r="CA8" s="31">
        <f t="shared" si="55"/>
        <v>0</v>
      </c>
      <c r="CB8" s="33"/>
      <c r="CC8" s="37" t="str">
        <f t="shared" si="12"/>
        <v/>
      </c>
      <c r="CD8" s="36">
        <f>[1]BOA!$O8</f>
        <v>0</v>
      </c>
      <c r="CE8" s="31">
        <f t="shared" si="56"/>
        <v>0</v>
      </c>
      <c r="CF8" s="18">
        <f t="shared" si="57"/>
        <v>0</v>
      </c>
      <c r="CG8" s="31">
        <f t="shared" si="58"/>
        <v>0</v>
      </c>
      <c r="CH8" s="31">
        <f t="shared" si="59"/>
        <v>0</v>
      </c>
      <c r="CI8" s="33"/>
      <c r="CJ8" s="37" t="str">
        <f t="shared" si="13"/>
        <v/>
      </c>
      <c r="CK8" s="36">
        <f>[1]BOA!$P8</f>
        <v>0</v>
      </c>
      <c r="CL8" s="31">
        <f t="shared" si="60"/>
        <v>0</v>
      </c>
      <c r="CM8" s="18">
        <f t="shared" si="61"/>
        <v>0</v>
      </c>
      <c r="CN8" s="31">
        <f t="shared" si="62"/>
        <v>0</v>
      </c>
      <c r="CO8" s="31">
        <f t="shared" si="63"/>
        <v>0</v>
      </c>
      <c r="CP8" s="33"/>
      <c r="CQ8" s="37" t="str">
        <f t="shared" si="14"/>
        <v/>
      </c>
    </row>
    <row r="9" spans="1:99" s="26" customFormat="1" ht="14.25" customHeight="1" thickBot="1" x14ac:dyDescent="0.25">
      <c r="A9" s="38" t="s">
        <v>33</v>
      </c>
      <c r="B9" s="30">
        <f t="shared" si="0"/>
        <v>163789.89446751997</v>
      </c>
      <c r="C9" s="31">
        <f t="shared" si="0"/>
        <v>138828.31455066992</v>
      </c>
      <c r="D9" s="32">
        <f t="shared" si="0"/>
        <v>24961.579916850053</v>
      </c>
      <c r="E9" s="30">
        <f t="shared" si="15"/>
        <v>52935.733699199991</v>
      </c>
      <c r="F9" s="33">
        <f t="shared" si="15"/>
        <v>44868.327883441911</v>
      </c>
      <c r="G9" s="34">
        <f t="shared" si="15"/>
        <v>8067.4058157580794</v>
      </c>
      <c r="H9" s="31">
        <f t="shared" si="1"/>
        <v>50674.003327999999</v>
      </c>
      <c r="I9" s="33">
        <f t="shared" si="1"/>
        <v>9111.276672</v>
      </c>
      <c r="J9" s="33">
        <f t="shared" si="1"/>
        <v>59785.279999999999</v>
      </c>
      <c r="K9" s="37">
        <f t="shared" si="2"/>
        <v>0.12939362170214941</v>
      </c>
      <c r="L9" s="36">
        <f>[1]BOA!$E9</f>
        <v>13233.933424799998</v>
      </c>
      <c r="M9" s="36">
        <f t="shared" si="16"/>
        <v>11217.081970860478</v>
      </c>
      <c r="N9" s="36">
        <f t="shared" si="17"/>
        <v>2016.8514539395198</v>
      </c>
      <c r="O9" s="36">
        <f t="shared" si="18"/>
        <v>7600.6156719999999</v>
      </c>
      <c r="P9" s="36">
        <f t="shared" si="19"/>
        <v>1366.6043279999999</v>
      </c>
      <c r="Q9" s="36">
        <f>8967.22</f>
        <v>8967.2199999999993</v>
      </c>
      <c r="R9" s="36">
        <f t="shared" si="3"/>
        <v>-0.32240704920007413</v>
      </c>
      <c r="S9" s="36">
        <f>[1]BOA!$F9</f>
        <v>13233.933424799998</v>
      </c>
      <c r="T9" s="36">
        <f t="shared" si="20"/>
        <v>11217.081970860478</v>
      </c>
      <c r="U9" s="36">
        <f t="shared" si="21"/>
        <v>2016.8514539395198</v>
      </c>
      <c r="V9" s="36">
        <f t="shared" si="22"/>
        <v>7153.371056</v>
      </c>
      <c r="W9" s="36">
        <f t="shared" si="23"/>
        <v>1286.188944</v>
      </c>
      <c r="X9" s="36">
        <f>8439.56</f>
        <v>8439.56</v>
      </c>
      <c r="Y9" s="36">
        <f t="shared" si="4"/>
        <v>-0.36227879277490427</v>
      </c>
      <c r="Z9" s="36">
        <f>[1]BOA!$G9</f>
        <v>13233.933424799998</v>
      </c>
      <c r="AA9" s="36">
        <f t="shared" si="24"/>
        <v>11217.081970860478</v>
      </c>
      <c r="AB9" s="36">
        <f t="shared" si="25"/>
        <v>2016.8514539395198</v>
      </c>
      <c r="AC9" s="36">
        <f t="shared" si="26"/>
        <v>13056.362591999999</v>
      </c>
      <c r="AD9" s="36">
        <f t="shared" si="27"/>
        <v>2347.5574080000001</v>
      </c>
      <c r="AE9" s="36">
        <f>15403.92</f>
        <v>15403.92</v>
      </c>
      <c r="AF9" s="36">
        <f t="shared" si="5"/>
        <v>0.16397139879315947</v>
      </c>
      <c r="AG9" s="36">
        <f>[1]BOA!$H9</f>
        <v>13233.933424799998</v>
      </c>
      <c r="AH9" s="36">
        <f t="shared" si="28"/>
        <v>11217.081970860478</v>
      </c>
      <c r="AI9" s="36">
        <f t="shared" si="29"/>
        <v>2016.8514539395198</v>
      </c>
      <c r="AJ9" s="36">
        <f t="shared" si="30"/>
        <v>10652.246904</v>
      </c>
      <c r="AK9" s="36">
        <f t="shared" si="31"/>
        <v>1915.2930960000003</v>
      </c>
      <c r="AL9" s="36">
        <f>12567.54</f>
        <v>12567.54</v>
      </c>
      <c r="AM9" s="36">
        <f t="shared" si="6"/>
        <v>-5.0354902311295802E-2</v>
      </c>
      <c r="AN9" s="36">
        <f>[1]BOA!$I9</f>
        <v>13233.933424799998</v>
      </c>
      <c r="AO9" s="36">
        <f t="shared" si="32"/>
        <v>11217.081970860478</v>
      </c>
      <c r="AP9" s="36">
        <f t="shared" si="33"/>
        <v>2016.8514539395198</v>
      </c>
      <c r="AQ9" s="36">
        <f t="shared" si="34"/>
        <v>6105.7035520000009</v>
      </c>
      <c r="AR9" s="36">
        <f t="shared" si="35"/>
        <v>1097.816448</v>
      </c>
      <c r="AS9" s="33">
        <v>7203.52</v>
      </c>
      <c r="AT9" s="37">
        <f t="shared" si="7"/>
        <v>-0.45567808384914354</v>
      </c>
      <c r="AU9" s="36">
        <f>[1]BOA!$J9</f>
        <v>13233.933424799998</v>
      </c>
      <c r="AV9" s="31">
        <f t="shared" si="36"/>
        <v>11217.081970860478</v>
      </c>
      <c r="AW9" s="18">
        <f t="shared" si="37"/>
        <v>2016.8514539395198</v>
      </c>
      <c r="AX9" s="31">
        <f t="shared" si="38"/>
        <v>6105.7035520000009</v>
      </c>
      <c r="AY9" s="31">
        <f t="shared" si="39"/>
        <v>1097.816448</v>
      </c>
      <c r="AZ9" s="157">
        <v>7203.52</v>
      </c>
      <c r="BA9" s="37">
        <f t="shared" si="8"/>
        <v>-0.45567808384914354</v>
      </c>
      <c r="BB9" s="36">
        <f>[1]BOA!$K9</f>
        <v>13233.933424799998</v>
      </c>
      <c r="BC9" s="31">
        <f t="shared" si="40"/>
        <v>11217.081970860478</v>
      </c>
      <c r="BD9" s="18">
        <f t="shared" si="41"/>
        <v>2016.8514539395198</v>
      </c>
      <c r="BE9" s="31">
        <f t="shared" si="42"/>
        <v>0</v>
      </c>
      <c r="BF9" s="31">
        <f t="shared" si="43"/>
        <v>0</v>
      </c>
      <c r="BG9" s="33"/>
      <c r="BH9" s="37">
        <f t="shared" si="9"/>
        <v>-1</v>
      </c>
      <c r="BI9" s="36">
        <f>[1]BOA!$L9</f>
        <v>14230.472098784001</v>
      </c>
      <c r="BJ9" s="31">
        <f t="shared" si="44"/>
        <v>12061.748150929319</v>
      </c>
      <c r="BK9" s="18">
        <f t="shared" si="45"/>
        <v>2168.7239478546817</v>
      </c>
      <c r="BL9" s="31">
        <f t="shared" si="46"/>
        <v>0</v>
      </c>
      <c r="BM9" s="31">
        <f t="shared" si="47"/>
        <v>0</v>
      </c>
      <c r="BN9" s="33"/>
      <c r="BO9" s="37">
        <f t="shared" si="10"/>
        <v>-1</v>
      </c>
      <c r="BP9" s="36">
        <f>[1]BOA!$M9</f>
        <v>14230.472098784001</v>
      </c>
      <c r="BQ9" s="31">
        <f t="shared" si="48"/>
        <v>12061.748150929319</v>
      </c>
      <c r="BR9" s="18">
        <f t="shared" si="49"/>
        <v>2168.7239478546817</v>
      </c>
      <c r="BS9" s="31">
        <f t="shared" si="50"/>
        <v>0</v>
      </c>
      <c r="BT9" s="31">
        <f t="shared" si="51"/>
        <v>0</v>
      </c>
      <c r="BU9" s="33"/>
      <c r="BV9" s="37">
        <f t="shared" si="11"/>
        <v>-1</v>
      </c>
      <c r="BW9" s="36">
        <f>[1]BOA!$N9</f>
        <v>14230.472098784001</v>
      </c>
      <c r="BX9" s="31">
        <f t="shared" si="52"/>
        <v>12061.748150929319</v>
      </c>
      <c r="BY9" s="18">
        <f t="shared" si="53"/>
        <v>2168.7239478546817</v>
      </c>
      <c r="BZ9" s="31">
        <f t="shared" si="54"/>
        <v>0</v>
      </c>
      <c r="CA9" s="31">
        <f t="shared" si="55"/>
        <v>0</v>
      </c>
      <c r="CB9" s="33"/>
      <c r="CC9" s="37">
        <f t="shared" si="12"/>
        <v>-1</v>
      </c>
      <c r="CD9" s="36">
        <f>[1]BOA!$O9</f>
        <v>14230.472098784001</v>
      </c>
      <c r="CE9" s="31">
        <f t="shared" si="56"/>
        <v>12061.748150929319</v>
      </c>
      <c r="CF9" s="18">
        <f t="shared" si="57"/>
        <v>2168.7239478546817</v>
      </c>
      <c r="CG9" s="31">
        <f t="shared" si="58"/>
        <v>0</v>
      </c>
      <c r="CH9" s="31">
        <f t="shared" si="59"/>
        <v>0</v>
      </c>
      <c r="CI9" s="33"/>
      <c r="CJ9" s="37">
        <f t="shared" si="13"/>
        <v>-1</v>
      </c>
      <c r="CK9" s="36">
        <f>[1]BOA!$P9</f>
        <v>14230.472098784001</v>
      </c>
      <c r="CL9" s="31">
        <f t="shared" si="60"/>
        <v>12061.748150929319</v>
      </c>
      <c r="CM9" s="18">
        <f t="shared" si="61"/>
        <v>2168.7239478546817</v>
      </c>
      <c r="CN9" s="31">
        <f t="shared" si="62"/>
        <v>0</v>
      </c>
      <c r="CO9" s="31">
        <f t="shared" si="63"/>
        <v>0</v>
      </c>
      <c r="CP9" s="33"/>
      <c r="CQ9" s="37">
        <f t="shared" si="14"/>
        <v>-1</v>
      </c>
    </row>
    <row r="10" spans="1:99" s="26" customFormat="1" ht="14.25" customHeight="1" thickBot="1" x14ac:dyDescent="0.25">
      <c r="A10" s="38" t="s">
        <v>34</v>
      </c>
      <c r="B10" s="30">
        <f t="shared" si="0"/>
        <v>96000</v>
      </c>
      <c r="C10" s="31">
        <f t="shared" si="0"/>
        <v>81369.60000000002</v>
      </c>
      <c r="D10" s="32">
        <f t="shared" si="0"/>
        <v>14630.400000000003</v>
      </c>
      <c r="E10" s="30">
        <f t="shared" si="15"/>
        <v>32000</v>
      </c>
      <c r="F10" s="33">
        <f t="shared" si="15"/>
        <v>27123.200000000001</v>
      </c>
      <c r="G10" s="34">
        <f t="shared" si="15"/>
        <v>4876.8</v>
      </c>
      <c r="H10" s="31">
        <f t="shared" si="1"/>
        <v>83226.589887999988</v>
      </c>
      <c r="I10" s="33">
        <f t="shared" si="1"/>
        <v>14964.290112000001</v>
      </c>
      <c r="J10" s="33">
        <f t="shared" si="1"/>
        <v>98190.87999999999</v>
      </c>
      <c r="K10" s="37">
        <f t="shared" si="2"/>
        <v>2.0684649999999998</v>
      </c>
      <c r="L10" s="36">
        <f>[1]BOA!$E10</f>
        <v>8000</v>
      </c>
      <c r="M10" s="36">
        <f t="shared" si="16"/>
        <v>6780.8</v>
      </c>
      <c r="N10" s="36">
        <f t="shared" si="17"/>
        <v>1219.2</v>
      </c>
      <c r="O10" s="36">
        <f t="shared" si="18"/>
        <v>27756.221583999999</v>
      </c>
      <c r="P10" s="36">
        <f t="shared" si="19"/>
        <v>4990.6184160000003</v>
      </c>
      <c r="Q10" s="36">
        <f>7000+7350+8750+1257.6+812.2+7577.04</f>
        <v>32746.84</v>
      </c>
      <c r="R10" s="36">
        <f t="shared" si="3"/>
        <v>3.0933549999999999</v>
      </c>
      <c r="S10" s="36">
        <f>[1]BOA!$F10</f>
        <v>8000</v>
      </c>
      <c r="T10" s="36">
        <f t="shared" si="20"/>
        <v>6780.8</v>
      </c>
      <c r="U10" s="36">
        <f t="shared" si="21"/>
        <v>1219.2</v>
      </c>
      <c r="V10" s="36">
        <f t="shared" si="22"/>
        <v>11267.765547999999</v>
      </c>
      <c r="W10" s="36">
        <f t="shared" si="23"/>
        <v>2025.9644519999999</v>
      </c>
      <c r="X10" s="36">
        <f>3150+10143.73</f>
        <v>13293.73</v>
      </c>
      <c r="Y10" s="36">
        <f t="shared" si="4"/>
        <v>0.66171625000000001</v>
      </c>
      <c r="Z10" s="36">
        <f>[1]BOA!$G10</f>
        <v>8000</v>
      </c>
      <c r="AA10" s="36">
        <f t="shared" si="24"/>
        <v>6780.8</v>
      </c>
      <c r="AB10" s="36">
        <f t="shared" si="25"/>
        <v>1219.2</v>
      </c>
      <c r="AC10" s="36">
        <f t="shared" si="26"/>
        <v>14978.202355999998</v>
      </c>
      <c r="AD10" s="36">
        <f t="shared" si="27"/>
        <v>2693.1076439999997</v>
      </c>
      <c r="AE10" s="36">
        <f>6800+10871.31</f>
        <v>17671.309999999998</v>
      </c>
      <c r="AF10" s="36">
        <f t="shared" si="5"/>
        <v>1.2089137499999998</v>
      </c>
      <c r="AG10" s="36">
        <f>[1]BOA!$H10</f>
        <v>8000</v>
      </c>
      <c r="AH10" s="36">
        <f t="shared" si="28"/>
        <v>6780.8</v>
      </c>
      <c r="AI10" s="36">
        <f t="shared" si="29"/>
        <v>1219.2</v>
      </c>
      <c r="AJ10" s="36">
        <f t="shared" si="30"/>
        <v>13810.972395999999</v>
      </c>
      <c r="AK10" s="36">
        <f t="shared" si="31"/>
        <v>2483.2376039999999</v>
      </c>
      <c r="AL10" s="36">
        <f>7200+9094.21</f>
        <v>16294.21</v>
      </c>
      <c r="AM10" s="36">
        <f t="shared" si="6"/>
        <v>1.03677625</v>
      </c>
      <c r="AN10" s="36">
        <f>[1]BOA!$I10</f>
        <v>8000</v>
      </c>
      <c r="AO10" s="36">
        <f t="shared" si="32"/>
        <v>6780.8</v>
      </c>
      <c r="AP10" s="36">
        <f t="shared" si="33"/>
        <v>1219.2</v>
      </c>
      <c r="AQ10" s="36">
        <f t="shared" si="34"/>
        <v>6613.8227999999999</v>
      </c>
      <c r="AR10" s="36">
        <f t="shared" si="35"/>
        <v>1189.1772000000001</v>
      </c>
      <c r="AS10" s="33">
        <v>7803</v>
      </c>
      <c r="AT10" s="37">
        <f t="shared" si="7"/>
        <v>-2.4625000000000008E-2</v>
      </c>
      <c r="AU10" s="36">
        <f>[1]BOA!$J10</f>
        <v>8000</v>
      </c>
      <c r="AV10" s="31">
        <f t="shared" si="36"/>
        <v>6780.8</v>
      </c>
      <c r="AW10" s="18">
        <f t="shared" si="37"/>
        <v>1219.2</v>
      </c>
      <c r="AX10" s="31">
        <f t="shared" si="38"/>
        <v>8799.6052039999995</v>
      </c>
      <c r="AY10" s="31">
        <f t="shared" si="39"/>
        <v>1582.184796</v>
      </c>
      <c r="AZ10" s="157">
        <v>10381.789999999999</v>
      </c>
      <c r="BA10" s="37">
        <f t="shared" si="8"/>
        <v>0.29772374999999984</v>
      </c>
      <c r="BB10" s="36">
        <f>[1]BOA!$K10</f>
        <v>8000</v>
      </c>
      <c r="BC10" s="31">
        <f t="shared" si="40"/>
        <v>6780.8</v>
      </c>
      <c r="BD10" s="18">
        <f t="shared" si="41"/>
        <v>1219.2</v>
      </c>
      <c r="BE10" s="31">
        <f t="shared" si="42"/>
        <v>0</v>
      </c>
      <c r="BF10" s="31">
        <f t="shared" si="43"/>
        <v>0</v>
      </c>
      <c r="BG10" s="33"/>
      <c r="BH10" s="37">
        <f t="shared" si="9"/>
        <v>-1</v>
      </c>
      <c r="BI10" s="36">
        <f>[1]BOA!$L10</f>
        <v>8000</v>
      </c>
      <c r="BJ10" s="31">
        <f t="shared" si="44"/>
        <v>6780.8</v>
      </c>
      <c r="BK10" s="18">
        <f t="shared" si="45"/>
        <v>1219.2</v>
      </c>
      <c r="BL10" s="31">
        <f t="shared" si="46"/>
        <v>0</v>
      </c>
      <c r="BM10" s="31">
        <f t="shared" si="47"/>
        <v>0</v>
      </c>
      <c r="BN10" s="33"/>
      <c r="BO10" s="37">
        <f t="shared" si="10"/>
        <v>-1</v>
      </c>
      <c r="BP10" s="36">
        <f>[1]BOA!$M10</f>
        <v>8000</v>
      </c>
      <c r="BQ10" s="31">
        <f t="shared" si="48"/>
        <v>6780.8</v>
      </c>
      <c r="BR10" s="18">
        <f t="shared" si="49"/>
        <v>1219.2</v>
      </c>
      <c r="BS10" s="31">
        <f t="shared" si="50"/>
        <v>0</v>
      </c>
      <c r="BT10" s="31">
        <f t="shared" si="51"/>
        <v>0</v>
      </c>
      <c r="BU10" s="33"/>
      <c r="BV10" s="37">
        <f t="shared" si="11"/>
        <v>-1</v>
      </c>
      <c r="BW10" s="36">
        <f>[1]BOA!$N10</f>
        <v>8000</v>
      </c>
      <c r="BX10" s="31">
        <f t="shared" si="52"/>
        <v>6780.8</v>
      </c>
      <c r="BY10" s="18">
        <f t="shared" si="53"/>
        <v>1219.2</v>
      </c>
      <c r="BZ10" s="31">
        <f t="shared" si="54"/>
        <v>0</v>
      </c>
      <c r="CA10" s="31">
        <f t="shared" si="55"/>
        <v>0</v>
      </c>
      <c r="CB10" s="33"/>
      <c r="CC10" s="37">
        <f t="shared" si="12"/>
        <v>-1</v>
      </c>
      <c r="CD10" s="36">
        <f>[1]BOA!$O10</f>
        <v>8000</v>
      </c>
      <c r="CE10" s="31">
        <f t="shared" si="56"/>
        <v>6780.8</v>
      </c>
      <c r="CF10" s="18">
        <f t="shared" si="57"/>
        <v>1219.2</v>
      </c>
      <c r="CG10" s="31">
        <f t="shared" si="58"/>
        <v>0</v>
      </c>
      <c r="CH10" s="31">
        <f t="shared" si="59"/>
        <v>0</v>
      </c>
      <c r="CI10" s="33"/>
      <c r="CJ10" s="37">
        <f t="shared" si="13"/>
        <v>-1</v>
      </c>
      <c r="CK10" s="36">
        <f>[1]BOA!$P10</f>
        <v>8000</v>
      </c>
      <c r="CL10" s="31">
        <f t="shared" si="60"/>
        <v>6780.8</v>
      </c>
      <c r="CM10" s="18">
        <f t="shared" si="61"/>
        <v>1219.2</v>
      </c>
      <c r="CN10" s="31">
        <f t="shared" si="62"/>
        <v>0</v>
      </c>
      <c r="CO10" s="31">
        <f t="shared" si="63"/>
        <v>0</v>
      </c>
      <c r="CP10" s="33"/>
      <c r="CQ10" s="37">
        <f t="shared" si="14"/>
        <v>-1</v>
      </c>
    </row>
    <row r="11" spans="1:99" s="26" customFormat="1" ht="14.25" customHeight="1" thickBot="1" x14ac:dyDescent="0.25">
      <c r="A11" s="38" t="s">
        <v>35</v>
      </c>
      <c r="B11" s="30">
        <f t="shared" si="0"/>
        <v>0</v>
      </c>
      <c r="C11" s="31">
        <f t="shared" si="0"/>
        <v>0</v>
      </c>
      <c r="D11" s="32">
        <f t="shared" si="0"/>
        <v>0</v>
      </c>
      <c r="E11" s="30">
        <f t="shared" si="15"/>
        <v>0</v>
      </c>
      <c r="F11" s="33">
        <f t="shared" si="15"/>
        <v>0</v>
      </c>
      <c r="G11" s="34">
        <f t="shared" si="15"/>
        <v>0</v>
      </c>
      <c r="H11" s="31">
        <f t="shared" si="1"/>
        <v>5039.4227520000004</v>
      </c>
      <c r="I11" s="33">
        <f t="shared" si="1"/>
        <v>906.09724800000004</v>
      </c>
      <c r="J11" s="33">
        <f t="shared" si="1"/>
        <v>5945.52</v>
      </c>
      <c r="K11" s="37" t="str">
        <f t="shared" si="2"/>
        <v/>
      </c>
      <c r="L11" s="36">
        <f>[1]BOA!$E11</f>
        <v>0</v>
      </c>
      <c r="M11" s="36">
        <f t="shared" si="16"/>
        <v>0</v>
      </c>
      <c r="N11" s="36">
        <f t="shared" si="17"/>
        <v>0</v>
      </c>
      <c r="O11" s="36">
        <f t="shared" si="18"/>
        <v>0</v>
      </c>
      <c r="P11" s="36">
        <f t="shared" si="19"/>
        <v>0</v>
      </c>
      <c r="Q11" s="36"/>
      <c r="R11" s="36" t="str">
        <f t="shared" si="3"/>
        <v/>
      </c>
      <c r="S11" s="36">
        <f>[1]BOA!$F11</f>
        <v>0</v>
      </c>
      <c r="T11" s="36">
        <f t="shared" si="20"/>
        <v>0</v>
      </c>
      <c r="U11" s="36">
        <f t="shared" si="21"/>
        <v>0</v>
      </c>
      <c r="V11" s="36">
        <f t="shared" si="22"/>
        <v>0</v>
      </c>
      <c r="W11" s="36">
        <f t="shared" si="23"/>
        <v>0</v>
      </c>
      <c r="X11" s="36"/>
      <c r="Y11" s="36" t="str">
        <f t="shared" si="4"/>
        <v/>
      </c>
      <c r="Z11" s="36">
        <f>[1]BOA!$G11</f>
        <v>0</v>
      </c>
      <c r="AA11" s="36">
        <f t="shared" si="24"/>
        <v>0</v>
      </c>
      <c r="AB11" s="36">
        <f t="shared" si="25"/>
        <v>0</v>
      </c>
      <c r="AC11" s="36">
        <f t="shared" si="26"/>
        <v>0</v>
      </c>
      <c r="AD11" s="36">
        <f t="shared" si="27"/>
        <v>0</v>
      </c>
      <c r="AE11" s="36"/>
      <c r="AF11" s="36" t="str">
        <f t="shared" si="5"/>
        <v/>
      </c>
      <c r="AG11" s="36">
        <f>[1]BOA!$H11</f>
        <v>0</v>
      </c>
      <c r="AH11" s="36">
        <f t="shared" si="28"/>
        <v>0</v>
      </c>
      <c r="AI11" s="36">
        <f t="shared" si="29"/>
        <v>0</v>
      </c>
      <c r="AJ11" s="36">
        <f t="shared" si="30"/>
        <v>3600.2911880000001</v>
      </c>
      <c r="AK11" s="36">
        <f t="shared" si="31"/>
        <v>647.33881200000008</v>
      </c>
      <c r="AL11" s="36">
        <f>1604.62+2643.01</f>
        <v>4247.63</v>
      </c>
      <c r="AM11" s="36" t="str">
        <f t="shared" si="6"/>
        <v/>
      </c>
      <c r="AN11" s="36">
        <f>[1]BOA!$I11</f>
        <v>0</v>
      </c>
      <c r="AO11" s="36">
        <f t="shared" si="32"/>
        <v>0</v>
      </c>
      <c r="AP11" s="36">
        <f t="shared" si="33"/>
        <v>0</v>
      </c>
      <c r="AQ11" s="36">
        <f t="shared" si="34"/>
        <v>0</v>
      </c>
      <c r="AR11" s="36">
        <f t="shared" si="35"/>
        <v>0</v>
      </c>
      <c r="AS11" s="33"/>
      <c r="AT11" s="37" t="str">
        <f t="shared" si="7"/>
        <v/>
      </c>
      <c r="AU11" s="36">
        <f>[1]BOA!$J11</f>
        <v>0</v>
      </c>
      <c r="AV11" s="31">
        <f t="shared" si="36"/>
        <v>0</v>
      </c>
      <c r="AW11" s="18">
        <f t="shared" si="37"/>
        <v>0</v>
      </c>
      <c r="AX11" s="31">
        <f t="shared" si="38"/>
        <v>1439.131564</v>
      </c>
      <c r="AY11" s="31">
        <f t="shared" si="39"/>
        <v>258.75843600000002</v>
      </c>
      <c r="AZ11" s="157">
        <v>1697.89</v>
      </c>
      <c r="BA11" s="37" t="str">
        <f t="shared" si="8"/>
        <v/>
      </c>
      <c r="BB11" s="36">
        <f>[1]BOA!$K11</f>
        <v>0</v>
      </c>
      <c r="BC11" s="31">
        <f t="shared" si="40"/>
        <v>0</v>
      </c>
      <c r="BD11" s="18">
        <f t="shared" si="41"/>
        <v>0</v>
      </c>
      <c r="BE11" s="31">
        <f t="shared" si="42"/>
        <v>0</v>
      </c>
      <c r="BF11" s="31">
        <f t="shared" si="43"/>
        <v>0</v>
      </c>
      <c r="BG11" s="33"/>
      <c r="BH11" s="37" t="str">
        <f t="shared" si="9"/>
        <v/>
      </c>
      <c r="BI11" s="36">
        <f>[1]BOA!$L11</f>
        <v>0</v>
      </c>
      <c r="BJ11" s="31">
        <f t="shared" si="44"/>
        <v>0</v>
      </c>
      <c r="BK11" s="18">
        <f t="shared" si="45"/>
        <v>0</v>
      </c>
      <c r="BL11" s="31">
        <f t="shared" si="46"/>
        <v>0</v>
      </c>
      <c r="BM11" s="31">
        <f t="shared" si="47"/>
        <v>0</v>
      </c>
      <c r="BN11" s="33"/>
      <c r="BO11" s="37" t="str">
        <f t="shared" si="10"/>
        <v/>
      </c>
      <c r="BP11" s="36">
        <f>[1]BOA!$M11</f>
        <v>0</v>
      </c>
      <c r="BQ11" s="31">
        <f t="shared" si="48"/>
        <v>0</v>
      </c>
      <c r="BR11" s="18">
        <f t="shared" si="49"/>
        <v>0</v>
      </c>
      <c r="BS11" s="31">
        <f t="shared" si="50"/>
        <v>0</v>
      </c>
      <c r="BT11" s="31">
        <f t="shared" si="51"/>
        <v>0</v>
      </c>
      <c r="BU11" s="33"/>
      <c r="BV11" s="37" t="str">
        <f t="shared" si="11"/>
        <v/>
      </c>
      <c r="BW11" s="36">
        <f>[1]BOA!$N11</f>
        <v>0</v>
      </c>
      <c r="BX11" s="31">
        <f t="shared" si="52"/>
        <v>0</v>
      </c>
      <c r="BY11" s="18">
        <f t="shared" si="53"/>
        <v>0</v>
      </c>
      <c r="BZ11" s="31">
        <f t="shared" si="54"/>
        <v>0</v>
      </c>
      <c r="CA11" s="31">
        <f t="shared" si="55"/>
        <v>0</v>
      </c>
      <c r="CB11" s="33"/>
      <c r="CC11" s="37" t="str">
        <f t="shared" si="12"/>
        <v/>
      </c>
      <c r="CD11" s="36">
        <f>[1]BOA!$O11</f>
        <v>0</v>
      </c>
      <c r="CE11" s="31">
        <f t="shared" si="56"/>
        <v>0</v>
      </c>
      <c r="CF11" s="18">
        <f t="shared" si="57"/>
        <v>0</v>
      </c>
      <c r="CG11" s="31">
        <f t="shared" si="58"/>
        <v>0</v>
      </c>
      <c r="CH11" s="31">
        <f t="shared" si="59"/>
        <v>0</v>
      </c>
      <c r="CI11" s="33"/>
      <c r="CJ11" s="37" t="str">
        <f t="shared" si="13"/>
        <v/>
      </c>
      <c r="CK11" s="36">
        <f>[1]BOA!$P11</f>
        <v>0</v>
      </c>
      <c r="CL11" s="31">
        <f t="shared" si="60"/>
        <v>0</v>
      </c>
      <c r="CM11" s="18">
        <f t="shared" si="61"/>
        <v>0</v>
      </c>
      <c r="CN11" s="31">
        <f t="shared" si="62"/>
        <v>0</v>
      </c>
      <c r="CO11" s="31">
        <f t="shared" si="63"/>
        <v>0</v>
      </c>
      <c r="CP11" s="33"/>
      <c r="CQ11" s="37" t="str">
        <f t="shared" si="14"/>
        <v/>
      </c>
    </row>
    <row r="12" spans="1:99" s="26" customFormat="1" ht="14.25" customHeight="1" thickBot="1" x14ac:dyDescent="0.25">
      <c r="A12" s="29" t="s">
        <v>36</v>
      </c>
      <c r="B12" s="30">
        <f t="shared" si="0"/>
        <v>37260</v>
      </c>
      <c r="C12" s="31">
        <f t="shared" si="0"/>
        <v>31581.57599999999</v>
      </c>
      <c r="D12" s="32">
        <f t="shared" si="0"/>
        <v>5678.4240000000018</v>
      </c>
      <c r="E12" s="30">
        <f t="shared" si="15"/>
        <v>12420</v>
      </c>
      <c r="F12" s="33">
        <f t="shared" si="15"/>
        <v>10527.191999999999</v>
      </c>
      <c r="G12" s="34">
        <f t="shared" si="15"/>
        <v>1892.808</v>
      </c>
      <c r="H12" s="31">
        <f t="shared" si="1"/>
        <v>15427.84568</v>
      </c>
      <c r="I12" s="33">
        <f t="shared" si="1"/>
        <v>2773.9543200000003</v>
      </c>
      <c r="J12" s="33">
        <f t="shared" si="1"/>
        <v>18201.8</v>
      </c>
      <c r="K12" s="37">
        <f t="shared" si="2"/>
        <v>0.46552334943639284</v>
      </c>
      <c r="L12" s="36">
        <f>[1]BOA!$E12</f>
        <v>3105</v>
      </c>
      <c r="M12" s="36">
        <f t="shared" si="16"/>
        <v>2631.7979999999998</v>
      </c>
      <c r="N12" s="36">
        <f t="shared" si="17"/>
        <v>473.202</v>
      </c>
      <c r="O12" s="36">
        <f t="shared" si="18"/>
        <v>2453.7172399999999</v>
      </c>
      <c r="P12" s="36">
        <f t="shared" si="19"/>
        <v>441.18276000000003</v>
      </c>
      <c r="Q12" s="36">
        <f>2894.9</f>
        <v>2894.9</v>
      </c>
      <c r="R12" s="36">
        <f t="shared" si="3"/>
        <v>-6.766505636070852E-2</v>
      </c>
      <c r="S12" s="36">
        <f>[1]BOA!$F12</f>
        <v>3105</v>
      </c>
      <c r="T12" s="36">
        <f t="shared" si="20"/>
        <v>2631.7979999999998</v>
      </c>
      <c r="U12" s="36">
        <f t="shared" si="21"/>
        <v>473.202</v>
      </c>
      <c r="V12" s="36">
        <f t="shared" si="22"/>
        <v>0</v>
      </c>
      <c r="W12" s="36">
        <f t="shared" si="23"/>
        <v>0</v>
      </c>
      <c r="X12" s="36"/>
      <c r="Y12" s="36">
        <f t="shared" si="4"/>
        <v>-1</v>
      </c>
      <c r="Z12" s="36">
        <f>[1]BOA!$G12</f>
        <v>3105</v>
      </c>
      <c r="AA12" s="36">
        <f t="shared" si="24"/>
        <v>2631.7979999999998</v>
      </c>
      <c r="AB12" s="36">
        <f t="shared" si="25"/>
        <v>473.202</v>
      </c>
      <c r="AC12" s="36">
        <f t="shared" si="26"/>
        <v>5084.4557399999994</v>
      </c>
      <c r="AD12" s="36">
        <f t="shared" si="27"/>
        <v>914.19425999999999</v>
      </c>
      <c r="AE12" s="36">
        <f>5998.65</f>
        <v>5998.65</v>
      </c>
      <c r="AF12" s="36">
        <f t="shared" si="5"/>
        <v>0.93193236714975836</v>
      </c>
      <c r="AG12" s="36">
        <f>[1]BOA!$H12</f>
        <v>3105</v>
      </c>
      <c r="AH12" s="36">
        <f t="shared" si="28"/>
        <v>2631.7979999999998</v>
      </c>
      <c r="AI12" s="36">
        <f t="shared" si="29"/>
        <v>473.202</v>
      </c>
      <c r="AJ12" s="36">
        <f t="shared" si="30"/>
        <v>2629.8908999999999</v>
      </c>
      <c r="AK12" s="36">
        <f t="shared" si="31"/>
        <v>472.85910000000001</v>
      </c>
      <c r="AL12" s="36">
        <f>3102.75</f>
        <v>3102.75</v>
      </c>
      <c r="AM12" s="36">
        <f t="shared" si="6"/>
        <v>-7.246376811593791E-4</v>
      </c>
      <c r="AN12" s="36">
        <f>[1]BOA!$I12</f>
        <v>3105</v>
      </c>
      <c r="AO12" s="36">
        <f t="shared" si="32"/>
        <v>2631.7979999999998</v>
      </c>
      <c r="AP12" s="36">
        <f t="shared" si="33"/>
        <v>473.202</v>
      </c>
      <c r="AQ12" s="36">
        <f t="shared" si="34"/>
        <v>2629.8908999999999</v>
      </c>
      <c r="AR12" s="36">
        <f t="shared" si="35"/>
        <v>472.85910000000001</v>
      </c>
      <c r="AS12" s="33">
        <v>3102.75</v>
      </c>
      <c r="AT12" s="37">
        <f t="shared" si="7"/>
        <v>-7.246376811593791E-4</v>
      </c>
      <c r="AU12" s="36">
        <f>[1]BOA!$J12</f>
        <v>3105</v>
      </c>
      <c r="AV12" s="31">
        <f t="shared" si="36"/>
        <v>2631.7979999999998</v>
      </c>
      <c r="AW12" s="18">
        <f t="shared" si="37"/>
        <v>473.202</v>
      </c>
      <c r="AX12" s="31">
        <f t="shared" si="38"/>
        <v>2629.8908999999999</v>
      </c>
      <c r="AY12" s="31">
        <f t="shared" si="39"/>
        <v>472.85910000000001</v>
      </c>
      <c r="AZ12" s="157">
        <v>3102.75</v>
      </c>
      <c r="BA12" s="37">
        <f t="shared" si="8"/>
        <v>-7.246376811593791E-4</v>
      </c>
      <c r="BB12" s="36">
        <f>[1]BOA!$K12</f>
        <v>3105</v>
      </c>
      <c r="BC12" s="31">
        <f t="shared" si="40"/>
        <v>2631.7979999999998</v>
      </c>
      <c r="BD12" s="18">
        <f t="shared" si="41"/>
        <v>473.202</v>
      </c>
      <c r="BE12" s="31">
        <f t="shared" si="42"/>
        <v>0</v>
      </c>
      <c r="BF12" s="31">
        <f t="shared" si="43"/>
        <v>0</v>
      </c>
      <c r="BG12" s="33"/>
      <c r="BH12" s="37">
        <f t="shared" si="9"/>
        <v>-1</v>
      </c>
      <c r="BI12" s="36">
        <f>[1]BOA!$L12</f>
        <v>3105</v>
      </c>
      <c r="BJ12" s="31">
        <f t="shared" si="44"/>
        <v>2631.7979999999998</v>
      </c>
      <c r="BK12" s="18">
        <f t="shared" si="45"/>
        <v>473.202</v>
      </c>
      <c r="BL12" s="31">
        <f t="shared" si="46"/>
        <v>0</v>
      </c>
      <c r="BM12" s="31">
        <f t="shared" si="47"/>
        <v>0</v>
      </c>
      <c r="BN12" s="33"/>
      <c r="BO12" s="37">
        <f t="shared" si="10"/>
        <v>-1</v>
      </c>
      <c r="BP12" s="36">
        <f>[1]BOA!$M12</f>
        <v>3105</v>
      </c>
      <c r="BQ12" s="31">
        <f t="shared" si="48"/>
        <v>2631.7979999999998</v>
      </c>
      <c r="BR12" s="18">
        <f t="shared" si="49"/>
        <v>473.202</v>
      </c>
      <c r="BS12" s="31">
        <f t="shared" si="50"/>
        <v>0</v>
      </c>
      <c r="BT12" s="31">
        <f t="shared" si="51"/>
        <v>0</v>
      </c>
      <c r="BU12" s="33"/>
      <c r="BV12" s="37">
        <f t="shared" si="11"/>
        <v>-1</v>
      </c>
      <c r="BW12" s="36">
        <f>[1]BOA!$N12</f>
        <v>3105</v>
      </c>
      <c r="BX12" s="31">
        <f t="shared" si="52"/>
        <v>2631.7979999999998</v>
      </c>
      <c r="BY12" s="18">
        <f t="shared" si="53"/>
        <v>473.202</v>
      </c>
      <c r="BZ12" s="31">
        <f t="shared" si="54"/>
        <v>0</v>
      </c>
      <c r="CA12" s="31">
        <f t="shared" si="55"/>
        <v>0</v>
      </c>
      <c r="CB12" s="33"/>
      <c r="CC12" s="37">
        <f t="shared" si="12"/>
        <v>-1</v>
      </c>
      <c r="CD12" s="36">
        <f>[1]BOA!$O12</f>
        <v>3105</v>
      </c>
      <c r="CE12" s="31">
        <f t="shared" si="56"/>
        <v>2631.7979999999998</v>
      </c>
      <c r="CF12" s="18">
        <f t="shared" si="57"/>
        <v>473.202</v>
      </c>
      <c r="CG12" s="31">
        <f t="shared" si="58"/>
        <v>0</v>
      </c>
      <c r="CH12" s="31">
        <f t="shared" si="59"/>
        <v>0</v>
      </c>
      <c r="CI12" s="33"/>
      <c r="CJ12" s="37">
        <f t="shared" si="13"/>
        <v>-1</v>
      </c>
      <c r="CK12" s="36">
        <f>[1]BOA!$P12</f>
        <v>3105</v>
      </c>
      <c r="CL12" s="31">
        <f t="shared" si="60"/>
        <v>2631.7979999999998</v>
      </c>
      <c r="CM12" s="18">
        <f t="shared" si="61"/>
        <v>473.202</v>
      </c>
      <c r="CN12" s="31">
        <f t="shared" si="62"/>
        <v>0</v>
      </c>
      <c r="CO12" s="31">
        <f t="shared" si="63"/>
        <v>0</v>
      </c>
      <c r="CP12" s="33"/>
      <c r="CQ12" s="37">
        <f t="shared" si="14"/>
        <v>-1</v>
      </c>
    </row>
    <row r="13" spans="1:99" s="26" customFormat="1" ht="16" customHeight="1" thickBot="1" x14ac:dyDescent="0.25">
      <c r="A13" s="38" t="s">
        <v>37</v>
      </c>
      <c r="B13" s="30">
        <f t="shared" si="0"/>
        <v>0</v>
      </c>
      <c r="C13" s="31">
        <f t="shared" si="0"/>
        <v>0</v>
      </c>
      <c r="D13" s="32">
        <f t="shared" si="0"/>
        <v>0</v>
      </c>
      <c r="E13" s="30">
        <f t="shared" si="15"/>
        <v>0</v>
      </c>
      <c r="F13" s="33">
        <f t="shared" si="15"/>
        <v>0</v>
      </c>
      <c r="G13" s="34">
        <f t="shared" si="15"/>
        <v>0</v>
      </c>
      <c r="H13" s="31">
        <f t="shared" si="1"/>
        <v>11866.4</v>
      </c>
      <c r="I13" s="33">
        <f t="shared" si="1"/>
        <v>2133.6</v>
      </c>
      <c r="J13" s="33">
        <f t="shared" si="1"/>
        <v>14000</v>
      </c>
      <c r="K13" s="37" t="str">
        <f t="shared" si="2"/>
        <v/>
      </c>
      <c r="L13" s="36">
        <f>[1]BOA!$E13</f>
        <v>0</v>
      </c>
      <c r="M13" s="36">
        <f t="shared" si="16"/>
        <v>0</v>
      </c>
      <c r="N13" s="36">
        <f t="shared" si="17"/>
        <v>0</v>
      </c>
      <c r="O13" s="36">
        <f t="shared" si="18"/>
        <v>8476</v>
      </c>
      <c r="P13" s="36">
        <f t="shared" si="19"/>
        <v>1524</v>
      </c>
      <c r="Q13" s="36">
        <f>10000</f>
        <v>10000</v>
      </c>
      <c r="R13" s="36" t="str">
        <f t="shared" si="3"/>
        <v/>
      </c>
      <c r="S13" s="36">
        <f>[1]BOA!$F13</f>
        <v>0</v>
      </c>
      <c r="T13" s="36">
        <f t="shared" si="20"/>
        <v>0</v>
      </c>
      <c r="U13" s="36">
        <f t="shared" si="21"/>
        <v>0</v>
      </c>
      <c r="V13" s="36">
        <f t="shared" si="22"/>
        <v>3390.4</v>
      </c>
      <c r="W13" s="36">
        <f t="shared" si="23"/>
        <v>609.6</v>
      </c>
      <c r="X13" s="36">
        <f>4000</f>
        <v>4000</v>
      </c>
      <c r="Y13" s="36" t="str">
        <f t="shared" si="4"/>
        <v/>
      </c>
      <c r="Z13" s="36">
        <f>[1]BOA!$G13</f>
        <v>0</v>
      </c>
      <c r="AA13" s="36">
        <f t="shared" si="24"/>
        <v>0</v>
      </c>
      <c r="AB13" s="36">
        <f t="shared" si="25"/>
        <v>0</v>
      </c>
      <c r="AC13" s="36">
        <f t="shared" si="26"/>
        <v>0</v>
      </c>
      <c r="AD13" s="36">
        <f t="shared" si="27"/>
        <v>0</v>
      </c>
      <c r="AE13" s="36"/>
      <c r="AF13" s="36" t="str">
        <f t="shared" si="5"/>
        <v/>
      </c>
      <c r="AG13" s="36">
        <f>[1]BOA!$H13</f>
        <v>0</v>
      </c>
      <c r="AH13" s="36">
        <f t="shared" si="28"/>
        <v>0</v>
      </c>
      <c r="AI13" s="36">
        <f t="shared" si="29"/>
        <v>0</v>
      </c>
      <c r="AJ13" s="36">
        <f t="shared" si="30"/>
        <v>0</v>
      </c>
      <c r="AK13" s="36">
        <f t="shared" si="31"/>
        <v>0</v>
      </c>
      <c r="AL13" s="36"/>
      <c r="AM13" s="36" t="str">
        <f t="shared" si="6"/>
        <v/>
      </c>
      <c r="AN13" s="36">
        <f>[1]BOA!$I13</f>
        <v>0</v>
      </c>
      <c r="AO13" s="36">
        <f t="shared" si="32"/>
        <v>0</v>
      </c>
      <c r="AP13" s="36">
        <f t="shared" si="33"/>
        <v>0</v>
      </c>
      <c r="AQ13" s="36">
        <f t="shared" si="34"/>
        <v>0</v>
      </c>
      <c r="AR13" s="36">
        <f t="shared" si="35"/>
        <v>0</v>
      </c>
      <c r="AS13" s="33"/>
      <c r="AT13" s="37" t="str">
        <f t="shared" si="7"/>
        <v/>
      </c>
      <c r="AU13" s="36">
        <f>[1]BOA!$J13</f>
        <v>0</v>
      </c>
      <c r="AV13" s="31">
        <f t="shared" si="36"/>
        <v>0</v>
      </c>
      <c r="AW13" s="18">
        <f t="shared" si="37"/>
        <v>0</v>
      </c>
      <c r="AX13" s="31">
        <f t="shared" si="38"/>
        <v>0</v>
      </c>
      <c r="AY13" s="31">
        <f t="shared" si="39"/>
        <v>0</v>
      </c>
      <c r="AZ13" s="157"/>
      <c r="BA13" s="37" t="str">
        <f t="shared" si="8"/>
        <v/>
      </c>
      <c r="BB13" s="36">
        <f>[1]BOA!$K13</f>
        <v>0</v>
      </c>
      <c r="BC13" s="31">
        <f t="shared" si="40"/>
        <v>0</v>
      </c>
      <c r="BD13" s="18">
        <f t="shared" si="41"/>
        <v>0</v>
      </c>
      <c r="BE13" s="31">
        <f t="shared" si="42"/>
        <v>0</v>
      </c>
      <c r="BF13" s="31">
        <f t="shared" si="43"/>
        <v>0</v>
      </c>
      <c r="BG13" s="33"/>
      <c r="BH13" s="37" t="str">
        <f t="shared" si="9"/>
        <v/>
      </c>
      <c r="BI13" s="36">
        <f>[1]BOA!$L13</f>
        <v>0</v>
      </c>
      <c r="BJ13" s="31">
        <f t="shared" si="44"/>
        <v>0</v>
      </c>
      <c r="BK13" s="18">
        <f t="shared" si="45"/>
        <v>0</v>
      </c>
      <c r="BL13" s="31">
        <f t="shared" si="46"/>
        <v>0</v>
      </c>
      <c r="BM13" s="31">
        <f t="shared" si="47"/>
        <v>0</v>
      </c>
      <c r="BN13" s="33"/>
      <c r="BO13" s="37" t="str">
        <f t="shared" si="10"/>
        <v/>
      </c>
      <c r="BP13" s="36">
        <f>[1]BOA!$M13</f>
        <v>0</v>
      </c>
      <c r="BQ13" s="31">
        <f t="shared" si="48"/>
        <v>0</v>
      </c>
      <c r="BR13" s="18">
        <f t="shared" si="49"/>
        <v>0</v>
      </c>
      <c r="BS13" s="31">
        <f t="shared" si="50"/>
        <v>0</v>
      </c>
      <c r="BT13" s="31">
        <f t="shared" si="51"/>
        <v>0</v>
      </c>
      <c r="BU13" s="33"/>
      <c r="BV13" s="37" t="str">
        <f t="shared" si="11"/>
        <v/>
      </c>
      <c r="BW13" s="36">
        <f>[1]BOA!$N13</f>
        <v>0</v>
      </c>
      <c r="BX13" s="31">
        <f t="shared" si="52"/>
        <v>0</v>
      </c>
      <c r="BY13" s="18">
        <f t="shared" si="53"/>
        <v>0</v>
      </c>
      <c r="BZ13" s="31">
        <f t="shared" si="54"/>
        <v>0</v>
      </c>
      <c r="CA13" s="31">
        <f t="shared" si="55"/>
        <v>0</v>
      </c>
      <c r="CB13" s="33"/>
      <c r="CC13" s="37" t="str">
        <f t="shared" si="12"/>
        <v/>
      </c>
      <c r="CD13" s="36">
        <f>[1]BOA!$O13</f>
        <v>0</v>
      </c>
      <c r="CE13" s="31">
        <f t="shared" si="56"/>
        <v>0</v>
      </c>
      <c r="CF13" s="18">
        <f t="shared" si="57"/>
        <v>0</v>
      </c>
      <c r="CG13" s="31">
        <f t="shared" si="58"/>
        <v>0</v>
      </c>
      <c r="CH13" s="31">
        <f t="shared" si="59"/>
        <v>0</v>
      </c>
      <c r="CI13" s="33"/>
      <c r="CJ13" s="37" t="str">
        <f t="shared" si="13"/>
        <v/>
      </c>
      <c r="CK13" s="36">
        <f>[1]BOA!$P13</f>
        <v>0</v>
      </c>
      <c r="CL13" s="31">
        <f t="shared" si="60"/>
        <v>0</v>
      </c>
      <c r="CM13" s="18">
        <f t="shared" si="61"/>
        <v>0</v>
      </c>
      <c r="CN13" s="31">
        <f t="shared" si="62"/>
        <v>0</v>
      </c>
      <c r="CO13" s="31">
        <f t="shared" si="63"/>
        <v>0</v>
      </c>
      <c r="CP13" s="33"/>
      <c r="CQ13" s="37" t="str">
        <f t="shared" si="14"/>
        <v/>
      </c>
    </row>
    <row r="14" spans="1:99" s="26" customFormat="1" ht="16" customHeight="1" thickBot="1" x14ac:dyDescent="0.25">
      <c r="A14" s="39" t="s">
        <v>38</v>
      </c>
      <c r="B14" s="30">
        <f t="shared" si="0"/>
        <v>77072.75999999998</v>
      </c>
      <c r="C14" s="31">
        <f t="shared" si="0"/>
        <v>65326.871375999996</v>
      </c>
      <c r="D14" s="32">
        <f t="shared" si="0"/>
        <v>11745.888623999999</v>
      </c>
      <c r="E14" s="30">
        <f t="shared" si="15"/>
        <v>25690.92</v>
      </c>
      <c r="F14" s="33">
        <f t="shared" si="15"/>
        <v>21775.623791999999</v>
      </c>
      <c r="G14" s="34">
        <f t="shared" si="15"/>
        <v>3915.2962079999998</v>
      </c>
      <c r="H14" s="31">
        <f t="shared" si="1"/>
        <v>37336.051063999999</v>
      </c>
      <c r="I14" s="33">
        <f t="shared" si="1"/>
        <v>6713.0889360000001</v>
      </c>
      <c r="J14" s="33">
        <f t="shared" si="1"/>
        <v>44049.14</v>
      </c>
      <c r="K14" s="37">
        <f t="shared" si="2"/>
        <v>0.71458009288884949</v>
      </c>
      <c r="L14" s="36">
        <f>[1]BOA!$E14</f>
        <v>6422.73</v>
      </c>
      <c r="M14" s="36">
        <f t="shared" si="16"/>
        <v>5443.9059479999996</v>
      </c>
      <c r="N14" s="36">
        <f t="shared" si="17"/>
        <v>978.82405199999994</v>
      </c>
      <c r="O14" s="36">
        <f t="shared" si="18"/>
        <v>4173.5739240000003</v>
      </c>
      <c r="P14" s="36">
        <f t="shared" si="19"/>
        <v>750.41607599999998</v>
      </c>
      <c r="Q14" s="36">
        <f>4923.99</f>
        <v>4923.99</v>
      </c>
      <c r="R14" s="36">
        <f t="shared" si="3"/>
        <v>-0.233349370127656</v>
      </c>
      <c r="S14" s="36">
        <f>[1]BOA!$F14</f>
        <v>6422.73</v>
      </c>
      <c r="T14" s="36">
        <f t="shared" si="20"/>
        <v>5443.9059479999996</v>
      </c>
      <c r="U14" s="36">
        <f t="shared" si="21"/>
        <v>978.82405199999994</v>
      </c>
      <c r="V14" s="36">
        <f t="shared" si="22"/>
        <v>11931.080355999999</v>
      </c>
      <c r="W14" s="36">
        <f t="shared" si="23"/>
        <v>2145.229644</v>
      </c>
      <c r="X14" s="36">
        <f>14076.31</f>
        <v>14076.31</v>
      </c>
      <c r="Y14" s="36">
        <f t="shared" si="4"/>
        <v>1.1916396921558281</v>
      </c>
      <c r="Z14" s="36">
        <f>[1]BOA!$G14</f>
        <v>6422.73</v>
      </c>
      <c r="AA14" s="36">
        <f t="shared" si="24"/>
        <v>5443.9059479999996</v>
      </c>
      <c r="AB14" s="36">
        <f t="shared" si="25"/>
        <v>978.82405199999994</v>
      </c>
      <c r="AC14" s="36">
        <f t="shared" si="26"/>
        <v>5456.4589040000001</v>
      </c>
      <c r="AD14" s="36">
        <f t="shared" si="27"/>
        <v>981.081096</v>
      </c>
      <c r="AE14" s="36">
        <f>6437.54</f>
        <v>6437.54</v>
      </c>
      <c r="AF14" s="36">
        <f t="shared" si="5"/>
        <v>2.3058730477538703E-3</v>
      </c>
      <c r="AG14" s="36">
        <f>[1]BOA!$H14</f>
        <v>6422.73</v>
      </c>
      <c r="AH14" s="36">
        <f t="shared" si="28"/>
        <v>5443.9059479999996</v>
      </c>
      <c r="AI14" s="36">
        <f t="shared" si="29"/>
        <v>978.82405199999994</v>
      </c>
      <c r="AJ14" s="36">
        <f t="shared" si="30"/>
        <v>5158.9513040000002</v>
      </c>
      <c r="AK14" s="36">
        <f t="shared" si="31"/>
        <v>927.58869600000003</v>
      </c>
      <c r="AL14" s="36">
        <v>6086.54</v>
      </c>
      <c r="AM14" s="36">
        <f t="shared" si="6"/>
        <v>-5.2343785275108856E-2</v>
      </c>
      <c r="AN14" s="36">
        <f>[1]BOA!$I14</f>
        <v>6422.73</v>
      </c>
      <c r="AO14" s="36">
        <f t="shared" si="32"/>
        <v>5443.9059479999996</v>
      </c>
      <c r="AP14" s="36">
        <f t="shared" si="33"/>
        <v>978.82405199999994</v>
      </c>
      <c r="AQ14" s="36">
        <f t="shared" si="34"/>
        <v>5201.2719720000005</v>
      </c>
      <c r="AR14" s="36">
        <f t="shared" si="35"/>
        <v>935.19802800000014</v>
      </c>
      <c r="AS14" s="33">
        <v>6136.47</v>
      </c>
      <c r="AT14" s="37">
        <f t="shared" si="7"/>
        <v>-4.4569832454423475E-2</v>
      </c>
      <c r="AU14" s="36">
        <f>[1]BOA!$J14</f>
        <v>6422.73</v>
      </c>
      <c r="AV14" s="31">
        <f t="shared" si="36"/>
        <v>5443.9059479999996</v>
      </c>
      <c r="AW14" s="18">
        <f t="shared" si="37"/>
        <v>978.82405199999994</v>
      </c>
      <c r="AX14" s="31">
        <f t="shared" si="38"/>
        <v>5414.7146039999998</v>
      </c>
      <c r="AY14" s="31">
        <f t="shared" si="39"/>
        <v>973.57539600000007</v>
      </c>
      <c r="AZ14" s="157">
        <v>6388.29</v>
      </c>
      <c r="BA14" s="37">
        <f t="shared" si="8"/>
        <v>-5.3622057909953336E-3</v>
      </c>
      <c r="BB14" s="36">
        <f>[1]BOA!$K14</f>
        <v>6422.73</v>
      </c>
      <c r="BC14" s="31">
        <f t="shared" si="40"/>
        <v>5443.9059479999996</v>
      </c>
      <c r="BD14" s="18">
        <f t="shared" si="41"/>
        <v>978.82405199999994</v>
      </c>
      <c r="BE14" s="31">
        <f t="shared" si="42"/>
        <v>0</v>
      </c>
      <c r="BF14" s="31">
        <f t="shared" si="43"/>
        <v>0</v>
      </c>
      <c r="BG14" s="33"/>
      <c r="BH14" s="37">
        <f t="shared" si="9"/>
        <v>-1</v>
      </c>
      <c r="BI14" s="36">
        <f>[1]BOA!$L14</f>
        <v>6422.73</v>
      </c>
      <c r="BJ14" s="31">
        <f t="shared" si="44"/>
        <v>5443.9059479999996</v>
      </c>
      <c r="BK14" s="18">
        <f t="shared" si="45"/>
        <v>978.82405199999994</v>
      </c>
      <c r="BL14" s="31">
        <f t="shared" si="46"/>
        <v>0</v>
      </c>
      <c r="BM14" s="31">
        <f t="shared" si="47"/>
        <v>0</v>
      </c>
      <c r="BN14" s="33"/>
      <c r="BO14" s="37">
        <f t="shared" si="10"/>
        <v>-1</v>
      </c>
      <c r="BP14" s="36">
        <f>[1]BOA!$M14</f>
        <v>6422.73</v>
      </c>
      <c r="BQ14" s="31">
        <f t="shared" si="48"/>
        <v>5443.9059479999996</v>
      </c>
      <c r="BR14" s="18">
        <f t="shared" si="49"/>
        <v>978.82405199999994</v>
      </c>
      <c r="BS14" s="31">
        <f t="shared" si="50"/>
        <v>0</v>
      </c>
      <c r="BT14" s="31">
        <f t="shared" si="51"/>
        <v>0</v>
      </c>
      <c r="BU14" s="33"/>
      <c r="BV14" s="37">
        <f t="shared" si="11"/>
        <v>-1</v>
      </c>
      <c r="BW14" s="36">
        <f>[1]BOA!$N14</f>
        <v>6422.73</v>
      </c>
      <c r="BX14" s="31">
        <f t="shared" si="52"/>
        <v>5443.9059479999996</v>
      </c>
      <c r="BY14" s="18">
        <f t="shared" si="53"/>
        <v>978.82405199999994</v>
      </c>
      <c r="BZ14" s="31">
        <f t="shared" si="54"/>
        <v>0</v>
      </c>
      <c r="CA14" s="31">
        <f t="shared" si="55"/>
        <v>0</v>
      </c>
      <c r="CB14" s="33"/>
      <c r="CC14" s="37">
        <f t="shared" si="12"/>
        <v>-1</v>
      </c>
      <c r="CD14" s="36">
        <f>[1]BOA!$O14</f>
        <v>6422.73</v>
      </c>
      <c r="CE14" s="31">
        <f t="shared" si="56"/>
        <v>5443.9059479999996</v>
      </c>
      <c r="CF14" s="18">
        <f t="shared" si="57"/>
        <v>978.82405199999994</v>
      </c>
      <c r="CG14" s="31">
        <f t="shared" si="58"/>
        <v>0</v>
      </c>
      <c r="CH14" s="31">
        <f t="shared" si="59"/>
        <v>0</v>
      </c>
      <c r="CI14" s="33"/>
      <c r="CJ14" s="37">
        <f t="shared" si="13"/>
        <v>-1</v>
      </c>
      <c r="CK14" s="36">
        <f>[1]BOA!$P14</f>
        <v>6422.73</v>
      </c>
      <c r="CL14" s="31">
        <f t="shared" si="60"/>
        <v>5443.9059479999996</v>
      </c>
      <c r="CM14" s="18">
        <f t="shared" si="61"/>
        <v>978.82405199999994</v>
      </c>
      <c r="CN14" s="31">
        <f t="shared" si="62"/>
        <v>0</v>
      </c>
      <c r="CO14" s="31">
        <f t="shared" si="63"/>
        <v>0</v>
      </c>
      <c r="CP14" s="33"/>
      <c r="CQ14" s="37">
        <f t="shared" si="14"/>
        <v>-1</v>
      </c>
    </row>
    <row r="15" spans="1:99" s="26" customFormat="1" ht="16" customHeight="1" thickBot="1" x14ac:dyDescent="0.25">
      <c r="A15" s="38" t="s">
        <v>39</v>
      </c>
      <c r="B15" s="30">
        <f t="shared" si="0"/>
        <v>161103.80000000002</v>
      </c>
      <c r="C15" s="31">
        <f t="shared" si="0"/>
        <v>136551.58087999999</v>
      </c>
      <c r="D15" s="32">
        <f t="shared" si="0"/>
        <v>24552.219120000009</v>
      </c>
      <c r="E15" s="30">
        <f t="shared" si="15"/>
        <v>53354.400000000001</v>
      </c>
      <c r="F15" s="33">
        <f t="shared" si="15"/>
        <v>45223.189440000002</v>
      </c>
      <c r="G15" s="34">
        <f t="shared" si="15"/>
        <v>8131.2105600000004</v>
      </c>
      <c r="H15" s="31">
        <f t="shared" si="1"/>
        <v>79995.996392000001</v>
      </c>
      <c r="I15" s="33">
        <f t="shared" si="1"/>
        <v>14383.423607999999</v>
      </c>
      <c r="J15" s="33">
        <f t="shared" si="1"/>
        <v>94379.419999999984</v>
      </c>
      <c r="K15" s="37">
        <f t="shared" si="2"/>
        <v>0.76891540341565046</v>
      </c>
      <c r="L15" s="36">
        <f>[1]BOA!$E15</f>
        <v>13338.6</v>
      </c>
      <c r="M15" s="36">
        <f t="shared" si="16"/>
        <v>11305.79736</v>
      </c>
      <c r="N15" s="36">
        <f t="shared" si="17"/>
        <v>2032.8026400000001</v>
      </c>
      <c r="O15" s="36">
        <f t="shared" si="18"/>
        <v>10135.677083999999</v>
      </c>
      <c r="P15" s="36">
        <f t="shared" si="19"/>
        <v>1822.4129159999998</v>
      </c>
      <c r="Q15" s="36">
        <f>916.53+19737.69-(14.08+8682.05)</f>
        <v>11958.089999999998</v>
      </c>
      <c r="R15" s="36">
        <f t="shared" si="3"/>
        <v>-0.10349736853942704</v>
      </c>
      <c r="S15" s="36">
        <f>[1]BOA!$F15</f>
        <v>13338.6</v>
      </c>
      <c r="T15" s="36">
        <f t="shared" si="20"/>
        <v>11305.79736</v>
      </c>
      <c r="U15" s="36">
        <f t="shared" si="21"/>
        <v>2032.8026400000001</v>
      </c>
      <c r="V15" s="36">
        <f t="shared" si="22"/>
        <v>10097.763936000001</v>
      </c>
      <c r="W15" s="36">
        <f t="shared" si="23"/>
        <v>1815.5960640000001</v>
      </c>
      <c r="X15" s="36">
        <f>927.17+116437.84-(31574.22+73877.43)</f>
        <v>11913.36</v>
      </c>
      <c r="Y15" s="36">
        <f t="shared" si="4"/>
        <v>-0.10685079393639507</v>
      </c>
      <c r="Z15" s="36">
        <f>[1]BOA!$G15</f>
        <v>13338.6</v>
      </c>
      <c r="AA15" s="36">
        <f t="shared" si="24"/>
        <v>11305.79736</v>
      </c>
      <c r="AB15" s="36">
        <f t="shared" si="25"/>
        <v>2032.8026400000001</v>
      </c>
      <c r="AC15" s="36">
        <f t="shared" si="26"/>
        <v>15127.880039999998</v>
      </c>
      <c r="AD15" s="36">
        <f t="shared" si="27"/>
        <v>2720.0199599999996</v>
      </c>
      <c r="AE15" s="36">
        <f>916.53+16931.37</f>
        <v>17847.899999999998</v>
      </c>
      <c r="AF15" s="36">
        <f t="shared" si="5"/>
        <v>0.33806396473392986</v>
      </c>
      <c r="AG15" s="36">
        <f>[1]BOA!$H15</f>
        <v>13338.6</v>
      </c>
      <c r="AH15" s="36">
        <f t="shared" si="28"/>
        <v>11305.79736</v>
      </c>
      <c r="AI15" s="36">
        <f t="shared" si="29"/>
        <v>2032.8026400000001</v>
      </c>
      <c r="AJ15" s="36">
        <f t="shared" si="30"/>
        <v>18253.345707999997</v>
      </c>
      <c r="AK15" s="36">
        <f t="shared" si="31"/>
        <v>3281.9842920000001</v>
      </c>
      <c r="AL15" s="36">
        <f>923.32+20612.01</f>
        <v>21535.329999999998</v>
      </c>
      <c r="AM15" s="36">
        <f t="shared" si="6"/>
        <v>0.61451201775298747</v>
      </c>
      <c r="AN15" s="36">
        <f>[1]BOA!$I15</f>
        <v>13338.6</v>
      </c>
      <c r="AO15" s="36">
        <f t="shared" si="32"/>
        <v>11305.79736</v>
      </c>
      <c r="AP15" s="36">
        <f t="shared" si="33"/>
        <v>2032.8026400000001</v>
      </c>
      <c r="AQ15" s="36">
        <f t="shared" si="34"/>
        <v>14330.144348</v>
      </c>
      <c r="AR15" s="36">
        <f t="shared" si="35"/>
        <v>2576.5856520000002</v>
      </c>
      <c r="AS15" s="115">
        <v>16906.73</v>
      </c>
      <c r="AT15" s="37">
        <f t="shared" si="7"/>
        <v>0.26750408588607488</v>
      </c>
      <c r="AU15" s="36">
        <f>[1]BOA!$J15</f>
        <v>13338.6</v>
      </c>
      <c r="AV15" s="40">
        <f t="shared" si="36"/>
        <v>11305.79736</v>
      </c>
      <c r="AW15" s="18">
        <f t="shared" si="37"/>
        <v>2032.8026400000001</v>
      </c>
      <c r="AX15" s="40">
        <f t="shared" si="38"/>
        <v>12051.185276</v>
      </c>
      <c r="AY15" s="40">
        <f t="shared" si="39"/>
        <v>2166.8247240000001</v>
      </c>
      <c r="AZ15" s="158">
        <v>14218.01</v>
      </c>
      <c r="BA15" s="37">
        <f t="shared" si="8"/>
        <v>6.592970776543261E-2</v>
      </c>
      <c r="BB15" s="36">
        <f>[1]BOA!$K15</f>
        <v>14379.2</v>
      </c>
      <c r="BC15" s="40">
        <f t="shared" si="40"/>
        <v>12187.80992</v>
      </c>
      <c r="BD15" s="18">
        <f t="shared" si="41"/>
        <v>2191.3900800000001</v>
      </c>
      <c r="BE15" s="40">
        <f t="shared" si="42"/>
        <v>0</v>
      </c>
      <c r="BF15" s="40">
        <f t="shared" si="43"/>
        <v>0</v>
      </c>
      <c r="BG15" s="115"/>
      <c r="BH15" s="37">
        <f t="shared" si="9"/>
        <v>-1</v>
      </c>
      <c r="BI15" s="36">
        <f>[1]BOA!$L15</f>
        <v>13338.6</v>
      </c>
      <c r="BJ15" s="40">
        <f t="shared" si="44"/>
        <v>11305.79736</v>
      </c>
      <c r="BK15" s="18">
        <f t="shared" si="45"/>
        <v>2032.8026400000001</v>
      </c>
      <c r="BL15" s="40">
        <f t="shared" si="46"/>
        <v>0</v>
      </c>
      <c r="BM15" s="40">
        <f t="shared" si="47"/>
        <v>0</v>
      </c>
      <c r="BN15" s="115"/>
      <c r="BO15" s="37">
        <f t="shared" si="10"/>
        <v>-1</v>
      </c>
      <c r="BP15" s="36">
        <f>[1]BOA!$M15</f>
        <v>13338.6</v>
      </c>
      <c r="BQ15" s="40">
        <f t="shared" si="48"/>
        <v>11305.79736</v>
      </c>
      <c r="BR15" s="18">
        <f t="shared" si="49"/>
        <v>2032.8026400000001</v>
      </c>
      <c r="BS15" s="40">
        <f t="shared" si="50"/>
        <v>0</v>
      </c>
      <c r="BT15" s="40">
        <f t="shared" si="51"/>
        <v>0</v>
      </c>
      <c r="BU15" s="115"/>
      <c r="BV15" s="37">
        <f t="shared" si="11"/>
        <v>-1</v>
      </c>
      <c r="BW15" s="36">
        <f>[1]BOA!$N15</f>
        <v>13338.6</v>
      </c>
      <c r="BX15" s="40">
        <f t="shared" si="52"/>
        <v>11305.79736</v>
      </c>
      <c r="BY15" s="18">
        <f t="shared" si="53"/>
        <v>2032.8026400000001</v>
      </c>
      <c r="BZ15" s="40">
        <f t="shared" si="54"/>
        <v>0</v>
      </c>
      <c r="CA15" s="40">
        <f t="shared" si="55"/>
        <v>0</v>
      </c>
      <c r="CB15" s="115"/>
      <c r="CC15" s="37">
        <f t="shared" si="12"/>
        <v>-1</v>
      </c>
      <c r="CD15" s="36">
        <f>[1]BOA!$O15</f>
        <v>13338.6</v>
      </c>
      <c r="CE15" s="40">
        <f t="shared" si="56"/>
        <v>11305.79736</v>
      </c>
      <c r="CF15" s="18">
        <f t="shared" si="57"/>
        <v>2032.8026400000001</v>
      </c>
      <c r="CG15" s="40">
        <f t="shared" si="58"/>
        <v>0</v>
      </c>
      <c r="CH15" s="40">
        <f t="shared" si="59"/>
        <v>0</v>
      </c>
      <c r="CI15" s="115"/>
      <c r="CJ15" s="37">
        <f t="shared" si="13"/>
        <v>-1</v>
      </c>
      <c r="CK15" s="36">
        <f>[1]BOA!$P15</f>
        <v>13338.6</v>
      </c>
      <c r="CL15" s="40">
        <f t="shared" si="60"/>
        <v>11305.79736</v>
      </c>
      <c r="CM15" s="18">
        <f t="shared" si="61"/>
        <v>2032.8026400000001</v>
      </c>
      <c r="CN15" s="40">
        <f t="shared" si="62"/>
        <v>0</v>
      </c>
      <c r="CO15" s="40">
        <f t="shared" si="63"/>
        <v>0</v>
      </c>
      <c r="CP15" s="115"/>
      <c r="CQ15" s="37">
        <f t="shared" si="14"/>
        <v>-1</v>
      </c>
    </row>
    <row r="16" spans="1:99" s="26" customFormat="1" ht="16" customHeight="1" thickBot="1" x14ac:dyDescent="0.25">
      <c r="A16" s="29" t="s">
        <v>40</v>
      </c>
      <c r="B16" s="30">
        <f t="shared" si="0"/>
        <v>8400</v>
      </c>
      <c r="C16" s="31">
        <f t="shared" si="0"/>
        <v>7119.8399999999974</v>
      </c>
      <c r="D16" s="32">
        <f t="shared" si="0"/>
        <v>1280.1600000000005</v>
      </c>
      <c r="E16" s="30">
        <f t="shared" si="15"/>
        <v>2800</v>
      </c>
      <c r="F16" s="33">
        <f t="shared" si="15"/>
        <v>2373.2799999999997</v>
      </c>
      <c r="G16" s="34">
        <f t="shared" si="15"/>
        <v>426.72</v>
      </c>
      <c r="H16" s="31">
        <f t="shared" si="1"/>
        <v>7320.3991120000001</v>
      </c>
      <c r="I16" s="33">
        <f t="shared" si="1"/>
        <v>1316.2208880000001</v>
      </c>
      <c r="J16" s="33">
        <f t="shared" si="1"/>
        <v>8636.6200000000008</v>
      </c>
      <c r="K16" s="37">
        <f t="shared" si="2"/>
        <v>2.0845071428571433</v>
      </c>
      <c r="L16" s="36">
        <f>[1]BOA!$E16</f>
        <v>700</v>
      </c>
      <c r="M16" s="36">
        <f t="shared" si="16"/>
        <v>593.31999999999994</v>
      </c>
      <c r="N16" s="36">
        <f t="shared" si="17"/>
        <v>106.68</v>
      </c>
      <c r="O16" s="36">
        <f t="shared" si="18"/>
        <v>686.22543599999995</v>
      </c>
      <c r="P16" s="36">
        <f t="shared" si="19"/>
        <v>123.38456400000001</v>
      </c>
      <c r="Q16" s="36">
        <f>809.61</f>
        <v>809.61</v>
      </c>
      <c r="R16" s="36">
        <f t="shared" si="3"/>
        <v>0.15658571428571433</v>
      </c>
      <c r="S16" s="36">
        <f>[1]BOA!$F16</f>
        <v>700</v>
      </c>
      <c r="T16" s="36">
        <f t="shared" si="20"/>
        <v>593.31999999999994</v>
      </c>
      <c r="U16" s="36">
        <f t="shared" si="21"/>
        <v>106.68</v>
      </c>
      <c r="V16" s="36">
        <f t="shared" si="22"/>
        <v>798.56633999999997</v>
      </c>
      <c r="W16" s="36">
        <f t="shared" si="23"/>
        <v>143.58366000000001</v>
      </c>
      <c r="X16" s="36">
        <f>942.15</f>
        <v>942.15</v>
      </c>
      <c r="Y16" s="36">
        <f t="shared" si="4"/>
        <v>0.34592857142857136</v>
      </c>
      <c r="Z16" s="36">
        <f>[1]BOA!$G16</f>
        <v>700</v>
      </c>
      <c r="AA16" s="36">
        <f t="shared" si="24"/>
        <v>593.31999999999994</v>
      </c>
      <c r="AB16" s="36">
        <f t="shared" si="25"/>
        <v>106.68</v>
      </c>
      <c r="AC16" s="36">
        <f t="shared" si="26"/>
        <v>2374.0852199999999</v>
      </c>
      <c r="AD16" s="36">
        <f t="shared" si="27"/>
        <v>426.86478</v>
      </c>
      <c r="AE16" s="36">
        <f>2800.95</f>
        <v>2800.95</v>
      </c>
      <c r="AF16" s="36">
        <f t="shared" si="5"/>
        <v>3.0013571428571426</v>
      </c>
      <c r="AG16" s="36">
        <f>[1]BOA!$H16</f>
        <v>700</v>
      </c>
      <c r="AH16" s="36">
        <f t="shared" si="28"/>
        <v>593.31999999999994</v>
      </c>
      <c r="AI16" s="36">
        <f t="shared" si="29"/>
        <v>106.68</v>
      </c>
      <c r="AJ16" s="36">
        <f t="shared" si="30"/>
        <v>994.20937200000003</v>
      </c>
      <c r="AK16" s="36">
        <f t="shared" si="31"/>
        <v>178.76062800000003</v>
      </c>
      <c r="AL16" s="36">
        <f>1172.97</f>
        <v>1172.97</v>
      </c>
      <c r="AM16" s="36">
        <f t="shared" si="6"/>
        <v>0.6756714285714287</v>
      </c>
      <c r="AN16" s="36">
        <f>[1]BOA!$I16</f>
        <v>700</v>
      </c>
      <c r="AO16" s="36">
        <f t="shared" si="32"/>
        <v>593.31999999999994</v>
      </c>
      <c r="AP16" s="36">
        <f t="shared" si="33"/>
        <v>106.68</v>
      </c>
      <c r="AQ16" s="36">
        <f t="shared" si="34"/>
        <v>993.18377599999997</v>
      </c>
      <c r="AR16" s="36">
        <f t="shared" si="35"/>
        <v>178.576224</v>
      </c>
      <c r="AS16" s="33">
        <v>1171.76</v>
      </c>
      <c r="AT16" s="37">
        <f t="shared" si="7"/>
        <v>0.67394285714285718</v>
      </c>
      <c r="AU16" s="36">
        <f>[1]BOA!$J16</f>
        <v>700</v>
      </c>
      <c r="AV16" s="31">
        <f t="shared" si="36"/>
        <v>593.31999999999994</v>
      </c>
      <c r="AW16" s="18">
        <f t="shared" si="37"/>
        <v>106.68</v>
      </c>
      <c r="AX16" s="31">
        <f t="shared" si="38"/>
        <v>1474.128968</v>
      </c>
      <c r="AY16" s="31">
        <f t="shared" si="39"/>
        <v>265.05103200000002</v>
      </c>
      <c r="AZ16" s="157">
        <v>1739.18</v>
      </c>
      <c r="BA16" s="37">
        <f t="shared" si="8"/>
        <v>1.4845428571428574</v>
      </c>
      <c r="BB16" s="36">
        <f>[1]BOA!$K16</f>
        <v>700</v>
      </c>
      <c r="BC16" s="31">
        <f t="shared" si="40"/>
        <v>593.31999999999994</v>
      </c>
      <c r="BD16" s="18">
        <f t="shared" si="41"/>
        <v>106.68</v>
      </c>
      <c r="BE16" s="31">
        <f t="shared" si="42"/>
        <v>0</v>
      </c>
      <c r="BF16" s="31">
        <f t="shared" si="43"/>
        <v>0</v>
      </c>
      <c r="BG16" s="33"/>
      <c r="BH16" s="37">
        <f t="shared" si="9"/>
        <v>-1</v>
      </c>
      <c r="BI16" s="36">
        <f>[1]BOA!$L16</f>
        <v>700</v>
      </c>
      <c r="BJ16" s="31">
        <f t="shared" si="44"/>
        <v>593.31999999999994</v>
      </c>
      <c r="BK16" s="18">
        <f t="shared" si="45"/>
        <v>106.68</v>
      </c>
      <c r="BL16" s="31">
        <f t="shared" si="46"/>
        <v>0</v>
      </c>
      <c r="BM16" s="31">
        <f t="shared" si="47"/>
        <v>0</v>
      </c>
      <c r="BN16" s="33"/>
      <c r="BO16" s="37">
        <f t="shared" si="10"/>
        <v>-1</v>
      </c>
      <c r="BP16" s="36">
        <f>[1]BOA!$M16</f>
        <v>700</v>
      </c>
      <c r="BQ16" s="31">
        <f t="shared" si="48"/>
        <v>593.31999999999994</v>
      </c>
      <c r="BR16" s="18">
        <f t="shared" si="49"/>
        <v>106.68</v>
      </c>
      <c r="BS16" s="31">
        <f t="shared" si="50"/>
        <v>0</v>
      </c>
      <c r="BT16" s="31">
        <f t="shared" si="51"/>
        <v>0</v>
      </c>
      <c r="BU16" s="33"/>
      <c r="BV16" s="37">
        <f t="shared" si="11"/>
        <v>-1</v>
      </c>
      <c r="BW16" s="36">
        <f>[1]BOA!$N16</f>
        <v>700</v>
      </c>
      <c r="BX16" s="31">
        <f t="shared" si="52"/>
        <v>593.31999999999994</v>
      </c>
      <c r="BY16" s="18">
        <f t="shared" si="53"/>
        <v>106.68</v>
      </c>
      <c r="BZ16" s="31">
        <f t="shared" si="54"/>
        <v>0</v>
      </c>
      <c r="CA16" s="31">
        <f t="shared" si="55"/>
        <v>0</v>
      </c>
      <c r="CB16" s="33"/>
      <c r="CC16" s="37">
        <f t="shared" si="12"/>
        <v>-1</v>
      </c>
      <c r="CD16" s="36">
        <f>[1]BOA!$O16</f>
        <v>700</v>
      </c>
      <c r="CE16" s="31">
        <f t="shared" si="56"/>
        <v>593.31999999999994</v>
      </c>
      <c r="CF16" s="18">
        <f t="shared" si="57"/>
        <v>106.68</v>
      </c>
      <c r="CG16" s="31">
        <f t="shared" si="58"/>
        <v>0</v>
      </c>
      <c r="CH16" s="31">
        <f t="shared" si="59"/>
        <v>0</v>
      </c>
      <c r="CI16" s="33"/>
      <c r="CJ16" s="37">
        <f t="shared" si="13"/>
        <v>-1</v>
      </c>
      <c r="CK16" s="36">
        <f>[1]BOA!$P16</f>
        <v>700</v>
      </c>
      <c r="CL16" s="31">
        <f t="shared" si="60"/>
        <v>593.31999999999994</v>
      </c>
      <c r="CM16" s="18">
        <f t="shared" si="61"/>
        <v>106.68</v>
      </c>
      <c r="CN16" s="31">
        <f t="shared" si="62"/>
        <v>0</v>
      </c>
      <c r="CO16" s="31">
        <f t="shared" si="63"/>
        <v>0</v>
      </c>
      <c r="CP16" s="33"/>
      <c r="CQ16" s="37">
        <f t="shared" si="14"/>
        <v>-1</v>
      </c>
    </row>
    <row r="17" spans="1:95" s="26" customFormat="1" ht="16" customHeight="1" thickBot="1" x14ac:dyDescent="0.25">
      <c r="A17" s="38" t="s">
        <v>41</v>
      </c>
      <c r="B17" s="30">
        <f t="shared" si="0"/>
        <v>721224</v>
      </c>
      <c r="C17" s="31">
        <f t="shared" si="0"/>
        <v>611309.46239999984</v>
      </c>
      <c r="D17" s="32">
        <f t="shared" si="0"/>
        <v>109914.53760000003</v>
      </c>
      <c r="E17" s="30">
        <f t="shared" si="15"/>
        <v>240408</v>
      </c>
      <c r="F17" s="33">
        <f t="shared" si="15"/>
        <v>203769.82079999999</v>
      </c>
      <c r="G17" s="34">
        <f t="shared" si="15"/>
        <v>36638.179199999999</v>
      </c>
      <c r="H17" s="31">
        <f t="shared" si="1"/>
        <v>392139.690436</v>
      </c>
      <c r="I17" s="33">
        <f t="shared" si="1"/>
        <v>70507.419564000011</v>
      </c>
      <c r="J17" s="33">
        <f t="shared" si="1"/>
        <v>462647.11000000004</v>
      </c>
      <c r="K17" s="37">
        <f t="shared" si="2"/>
        <v>0.92442476955841757</v>
      </c>
      <c r="L17" s="36">
        <f>[1]BOA!$E17</f>
        <v>60102</v>
      </c>
      <c r="M17" s="36">
        <f t="shared" si="16"/>
        <v>50942.455199999997</v>
      </c>
      <c r="N17" s="36">
        <f t="shared" si="17"/>
        <v>9159.5447999999997</v>
      </c>
      <c r="O17" s="36">
        <f t="shared" si="18"/>
        <v>30810.310855999996</v>
      </c>
      <c r="P17" s="36">
        <f t="shared" si="19"/>
        <v>5539.7491440000003</v>
      </c>
      <c r="Q17" s="36">
        <f>36350.06</f>
        <v>36350.06</v>
      </c>
      <c r="R17" s="36">
        <f t="shared" si="3"/>
        <v>-0.39519383714352274</v>
      </c>
      <c r="S17" s="36">
        <f>[1]BOA!$F17</f>
        <v>60102</v>
      </c>
      <c r="T17" s="36">
        <f t="shared" si="20"/>
        <v>50942.455199999997</v>
      </c>
      <c r="U17" s="36">
        <f t="shared" si="21"/>
        <v>9159.5447999999997</v>
      </c>
      <c r="V17" s="36">
        <f t="shared" si="22"/>
        <v>37432.084144</v>
      </c>
      <c r="W17" s="36">
        <f t="shared" si="23"/>
        <v>6730.355856000001</v>
      </c>
      <c r="X17" s="36">
        <v>44162.44</v>
      </c>
      <c r="Y17" s="36">
        <f t="shared" si="4"/>
        <v>-0.26520847891917065</v>
      </c>
      <c r="Z17" s="36">
        <f>[1]BOA!$G17</f>
        <v>60102</v>
      </c>
      <c r="AA17" s="36">
        <f t="shared" si="24"/>
        <v>50942.455199999997</v>
      </c>
      <c r="AB17" s="36">
        <f t="shared" si="25"/>
        <v>9159.5447999999997</v>
      </c>
      <c r="AC17" s="36">
        <f t="shared" si="26"/>
        <v>38743.440008000005</v>
      </c>
      <c r="AD17" s="36">
        <f t="shared" si="27"/>
        <v>6966.1399920000003</v>
      </c>
      <c r="AE17" s="36">
        <v>45709.58</v>
      </c>
      <c r="AF17" s="36">
        <f t="shared" si="5"/>
        <v>-0.23946657349173073</v>
      </c>
      <c r="AG17" s="36">
        <f>[1]BOA!$H17</f>
        <v>60102</v>
      </c>
      <c r="AH17" s="36">
        <f t="shared" si="28"/>
        <v>50942.455199999997</v>
      </c>
      <c r="AI17" s="36">
        <f t="shared" si="29"/>
        <v>9159.5447999999997</v>
      </c>
      <c r="AJ17" s="36">
        <f t="shared" si="30"/>
        <v>101327.562544</v>
      </c>
      <c r="AK17" s="36">
        <f t="shared" si="31"/>
        <v>18218.877456000002</v>
      </c>
      <c r="AL17" s="36">
        <v>119546.44</v>
      </c>
      <c r="AM17" s="36">
        <f t="shared" si="6"/>
        <v>0.9890592659146118</v>
      </c>
      <c r="AN17" s="36">
        <f>[1]BOA!$I17</f>
        <v>60102</v>
      </c>
      <c r="AO17" s="36">
        <f t="shared" si="32"/>
        <v>50942.455199999997</v>
      </c>
      <c r="AP17" s="36">
        <f t="shared" si="33"/>
        <v>9159.5447999999997</v>
      </c>
      <c r="AQ17" s="36">
        <f t="shared" si="34"/>
        <v>83044.305032000004</v>
      </c>
      <c r="AR17" s="36">
        <f t="shared" si="35"/>
        <v>14931.514968000001</v>
      </c>
      <c r="AS17" s="33">
        <v>97975.82</v>
      </c>
      <c r="AT17" s="37">
        <f t="shared" si="7"/>
        <v>0.6301590629263587</v>
      </c>
      <c r="AU17" s="36">
        <f>[1]BOA!$J17</f>
        <v>60102</v>
      </c>
      <c r="AV17" s="31">
        <f t="shared" si="36"/>
        <v>50942.455199999997</v>
      </c>
      <c r="AW17" s="18">
        <f t="shared" si="37"/>
        <v>9159.5447999999997</v>
      </c>
      <c r="AX17" s="31">
        <f t="shared" si="38"/>
        <v>100781.98785200001</v>
      </c>
      <c r="AY17" s="31">
        <f t="shared" si="39"/>
        <v>18120.782148000002</v>
      </c>
      <c r="AZ17" s="157">
        <v>118902.77</v>
      </c>
      <c r="BA17" s="37">
        <f t="shared" si="8"/>
        <v>0.97834963894712335</v>
      </c>
      <c r="BB17" s="36">
        <f>[1]BOA!$K17</f>
        <v>60102</v>
      </c>
      <c r="BC17" s="31">
        <f t="shared" si="40"/>
        <v>50942.455199999997</v>
      </c>
      <c r="BD17" s="18">
        <f t="shared" si="41"/>
        <v>9159.5447999999997</v>
      </c>
      <c r="BE17" s="31">
        <f t="shared" si="42"/>
        <v>0</v>
      </c>
      <c r="BF17" s="31">
        <f t="shared" si="43"/>
        <v>0</v>
      </c>
      <c r="BG17" s="33"/>
      <c r="BH17" s="37">
        <f t="shared" si="9"/>
        <v>-1</v>
      </c>
      <c r="BI17" s="36">
        <f>[1]BOA!$L17</f>
        <v>60102</v>
      </c>
      <c r="BJ17" s="31">
        <f t="shared" si="44"/>
        <v>50942.455199999997</v>
      </c>
      <c r="BK17" s="18">
        <f t="shared" si="45"/>
        <v>9159.5447999999997</v>
      </c>
      <c r="BL17" s="31">
        <f t="shared" si="46"/>
        <v>0</v>
      </c>
      <c r="BM17" s="31">
        <f t="shared" si="47"/>
        <v>0</v>
      </c>
      <c r="BN17" s="33"/>
      <c r="BO17" s="37">
        <f t="shared" si="10"/>
        <v>-1</v>
      </c>
      <c r="BP17" s="36">
        <f>[1]BOA!$M17</f>
        <v>60102</v>
      </c>
      <c r="BQ17" s="31">
        <f t="shared" si="48"/>
        <v>50942.455199999997</v>
      </c>
      <c r="BR17" s="18">
        <f t="shared" si="49"/>
        <v>9159.5447999999997</v>
      </c>
      <c r="BS17" s="31">
        <f t="shared" si="50"/>
        <v>0</v>
      </c>
      <c r="BT17" s="31">
        <f t="shared" si="51"/>
        <v>0</v>
      </c>
      <c r="BU17" s="33"/>
      <c r="BV17" s="37">
        <f t="shared" si="11"/>
        <v>-1</v>
      </c>
      <c r="BW17" s="36">
        <f>[1]BOA!$N17</f>
        <v>60102</v>
      </c>
      <c r="BX17" s="31">
        <f t="shared" si="52"/>
        <v>50942.455199999997</v>
      </c>
      <c r="BY17" s="18">
        <f t="shared" si="53"/>
        <v>9159.5447999999997</v>
      </c>
      <c r="BZ17" s="31">
        <f t="shared" si="54"/>
        <v>0</v>
      </c>
      <c r="CA17" s="31">
        <f t="shared" si="55"/>
        <v>0</v>
      </c>
      <c r="CB17" s="33"/>
      <c r="CC17" s="37">
        <f t="shared" si="12"/>
        <v>-1</v>
      </c>
      <c r="CD17" s="36">
        <f>[1]BOA!$O17</f>
        <v>60102</v>
      </c>
      <c r="CE17" s="31">
        <f t="shared" si="56"/>
        <v>50942.455199999997</v>
      </c>
      <c r="CF17" s="18">
        <f t="shared" si="57"/>
        <v>9159.5447999999997</v>
      </c>
      <c r="CG17" s="31">
        <f t="shared" si="58"/>
        <v>0</v>
      </c>
      <c r="CH17" s="31">
        <f t="shared" si="59"/>
        <v>0</v>
      </c>
      <c r="CI17" s="33"/>
      <c r="CJ17" s="37">
        <f t="shared" si="13"/>
        <v>-1</v>
      </c>
      <c r="CK17" s="36">
        <f>[1]BOA!$P17</f>
        <v>60102</v>
      </c>
      <c r="CL17" s="31">
        <f t="shared" si="60"/>
        <v>50942.455199999997</v>
      </c>
      <c r="CM17" s="18">
        <f t="shared" si="61"/>
        <v>9159.5447999999997</v>
      </c>
      <c r="CN17" s="31">
        <f t="shared" si="62"/>
        <v>0</v>
      </c>
      <c r="CO17" s="31">
        <f t="shared" si="63"/>
        <v>0</v>
      </c>
      <c r="CP17" s="33"/>
      <c r="CQ17" s="37">
        <f t="shared" si="14"/>
        <v>-1</v>
      </c>
    </row>
    <row r="18" spans="1:95" s="26" customFormat="1" ht="16" customHeight="1" thickBot="1" x14ac:dyDescent="0.25">
      <c r="A18" s="38" t="s">
        <v>42</v>
      </c>
      <c r="B18" s="30">
        <f t="shared" si="0"/>
        <v>112083.99999999999</v>
      </c>
      <c r="C18" s="31">
        <f t="shared" si="0"/>
        <v>95002.398400000005</v>
      </c>
      <c r="D18" s="32">
        <f t="shared" si="0"/>
        <v>17081.601600000002</v>
      </c>
      <c r="E18" s="30">
        <f t="shared" si="15"/>
        <v>37361.333333333336</v>
      </c>
      <c r="F18" s="33">
        <f t="shared" si="15"/>
        <v>31667.466133333335</v>
      </c>
      <c r="G18" s="34">
        <f t="shared" si="15"/>
        <v>5693.8672000000006</v>
      </c>
      <c r="H18" s="31">
        <f t="shared" si="1"/>
        <v>71657.163499999995</v>
      </c>
      <c r="I18" s="33">
        <f t="shared" si="1"/>
        <v>12884.086500000001</v>
      </c>
      <c r="J18" s="33">
        <f t="shared" si="1"/>
        <v>84541.250000000015</v>
      </c>
      <c r="K18" s="37">
        <f t="shared" si="2"/>
        <v>1.2628006673566254</v>
      </c>
      <c r="L18" s="36">
        <f>[1]BOA!$E18</f>
        <v>9340.3333333333339</v>
      </c>
      <c r="M18" s="36">
        <f t="shared" si="16"/>
        <v>7916.8665333333338</v>
      </c>
      <c r="N18" s="36">
        <f t="shared" si="17"/>
        <v>1423.4668000000001</v>
      </c>
      <c r="O18" s="36">
        <f t="shared" si="18"/>
        <v>14186.899947999998</v>
      </c>
      <c r="P18" s="36">
        <f t="shared" si="19"/>
        <v>2550.8300520000003</v>
      </c>
      <c r="Q18" s="36">
        <v>16737.73</v>
      </c>
      <c r="R18" s="36">
        <f t="shared" si="3"/>
        <v>0.79198422611612695</v>
      </c>
      <c r="S18" s="36">
        <f>[1]BOA!$F18</f>
        <v>9340.3333333333339</v>
      </c>
      <c r="T18" s="36">
        <f t="shared" si="20"/>
        <v>7916.8665333333338</v>
      </c>
      <c r="U18" s="36">
        <f t="shared" si="21"/>
        <v>1423.4668000000001</v>
      </c>
      <c r="V18" s="36">
        <f t="shared" si="22"/>
        <v>24785.909095999999</v>
      </c>
      <c r="W18" s="36">
        <f t="shared" si="23"/>
        <v>4456.5509039999997</v>
      </c>
      <c r="X18" s="36">
        <v>29242.46</v>
      </c>
      <c r="Y18" s="36">
        <f t="shared" si="4"/>
        <v>2.130772634809607</v>
      </c>
      <c r="Z18" s="36">
        <f>[1]BOA!$G18</f>
        <v>9340.3333333333339</v>
      </c>
      <c r="AA18" s="36">
        <f t="shared" si="24"/>
        <v>7916.8665333333338</v>
      </c>
      <c r="AB18" s="36">
        <f t="shared" si="25"/>
        <v>1423.4668000000001</v>
      </c>
      <c r="AC18" s="36">
        <f t="shared" si="26"/>
        <v>0</v>
      </c>
      <c r="AD18" s="36">
        <f t="shared" si="27"/>
        <v>0</v>
      </c>
      <c r="AE18" s="36"/>
      <c r="AF18" s="36">
        <f t="shared" si="5"/>
        <v>-1</v>
      </c>
      <c r="AG18" s="36">
        <f>[1]BOA!$H18</f>
        <v>9340.3333333333339</v>
      </c>
      <c r="AH18" s="36">
        <f t="shared" si="28"/>
        <v>7916.8665333333338</v>
      </c>
      <c r="AI18" s="36">
        <f t="shared" si="29"/>
        <v>1423.4668000000001</v>
      </c>
      <c r="AJ18" s="36">
        <f t="shared" si="30"/>
        <v>0</v>
      </c>
      <c r="AK18" s="36">
        <f t="shared" si="31"/>
        <v>0</v>
      </c>
      <c r="AL18" s="36"/>
      <c r="AM18" s="36">
        <f t="shared" si="6"/>
        <v>-1</v>
      </c>
      <c r="AN18" s="36">
        <f>[1]BOA!$I18</f>
        <v>9340.3333333333339</v>
      </c>
      <c r="AO18" s="36">
        <f t="shared" si="32"/>
        <v>7916.8665333333338</v>
      </c>
      <c r="AP18" s="36">
        <f t="shared" si="33"/>
        <v>1423.4668000000001</v>
      </c>
      <c r="AQ18" s="36">
        <f t="shared" si="34"/>
        <v>29716.864476000002</v>
      </c>
      <c r="AR18" s="36">
        <f t="shared" si="35"/>
        <v>5343.1455240000005</v>
      </c>
      <c r="AS18" s="33">
        <v>35060.01</v>
      </c>
      <c r="AT18" s="37">
        <f t="shared" si="7"/>
        <v>2.753614432033118</v>
      </c>
      <c r="AU18" s="36">
        <f>[1]BOA!$J18</f>
        <v>9340.3333333333339</v>
      </c>
      <c r="AV18" s="31">
        <f t="shared" si="36"/>
        <v>7916.8665333333338</v>
      </c>
      <c r="AW18" s="18">
        <f t="shared" si="37"/>
        <v>1423.4668000000001</v>
      </c>
      <c r="AX18" s="31">
        <f t="shared" si="38"/>
        <v>2967.4899800000003</v>
      </c>
      <c r="AY18" s="31">
        <f t="shared" si="39"/>
        <v>533.56002000000001</v>
      </c>
      <c r="AZ18" s="157">
        <v>3501.05</v>
      </c>
      <c r="BA18" s="37">
        <f t="shared" si="8"/>
        <v>-0.62516862353235081</v>
      </c>
      <c r="BB18" s="36">
        <f>[1]BOA!$K18</f>
        <v>9340.3333333333339</v>
      </c>
      <c r="BC18" s="31">
        <f t="shared" si="40"/>
        <v>7916.8665333333338</v>
      </c>
      <c r="BD18" s="18">
        <f t="shared" si="41"/>
        <v>1423.4668000000001</v>
      </c>
      <c r="BE18" s="31">
        <f t="shared" si="42"/>
        <v>0</v>
      </c>
      <c r="BF18" s="31">
        <f t="shared" si="43"/>
        <v>0</v>
      </c>
      <c r="BG18" s="33"/>
      <c r="BH18" s="37">
        <f t="shared" si="9"/>
        <v>-1</v>
      </c>
      <c r="BI18" s="36">
        <f>[1]BOA!$L18</f>
        <v>9340.3333333333339</v>
      </c>
      <c r="BJ18" s="31">
        <f t="shared" si="44"/>
        <v>7916.8665333333338</v>
      </c>
      <c r="BK18" s="18">
        <f t="shared" si="45"/>
        <v>1423.4668000000001</v>
      </c>
      <c r="BL18" s="31">
        <f t="shared" si="46"/>
        <v>0</v>
      </c>
      <c r="BM18" s="31">
        <f t="shared" si="47"/>
        <v>0</v>
      </c>
      <c r="BN18" s="33"/>
      <c r="BO18" s="37">
        <f t="shared" si="10"/>
        <v>-1</v>
      </c>
      <c r="BP18" s="36">
        <f>[1]BOA!$M18</f>
        <v>9340.3333333333339</v>
      </c>
      <c r="BQ18" s="31">
        <f t="shared" si="48"/>
        <v>7916.8665333333338</v>
      </c>
      <c r="BR18" s="18">
        <f t="shared" si="49"/>
        <v>1423.4668000000001</v>
      </c>
      <c r="BS18" s="31">
        <f t="shared" si="50"/>
        <v>0</v>
      </c>
      <c r="BT18" s="31">
        <f t="shared" si="51"/>
        <v>0</v>
      </c>
      <c r="BU18" s="33"/>
      <c r="BV18" s="37">
        <f t="shared" si="11"/>
        <v>-1</v>
      </c>
      <c r="BW18" s="36">
        <f>[1]BOA!$N18</f>
        <v>9340.3333333333339</v>
      </c>
      <c r="BX18" s="31">
        <f t="shared" si="52"/>
        <v>7916.8665333333338</v>
      </c>
      <c r="BY18" s="18">
        <f t="shared" si="53"/>
        <v>1423.4668000000001</v>
      </c>
      <c r="BZ18" s="31">
        <f t="shared" si="54"/>
        <v>0</v>
      </c>
      <c r="CA18" s="31">
        <f t="shared" si="55"/>
        <v>0</v>
      </c>
      <c r="CB18" s="33"/>
      <c r="CC18" s="37">
        <f t="shared" si="12"/>
        <v>-1</v>
      </c>
      <c r="CD18" s="36">
        <f>[1]BOA!$O18</f>
        <v>9340.3333333333339</v>
      </c>
      <c r="CE18" s="31">
        <f t="shared" si="56"/>
        <v>7916.8665333333338</v>
      </c>
      <c r="CF18" s="18">
        <f t="shared" si="57"/>
        <v>1423.4668000000001</v>
      </c>
      <c r="CG18" s="31">
        <f t="shared" si="58"/>
        <v>0</v>
      </c>
      <c r="CH18" s="31">
        <f t="shared" si="59"/>
        <v>0</v>
      </c>
      <c r="CI18" s="33"/>
      <c r="CJ18" s="37">
        <f t="shared" si="13"/>
        <v>-1</v>
      </c>
      <c r="CK18" s="36">
        <f>[1]BOA!$P18</f>
        <v>9340.3333333333339</v>
      </c>
      <c r="CL18" s="31">
        <f t="shared" si="60"/>
        <v>7916.8665333333338</v>
      </c>
      <c r="CM18" s="18">
        <f t="shared" si="61"/>
        <v>1423.4668000000001</v>
      </c>
      <c r="CN18" s="31">
        <f t="shared" si="62"/>
        <v>0</v>
      </c>
      <c r="CO18" s="31">
        <f t="shared" si="63"/>
        <v>0</v>
      </c>
      <c r="CP18" s="33"/>
      <c r="CQ18" s="37">
        <f t="shared" si="14"/>
        <v>-1</v>
      </c>
    </row>
    <row r="19" spans="1:95" s="26" customFormat="1" ht="16" customHeight="1" thickBot="1" x14ac:dyDescent="0.25">
      <c r="A19" s="38" t="s">
        <v>43</v>
      </c>
      <c r="B19" s="30">
        <f t="shared" si="0"/>
        <v>35000.000000000007</v>
      </c>
      <c r="C19" s="31">
        <f t="shared" si="0"/>
        <v>29666.000000000004</v>
      </c>
      <c r="D19" s="32">
        <f t="shared" si="0"/>
        <v>5334</v>
      </c>
      <c r="E19" s="30">
        <f t="shared" si="15"/>
        <v>11666.666666666666</v>
      </c>
      <c r="F19" s="33">
        <f t="shared" si="15"/>
        <v>9888.6666666666661</v>
      </c>
      <c r="G19" s="34">
        <f t="shared" si="15"/>
        <v>1778</v>
      </c>
      <c r="H19" s="31">
        <f t="shared" si="1"/>
        <v>15517.072532</v>
      </c>
      <c r="I19" s="33">
        <f t="shared" si="1"/>
        <v>2789.997468</v>
      </c>
      <c r="J19" s="33">
        <f t="shared" si="1"/>
        <v>18307.07</v>
      </c>
      <c r="K19" s="37">
        <f t="shared" si="2"/>
        <v>0.56917742857142861</v>
      </c>
      <c r="L19" s="36">
        <f>[1]BOA!$E19</f>
        <v>2916.6666666666665</v>
      </c>
      <c r="M19" s="36">
        <f t="shared" si="16"/>
        <v>2472.1666666666665</v>
      </c>
      <c r="N19" s="36">
        <f t="shared" si="17"/>
        <v>444.5</v>
      </c>
      <c r="O19" s="36">
        <f t="shared" si="18"/>
        <v>3847.7141039999997</v>
      </c>
      <c r="P19" s="36">
        <f t="shared" si="19"/>
        <v>691.82589600000006</v>
      </c>
      <c r="Q19" s="36">
        <v>4539.54</v>
      </c>
      <c r="R19" s="36">
        <f t="shared" si="3"/>
        <v>0.5564137142857144</v>
      </c>
      <c r="S19" s="36">
        <f>[1]BOA!$F19</f>
        <v>2916.6666666666665</v>
      </c>
      <c r="T19" s="36">
        <f t="shared" si="20"/>
        <v>2472.1666666666665</v>
      </c>
      <c r="U19" s="36">
        <f t="shared" si="21"/>
        <v>444.5</v>
      </c>
      <c r="V19" s="36">
        <f t="shared" si="22"/>
        <v>2110.8545639999998</v>
      </c>
      <c r="W19" s="36">
        <f t="shared" si="23"/>
        <v>379.535436</v>
      </c>
      <c r="X19" s="36">
        <v>2490.39</v>
      </c>
      <c r="Y19" s="36">
        <f t="shared" si="4"/>
        <v>-0.14615199999999995</v>
      </c>
      <c r="Z19" s="36">
        <f>[1]BOA!$G19</f>
        <v>2916.6666666666665</v>
      </c>
      <c r="AA19" s="36">
        <f t="shared" si="24"/>
        <v>2472.1666666666665</v>
      </c>
      <c r="AB19" s="36">
        <f t="shared" si="25"/>
        <v>444.5</v>
      </c>
      <c r="AC19" s="36">
        <f t="shared" si="26"/>
        <v>516.1884</v>
      </c>
      <c r="AD19" s="36">
        <f t="shared" si="27"/>
        <v>92.811599999999999</v>
      </c>
      <c r="AE19" s="36">
        <v>609</v>
      </c>
      <c r="AF19" s="36">
        <f t="shared" si="5"/>
        <v>-0.79120000000000001</v>
      </c>
      <c r="AG19" s="36">
        <f>[1]BOA!$H19</f>
        <v>2916.6666666666665</v>
      </c>
      <c r="AH19" s="36">
        <f t="shared" si="28"/>
        <v>2472.1666666666665</v>
      </c>
      <c r="AI19" s="36">
        <f t="shared" si="29"/>
        <v>444.5</v>
      </c>
      <c r="AJ19" s="36">
        <f t="shared" si="30"/>
        <v>4763.410288</v>
      </c>
      <c r="AK19" s="36">
        <f t="shared" si="31"/>
        <v>856.46971200000007</v>
      </c>
      <c r="AL19" s="36">
        <v>5619.88</v>
      </c>
      <c r="AM19" s="36">
        <f t="shared" si="6"/>
        <v>0.92681600000000008</v>
      </c>
      <c r="AN19" s="36">
        <f>[1]BOA!$I19</f>
        <v>2916.6666666666665</v>
      </c>
      <c r="AO19" s="36">
        <f t="shared" si="32"/>
        <v>2472.1666666666665</v>
      </c>
      <c r="AP19" s="36">
        <f t="shared" si="33"/>
        <v>444.5</v>
      </c>
      <c r="AQ19" s="36">
        <f t="shared" si="34"/>
        <v>2471.143896</v>
      </c>
      <c r="AR19" s="36">
        <f t="shared" si="35"/>
        <v>444.31610400000005</v>
      </c>
      <c r="AS19" s="33">
        <v>2915.46</v>
      </c>
      <c r="AT19" s="37">
        <f t="shared" si="7"/>
        <v>-4.1371428571423952E-4</v>
      </c>
      <c r="AU19" s="36">
        <f>[1]BOA!$J19</f>
        <v>2916.6666666666665</v>
      </c>
      <c r="AV19" s="31">
        <f t="shared" si="36"/>
        <v>2472.1666666666665</v>
      </c>
      <c r="AW19" s="18">
        <f t="shared" si="37"/>
        <v>444.5</v>
      </c>
      <c r="AX19" s="31">
        <f t="shared" si="38"/>
        <v>1807.7612800000002</v>
      </c>
      <c r="AY19" s="31">
        <f t="shared" si="39"/>
        <v>325.03872000000007</v>
      </c>
      <c r="AZ19" s="157">
        <v>2132.8000000000002</v>
      </c>
      <c r="BA19" s="37">
        <f t="shared" si="8"/>
        <v>-0.26875428571428561</v>
      </c>
      <c r="BB19" s="36">
        <f>[1]BOA!$K19</f>
        <v>2916.6666666666665</v>
      </c>
      <c r="BC19" s="31">
        <f t="shared" si="40"/>
        <v>2472.1666666666665</v>
      </c>
      <c r="BD19" s="18">
        <f t="shared" si="41"/>
        <v>444.5</v>
      </c>
      <c r="BE19" s="31">
        <f t="shared" si="42"/>
        <v>0</v>
      </c>
      <c r="BF19" s="31">
        <f t="shared" si="43"/>
        <v>0</v>
      </c>
      <c r="BG19" s="33"/>
      <c r="BH19" s="37">
        <f t="shared" si="9"/>
        <v>-1</v>
      </c>
      <c r="BI19" s="36">
        <f>[1]BOA!$L19</f>
        <v>2916.6666666666665</v>
      </c>
      <c r="BJ19" s="31">
        <f t="shared" si="44"/>
        <v>2472.1666666666665</v>
      </c>
      <c r="BK19" s="18">
        <f t="shared" si="45"/>
        <v>444.5</v>
      </c>
      <c r="BL19" s="31">
        <f t="shared" si="46"/>
        <v>0</v>
      </c>
      <c r="BM19" s="31">
        <f t="shared" si="47"/>
        <v>0</v>
      </c>
      <c r="BN19" s="33"/>
      <c r="BO19" s="37">
        <f t="shared" si="10"/>
        <v>-1</v>
      </c>
      <c r="BP19" s="36">
        <f>[1]BOA!$M19</f>
        <v>2916.6666666666665</v>
      </c>
      <c r="BQ19" s="31">
        <f t="shared" si="48"/>
        <v>2472.1666666666665</v>
      </c>
      <c r="BR19" s="18">
        <f t="shared" si="49"/>
        <v>444.5</v>
      </c>
      <c r="BS19" s="31">
        <f t="shared" si="50"/>
        <v>0</v>
      </c>
      <c r="BT19" s="31">
        <f t="shared" si="51"/>
        <v>0</v>
      </c>
      <c r="BU19" s="33"/>
      <c r="BV19" s="37">
        <f t="shared" si="11"/>
        <v>-1</v>
      </c>
      <c r="BW19" s="36">
        <f>[1]BOA!$N19</f>
        <v>2916.6666666666665</v>
      </c>
      <c r="BX19" s="31">
        <f t="shared" si="52"/>
        <v>2472.1666666666665</v>
      </c>
      <c r="BY19" s="18">
        <f t="shared" si="53"/>
        <v>444.5</v>
      </c>
      <c r="BZ19" s="31">
        <f t="shared" si="54"/>
        <v>0</v>
      </c>
      <c r="CA19" s="31">
        <f t="shared" si="55"/>
        <v>0</v>
      </c>
      <c r="CB19" s="33"/>
      <c r="CC19" s="37">
        <f t="shared" si="12"/>
        <v>-1</v>
      </c>
      <c r="CD19" s="36">
        <f>[1]BOA!$O19</f>
        <v>2916.6666666666665</v>
      </c>
      <c r="CE19" s="31">
        <f t="shared" si="56"/>
        <v>2472.1666666666665</v>
      </c>
      <c r="CF19" s="18">
        <f t="shared" si="57"/>
        <v>444.5</v>
      </c>
      <c r="CG19" s="31">
        <f t="shared" si="58"/>
        <v>0</v>
      </c>
      <c r="CH19" s="31">
        <f t="shared" si="59"/>
        <v>0</v>
      </c>
      <c r="CI19" s="33"/>
      <c r="CJ19" s="37">
        <f t="shared" si="13"/>
        <v>-1</v>
      </c>
      <c r="CK19" s="36">
        <f>[1]BOA!$P19</f>
        <v>2916.6666666666665</v>
      </c>
      <c r="CL19" s="31">
        <f t="shared" si="60"/>
        <v>2472.1666666666665</v>
      </c>
      <c r="CM19" s="18">
        <f t="shared" si="61"/>
        <v>444.5</v>
      </c>
      <c r="CN19" s="31">
        <f t="shared" si="62"/>
        <v>0</v>
      </c>
      <c r="CO19" s="31">
        <f t="shared" si="63"/>
        <v>0</v>
      </c>
      <c r="CP19" s="33"/>
      <c r="CQ19" s="37">
        <f t="shared" si="14"/>
        <v>-1</v>
      </c>
    </row>
    <row r="20" spans="1:95" s="26" customFormat="1" ht="16" customHeight="1" thickBot="1" x14ac:dyDescent="0.25">
      <c r="A20" s="29" t="s">
        <v>44</v>
      </c>
      <c r="B20" s="30">
        <f t="shared" si="0"/>
        <v>1090448.5700571425</v>
      </c>
      <c r="C20" s="31">
        <f t="shared" si="0"/>
        <v>924264.20798043383</v>
      </c>
      <c r="D20" s="32">
        <f t="shared" si="0"/>
        <v>166184.36207670849</v>
      </c>
      <c r="E20" s="30">
        <f t="shared" si="15"/>
        <v>508072.99254857103</v>
      </c>
      <c r="F20" s="33">
        <f t="shared" si="15"/>
        <v>430642.66848416883</v>
      </c>
      <c r="G20" s="34">
        <f t="shared" si="15"/>
        <v>77430.32406440223</v>
      </c>
      <c r="H20" s="31">
        <f t="shared" si="1"/>
        <v>536629.130076</v>
      </c>
      <c r="I20" s="33">
        <f t="shared" si="1"/>
        <v>96486.879924000008</v>
      </c>
      <c r="J20" s="33">
        <f t="shared" si="1"/>
        <v>633116.01</v>
      </c>
      <c r="K20" s="37">
        <f t="shared" si="2"/>
        <v>0.24611230922587368</v>
      </c>
      <c r="L20" s="36">
        <f>[1]BOA!$E20</f>
        <v>0</v>
      </c>
      <c r="M20" s="36">
        <f t="shared" si="16"/>
        <v>0</v>
      </c>
      <c r="N20" s="36">
        <f t="shared" si="17"/>
        <v>0</v>
      </c>
      <c r="O20" s="36">
        <f t="shared" si="18"/>
        <v>19388.256679999999</v>
      </c>
      <c r="P20" s="36">
        <f t="shared" si="19"/>
        <v>3486.0433200000002</v>
      </c>
      <c r="Q20" s="36">
        <v>22874.3</v>
      </c>
      <c r="R20" s="36" t="str">
        <f t="shared" si="3"/>
        <v/>
      </c>
      <c r="S20" s="36">
        <f>[1]BOA!$F20</f>
        <v>0</v>
      </c>
      <c r="T20" s="36">
        <f t="shared" si="20"/>
        <v>0</v>
      </c>
      <c r="U20" s="36">
        <f t="shared" si="21"/>
        <v>0</v>
      </c>
      <c r="V20" s="36">
        <f t="shared" si="22"/>
        <v>3104.7672760000019</v>
      </c>
      <c r="W20" s="36">
        <f t="shared" si="23"/>
        <v>558.24272400000029</v>
      </c>
      <c r="X20" s="36">
        <f>34993.01-31330</f>
        <v>3663.010000000002</v>
      </c>
      <c r="Y20" s="36" t="str">
        <f t="shared" si="4"/>
        <v/>
      </c>
      <c r="Z20" s="36">
        <f>[1]BOA!$G20</f>
        <v>508072.99254857103</v>
      </c>
      <c r="AA20" s="36">
        <f t="shared" si="24"/>
        <v>430642.66848416883</v>
      </c>
      <c r="AB20" s="36">
        <f t="shared" si="25"/>
        <v>77430.32406440223</v>
      </c>
      <c r="AC20" s="36">
        <f t="shared" si="26"/>
        <v>245451.72048799999</v>
      </c>
      <c r="AD20" s="36">
        <f t="shared" si="27"/>
        <v>44132.659512000006</v>
      </c>
      <c r="AE20" s="36">
        <f>289584.38</f>
        <v>289584.38</v>
      </c>
      <c r="AF20" s="36">
        <f t="shared" si="5"/>
        <v>-0.43003390409043207</v>
      </c>
      <c r="AG20" s="36">
        <f>[1]BOA!$H20</f>
        <v>0</v>
      </c>
      <c r="AH20" s="36">
        <f t="shared" si="28"/>
        <v>0</v>
      </c>
      <c r="AI20" s="36">
        <f t="shared" si="29"/>
        <v>0</v>
      </c>
      <c r="AJ20" s="36">
        <f t="shared" si="30"/>
        <v>53304.690971999997</v>
      </c>
      <c r="AK20" s="36">
        <f t="shared" si="31"/>
        <v>9584.2790280000008</v>
      </c>
      <c r="AL20" s="36">
        <f>62888.97</f>
        <v>62888.97</v>
      </c>
      <c r="AM20" s="36" t="str">
        <f t="shared" si="6"/>
        <v/>
      </c>
      <c r="AN20" s="36">
        <f>[1]BOA!$I20</f>
        <v>13140.573119999999</v>
      </c>
      <c r="AO20" s="36">
        <f t="shared" si="32"/>
        <v>11137.949776512</v>
      </c>
      <c r="AP20" s="36">
        <f t="shared" si="33"/>
        <v>2002.623343488</v>
      </c>
      <c r="AQ20" s="36">
        <f t="shared" si="34"/>
        <v>192613.09085199999</v>
      </c>
      <c r="AR20" s="36">
        <f t="shared" si="35"/>
        <v>34632.179148000003</v>
      </c>
      <c r="AS20" s="33">
        <v>227245.27</v>
      </c>
      <c r="AT20" s="37">
        <f t="shared" si="7"/>
        <v>16.293406301596683</v>
      </c>
      <c r="AU20" s="36">
        <f>[1]BOA!$J20</f>
        <v>13140.573119999999</v>
      </c>
      <c r="AV20" s="31">
        <f t="shared" si="36"/>
        <v>11137.949776512</v>
      </c>
      <c r="AW20" s="18">
        <f t="shared" si="37"/>
        <v>2002.623343488</v>
      </c>
      <c r="AX20" s="31">
        <f t="shared" si="38"/>
        <v>22766.603808</v>
      </c>
      <c r="AY20" s="31">
        <f t="shared" si="39"/>
        <v>4093.4761920000005</v>
      </c>
      <c r="AZ20" s="157">
        <v>26860.080000000002</v>
      </c>
      <c r="BA20" s="37">
        <f t="shared" si="8"/>
        <v>1.0440569642368844</v>
      </c>
      <c r="BB20" s="36">
        <f>[1]BOA!$K20</f>
        <v>239828.57311999999</v>
      </c>
      <c r="BC20" s="31">
        <f t="shared" si="40"/>
        <v>203278.69857651199</v>
      </c>
      <c r="BD20" s="18">
        <f t="shared" si="41"/>
        <v>36549.874543487997</v>
      </c>
      <c r="BE20" s="31">
        <f t="shared" si="42"/>
        <v>0</v>
      </c>
      <c r="BF20" s="31">
        <f t="shared" si="43"/>
        <v>0</v>
      </c>
      <c r="BG20" s="33"/>
      <c r="BH20" s="37">
        <f t="shared" si="9"/>
        <v>-1</v>
      </c>
      <c r="BI20" s="36">
        <f>[1]BOA!$L20</f>
        <v>34738.565668571398</v>
      </c>
      <c r="BJ20" s="31">
        <f t="shared" si="44"/>
        <v>29444.408260681117</v>
      </c>
      <c r="BK20" s="18">
        <f t="shared" si="45"/>
        <v>5294.1574078902813</v>
      </c>
      <c r="BL20" s="31">
        <f t="shared" si="46"/>
        <v>0</v>
      </c>
      <c r="BM20" s="31">
        <f t="shared" si="47"/>
        <v>0</v>
      </c>
      <c r="BN20" s="33"/>
      <c r="BO20" s="37">
        <f t="shared" si="10"/>
        <v>-1</v>
      </c>
      <c r="BP20" s="36">
        <f>[1]BOA!$M20</f>
        <v>242105.57311999999</v>
      </c>
      <c r="BQ20" s="31">
        <f t="shared" si="48"/>
        <v>205208.68377651199</v>
      </c>
      <c r="BR20" s="18">
        <f t="shared" si="49"/>
        <v>36896.889343488001</v>
      </c>
      <c r="BS20" s="31">
        <f t="shared" si="50"/>
        <v>0</v>
      </c>
      <c r="BT20" s="31">
        <f t="shared" si="51"/>
        <v>0</v>
      </c>
      <c r="BU20" s="33"/>
      <c r="BV20" s="37">
        <f t="shared" si="11"/>
        <v>-1</v>
      </c>
      <c r="BW20" s="36">
        <f>[1]BOA!$N20</f>
        <v>13140.573119999999</v>
      </c>
      <c r="BX20" s="31">
        <f t="shared" si="52"/>
        <v>11137.949776512</v>
      </c>
      <c r="BY20" s="18">
        <f t="shared" si="53"/>
        <v>2002.623343488</v>
      </c>
      <c r="BZ20" s="31">
        <f t="shared" si="54"/>
        <v>0</v>
      </c>
      <c r="CA20" s="31">
        <f t="shared" si="55"/>
        <v>0</v>
      </c>
      <c r="CB20" s="33"/>
      <c r="CC20" s="37">
        <f t="shared" si="12"/>
        <v>-1</v>
      </c>
      <c r="CD20" s="36">
        <f>[1]BOA!$O20</f>
        <v>13140.573119999999</v>
      </c>
      <c r="CE20" s="31">
        <f t="shared" si="56"/>
        <v>11137.949776512</v>
      </c>
      <c r="CF20" s="18">
        <f t="shared" si="57"/>
        <v>2002.623343488</v>
      </c>
      <c r="CG20" s="31">
        <f t="shared" si="58"/>
        <v>0</v>
      </c>
      <c r="CH20" s="31">
        <f t="shared" si="59"/>
        <v>0</v>
      </c>
      <c r="CI20" s="33"/>
      <c r="CJ20" s="37">
        <f t="shared" si="13"/>
        <v>-1</v>
      </c>
      <c r="CK20" s="36">
        <f>[1]BOA!$P20</f>
        <v>13140.573119999999</v>
      </c>
      <c r="CL20" s="31">
        <f t="shared" si="60"/>
        <v>11137.949776512</v>
      </c>
      <c r="CM20" s="18">
        <f t="shared" si="61"/>
        <v>2002.623343488</v>
      </c>
      <c r="CN20" s="31">
        <f t="shared" si="62"/>
        <v>0</v>
      </c>
      <c r="CO20" s="31">
        <f t="shared" si="63"/>
        <v>0</v>
      </c>
      <c r="CP20" s="33"/>
      <c r="CQ20" s="37">
        <f t="shared" si="14"/>
        <v>-1</v>
      </c>
    </row>
    <row r="21" spans="1:95" s="26" customFormat="1" ht="16" customHeight="1" thickBot="1" x14ac:dyDescent="0.25">
      <c r="A21" s="38" t="s">
        <v>45</v>
      </c>
      <c r="B21" s="30">
        <f t="shared" si="0"/>
        <v>73616.804999999993</v>
      </c>
      <c r="C21" s="31">
        <f t="shared" si="0"/>
        <v>62397.603917999993</v>
      </c>
      <c r="D21" s="32">
        <f t="shared" si="0"/>
        <v>11219.201082</v>
      </c>
      <c r="E21" s="30">
        <f t="shared" si="15"/>
        <v>73616.804999999993</v>
      </c>
      <c r="F21" s="33">
        <f t="shared" si="15"/>
        <v>62397.603917999993</v>
      </c>
      <c r="G21" s="34">
        <f t="shared" si="15"/>
        <v>11219.201082</v>
      </c>
      <c r="H21" s="31">
        <f t="shared" si="1"/>
        <v>28123.367999999999</v>
      </c>
      <c r="I21" s="33">
        <f t="shared" si="1"/>
        <v>5056.6320000000005</v>
      </c>
      <c r="J21" s="33">
        <f t="shared" si="1"/>
        <v>33180</v>
      </c>
      <c r="K21" s="37">
        <f t="shared" si="2"/>
        <v>-0.54928769321080961</v>
      </c>
      <c r="L21" s="36">
        <f>[1]BOA!$E21</f>
        <v>73616.804999999993</v>
      </c>
      <c r="M21" s="36">
        <f t="shared" si="16"/>
        <v>62397.603917999993</v>
      </c>
      <c r="N21" s="36">
        <f t="shared" si="17"/>
        <v>11219.201082</v>
      </c>
      <c r="O21" s="36">
        <f t="shared" si="18"/>
        <v>20161.013599999998</v>
      </c>
      <c r="P21" s="36">
        <f t="shared" si="19"/>
        <v>3624.9864000000002</v>
      </c>
      <c r="Q21" s="36">
        <f>23786</f>
        <v>23786</v>
      </c>
      <c r="R21" s="36">
        <f t="shared" si="3"/>
        <v>-0.6768944264831922</v>
      </c>
      <c r="S21" s="36">
        <f>[1]BOA!$F21</f>
        <v>0</v>
      </c>
      <c r="T21" s="36">
        <f t="shared" si="20"/>
        <v>0</v>
      </c>
      <c r="U21" s="36">
        <f t="shared" si="21"/>
        <v>0</v>
      </c>
      <c r="V21" s="36">
        <f t="shared" si="22"/>
        <v>7962.3544000000002</v>
      </c>
      <c r="W21" s="36">
        <f t="shared" si="23"/>
        <v>1431.6456000000001</v>
      </c>
      <c r="X21" s="36">
        <v>9394</v>
      </c>
      <c r="Y21" s="36" t="str">
        <f t="shared" si="4"/>
        <v/>
      </c>
      <c r="Z21" s="36">
        <f>[1]BOA!$G21</f>
        <v>0</v>
      </c>
      <c r="AA21" s="36">
        <f t="shared" si="24"/>
        <v>0</v>
      </c>
      <c r="AB21" s="36">
        <f t="shared" si="25"/>
        <v>0</v>
      </c>
      <c r="AC21" s="36">
        <f t="shared" si="26"/>
        <v>0</v>
      </c>
      <c r="AD21" s="36">
        <f t="shared" si="27"/>
        <v>0</v>
      </c>
      <c r="AE21" s="36"/>
      <c r="AF21" s="36" t="str">
        <f t="shared" si="5"/>
        <v/>
      </c>
      <c r="AG21" s="36">
        <f>[1]BOA!$H21</f>
        <v>0</v>
      </c>
      <c r="AH21" s="36">
        <f t="shared" si="28"/>
        <v>0</v>
      </c>
      <c r="AI21" s="36">
        <f t="shared" si="29"/>
        <v>0</v>
      </c>
      <c r="AJ21" s="36">
        <f t="shared" si="30"/>
        <v>0</v>
      </c>
      <c r="AK21" s="36">
        <f t="shared" si="31"/>
        <v>0</v>
      </c>
      <c r="AL21" s="36"/>
      <c r="AM21" s="36" t="str">
        <f t="shared" si="6"/>
        <v/>
      </c>
      <c r="AN21" s="36">
        <f>[1]BOA!$I21</f>
        <v>0</v>
      </c>
      <c r="AO21" s="36">
        <f t="shared" si="32"/>
        <v>0</v>
      </c>
      <c r="AP21" s="36">
        <f t="shared" si="33"/>
        <v>0</v>
      </c>
      <c r="AQ21" s="36">
        <f t="shared" si="34"/>
        <v>0</v>
      </c>
      <c r="AR21" s="36">
        <f t="shared" si="35"/>
        <v>0</v>
      </c>
      <c r="AS21" s="33"/>
      <c r="AT21" s="37" t="str">
        <f t="shared" si="7"/>
        <v/>
      </c>
      <c r="AU21" s="36">
        <f>[1]BOA!$J21</f>
        <v>0</v>
      </c>
      <c r="AV21" s="31">
        <f t="shared" si="36"/>
        <v>0</v>
      </c>
      <c r="AW21" s="18">
        <f t="shared" si="37"/>
        <v>0</v>
      </c>
      <c r="AX21" s="31">
        <f t="shared" si="38"/>
        <v>0</v>
      </c>
      <c r="AY21" s="31">
        <f t="shared" si="39"/>
        <v>0</v>
      </c>
      <c r="AZ21" s="157"/>
      <c r="BA21" s="37" t="str">
        <f t="shared" si="8"/>
        <v/>
      </c>
      <c r="BB21" s="36">
        <f>[1]BOA!$K21</f>
        <v>0</v>
      </c>
      <c r="BC21" s="31">
        <f t="shared" si="40"/>
        <v>0</v>
      </c>
      <c r="BD21" s="18">
        <f t="shared" si="41"/>
        <v>0</v>
      </c>
      <c r="BE21" s="31">
        <f t="shared" si="42"/>
        <v>0</v>
      </c>
      <c r="BF21" s="31">
        <f t="shared" si="43"/>
        <v>0</v>
      </c>
      <c r="BG21" s="33"/>
      <c r="BH21" s="37" t="str">
        <f t="shared" si="9"/>
        <v/>
      </c>
      <c r="BI21" s="36">
        <f>[1]BOA!$L21</f>
        <v>0</v>
      </c>
      <c r="BJ21" s="31">
        <f t="shared" si="44"/>
        <v>0</v>
      </c>
      <c r="BK21" s="18">
        <f t="shared" si="45"/>
        <v>0</v>
      </c>
      <c r="BL21" s="31">
        <f t="shared" si="46"/>
        <v>0</v>
      </c>
      <c r="BM21" s="31">
        <f t="shared" si="47"/>
        <v>0</v>
      </c>
      <c r="BN21" s="33"/>
      <c r="BO21" s="37" t="str">
        <f t="shared" si="10"/>
        <v/>
      </c>
      <c r="BP21" s="36">
        <f>[1]BOA!$M21</f>
        <v>0</v>
      </c>
      <c r="BQ21" s="31">
        <f t="shared" si="48"/>
        <v>0</v>
      </c>
      <c r="BR21" s="18">
        <f t="shared" si="49"/>
        <v>0</v>
      </c>
      <c r="BS21" s="31">
        <f t="shared" si="50"/>
        <v>0</v>
      </c>
      <c r="BT21" s="31">
        <f t="shared" si="51"/>
        <v>0</v>
      </c>
      <c r="BU21" s="33"/>
      <c r="BV21" s="37" t="str">
        <f t="shared" si="11"/>
        <v/>
      </c>
      <c r="BW21" s="36">
        <f>[1]BOA!$N21</f>
        <v>0</v>
      </c>
      <c r="BX21" s="31">
        <f t="shared" si="52"/>
        <v>0</v>
      </c>
      <c r="BY21" s="18">
        <f t="shared" si="53"/>
        <v>0</v>
      </c>
      <c r="BZ21" s="31">
        <f t="shared" si="54"/>
        <v>0</v>
      </c>
      <c r="CA21" s="31">
        <f t="shared" si="55"/>
        <v>0</v>
      </c>
      <c r="CB21" s="33"/>
      <c r="CC21" s="37" t="str">
        <f t="shared" si="12"/>
        <v/>
      </c>
      <c r="CD21" s="36">
        <f>[1]BOA!$O21</f>
        <v>0</v>
      </c>
      <c r="CE21" s="31">
        <f t="shared" si="56"/>
        <v>0</v>
      </c>
      <c r="CF21" s="18">
        <f t="shared" si="57"/>
        <v>0</v>
      </c>
      <c r="CG21" s="31">
        <f t="shared" si="58"/>
        <v>0</v>
      </c>
      <c r="CH21" s="31">
        <f t="shared" si="59"/>
        <v>0</v>
      </c>
      <c r="CI21" s="33"/>
      <c r="CJ21" s="37" t="str">
        <f t="shared" si="13"/>
        <v/>
      </c>
      <c r="CK21" s="36">
        <f>[1]BOA!$P21</f>
        <v>0</v>
      </c>
      <c r="CL21" s="31">
        <f t="shared" si="60"/>
        <v>0</v>
      </c>
      <c r="CM21" s="18">
        <f t="shared" si="61"/>
        <v>0</v>
      </c>
      <c r="CN21" s="31">
        <f t="shared" si="62"/>
        <v>0</v>
      </c>
      <c r="CO21" s="31">
        <f t="shared" si="63"/>
        <v>0</v>
      </c>
      <c r="CP21" s="33"/>
      <c r="CQ21" s="37" t="str">
        <f t="shared" si="14"/>
        <v/>
      </c>
    </row>
    <row r="22" spans="1:95" s="26" customFormat="1" ht="16" customHeight="1" thickBot="1" x14ac:dyDescent="0.25">
      <c r="A22" s="38" t="s">
        <v>46</v>
      </c>
      <c r="B22" s="30">
        <f t="shared" si="0"/>
        <v>332784.1919999987</v>
      </c>
      <c r="C22" s="31">
        <f t="shared" si="0"/>
        <v>282067.88113919896</v>
      </c>
      <c r="D22" s="32">
        <f t="shared" si="0"/>
        <v>50716.310860799822</v>
      </c>
      <c r="E22" s="30">
        <f t="shared" si="15"/>
        <v>110928.06399999961</v>
      </c>
      <c r="F22" s="33">
        <f t="shared" si="15"/>
        <v>94022.627046399663</v>
      </c>
      <c r="G22" s="34">
        <f t="shared" si="15"/>
        <v>16905.436953599939</v>
      </c>
      <c r="H22" s="31">
        <f t="shared" si="1"/>
        <v>127932.60771200001</v>
      </c>
      <c r="I22" s="33">
        <f t="shared" si="1"/>
        <v>23002.512287999998</v>
      </c>
      <c r="J22" s="33">
        <f t="shared" si="1"/>
        <v>150935.12</v>
      </c>
      <c r="K22" s="37">
        <f t="shared" si="2"/>
        <v>0.36065766008501265</v>
      </c>
      <c r="L22" s="36">
        <f>[1]BOA!$E22</f>
        <v>27732.015999999901</v>
      </c>
      <c r="M22" s="36">
        <f t="shared" si="16"/>
        <v>23505.656761599916</v>
      </c>
      <c r="N22" s="36">
        <f t="shared" si="17"/>
        <v>4226.3592383999849</v>
      </c>
      <c r="O22" s="36">
        <f t="shared" si="18"/>
        <v>31792.891155999998</v>
      </c>
      <c r="P22" s="36">
        <f t="shared" si="19"/>
        <v>5716.4188439999998</v>
      </c>
      <c r="Q22" s="36">
        <f>25289.31+12220</f>
        <v>37509.31</v>
      </c>
      <c r="R22" s="36">
        <f t="shared" si="3"/>
        <v>0.35256340541560816</v>
      </c>
      <c r="S22" s="36">
        <f>[1]BOA!$F22</f>
        <v>27732.015999999901</v>
      </c>
      <c r="T22" s="36">
        <f t="shared" si="20"/>
        <v>23505.656761599916</v>
      </c>
      <c r="U22" s="36">
        <f t="shared" si="21"/>
        <v>4226.3592383999849</v>
      </c>
      <c r="V22" s="36">
        <f t="shared" si="22"/>
        <v>53374.516259999997</v>
      </c>
      <c r="W22" s="36">
        <f t="shared" si="23"/>
        <v>9596.83374</v>
      </c>
      <c r="X22" s="36">
        <f>31641.35+31330</f>
        <v>62971.35</v>
      </c>
      <c r="Y22" s="36">
        <f t="shared" si="4"/>
        <v>1.2707094211975147</v>
      </c>
      <c r="Z22" s="36">
        <f>[1]BOA!$G22</f>
        <v>27732.015999999901</v>
      </c>
      <c r="AA22" s="36">
        <f t="shared" si="24"/>
        <v>23505.656761599916</v>
      </c>
      <c r="AB22" s="36">
        <f t="shared" si="25"/>
        <v>4226.3592383999849</v>
      </c>
      <c r="AC22" s="36">
        <f t="shared" si="26"/>
        <v>10458.36688</v>
      </c>
      <c r="AD22" s="36">
        <f t="shared" si="27"/>
        <v>1880.4331199999999</v>
      </c>
      <c r="AE22" s="36">
        <f>12338.8</f>
        <v>12338.8</v>
      </c>
      <c r="AF22" s="36">
        <f t="shared" si="5"/>
        <v>-0.55507021198891415</v>
      </c>
      <c r="AG22" s="36">
        <f>[1]BOA!$H22</f>
        <v>27732.015999999901</v>
      </c>
      <c r="AH22" s="36">
        <f t="shared" si="28"/>
        <v>23505.656761599916</v>
      </c>
      <c r="AI22" s="36">
        <f t="shared" si="29"/>
        <v>4226.3592383999849</v>
      </c>
      <c r="AJ22" s="36">
        <f t="shared" si="30"/>
        <v>7319.3311360000007</v>
      </c>
      <c r="AK22" s="36">
        <f t="shared" si="31"/>
        <v>1316.0288640000001</v>
      </c>
      <c r="AL22" s="36">
        <f>8634.76+0.6</f>
        <v>8635.36</v>
      </c>
      <c r="AM22" s="36">
        <f t="shared" si="6"/>
        <v>-0.6886140553214728</v>
      </c>
      <c r="AN22" s="36">
        <f>[1]BOA!$I22</f>
        <v>27732.015999999901</v>
      </c>
      <c r="AO22" s="36">
        <f t="shared" si="32"/>
        <v>23505.656761599916</v>
      </c>
      <c r="AP22" s="36">
        <f t="shared" si="33"/>
        <v>4226.3592383999849</v>
      </c>
      <c r="AQ22" s="36">
        <f t="shared" si="34"/>
        <v>16175.013556000002</v>
      </c>
      <c r="AR22" s="36">
        <f t="shared" si="35"/>
        <v>2908.2964440000005</v>
      </c>
      <c r="AS22" s="33">
        <v>19083.310000000001</v>
      </c>
      <c r="AT22" s="37">
        <f t="shared" si="7"/>
        <v>-0.31186719349938108</v>
      </c>
      <c r="AU22" s="36">
        <f>[1]BOA!$J22</f>
        <v>27732.015999999901</v>
      </c>
      <c r="AV22" s="31">
        <f t="shared" si="36"/>
        <v>23505.656761599916</v>
      </c>
      <c r="AW22" s="18">
        <f t="shared" si="37"/>
        <v>4226.3592383999849</v>
      </c>
      <c r="AX22" s="31">
        <f t="shared" si="38"/>
        <v>8812.4887239999989</v>
      </c>
      <c r="AY22" s="31">
        <f t="shared" si="39"/>
        <v>1584.501276</v>
      </c>
      <c r="AZ22" s="157">
        <v>10396.99</v>
      </c>
      <c r="BA22" s="37">
        <f t="shared" si="8"/>
        <v>-0.62509072546330435</v>
      </c>
      <c r="BB22" s="36">
        <f>[1]BOA!$K22</f>
        <v>27732.015999999901</v>
      </c>
      <c r="BC22" s="31">
        <f t="shared" si="40"/>
        <v>23505.656761599916</v>
      </c>
      <c r="BD22" s="18">
        <f t="shared" si="41"/>
        <v>4226.3592383999849</v>
      </c>
      <c r="BE22" s="31">
        <f t="shared" si="42"/>
        <v>0</v>
      </c>
      <c r="BF22" s="31">
        <f t="shared" si="43"/>
        <v>0</v>
      </c>
      <c r="BG22" s="33"/>
      <c r="BH22" s="37">
        <f t="shared" si="9"/>
        <v>-1</v>
      </c>
      <c r="BI22" s="36">
        <f>[1]BOA!$L22</f>
        <v>27732.015999999901</v>
      </c>
      <c r="BJ22" s="31">
        <f t="shared" si="44"/>
        <v>23505.656761599916</v>
      </c>
      <c r="BK22" s="18">
        <f t="shared" si="45"/>
        <v>4226.3592383999849</v>
      </c>
      <c r="BL22" s="31">
        <f t="shared" si="46"/>
        <v>0</v>
      </c>
      <c r="BM22" s="31">
        <f t="shared" si="47"/>
        <v>0</v>
      </c>
      <c r="BN22" s="33"/>
      <c r="BO22" s="37">
        <f t="shared" si="10"/>
        <v>-1</v>
      </c>
      <c r="BP22" s="36">
        <f>[1]BOA!$M22</f>
        <v>27732.015999999901</v>
      </c>
      <c r="BQ22" s="31">
        <f t="shared" si="48"/>
        <v>23505.656761599916</v>
      </c>
      <c r="BR22" s="18">
        <f t="shared" si="49"/>
        <v>4226.3592383999849</v>
      </c>
      <c r="BS22" s="31">
        <f t="shared" si="50"/>
        <v>0</v>
      </c>
      <c r="BT22" s="31">
        <f t="shared" si="51"/>
        <v>0</v>
      </c>
      <c r="BU22" s="33"/>
      <c r="BV22" s="37">
        <f t="shared" si="11"/>
        <v>-1</v>
      </c>
      <c r="BW22" s="36">
        <f>[1]BOA!$N22</f>
        <v>27732.015999999901</v>
      </c>
      <c r="BX22" s="31">
        <f t="shared" si="52"/>
        <v>23505.656761599916</v>
      </c>
      <c r="BY22" s="18">
        <f t="shared" si="53"/>
        <v>4226.3592383999849</v>
      </c>
      <c r="BZ22" s="31">
        <f t="shared" si="54"/>
        <v>0</v>
      </c>
      <c r="CA22" s="31">
        <f t="shared" si="55"/>
        <v>0</v>
      </c>
      <c r="CB22" s="33"/>
      <c r="CC22" s="37">
        <f t="shared" si="12"/>
        <v>-1</v>
      </c>
      <c r="CD22" s="36">
        <f>[1]BOA!$O22</f>
        <v>27732.015999999901</v>
      </c>
      <c r="CE22" s="31">
        <f t="shared" si="56"/>
        <v>23505.656761599916</v>
      </c>
      <c r="CF22" s="18">
        <f t="shared" si="57"/>
        <v>4226.3592383999849</v>
      </c>
      <c r="CG22" s="31">
        <f t="shared" si="58"/>
        <v>0</v>
      </c>
      <c r="CH22" s="31">
        <f t="shared" si="59"/>
        <v>0</v>
      </c>
      <c r="CI22" s="33"/>
      <c r="CJ22" s="37">
        <f t="shared" si="13"/>
        <v>-1</v>
      </c>
      <c r="CK22" s="36">
        <f>[1]BOA!$P22</f>
        <v>27732.015999999901</v>
      </c>
      <c r="CL22" s="31">
        <f t="shared" si="60"/>
        <v>23505.656761599916</v>
      </c>
      <c r="CM22" s="18">
        <f t="shared" si="61"/>
        <v>4226.3592383999849</v>
      </c>
      <c r="CN22" s="31">
        <f t="shared" si="62"/>
        <v>0</v>
      </c>
      <c r="CO22" s="31">
        <f t="shared" si="63"/>
        <v>0</v>
      </c>
      <c r="CP22" s="33"/>
      <c r="CQ22" s="37">
        <f t="shared" si="14"/>
        <v>-1</v>
      </c>
    </row>
    <row r="23" spans="1:95" s="26" customFormat="1" ht="16" customHeight="1" thickBot="1" x14ac:dyDescent="0.25">
      <c r="A23" s="29" t="s">
        <v>47</v>
      </c>
      <c r="B23" s="30">
        <f t="shared" si="0"/>
        <v>0</v>
      </c>
      <c r="C23" s="31">
        <f t="shared" si="0"/>
        <v>0</v>
      </c>
      <c r="D23" s="32">
        <f t="shared" si="0"/>
        <v>0</v>
      </c>
      <c r="E23" s="30">
        <f t="shared" si="15"/>
        <v>0</v>
      </c>
      <c r="F23" s="33">
        <f t="shared" si="15"/>
        <v>0</v>
      </c>
      <c r="G23" s="34">
        <f t="shared" si="15"/>
        <v>0</v>
      </c>
      <c r="H23" s="31">
        <f t="shared" si="1"/>
        <v>0</v>
      </c>
      <c r="I23" s="33">
        <f t="shared" si="1"/>
        <v>0</v>
      </c>
      <c r="J23" s="33">
        <f t="shared" si="1"/>
        <v>0</v>
      </c>
      <c r="K23" s="37" t="str">
        <f t="shared" si="2"/>
        <v/>
      </c>
      <c r="L23" s="36">
        <f>[1]BOA!$E23</f>
        <v>0</v>
      </c>
      <c r="M23" s="36">
        <f t="shared" si="16"/>
        <v>0</v>
      </c>
      <c r="N23" s="36">
        <f t="shared" si="17"/>
        <v>0</v>
      </c>
      <c r="O23" s="36">
        <f t="shared" si="18"/>
        <v>0</v>
      </c>
      <c r="P23" s="36">
        <f t="shared" si="19"/>
        <v>0</v>
      </c>
      <c r="Q23" s="36"/>
      <c r="R23" s="36" t="str">
        <f t="shared" si="3"/>
        <v/>
      </c>
      <c r="S23" s="36">
        <f>[1]BOA!$F23</f>
        <v>0</v>
      </c>
      <c r="T23" s="36">
        <f t="shared" si="20"/>
        <v>0</v>
      </c>
      <c r="U23" s="36">
        <f t="shared" si="21"/>
        <v>0</v>
      </c>
      <c r="V23" s="36">
        <f t="shared" si="22"/>
        <v>0</v>
      </c>
      <c r="W23" s="36">
        <f t="shared" si="23"/>
        <v>0</v>
      </c>
      <c r="X23" s="36"/>
      <c r="Y23" s="36" t="str">
        <f t="shared" si="4"/>
        <v/>
      </c>
      <c r="Z23" s="36">
        <f>[1]BOA!$G23</f>
        <v>0</v>
      </c>
      <c r="AA23" s="36">
        <f t="shared" si="24"/>
        <v>0</v>
      </c>
      <c r="AB23" s="36">
        <f t="shared" si="25"/>
        <v>0</v>
      </c>
      <c r="AC23" s="36">
        <f t="shared" si="26"/>
        <v>0</v>
      </c>
      <c r="AD23" s="36">
        <f t="shared" si="27"/>
        <v>0</v>
      </c>
      <c r="AE23" s="36"/>
      <c r="AF23" s="36" t="str">
        <f t="shared" si="5"/>
        <v/>
      </c>
      <c r="AG23" s="36">
        <f>[1]BOA!$H23</f>
        <v>0</v>
      </c>
      <c r="AH23" s="36">
        <f t="shared" si="28"/>
        <v>0</v>
      </c>
      <c r="AI23" s="36">
        <f t="shared" si="29"/>
        <v>0</v>
      </c>
      <c r="AJ23" s="36">
        <f t="shared" si="30"/>
        <v>0</v>
      </c>
      <c r="AK23" s="36">
        <f t="shared" si="31"/>
        <v>0</v>
      </c>
      <c r="AL23" s="36"/>
      <c r="AM23" s="36" t="str">
        <f t="shared" si="6"/>
        <v/>
      </c>
      <c r="AN23" s="36">
        <f>[1]BOA!$I23</f>
        <v>0</v>
      </c>
      <c r="AO23" s="36">
        <f t="shared" si="32"/>
        <v>0</v>
      </c>
      <c r="AP23" s="36">
        <f t="shared" si="33"/>
        <v>0</v>
      </c>
      <c r="AQ23" s="36">
        <f t="shared" si="34"/>
        <v>0</v>
      </c>
      <c r="AR23" s="36">
        <f t="shared" si="35"/>
        <v>0</v>
      </c>
      <c r="AS23" s="33"/>
      <c r="AT23" s="37" t="str">
        <f t="shared" si="7"/>
        <v/>
      </c>
      <c r="AU23" s="36">
        <f>[1]BOA!$J23</f>
        <v>0</v>
      </c>
      <c r="AV23" s="31">
        <f t="shared" si="36"/>
        <v>0</v>
      </c>
      <c r="AW23" s="18">
        <f t="shared" si="37"/>
        <v>0</v>
      </c>
      <c r="AX23" s="31">
        <f t="shared" si="38"/>
        <v>0</v>
      </c>
      <c r="AY23" s="31">
        <f t="shared" si="39"/>
        <v>0</v>
      </c>
      <c r="AZ23" s="157"/>
      <c r="BA23" s="37" t="str">
        <f t="shared" si="8"/>
        <v/>
      </c>
      <c r="BB23" s="36">
        <f>[1]BOA!$K23</f>
        <v>0</v>
      </c>
      <c r="BC23" s="31">
        <f t="shared" si="40"/>
        <v>0</v>
      </c>
      <c r="BD23" s="18">
        <f t="shared" si="41"/>
        <v>0</v>
      </c>
      <c r="BE23" s="31">
        <f t="shared" si="42"/>
        <v>0</v>
      </c>
      <c r="BF23" s="31">
        <f t="shared" si="43"/>
        <v>0</v>
      </c>
      <c r="BG23" s="33"/>
      <c r="BH23" s="37" t="str">
        <f t="shared" si="9"/>
        <v/>
      </c>
      <c r="BI23" s="36">
        <f>[1]BOA!$L23</f>
        <v>0</v>
      </c>
      <c r="BJ23" s="31">
        <f t="shared" si="44"/>
        <v>0</v>
      </c>
      <c r="BK23" s="18">
        <f t="shared" si="45"/>
        <v>0</v>
      </c>
      <c r="BL23" s="31">
        <f t="shared" si="46"/>
        <v>0</v>
      </c>
      <c r="BM23" s="31">
        <f t="shared" si="47"/>
        <v>0</v>
      </c>
      <c r="BN23" s="33"/>
      <c r="BO23" s="37" t="str">
        <f t="shared" si="10"/>
        <v/>
      </c>
      <c r="BP23" s="36">
        <f>[1]BOA!$M23</f>
        <v>0</v>
      </c>
      <c r="BQ23" s="31">
        <f t="shared" si="48"/>
        <v>0</v>
      </c>
      <c r="BR23" s="18">
        <f t="shared" si="49"/>
        <v>0</v>
      </c>
      <c r="BS23" s="31">
        <f t="shared" si="50"/>
        <v>0</v>
      </c>
      <c r="BT23" s="31">
        <f t="shared" si="51"/>
        <v>0</v>
      </c>
      <c r="BU23" s="33"/>
      <c r="BV23" s="37" t="str">
        <f t="shared" si="11"/>
        <v/>
      </c>
      <c r="BW23" s="36">
        <f>[1]BOA!$N23</f>
        <v>0</v>
      </c>
      <c r="BX23" s="31">
        <f t="shared" si="52"/>
        <v>0</v>
      </c>
      <c r="BY23" s="18">
        <f t="shared" si="53"/>
        <v>0</v>
      </c>
      <c r="BZ23" s="31">
        <f t="shared" si="54"/>
        <v>0</v>
      </c>
      <c r="CA23" s="31">
        <f t="shared" si="55"/>
        <v>0</v>
      </c>
      <c r="CB23" s="33"/>
      <c r="CC23" s="37" t="str">
        <f t="shared" si="12"/>
        <v/>
      </c>
      <c r="CD23" s="36">
        <f>[1]BOA!$O23</f>
        <v>0</v>
      </c>
      <c r="CE23" s="31">
        <f t="shared" si="56"/>
        <v>0</v>
      </c>
      <c r="CF23" s="18">
        <f t="shared" si="57"/>
        <v>0</v>
      </c>
      <c r="CG23" s="31">
        <f t="shared" si="58"/>
        <v>0</v>
      </c>
      <c r="CH23" s="31">
        <f t="shared" si="59"/>
        <v>0</v>
      </c>
      <c r="CI23" s="33"/>
      <c r="CJ23" s="37" t="str">
        <f t="shared" si="13"/>
        <v/>
      </c>
      <c r="CK23" s="36">
        <f>[1]BOA!$P23</f>
        <v>0</v>
      </c>
      <c r="CL23" s="31">
        <f t="shared" si="60"/>
        <v>0</v>
      </c>
      <c r="CM23" s="18">
        <f t="shared" si="61"/>
        <v>0</v>
      </c>
      <c r="CN23" s="31">
        <f t="shared" si="62"/>
        <v>0</v>
      </c>
      <c r="CO23" s="31">
        <f t="shared" si="63"/>
        <v>0</v>
      </c>
      <c r="CP23" s="33"/>
      <c r="CQ23" s="37" t="str">
        <f t="shared" si="14"/>
        <v/>
      </c>
    </row>
    <row r="24" spans="1:95" s="26" customFormat="1" ht="16" customHeight="1" thickBot="1" x14ac:dyDescent="0.25">
      <c r="A24" s="29" t="s">
        <v>48</v>
      </c>
      <c r="B24" s="30">
        <f t="shared" si="0"/>
        <v>289208.05539010919</v>
      </c>
      <c r="C24" s="31">
        <f t="shared" si="0"/>
        <v>245132.74774865666</v>
      </c>
      <c r="D24" s="32">
        <f t="shared" si="0"/>
        <v>44075.307641452651</v>
      </c>
      <c r="E24" s="30">
        <f t="shared" si="15"/>
        <v>97818.97628907641</v>
      </c>
      <c r="F24" s="33">
        <f t="shared" si="15"/>
        <v>82911.364302621165</v>
      </c>
      <c r="G24" s="34">
        <f t="shared" si="15"/>
        <v>14907.611986455246</v>
      </c>
      <c r="H24" s="31">
        <f t="shared" si="1"/>
        <v>120347.83368400001</v>
      </c>
      <c r="I24" s="33">
        <f t="shared" si="1"/>
        <v>21638.756315999999</v>
      </c>
      <c r="J24" s="33">
        <f t="shared" si="1"/>
        <v>141986.59000000003</v>
      </c>
      <c r="K24" s="37">
        <f t="shared" si="2"/>
        <v>0.45152398222200452</v>
      </c>
      <c r="L24" s="36">
        <f>[1]BOA!$E24</f>
        <v>24454.744072269103</v>
      </c>
      <c r="M24" s="36">
        <f t="shared" si="16"/>
        <v>20727.841075655291</v>
      </c>
      <c r="N24" s="36">
        <f t="shared" si="17"/>
        <v>3726.9029966138114</v>
      </c>
      <c r="O24" s="36">
        <f t="shared" si="18"/>
        <v>26826.717995999999</v>
      </c>
      <c r="P24" s="36">
        <f t="shared" si="19"/>
        <v>4823.4920039999997</v>
      </c>
      <c r="Q24" s="36">
        <f>31650.21</f>
        <v>31650.21</v>
      </c>
      <c r="R24" s="36">
        <f t="shared" si="3"/>
        <v>0.29423599390231714</v>
      </c>
      <c r="S24" s="36">
        <f>[1]BOA!$F24</f>
        <v>24454.744072269103</v>
      </c>
      <c r="T24" s="36">
        <f t="shared" si="20"/>
        <v>20727.841075655291</v>
      </c>
      <c r="U24" s="36">
        <f t="shared" si="21"/>
        <v>3726.9029966138114</v>
      </c>
      <c r="V24" s="36">
        <f t="shared" si="22"/>
        <v>45940.920167999997</v>
      </c>
      <c r="W24" s="36">
        <f t="shared" si="23"/>
        <v>8260.2598319999997</v>
      </c>
      <c r="X24" s="36">
        <v>54201.18</v>
      </c>
      <c r="Y24" s="36">
        <f t="shared" si="4"/>
        <v>1.2163871288050978</v>
      </c>
      <c r="Z24" s="36">
        <f>[1]BOA!$G24</f>
        <v>24454.744072269103</v>
      </c>
      <c r="AA24" s="36">
        <f t="shared" si="24"/>
        <v>20727.841075655291</v>
      </c>
      <c r="AB24" s="36">
        <f t="shared" si="25"/>
        <v>3726.9029966138114</v>
      </c>
      <c r="AC24" s="36">
        <f t="shared" si="26"/>
        <v>3041.3244159999999</v>
      </c>
      <c r="AD24" s="36">
        <f t="shared" si="27"/>
        <v>546.83558400000004</v>
      </c>
      <c r="AE24" s="36">
        <v>3588.16</v>
      </c>
      <c r="AF24" s="36">
        <f t="shared" si="5"/>
        <v>-0.8532734593583885</v>
      </c>
      <c r="AG24" s="36">
        <f>[1]BOA!$H24</f>
        <v>24454.744072269103</v>
      </c>
      <c r="AH24" s="36">
        <f t="shared" si="28"/>
        <v>20727.841075655291</v>
      </c>
      <c r="AI24" s="36">
        <f t="shared" si="29"/>
        <v>3726.9029966138114</v>
      </c>
      <c r="AJ24" s="36">
        <f t="shared" si="30"/>
        <v>18350.243340000001</v>
      </c>
      <c r="AK24" s="36">
        <f t="shared" si="31"/>
        <v>3299.4066600000006</v>
      </c>
      <c r="AL24" s="36">
        <v>21649.65</v>
      </c>
      <c r="AM24" s="36">
        <f t="shared" si="6"/>
        <v>-0.11470551742350832</v>
      </c>
      <c r="AN24" s="36">
        <f>[1]BOA!$I24</f>
        <v>24454.744072269103</v>
      </c>
      <c r="AO24" s="36">
        <f t="shared" si="32"/>
        <v>20727.841075655291</v>
      </c>
      <c r="AP24" s="36">
        <f t="shared" si="33"/>
        <v>3726.9029966138114</v>
      </c>
      <c r="AQ24" s="36">
        <f t="shared" si="34"/>
        <v>1453.5831440000002</v>
      </c>
      <c r="AR24" s="36">
        <f t="shared" si="35"/>
        <v>261.35685599999999</v>
      </c>
      <c r="AS24" s="33">
        <v>1714.94</v>
      </c>
      <c r="AT24" s="37">
        <f t="shared" si="7"/>
        <v>-0.92987291157364071</v>
      </c>
      <c r="AU24" s="36">
        <f>[1]BOA!$J24</f>
        <v>24454.744072269103</v>
      </c>
      <c r="AV24" s="31">
        <f t="shared" si="36"/>
        <v>20727.841075655291</v>
      </c>
      <c r="AW24" s="18">
        <f t="shared" si="37"/>
        <v>3726.9029966138114</v>
      </c>
      <c r="AX24" s="31">
        <f t="shared" si="38"/>
        <v>24735.044620000001</v>
      </c>
      <c r="AY24" s="31">
        <f t="shared" si="39"/>
        <v>4447.4053800000002</v>
      </c>
      <c r="AZ24" s="157">
        <v>29182.45</v>
      </c>
      <c r="BA24" s="37">
        <f t="shared" si="8"/>
        <v>0.19332469453613976</v>
      </c>
      <c r="BB24" s="36">
        <f>[1]BOA!$K24</f>
        <v>20205.870595149099</v>
      </c>
      <c r="BC24" s="31">
        <f t="shared" si="40"/>
        <v>17126.495916448377</v>
      </c>
      <c r="BD24" s="18">
        <f t="shared" si="41"/>
        <v>3079.3746787007231</v>
      </c>
      <c r="BE24" s="31">
        <f t="shared" si="42"/>
        <v>0</v>
      </c>
      <c r="BF24" s="31">
        <f t="shared" si="43"/>
        <v>0</v>
      </c>
      <c r="BG24" s="33"/>
      <c r="BH24" s="37">
        <f t="shared" si="9"/>
        <v>-1</v>
      </c>
      <c r="BI24" s="36">
        <f>[1]BOA!$L24</f>
        <v>24454.744072269103</v>
      </c>
      <c r="BJ24" s="31">
        <f t="shared" si="44"/>
        <v>20727.841075655291</v>
      </c>
      <c r="BK24" s="18">
        <f t="shared" si="45"/>
        <v>3726.9029966138114</v>
      </c>
      <c r="BL24" s="31">
        <f t="shared" si="46"/>
        <v>0</v>
      </c>
      <c r="BM24" s="31">
        <f t="shared" si="47"/>
        <v>0</v>
      </c>
      <c r="BN24" s="33"/>
      <c r="BO24" s="37">
        <f t="shared" si="10"/>
        <v>-1</v>
      </c>
      <c r="BP24" s="36">
        <f>[1]BOA!$M24</f>
        <v>24454.744072269103</v>
      </c>
      <c r="BQ24" s="31">
        <f t="shared" si="48"/>
        <v>20727.841075655291</v>
      </c>
      <c r="BR24" s="18">
        <f t="shared" si="49"/>
        <v>3726.9029966138114</v>
      </c>
      <c r="BS24" s="31">
        <f t="shared" si="50"/>
        <v>0</v>
      </c>
      <c r="BT24" s="31">
        <f t="shared" si="51"/>
        <v>0</v>
      </c>
      <c r="BU24" s="33"/>
      <c r="BV24" s="37">
        <f t="shared" si="11"/>
        <v>-1</v>
      </c>
      <c r="BW24" s="36">
        <f>[1]BOA!$N24</f>
        <v>24454.744072269103</v>
      </c>
      <c r="BX24" s="31">
        <f t="shared" si="52"/>
        <v>20727.841075655291</v>
      </c>
      <c r="BY24" s="18">
        <f t="shared" si="53"/>
        <v>3726.9029966138114</v>
      </c>
      <c r="BZ24" s="31">
        <f t="shared" si="54"/>
        <v>0</v>
      </c>
      <c r="CA24" s="31">
        <f t="shared" si="55"/>
        <v>0</v>
      </c>
      <c r="CB24" s="33"/>
      <c r="CC24" s="37">
        <f t="shared" si="12"/>
        <v>-1</v>
      </c>
      <c r="CD24" s="36">
        <f>[1]BOA!$O24</f>
        <v>24454.744072269103</v>
      </c>
      <c r="CE24" s="31">
        <f t="shared" si="56"/>
        <v>20727.841075655291</v>
      </c>
      <c r="CF24" s="18">
        <f t="shared" si="57"/>
        <v>3726.9029966138114</v>
      </c>
      <c r="CG24" s="31">
        <f t="shared" si="58"/>
        <v>0</v>
      </c>
      <c r="CH24" s="31">
        <f t="shared" si="59"/>
        <v>0</v>
      </c>
      <c r="CI24" s="33"/>
      <c r="CJ24" s="37">
        <f t="shared" si="13"/>
        <v>-1</v>
      </c>
      <c r="CK24" s="36">
        <f>[1]BOA!$P24</f>
        <v>24454.744072269103</v>
      </c>
      <c r="CL24" s="31">
        <f t="shared" si="60"/>
        <v>20727.841075655291</v>
      </c>
      <c r="CM24" s="18">
        <f t="shared" si="61"/>
        <v>3726.9029966138114</v>
      </c>
      <c r="CN24" s="31">
        <f t="shared" si="62"/>
        <v>0</v>
      </c>
      <c r="CO24" s="31">
        <f t="shared" si="63"/>
        <v>0</v>
      </c>
      <c r="CP24" s="33"/>
      <c r="CQ24" s="37">
        <f t="shared" si="14"/>
        <v>-1</v>
      </c>
    </row>
    <row r="25" spans="1:95" s="26" customFormat="1" ht="16" customHeight="1" thickBot="1" x14ac:dyDescent="0.25">
      <c r="A25" s="29" t="s">
        <v>49</v>
      </c>
      <c r="B25" s="30">
        <f t="shared" si="0"/>
        <v>642657.48364199651</v>
      </c>
      <c r="C25" s="31">
        <f t="shared" si="0"/>
        <v>544716.48313495645</v>
      </c>
      <c r="D25" s="32">
        <f t="shared" si="0"/>
        <v>97941.000507040299</v>
      </c>
      <c r="E25" s="30">
        <f t="shared" si="15"/>
        <v>204854.73991199891</v>
      </c>
      <c r="F25" s="33">
        <f t="shared" si="15"/>
        <v>173634.87754941027</v>
      </c>
      <c r="G25" s="34">
        <f t="shared" si="15"/>
        <v>31219.862362588632</v>
      </c>
      <c r="H25" s="31">
        <f t="shared" si="1"/>
        <v>604179.36644000001</v>
      </c>
      <c r="I25" s="33">
        <f t="shared" si="1"/>
        <v>108632.53356000001</v>
      </c>
      <c r="J25" s="33">
        <f t="shared" si="1"/>
        <v>712811.89999999991</v>
      </c>
      <c r="K25" s="37">
        <f t="shared" si="2"/>
        <v>2.4795968123862218</v>
      </c>
      <c r="L25" s="36">
        <f>[1]BOA!$E25</f>
        <v>0</v>
      </c>
      <c r="M25" s="36">
        <f t="shared" si="16"/>
        <v>0</v>
      </c>
      <c r="N25" s="36">
        <f t="shared" si="17"/>
        <v>0</v>
      </c>
      <c r="O25" s="36">
        <f t="shared" si="18"/>
        <v>15207.6392</v>
      </c>
      <c r="P25" s="36">
        <f t="shared" si="19"/>
        <v>2734.3607999999999</v>
      </c>
      <c r="Q25" s="36">
        <f>17942</f>
        <v>17942</v>
      </c>
      <c r="R25" s="36" t="str">
        <f t="shared" si="3"/>
        <v/>
      </c>
      <c r="S25" s="36">
        <f>[1]BOA!$F25</f>
        <v>0</v>
      </c>
      <c r="T25" s="36">
        <f t="shared" si="20"/>
        <v>0</v>
      </c>
      <c r="U25" s="36">
        <f t="shared" si="21"/>
        <v>0</v>
      </c>
      <c r="V25" s="36">
        <f t="shared" si="22"/>
        <v>26279.999043999997</v>
      </c>
      <c r="W25" s="36">
        <f t="shared" si="23"/>
        <v>4725.1909560000004</v>
      </c>
      <c r="X25" s="36">
        <v>31005.19</v>
      </c>
      <c r="Y25" s="36" t="str">
        <f t="shared" si="4"/>
        <v/>
      </c>
      <c r="Z25" s="36">
        <f>[1]BOA!$G25</f>
        <v>87906.524159999899</v>
      </c>
      <c r="AA25" s="36">
        <f t="shared" si="24"/>
        <v>74509.569878015915</v>
      </c>
      <c r="AB25" s="36">
        <f t="shared" si="25"/>
        <v>13396.954281983984</v>
      </c>
      <c r="AC25" s="36">
        <f t="shared" si="26"/>
        <v>47078.373940000005</v>
      </c>
      <c r="AD25" s="36">
        <f t="shared" si="27"/>
        <v>8464.7760600000001</v>
      </c>
      <c r="AE25" s="36">
        <v>55543.15</v>
      </c>
      <c r="AF25" s="36">
        <f t="shared" si="5"/>
        <v>-0.36815668085220687</v>
      </c>
      <c r="AG25" s="36">
        <f>[1]BOA!$H25</f>
        <v>116948.215751999</v>
      </c>
      <c r="AH25" s="36">
        <f t="shared" si="28"/>
        <v>99125.307671394345</v>
      </c>
      <c r="AI25" s="36">
        <f t="shared" si="29"/>
        <v>17822.908080604648</v>
      </c>
      <c r="AJ25" s="36">
        <f t="shared" si="30"/>
        <v>181057.82786000002</v>
      </c>
      <c r="AK25" s="36">
        <f t="shared" si="31"/>
        <v>32554.522140000001</v>
      </c>
      <c r="AL25" s="36">
        <f>213612.35</f>
        <v>213612.35</v>
      </c>
      <c r="AM25" s="36">
        <f t="shared" si="6"/>
        <v>0.82655501519567842</v>
      </c>
      <c r="AN25" s="36">
        <f>[1]BOA!$I25</f>
        <v>116948.215751999</v>
      </c>
      <c r="AO25" s="36">
        <f t="shared" si="32"/>
        <v>99125.307671394345</v>
      </c>
      <c r="AP25" s="36">
        <f t="shared" si="33"/>
        <v>17822.908080604648</v>
      </c>
      <c r="AQ25" s="36">
        <f t="shared" si="34"/>
        <v>110555.77364</v>
      </c>
      <c r="AR25" s="36">
        <f t="shared" si="35"/>
        <v>19878.126359999998</v>
      </c>
      <c r="AS25" s="33">
        <v>130433.9</v>
      </c>
      <c r="AT25" s="37">
        <f t="shared" si="7"/>
        <v>0.11531329624214881</v>
      </c>
      <c r="AU25" s="36">
        <f>[1]BOA!$J25</f>
        <v>121784.398295999</v>
      </c>
      <c r="AV25" s="31">
        <f t="shared" si="36"/>
        <v>103224.45599568874</v>
      </c>
      <c r="AW25" s="18">
        <f t="shared" si="37"/>
        <v>18559.942300310249</v>
      </c>
      <c r="AX25" s="31">
        <f t="shared" si="38"/>
        <v>223999.752756</v>
      </c>
      <c r="AY25" s="31">
        <f t="shared" si="39"/>
        <v>40275.557244000003</v>
      </c>
      <c r="AZ25" s="157">
        <v>264275.31</v>
      </c>
      <c r="BA25" s="37">
        <f t="shared" si="8"/>
        <v>1.170025994279452</v>
      </c>
      <c r="BB25" s="36">
        <f>[1]BOA!$K25</f>
        <v>41993.285495999997</v>
      </c>
      <c r="BC25" s="31">
        <f t="shared" si="40"/>
        <v>35593.508786409599</v>
      </c>
      <c r="BD25" s="18">
        <f t="shared" si="41"/>
        <v>6399.7767095904001</v>
      </c>
      <c r="BE25" s="31">
        <f t="shared" si="42"/>
        <v>0</v>
      </c>
      <c r="BF25" s="31">
        <f t="shared" si="43"/>
        <v>0</v>
      </c>
      <c r="BG25" s="33"/>
      <c r="BH25" s="37">
        <f t="shared" si="9"/>
        <v>-1</v>
      </c>
      <c r="BI25" s="36">
        <f>[1]BOA!$L25</f>
        <v>41993.285495999997</v>
      </c>
      <c r="BJ25" s="31">
        <f t="shared" si="44"/>
        <v>35593.508786409599</v>
      </c>
      <c r="BK25" s="18">
        <f t="shared" si="45"/>
        <v>6399.7767095904001</v>
      </c>
      <c r="BL25" s="31">
        <f t="shared" si="46"/>
        <v>0</v>
      </c>
      <c r="BM25" s="31">
        <f t="shared" si="47"/>
        <v>0</v>
      </c>
      <c r="BN25" s="33"/>
      <c r="BO25" s="37">
        <f t="shared" si="10"/>
        <v>-1</v>
      </c>
      <c r="BP25" s="36">
        <f>[1]BOA!$M25</f>
        <v>41993.285495999997</v>
      </c>
      <c r="BQ25" s="31">
        <f t="shared" si="48"/>
        <v>35593.508786409599</v>
      </c>
      <c r="BR25" s="18">
        <f t="shared" si="49"/>
        <v>6399.7767095904001</v>
      </c>
      <c r="BS25" s="31">
        <f t="shared" si="50"/>
        <v>0</v>
      </c>
      <c r="BT25" s="31">
        <f t="shared" si="51"/>
        <v>0</v>
      </c>
      <c r="BU25" s="33"/>
      <c r="BV25" s="37">
        <f t="shared" si="11"/>
        <v>-1</v>
      </c>
      <c r="BW25" s="36">
        <f>[1]BOA!$N25</f>
        <v>31589.033874000001</v>
      </c>
      <c r="BX25" s="31">
        <f t="shared" si="52"/>
        <v>26774.865111602401</v>
      </c>
      <c r="BY25" s="18">
        <f t="shared" si="53"/>
        <v>4814.1687623976004</v>
      </c>
      <c r="BZ25" s="31">
        <f t="shared" si="54"/>
        <v>0</v>
      </c>
      <c r="CA25" s="31">
        <f t="shared" si="55"/>
        <v>0</v>
      </c>
      <c r="CB25" s="33"/>
      <c r="CC25" s="37">
        <f t="shared" si="12"/>
        <v>-1</v>
      </c>
      <c r="CD25" s="36">
        <f>[1]BOA!$O25</f>
        <v>20750.619659999898</v>
      </c>
      <c r="CE25" s="31">
        <f t="shared" si="56"/>
        <v>17588.225223815913</v>
      </c>
      <c r="CF25" s="18">
        <f t="shared" si="57"/>
        <v>3162.3944361839845</v>
      </c>
      <c r="CG25" s="31">
        <f t="shared" si="58"/>
        <v>0</v>
      </c>
      <c r="CH25" s="31">
        <f t="shared" si="59"/>
        <v>0</v>
      </c>
      <c r="CI25" s="33"/>
      <c r="CJ25" s="37">
        <f t="shared" si="13"/>
        <v>-1</v>
      </c>
      <c r="CK25" s="36">
        <f>[1]BOA!$P25</f>
        <v>20750.619659999898</v>
      </c>
      <c r="CL25" s="31">
        <f t="shared" si="60"/>
        <v>17588.225223815913</v>
      </c>
      <c r="CM25" s="18">
        <f t="shared" si="61"/>
        <v>3162.3944361839845</v>
      </c>
      <c r="CN25" s="31">
        <f t="shared" si="62"/>
        <v>0</v>
      </c>
      <c r="CO25" s="31">
        <f t="shared" si="63"/>
        <v>0</v>
      </c>
      <c r="CP25" s="33"/>
      <c r="CQ25" s="37">
        <f t="shared" si="14"/>
        <v>-1</v>
      </c>
    </row>
    <row r="26" spans="1:95" s="26" customFormat="1" ht="16" customHeight="1" thickBot="1" x14ac:dyDescent="0.25">
      <c r="A26" s="29" t="s">
        <v>50</v>
      </c>
      <c r="B26" s="30">
        <f t="shared" si="0"/>
        <v>3573595.9979260275</v>
      </c>
      <c r="C26" s="31">
        <f t="shared" si="0"/>
        <v>3028979.9678421007</v>
      </c>
      <c r="D26" s="32">
        <f t="shared" si="0"/>
        <v>544616.03008392663</v>
      </c>
      <c r="E26" s="30">
        <f t="shared" si="15"/>
        <v>978292.14633231098</v>
      </c>
      <c r="F26" s="33">
        <f t="shared" si="15"/>
        <v>829200.4232312669</v>
      </c>
      <c r="G26" s="34">
        <f t="shared" si="15"/>
        <v>149091.72310104419</v>
      </c>
      <c r="H26" s="31">
        <f t="shared" si="1"/>
        <v>1413872.8805760001</v>
      </c>
      <c r="I26" s="33">
        <f t="shared" si="1"/>
        <v>254216.87942400004</v>
      </c>
      <c r="J26" s="33">
        <f t="shared" si="1"/>
        <v>1668089.76</v>
      </c>
      <c r="K26" s="37">
        <f t="shared" si="2"/>
        <v>0.70510390608142037</v>
      </c>
      <c r="L26" s="36">
        <f>[1]BOA!$E26</f>
        <v>110134.9057818624</v>
      </c>
      <c r="M26" s="36">
        <f t="shared" si="16"/>
        <v>93350.346140706562</v>
      </c>
      <c r="N26" s="36">
        <f t="shared" si="17"/>
        <v>16784.559641155829</v>
      </c>
      <c r="O26" s="36">
        <f t="shared" si="18"/>
        <v>137919.32757200001</v>
      </c>
      <c r="P26" s="36">
        <f t="shared" si="19"/>
        <v>24798.142428000003</v>
      </c>
      <c r="Q26" s="36">
        <f>162717.47</f>
        <v>162717.47</v>
      </c>
      <c r="R26" s="36">
        <f t="shared" si="3"/>
        <v>0.47743777365447371</v>
      </c>
      <c r="S26" s="36">
        <f>[1]BOA!$F26</f>
        <v>216555.53336586154</v>
      </c>
      <c r="T26" s="36">
        <f t="shared" si="20"/>
        <v>183552.47008090426</v>
      </c>
      <c r="U26" s="36">
        <f t="shared" si="21"/>
        <v>33003.063284957301</v>
      </c>
      <c r="V26" s="36">
        <f t="shared" si="22"/>
        <v>202203.82046799999</v>
      </c>
      <c r="W26" s="36">
        <f t="shared" si="23"/>
        <v>36356.609532000002</v>
      </c>
      <c r="X26" s="36">
        <f>237623.43+937</f>
        <v>238560.43</v>
      </c>
      <c r="Y26" s="36">
        <f t="shared" si="4"/>
        <v>0.10161318111859141</v>
      </c>
      <c r="Z26" s="36">
        <f>[1]BOA!$G26</f>
        <v>329801.34367357357</v>
      </c>
      <c r="AA26" s="36">
        <f t="shared" si="24"/>
        <v>279539.61889772094</v>
      </c>
      <c r="AB26" s="36">
        <f t="shared" si="25"/>
        <v>50261.724775852614</v>
      </c>
      <c r="AC26" s="36">
        <f t="shared" si="26"/>
        <v>277615.91129999998</v>
      </c>
      <c r="AD26" s="36">
        <f t="shared" si="27"/>
        <v>49915.8387</v>
      </c>
      <c r="AE26" s="36">
        <f>882+326649.75</f>
        <v>327531.75</v>
      </c>
      <c r="AF26" s="36">
        <f t="shared" si="5"/>
        <v>-6.8816992929535692E-3</v>
      </c>
      <c r="AG26" s="36">
        <f>[1]BOA!$H26</f>
        <v>321800.36351101351</v>
      </c>
      <c r="AH26" s="36">
        <f t="shared" si="28"/>
        <v>272757.98811193503</v>
      </c>
      <c r="AI26" s="36">
        <f t="shared" si="29"/>
        <v>49042.375399078461</v>
      </c>
      <c r="AJ26" s="36">
        <f t="shared" si="30"/>
        <v>331180.595096</v>
      </c>
      <c r="AK26" s="36">
        <f t="shared" si="31"/>
        <v>59546.864904000009</v>
      </c>
      <c r="AL26" s="36">
        <v>390727.46</v>
      </c>
      <c r="AM26" s="36">
        <f t="shared" si="6"/>
        <v>0.21419210263455013</v>
      </c>
      <c r="AN26" s="36">
        <f>[1]BOA!$I26</f>
        <v>368780.91560586152</v>
      </c>
      <c r="AO26" s="36">
        <f t="shared" si="32"/>
        <v>312578.70406752825</v>
      </c>
      <c r="AP26" s="36">
        <f t="shared" si="33"/>
        <v>56202.2115383333</v>
      </c>
      <c r="AQ26" s="36">
        <f t="shared" si="34"/>
        <v>248634.72124400001</v>
      </c>
      <c r="AR26" s="36">
        <f t="shared" si="35"/>
        <v>44704.968756000002</v>
      </c>
      <c r="AS26" s="33">
        <v>293339.69</v>
      </c>
      <c r="AT26" s="37">
        <f t="shared" si="7"/>
        <v>-0.2045692236593124</v>
      </c>
      <c r="AU26" s="36">
        <f>[1]BOA!$J26</f>
        <v>286876.52868157439</v>
      </c>
      <c r="AV26" s="31">
        <f t="shared" si="36"/>
        <v>243156.54571050245</v>
      </c>
      <c r="AW26" s="18">
        <f t="shared" si="37"/>
        <v>43719.982971071942</v>
      </c>
      <c r="AX26" s="31">
        <f t="shared" si="38"/>
        <v>216318.504896</v>
      </c>
      <c r="AY26" s="31">
        <f t="shared" si="39"/>
        <v>38894.455104000001</v>
      </c>
      <c r="AZ26" s="157">
        <v>255212.96</v>
      </c>
      <c r="BA26" s="37">
        <f t="shared" si="8"/>
        <v>-0.11037350747059604</v>
      </c>
      <c r="BB26" s="36">
        <f>[1]BOA!$K26</f>
        <v>239895.9765867255</v>
      </c>
      <c r="BC26" s="31">
        <f t="shared" si="40"/>
        <v>203335.82975490854</v>
      </c>
      <c r="BD26" s="18">
        <f t="shared" si="41"/>
        <v>36560.146831816972</v>
      </c>
      <c r="BE26" s="31">
        <f t="shared" si="42"/>
        <v>0</v>
      </c>
      <c r="BF26" s="31">
        <f t="shared" si="43"/>
        <v>0</v>
      </c>
      <c r="BG26" s="33"/>
      <c r="BH26" s="37">
        <f t="shared" si="9"/>
        <v>-1</v>
      </c>
      <c r="BI26" s="36">
        <f>[1]BOA!$L26</f>
        <v>329801.34367357357</v>
      </c>
      <c r="BJ26" s="31">
        <f t="shared" si="44"/>
        <v>279539.61889772094</v>
      </c>
      <c r="BK26" s="18">
        <f t="shared" si="45"/>
        <v>50261.724775852614</v>
      </c>
      <c r="BL26" s="31">
        <f t="shared" si="46"/>
        <v>0</v>
      </c>
      <c r="BM26" s="31">
        <f t="shared" si="47"/>
        <v>0</v>
      </c>
      <c r="BN26" s="33"/>
      <c r="BO26" s="37">
        <f t="shared" si="10"/>
        <v>-1</v>
      </c>
      <c r="BP26" s="36">
        <f>[1]BOA!$M26</f>
        <v>411816.04600099201</v>
      </c>
      <c r="BQ26" s="31">
        <f t="shared" si="48"/>
        <v>349055.28059044085</v>
      </c>
      <c r="BR26" s="18">
        <f t="shared" si="49"/>
        <v>62760.765410551183</v>
      </c>
      <c r="BS26" s="31">
        <f t="shared" si="50"/>
        <v>0</v>
      </c>
      <c r="BT26" s="31">
        <f t="shared" si="51"/>
        <v>0</v>
      </c>
      <c r="BU26" s="33"/>
      <c r="BV26" s="37">
        <f t="shared" si="11"/>
        <v>-1</v>
      </c>
      <c r="BW26" s="36">
        <f>[1]BOA!$N26</f>
        <v>386225.26349471917</v>
      </c>
      <c r="BX26" s="31">
        <f t="shared" si="52"/>
        <v>327364.53333812393</v>
      </c>
      <c r="BY26" s="18">
        <f t="shared" si="53"/>
        <v>58860.730156595208</v>
      </c>
      <c r="BZ26" s="31">
        <f t="shared" si="54"/>
        <v>0</v>
      </c>
      <c r="CA26" s="31">
        <f t="shared" si="55"/>
        <v>0</v>
      </c>
      <c r="CB26" s="33"/>
      <c r="CC26" s="37">
        <f t="shared" si="12"/>
        <v>-1</v>
      </c>
      <c r="CD26" s="36">
        <f>[1]BOA!$O26</f>
        <v>289366.48013699113</v>
      </c>
      <c r="CE26" s="31">
        <f t="shared" si="56"/>
        <v>245267.02856411369</v>
      </c>
      <c r="CF26" s="18">
        <f t="shared" si="57"/>
        <v>44099.45157287745</v>
      </c>
      <c r="CG26" s="31">
        <f t="shared" si="58"/>
        <v>0</v>
      </c>
      <c r="CH26" s="31">
        <f t="shared" si="59"/>
        <v>0</v>
      </c>
      <c r="CI26" s="33"/>
      <c r="CJ26" s="37">
        <f t="shared" si="13"/>
        <v>-1</v>
      </c>
      <c r="CK26" s="36">
        <f>[1]BOA!$P26</f>
        <v>282541.29741327913</v>
      </c>
      <c r="CL26" s="31">
        <f t="shared" si="60"/>
        <v>239482.00368749539</v>
      </c>
      <c r="CM26" s="18">
        <f t="shared" si="61"/>
        <v>43059.29372578374</v>
      </c>
      <c r="CN26" s="31">
        <f t="shared" si="62"/>
        <v>0</v>
      </c>
      <c r="CO26" s="31">
        <f t="shared" si="63"/>
        <v>0</v>
      </c>
      <c r="CP26" s="33"/>
      <c r="CQ26" s="37">
        <f t="shared" si="14"/>
        <v>-1</v>
      </c>
    </row>
    <row r="27" spans="1:95" s="26" customFormat="1" ht="16" customHeight="1" thickBot="1" x14ac:dyDescent="0.25">
      <c r="A27" s="29" t="s">
        <v>51</v>
      </c>
      <c r="B27" s="30">
        <f t="shared" si="0"/>
        <v>185250.0908987993</v>
      </c>
      <c r="C27" s="31">
        <f t="shared" si="0"/>
        <v>157017.97704582231</v>
      </c>
      <c r="D27" s="32">
        <f t="shared" si="0"/>
        <v>28232.113852977018</v>
      </c>
      <c r="E27" s="30">
        <f t="shared" si="15"/>
        <v>55847.270836799798</v>
      </c>
      <c r="F27" s="33">
        <f t="shared" si="15"/>
        <v>47336.146761271506</v>
      </c>
      <c r="G27" s="34">
        <f t="shared" si="15"/>
        <v>8511.1240755282888</v>
      </c>
      <c r="H27" s="31">
        <f t="shared" si="1"/>
        <v>229835.56351599999</v>
      </c>
      <c r="I27" s="33">
        <f t="shared" si="1"/>
        <v>41324.846484000002</v>
      </c>
      <c r="J27" s="33">
        <f t="shared" si="1"/>
        <v>271160.40999999997</v>
      </c>
      <c r="K27" s="37">
        <f t="shared" si="2"/>
        <v>3.8553923215406707</v>
      </c>
      <c r="L27" s="36">
        <f>[1]BOA!$E27</f>
        <v>4634.7986303999996</v>
      </c>
      <c r="M27" s="36">
        <f t="shared" si="16"/>
        <v>3928.4553191270397</v>
      </c>
      <c r="N27" s="36">
        <f t="shared" si="17"/>
        <v>706.34331127296002</v>
      </c>
      <c r="O27" s="36">
        <f t="shared" si="18"/>
        <v>21034.372164</v>
      </c>
      <c r="P27" s="36">
        <f t="shared" si="19"/>
        <v>3782.017836</v>
      </c>
      <c r="Q27" s="36">
        <f>24816.39</f>
        <v>24816.39</v>
      </c>
      <c r="R27" s="36">
        <f t="shared" si="3"/>
        <v>4.3543620724377092</v>
      </c>
      <c r="S27" s="36">
        <f>[1]BOA!$F27</f>
        <v>16731.940723199899</v>
      </c>
      <c r="T27" s="36">
        <f t="shared" si="20"/>
        <v>14181.992956984235</v>
      </c>
      <c r="U27" s="36">
        <f t="shared" si="21"/>
        <v>2549.9477662156646</v>
      </c>
      <c r="V27" s="36">
        <f t="shared" si="22"/>
        <v>17951.125452</v>
      </c>
      <c r="W27" s="36">
        <f t="shared" si="23"/>
        <v>3227.6445480000002</v>
      </c>
      <c r="X27" s="36">
        <v>21178.77</v>
      </c>
      <c r="Y27" s="36">
        <f t="shared" si="4"/>
        <v>0.26576888780357022</v>
      </c>
      <c r="Z27" s="36">
        <f>[1]BOA!$G27</f>
        <v>16731.940723199899</v>
      </c>
      <c r="AA27" s="36">
        <f t="shared" si="24"/>
        <v>14181.992956984235</v>
      </c>
      <c r="AB27" s="36">
        <f t="shared" si="25"/>
        <v>2549.9477662156646</v>
      </c>
      <c r="AC27" s="36">
        <f t="shared" si="26"/>
        <v>41399.428511999999</v>
      </c>
      <c r="AD27" s="36">
        <f t="shared" si="27"/>
        <v>7443.6914880000004</v>
      </c>
      <c r="AE27" s="36">
        <v>48843.12</v>
      </c>
      <c r="AF27" s="36">
        <f t="shared" si="5"/>
        <v>1.9191544966613412</v>
      </c>
      <c r="AG27" s="36">
        <f>[1]BOA!$H27</f>
        <v>17748.590759999999</v>
      </c>
      <c r="AH27" s="36">
        <f t="shared" si="28"/>
        <v>15043.705528175999</v>
      </c>
      <c r="AI27" s="36">
        <f t="shared" si="29"/>
        <v>2704.8852318240001</v>
      </c>
      <c r="AJ27" s="36">
        <f t="shared" si="30"/>
        <v>20840.119196</v>
      </c>
      <c r="AK27" s="36">
        <f t="shared" si="31"/>
        <v>3747.0908039999999</v>
      </c>
      <c r="AL27" s="36">
        <f>24587.21</f>
        <v>24587.21</v>
      </c>
      <c r="AM27" s="36">
        <f t="shared" si="6"/>
        <v>0.38530491420266433</v>
      </c>
      <c r="AN27" s="36">
        <f>[1]BOA!$I27</f>
        <v>6952.4643599999999</v>
      </c>
      <c r="AO27" s="36">
        <f t="shared" si="32"/>
        <v>5892.9087915359996</v>
      </c>
      <c r="AP27" s="36">
        <f t="shared" si="33"/>
        <v>1059.5555684640001</v>
      </c>
      <c r="AQ27" s="36">
        <f t="shared" si="34"/>
        <v>83285.040383999993</v>
      </c>
      <c r="AR27" s="36">
        <f t="shared" si="35"/>
        <v>14974.799616</v>
      </c>
      <c r="AS27" s="33">
        <v>98259.839999999997</v>
      </c>
      <c r="AT27" s="37">
        <f t="shared" si="7"/>
        <v>13.1330951029859</v>
      </c>
      <c r="AU27" s="36">
        <f>[1]BOA!$J27</f>
        <v>22383.389390399901</v>
      </c>
      <c r="AV27" s="31">
        <f t="shared" si="36"/>
        <v>18972.160847302956</v>
      </c>
      <c r="AW27" s="18">
        <f t="shared" si="37"/>
        <v>3411.228543096945</v>
      </c>
      <c r="AX27" s="31">
        <f t="shared" si="38"/>
        <v>45325.477808000003</v>
      </c>
      <c r="AY27" s="31">
        <f t="shared" si="39"/>
        <v>8149.6021920000003</v>
      </c>
      <c r="AZ27" s="157">
        <v>53475.08</v>
      </c>
      <c r="BA27" s="37">
        <f t="shared" si="8"/>
        <v>1.3890519468394333</v>
      </c>
      <c r="BB27" s="36">
        <f>[1]BOA!$K27</f>
        <v>11587.2629903999</v>
      </c>
      <c r="BC27" s="31">
        <f t="shared" si="40"/>
        <v>9821.3641106629548</v>
      </c>
      <c r="BD27" s="18">
        <f t="shared" si="41"/>
        <v>1765.898879736945</v>
      </c>
      <c r="BE27" s="31">
        <f t="shared" si="42"/>
        <v>0</v>
      </c>
      <c r="BF27" s="31">
        <f t="shared" si="43"/>
        <v>0</v>
      </c>
      <c r="BG27" s="33"/>
      <c r="BH27" s="37">
        <f t="shared" si="9"/>
        <v>-1</v>
      </c>
      <c r="BI27" s="36">
        <f>[1]BOA!$L27</f>
        <v>22383.389390399901</v>
      </c>
      <c r="BJ27" s="31">
        <f t="shared" si="44"/>
        <v>18972.160847302956</v>
      </c>
      <c r="BK27" s="18">
        <f t="shared" si="45"/>
        <v>3411.228543096945</v>
      </c>
      <c r="BL27" s="31">
        <f t="shared" si="46"/>
        <v>0</v>
      </c>
      <c r="BM27" s="31">
        <f t="shared" si="47"/>
        <v>0</v>
      </c>
      <c r="BN27" s="33"/>
      <c r="BO27" s="37">
        <f t="shared" si="10"/>
        <v>-1</v>
      </c>
      <c r="BP27" s="36">
        <f>[1]BOA!$M27</f>
        <v>22383.389390399901</v>
      </c>
      <c r="BQ27" s="31">
        <f t="shared" si="48"/>
        <v>18972.160847302956</v>
      </c>
      <c r="BR27" s="18">
        <f t="shared" si="49"/>
        <v>3411.228543096945</v>
      </c>
      <c r="BS27" s="31">
        <f t="shared" si="50"/>
        <v>0</v>
      </c>
      <c r="BT27" s="31">
        <f t="shared" si="51"/>
        <v>0</v>
      </c>
      <c r="BU27" s="33"/>
      <c r="BV27" s="37">
        <f t="shared" si="11"/>
        <v>-1</v>
      </c>
      <c r="BW27" s="36">
        <f>[1]BOA!$N27</f>
        <v>17660.840600399901</v>
      </c>
      <c r="BX27" s="31">
        <f t="shared" si="52"/>
        <v>14969.328492898956</v>
      </c>
      <c r="BY27" s="18">
        <f t="shared" si="53"/>
        <v>2691.5121075009451</v>
      </c>
      <c r="BZ27" s="31">
        <f t="shared" si="54"/>
        <v>0</v>
      </c>
      <c r="CA27" s="31">
        <f t="shared" si="55"/>
        <v>0</v>
      </c>
      <c r="CB27" s="33"/>
      <c r="CC27" s="37">
        <f t="shared" si="12"/>
        <v>-1</v>
      </c>
      <c r="CD27" s="36">
        <f>[1]BOA!$O27</f>
        <v>13026.04197</v>
      </c>
      <c r="CE27" s="31">
        <f t="shared" si="56"/>
        <v>11040.873173772001</v>
      </c>
      <c r="CF27" s="18">
        <f t="shared" si="57"/>
        <v>1985.1687962280002</v>
      </c>
      <c r="CG27" s="31">
        <f t="shared" si="58"/>
        <v>0</v>
      </c>
      <c r="CH27" s="31">
        <f t="shared" si="59"/>
        <v>0</v>
      </c>
      <c r="CI27" s="33"/>
      <c r="CJ27" s="37">
        <f t="shared" si="13"/>
        <v>-1</v>
      </c>
      <c r="CK27" s="36">
        <f>[1]BOA!$P27</f>
        <v>13026.04197</v>
      </c>
      <c r="CL27" s="31">
        <f t="shared" si="60"/>
        <v>11040.873173772001</v>
      </c>
      <c r="CM27" s="18">
        <f t="shared" si="61"/>
        <v>1985.1687962280002</v>
      </c>
      <c r="CN27" s="31">
        <f t="shared" si="62"/>
        <v>0</v>
      </c>
      <c r="CO27" s="31">
        <f t="shared" si="63"/>
        <v>0</v>
      </c>
      <c r="CP27" s="33"/>
      <c r="CQ27" s="37">
        <f t="shared" si="14"/>
        <v>-1</v>
      </c>
    </row>
    <row r="28" spans="1:95" s="26" customFormat="1" ht="16" customHeight="1" thickBot="1" x14ac:dyDescent="0.25">
      <c r="A28" s="29" t="s">
        <v>52</v>
      </c>
      <c r="B28" s="30">
        <f t="shared" si="0"/>
        <v>199039.13450999992</v>
      </c>
      <c r="C28" s="31">
        <f t="shared" si="0"/>
        <v>168705.57041067589</v>
      </c>
      <c r="D28" s="32">
        <f t="shared" si="0"/>
        <v>30333.564099323987</v>
      </c>
      <c r="E28" s="30">
        <f t="shared" si="15"/>
        <v>68798.030039999998</v>
      </c>
      <c r="F28" s="33">
        <f t="shared" si="15"/>
        <v>58313.210261903994</v>
      </c>
      <c r="G28" s="34">
        <f t="shared" si="15"/>
        <v>10484.819778096</v>
      </c>
      <c r="H28" s="31">
        <f t="shared" si="1"/>
        <v>91381.773287999997</v>
      </c>
      <c r="I28" s="33">
        <f t="shared" si="1"/>
        <v>16430.606712000001</v>
      </c>
      <c r="J28" s="33">
        <f t="shared" si="1"/>
        <v>107812.38</v>
      </c>
      <c r="K28" s="37">
        <f t="shared" si="2"/>
        <v>0.56708527754815941</v>
      </c>
      <c r="L28" s="36">
        <f>[1]BOA!$E28</f>
        <v>14647.083119999999</v>
      </c>
      <c r="M28" s="36">
        <f t="shared" si="16"/>
        <v>12414.867652511999</v>
      </c>
      <c r="N28" s="36">
        <f t="shared" si="17"/>
        <v>2232.2154674879998</v>
      </c>
      <c r="O28" s="36">
        <f t="shared" si="18"/>
        <v>12172.027608</v>
      </c>
      <c r="P28" s="36">
        <f t="shared" si="19"/>
        <v>2188.5523920000001</v>
      </c>
      <c r="Q28" s="36">
        <f>14360.58</f>
        <v>14360.58</v>
      </c>
      <c r="R28" s="36">
        <f t="shared" si="3"/>
        <v>-1.9560421529170591E-2</v>
      </c>
      <c r="S28" s="36">
        <f>[1]BOA!$F28</f>
        <v>14647.083119999999</v>
      </c>
      <c r="T28" s="36">
        <f t="shared" si="20"/>
        <v>12414.867652511999</v>
      </c>
      <c r="U28" s="36">
        <f t="shared" si="21"/>
        <v>2232.2154674879998</v>
      </c>
      <c r="V28" s="36">
        <f t="shared" si="22"/>
        <v>14367.430272000001</v>
      </c>
      <c r="W28" s="36">
        <f t="shared" si="23"/>
        <v>2583.2897280000002</v>
      </c>
      <c r="X28" s="36">
        <v>16950.72</v>
      </c>
      <c r="Y28" s="36">
        <f t="shared" si="4"/>
        <v>0.15727615260505212</v>
      </c>
      <c r="Z28" s="36">
        <f>[1]BOA!$G28</f>
        <v>19529.444159999999</v>
      </c>
      <c r="AA28" s="36">
        <f t="shared" si="24"/>
        <v>16553.156870015999</v>
      </c>
      <c r="AB28" s="36">
        <f t="shared" si="25"/>
        <v>2976.2872899839999</v>
      </c>
      <c r="AC28" s="36">
        <f t="shared" si="26"/>
        <v>15409.401904</v>
      </c>
      <c r="AD28" s="36">
        <f t="shared" si="27"/>
        <v>2770.6380960000001</v>
      </c>
      <c r="AE28" s="36">
        <v>18180.04</v>
      </c>
      <c r="AF28" s="36">
        <f t="shared" si="5"/>
        <v>-6.9095881528662972E-2</v>
      </c>
      <c r="AG28" s="36">
        <f>[1]BOA!$H28</f>
        <v>19974.41964</v>
      </c>
      <c r="AH28" s="36">
        <f t="shared" si="28"/>
        <v>16930.318086864001</v>
      </c>
      <c r="AI28" s="36">
        <f t="shared" si="29"/>
        <v>3044.1015531360003</v>
      </c>
      <c r="AJ28" s="36">
        <f t="shared" si="30"/>
        <v>9919.6746999999996</v>
      </c>
      <c r="AK28" s="36">
        <f t="shared" si="31"/>
        <v>1783.5753000000002</v>
      </c>
      <c r="AL28" s="36">
        <v>11703.25</v>
      </c>
      <c r="AM28" s="36">
        <f t="shared" si="6"/>
        <v>-0.41408810814390196</v>
      </c>
      <c r="AN28" s="36">
        <f>[1]BOA!$I28</f>
        <v>17088.263639999899</v>
      </c>
      <c r="AO28" s="36">
        <f t="shared" si="32"/>
        <v>14484.012261263913</v>
      </c>
      <c r="AP28" s="36">
        <f t="shared" si="33"/>
        <v>2604.2513787359849</v>
      </c>
      <c r="AQ28" s="36">
        <f t="shared" si="34"/>
        <v>11445.702216</v>
      </c>
      <c r="AR28" s="36">
        <f t="shared" si="35"/>
        <v>2057.9577840000002</v>
      </c>
      <c r="AS28" s="33">
        <v>13503.66</v>
      </c>
      <c r="AT28" s="37">
        <f t="shared" si="7"/>
        <v>-0.20976991668182854</v>
      </c>
      <c r="AU28" s="36">
        <f>[1]BOA!$J28</f>
        <v>15092.0586</v>
      </c>
      <c r="AV28" s="31">
        <f t="shared" si="36"/>
        <v>12792.02886936</v>
      </c>
      <c r="AW28" s="18">
        <f t="shared" si="37"/>
        <v>2300.0297306400003</v>
      </c>
      <c r="AX28" s="31">
        <f t="shared" si="38"/>
        <v>28067.536587999995</v>
      </c>
      <c r="AY28" s="31">
        <f t="shared" si="39"/>
        <v>5046.5934120000002</v>
      </c>
      <c r="AZ28" s="157">
        <v>33114.129999999997</v>
      </c>
      <c r="BA28" s="37">
        <f t="shared" si="8"/>
        <v>1.1941426864059483</v>
      </c>
      <c r="BB28" s="36">
        <f>[1]BOA!$K28</f>
        <v>12205.902599999999</v>
      </c>
      <c r="BC28" s="31">
        <f t="shared" si="40"/>
        <v>10345.723043759999</v>
      </c>
      <c r="BD28" s="18">
        <f t="shared" si="41"/>
        <v>1860.17955624</v>
      </c>
      <c r="BE28" s="31">
        <f t="shared" si="42"/>
        <v>0</v>
      </c>
      <c r="BF28" s="31">
        <f t="shared" si="43"/>
        <v>0</v>
      </c>
      <c r="BG28" s="33"/>
      <c r="BH28" s="37">
        <f t="shared" si="9"/>
        <v>-1</v>
      </c>
      <c r="BI28" s="36">
        <f>[1]BOA!$L28</f>
        <v>19974.41964</v>
      </c>
      <c r="BJ28" s="31">
        <f t="shared" si="44"/>
        <v>16930.318086864001</v>
      </c>
      <c r="BK28" s="18">
        <f t="shared" si="45"/>
        <v>3044.1015531360003</v>
      </c>
      <c r="BL28" s="31">
        <f t="shared" si="46"/>
        <v>0</v>
      </c>
      <c r="BM28" s="31">
        <f t="shared" si="47"/>
        <v>0</v>
      </c>
      <c r="BN28" s="33"/>
      <c r="BO28" s="37">
        <f t="shared" si="10"/>
        <v>-1</v>
      </c>
      <c r="BP28" s="36">
        <f>[1]BOA!$M28</f>
        <v>19974.41964</v>
      </c>
      <c r="BQ28" s="31">
        <f t="shared" si="48"/>
        <v>16930.318086864001</v>
      </c>
      <c r="BR28" s="18">
        <f t="shared" si="49"/>
        <v>3044.1015531360003</v>
      </c>
      <c r="BS28" s="31">
        <f t="shared" si="50"/>
        <v>0</v>
      </c>
      <c r="BT28" s="31">
        <f t="shared" si="51"/>
        <v>0</v>
      </c>
      <c r="BU28" s="33"/>
      <c r="BV28" s="37">
        <f t="shared" si="11"/>
        <v>-1</v>
      </c>
      <c r="BW28" s="36">
        <f>[1]BOA!$N28</f>
        <v>18556.92081</v>
      </c>
      <c r="BX28" s="31">
        <f t="shared" si="52"/>
        <v>15728.846078556</v>
      </c>
      <c r="BY28" s="18">
        <f t="shared" si="53"/>
        <v>2828.074731444</v>
      </c>
      <c r="BZ28" s="31">
        <f t="shared" si="54"/>
        <v>0</v>
      </c>
      <c r="CA28" s="31">
        <f t="shared" si="55"/>
        <v>0</v>
      </c>
      <c r="CB28" s="33"/>
      <c r="CC28" s="37">
        <f t="shared" si="12"/>
        <v>-1</v>
      </c>
      <c r="CD28" s="36">
        <f>[1]BOA!$O28</f>
        <v>13674.55977</v>
      </c>
      <c r="CE28" s="31">
        <f t="shared" si="56"/>
        <v>11590.556861052</v>
      </c>
      <c r="CF28" s="18">
        <f t="shared" si="57"/>
        <v>2084.0029089479999</v>
      </c>
      <c r="CG28" s="31">
        <f t="shared" si="58"/>
        <v>0</v>
      </c>
      <c r="CH28" s="31">
        <f t="shared" si="59"/>
        <v>0</v>
      </c>
      <c r="CI28" s="33"/>
      <c r="CJ28" s="37">
        <f t="shared" si="13"/>
        <v>-1</v>
      </c>
      <c r="CK28" s="36">
        <f>[1]BOA!$P28</f>
        <v>13674.55977</v>
      </c>
      <c r="CL28" s="31">
        <f t="shared" si="60"/>
        <v>11590.556861052</v>
      </c>
      <c r="CM28" s="18">
        <f t="shared" si="61"/>
        <v>2084.0029089479999</v>
      </c>
      <c r="CN28" s="31">
        <f t="shared" si="62"/>
        <v>0</v>
      </c>
      <c r="CO28" s="31">
        <f t="shared" si="63"/>
        <v>0</v>
      </c>
      <c r="CP28" s="33"/>
      <c r="CQ28" s="37">
        <f t="shared" si="14"/>
        <v>-1</v>
      </c>
    </row>
    <row r="29" spans="1:95" s="26" customFormat="1" ht="16" customHeight="1" thickBot="1" x14ac:dyDescent="0.25">
      <c r="A29" s="29" t="s">
        <v>53</v>
      </c>
      <c r="B29" s="30">
        <f t="shared" si="0"/>
        <v>434289.06399999885</v>
      </c>
      <c r="C29" s="31">
        <f t="shared" si="0"/>
        <v>368103.41064639896</v>
      </c>
      <c r="D29" s="32">
        <f t="shared" si="0"/>
        <v>66185.653353599831</v>
      </c>
      <c r="E29" s="30">
        <f t="shared" si="15"/>
        <v>144763.02133333293</v>
      </c>
      <c r="F29" s="33">
        <f t="shared" si="15"/>
        <v>122701.136882133</v>
      </c>
      <c r="G29" s="34">
        <f t="shared" si="15"/>
        <v>22061.884451199941</v>
      </c>
      <c r="H29" s="31">
        <f t="shared" si="1"/>
        <v>4185.4233720000002</v>
      </c>
      <c r="I29" s="33">
        <f t="shared" si="1"/>
        <v>752.54662800000006</v>
      </c>
      <c r="J29" s="33">
        <f t="shared" si="1"/>
        <v>4937.97</v>
      </c>
      <c r="K29" s="37">
        <f t="shared" si="2"/>
        <v>-0.96588928612763769</v>
      </c>
      <c r="L29" s="36">
        <f>[1]BOA!$E29</f>
        <v>29030.078333333233</v>
      </c>
      <c r="M29" s="36">
        <f t="shared" si="16"/>
        <v>24605.894395333249</v>
      </c>
      <c r="N29" s="36">
        <f t="shared" si="17"/>
        <v>4424.1839379999847</v>
      </c>
      <c r="O29" s="36">
        <f t="shared" si="18"/>
        <v>0</v>
      </c>
      <c r="P29" s="36">
        <f t="shared" si="19"/>
        <v>0</v>
      </c>
      <c r="Q29" s="36"/>
      <c r="R29" s="36">
        <f t="shared" si="3"/>
        <v>-1</v>
      </c>
      <c r="S29" s="36">
        <f>[1]BOA!$F29</f>
        <v>43351.432333333236</v>
      </c>
      <c r="T29" s="36">
        <f t="shared" si="20"/>
        <v>36744.674045733249</v>
      </c>
      <c r="U29" s="36">
        <f t="shared" si="21"/>
        <v>6606.7582875999851</v>
      </c>
      <c r="V29" s="36">
        <f t="shared" si="22"/>
        <v>0</v>
      </c>
      <c r="W29" s="36">
        <f t="shared" si="23"/>
        <v>0</v>
      </c>
      <c r="X29" s="36"/>
      <c r="Y29" s="36">
        <f t="shared" si="4"/>
        <v>-1</v>
      </c>
      <c r="Z29" s="36">
        <f>[1]BOA!$G29</f>
        <v>29030.078333333233</v>
      </c>
      <c r="AA29" s="36">
        <f t="shared" si="24"/>
        <v>24605.894395333249</v>
      </c>
      <c r="AB29" s="36">
        <f t="shared" si="25"/>
        <v>4424.1839379999847</v>
      </c>
      <c r="AC29" s="36">
        <f t="shared" si="26"/>
        <v>0</v>
      </c>
      <c r="AD29" s="36">
        <f t="shared" si="27"/>
        <v>0</v>
      </c>
      <c r="AE29" s="36"/>
      <c r="AF29" s="36">
        <f t="shared" si="5"/>
        <v>-1</v>
      </c>
      <c r="AG29" s="36">
        <f>[1]BOA!$H29</f>
        <v>43351.432333333236</v>
      </c>
      <c r="AH29" s="36">
        <f t="shared" si="28"/>
        <v>36744.674045733249</v>
      </c>
      <c r="AI29" s="36">
        <f t="shared" si="29"/>
        <v>6606.7582875999851</v>
      </c>
      <c r="AJ29" s="36">
        <f t="shared" si="30"/>
        <v>0</v>
      </c>
      <c r="AK29" s="36">
        <f t="shared" si="31"/>
        <v>0</v>
      </c>
      <c r="AL29" s="36"/>
      <c r="AM29" s="36">
        <f t="shared" si="6"/>
        <v>-1</v>
      </c>
      <c r="AN29" s="36">
        <f>[1]BOA!$I29</f>
        <v>29030.078333333233</v>
      </c>
      <c r="AO29" s="36">
        <f t="shared" si="32"/>
        <v>24605.894395333249</v>
      </c>
      <c r="AP29" s="36">
        <f t="shared" si="33"/>
        <v>4424.1839379999847</v>
      </c>
      <c r="AQ29" s="36">
        <f t="shared" si="34"/>
        <v>0</v>
      </c>
      <c r="AR29" s="36">
        <f t="shared" si="35"/>
        <v>0</v>
      </c>
      <c r="AS29" s="33"/>
      <c r="AT29" s="37">
        <f t="shared" si="7"/>
        <v>-1</v>
      </c>
      <c r="AU29" s="36">
        <f>[1]BOA!$J29</f>
        <v>43351.432333333236</v>
      </c>
      <c r="AV29" s="31">
        <f t="shared" si="36"/>
        <v>36744.674045733249</v>
      </c>
      <c r="AW29" s="18">
        <f t="shared" si="37"/>
        <v>6606.7582875999851</v>
      </c>
      <c r="AX29" s="31">
        <f t="shared" si="38"/>
        <v>4185.4233720000002</v>
      </c>
      <c r="AY29" s="31">
        <f t="shared" si="39"/>
        <v>752.54662800000006</v>
      </c>
      <c r="AZ29" s="157">
        <v>4937.97</v>
      </c>
      <c r="BA29" s="37">
        <f t="shared" si="8"/>
        <v>-0.88609442100940328</v>
      </c>
      <c r="BB29" s="36">
        <f>[1]BOA!$K29</f>
        <v>29030.078333333233</v>
      </c>
      <c r="BC29" s="31">
        <f t="shared" si="40"/>
        <v>24605.894395333249</v>
      </c>
      <c r="BD29" s="18">
        <f t="shared" si="41"/>
        <v>4424.1839379999847</v>
      </c>
      <c r="BE29" s="31">
        <f t="shared" si="42"/>
        <v>0</v>
      </c>
      <c r="BF29" s="31">
        <f t="shared" si="43"/>
        <v>0</v>
      </c>
      <c r="BG29" s="33"/>
      <c r="BH29" s="37">
        <f t="shared" si="9"/>
        <v>-1</v>
      </c>
      <c r="BI29" s="36">
        <f>[1]BOA!$L29</f>
        <v>43351.432333333236</v>
      </c>
      <c r="BJ29" s="31">
        <f t="shared" si="44"/>
        <v>36744.674045733249</v>
      </c>
      <c r="BK29" s="18">
        <f t="shared" si="45"/>
        <v>6606.7582875999851</v>
      </c>
      <c r="BL29" s="31">
        <f t="shared" si="46"/>
        <v>0</v>
      </c>
      <c r="BM29" s="31">
        <f t="shared" si="47"/>
        <v>0</v>
      </c>
      <c r="BN29" s="33"/>
      <c r="BO29" s="37">
        <f t="shared" si="10"/>
        <v>-1</v>
      </c>
      <c r="BP29" s="36">
        <f>[1]BOA!$M29</f>
        <v>29030.078333333233</v>
      </c>
      <c r="BQ29" s="31">
        <f t="shared" si="48"/>
        <v>24605.894395333249</v>
      </c>
      <c r="BR29" s="18">
        <f t="shared" si="49"/>
        <v>4424.1839379999847</v>
      </c>
      <c r="BS29" s="31">
        <f t="shared" si="50"/>
        <v>0</v>
      </c>
      <c r="BT29" s="31">
        <f t="shared" si="51"/>
        <v>0</v>
      </c>
      <c r="BU29" s="33"/>
      <c r="BV29" s="37">
        <f t="shared" si="11"/>
        <v>-1</v>
      </c>
      <c r="BW29" s="36">
        <f>[1]BOA!$N29</f>
        <v>43351.432333333236</v>
      </c>
      <c r="BX29" s="31">
        <f t="shared" si="52"/>
        <v>36744.674045733249</v>
      </c>
      <c r="BY29" s="18">
        <f t="shared" si="53"/>
        <v>6606.7582875999851</v>
      </c>
      <c r="BZ29" s="31">
        <f t="shared" si="54"/>
        <v>0</v>
      </c>
      <c r="CA29" s="31">
        <f t="shared" si="55"/>
        <v>0</v>
      </c>
      <c r="CB29" s="33"/>
      <c r="CC29" s="37">
        <f t="shared" si="12"/>
        <v>-1</v>
      </c>
      <c r="CD29" s="36">
        <f>[1]BOA!$O29</f>
        <v>29030.078333333233</v>
      </c>
      <c r="CE29" s="31">
        <f t="shared" si="56"/>
        <v>24605.894395333249</v>
      </c>
      <c r="CF29" s="18">
        <f t="shared" si="57"/>
        <v>4424.1839379999847</v>
      </c>
      <c r="CG29" s="31">
        <f t="shared" si="58"/>
        <v>0</v>
      </c>
      <c r="CH29" s="31">
        <f t="shared" si="59"/>
        <v>0</v>
      </c>
      <c r="CI29" s="33"/>
      <c r="CJ29" s="37">
        <f t="shared" si="13"/>
        <v>-1</v>
      </c>
      <c r="CK29" s="36">
        <f>[1]BOA!$P29</f>
        <v>43351.432333333236</v>
      </c>
      <c r="CL29" s="31">
        <f t="shared" si="60"/>
        <v>36744.674045733249</v>
      </c>
      <c r="CM29" s="18">
        <f t="shared" si="61"/>
        <v>6606.7582875999851</v>
      </c>
      <c r="CN29" s="31">
        <f t="shared" si="62"/>
        <v>0</v>
      </c>
      <c r="CO29" s="31">
        <f t="shared" si="63"/>
        <v>0</v>
      </c>
      <c r="CP29" s="33"/>
      <c r="CQ29" s="37">
        <f t="shared" si="14"/>
        <v>-1</v>
      </c>
    </row>
    <row r="30" spans="1:95" s="26" customFormat="1" ht="16" customHeight="1" thickBot="1" x14ac:dyDescent="0.25">
      <c r="A30" s="29" t="s">
        <v>54</v>
      </c>
      <c r="B30" s="30">
        <f t="shared" si="0"/>
        <v>129999.99999999999</v>
      </c>
      <c r="C30" s="31">
        <f t="shared" si="0"/>
        <v>110187.99999999999</v>
      </c>
      <c r="D30" s="32">
        <f t="shared" si="0"/>
        <v>19812.000000000004</v>
      </c>
      <c r="E30" s="30">
        <f t="shared" si="15"/>
        <v>43333.333333333336</v>
      </c>
      <c r="F30" s="33">
        <f t="shared" si="15"/>
        <v>36729.333333333336</v>
      </c>
      <c r="G30" s="34">
        <f t="shared" si="15"/>
        <v>6604.0000000000009</v>
      </c>
      <c r="H30" s="31">
        <f t="shared" si="1"/>
        <v>19706.7</v>
      </c>
      <c r="I30" s="33">
        <f t="shared" si="1"/>
        <v>3543.3</v>
      </c>
      <c r="J30" s="33">
        <f t="shared" si="1"/>
        <v>23250</v>
      </c>
      <c r="K30" s="37">
        <f t="shared" si="2"/>
        <v>-0.46346153846153848</v>
      </c>
      <c r="L30" s="36">
        <f>[1]BOA!$E30</f>
        <v>10833.333333333334</v>
      </c>
      <c r="M30" s="36">
        <f t="shared" si="16"/>
        <v>9182.3333333333339</v>
      </c>
      <c r="N30" s="36">
        <f t="shared" si="17"/>
        <v>1651.0000000000002</v>
      </c>
      <c r="O30" s="36">
        <f t="shared" si="18"/>
        <v>0</v>
      </c>
      <c r="P30" s="36">
        <f t="shared" si="19"/>
        <v>0</v>
      </c>
      <c r="Q30" s="36"/>
      <c r="R30" s="36">
        <f t="shared" si="3"/>
        <v>-1</v>
      </c>
      <c r="S30" s="36">
        <f>[1]BOA!$F30</f>
        <v>10833.333333333334</v>
      </c>
      <c r="T30" s="36">
        <f t="shared" si="20"/>
        <v>9182.3333333333339</v>
      </c>
      <c r="U30" s="36">
        <f t="shared" si="21"/>
        <v>1651.0000000000002</v>
      </c>
      <c r="V30" s="36">
        <f t="shared" si="22"/>
        <v>0</v>
      </c>
      <c r="W30" s="36">
        <f t="shared" si="23"/>
        <v>0</v>
      </c>
      <c r="X30" s="36"/>
      <c r="Y30" s="36">
        <f t="shared" si="4"/>
        <v>-1</v>
      </c>
      <c r="Z30" s="36">
        <f>[1]BOA!$G30</f>
        <v>10833.333333333334</v>
      </c>
      <c r="AA30" s="36">
        <f t="shared" si="24"/>
        <v>9182.3333333333339</v>
      </c>
      <c r="AB30" s="36">
        <f t="shared" si="25"/>
        <v>1651.0000000000002</v>
      </c>
      <c r="AC30" s="36">
        <f t="shared" si="26"/>
        <v>0</v>
      </c>
      <c r="AD30" s="36">
        <f t="shared" si="27"/>
        <v>0</v>
      </c>
      <c r="AE30" s="36"/>
      <c r="AF30" s="36">
        <f t="shared" si="5"/>
        <v>-1</v>
      </c>
      <c r="AG30" s="36">
        <f>[1]BOA!$H30</f>
        <v>10833.333333333334</v>
      </c>
      <c r="AH30" s="36">
        <f t="shared" si="28"/>
        <v>9182.3333333333339</v>
      </c>
      <c r="AI30" s="36">
        <f t="shared" si="29"/>
        <v>1651.0000000000002</v>
      </c>
      <c r="AJ30" s="36">
        <f t="shared" si="30"/>
        <v>508.56</v>
      </c>
      <c r="AK30" s="36">
        <f t="shared" si="31"/>
        <v>91.44</v>
      </c>
      <c r="AL30" s="36">
        <f>600</f>
        <v>600</v>
      </c>
      <c r="AM30" s="36">
        <f t="shared" si="6"/>
        <v>-0.94461538461538463</v>
      </c>
      <c r="AN30" s="36">
        <f>[1]BOA!$I30</f>
        <v>10833.333333333334</v>
      </c>
      <c r="AO30" s="36">
        <f t="shared" si="32"/>
        <v>9182.3333333333339</v>
      </c>
      <c r="AP30" s="36">
        <f t="shared" si="33"/>
        <v>1651.0000000000002</v>
      </c>
      <c r="AQ30" s="36">
        <f t="shared" si="34"/>
        <v>5467.02</v>
      </c>
      <c r="AR30" s="36">
        <f t="shared" si="35"/>
        <v>982.98</v>
      </c>
      <c r="AS30" s="33">
        <v>6450</v>
      </c>
      <c r="AT30" s="37">
        <f t="shared" si="7"/>
        <v>-0.4046153846153846</v>
      </c>
      <c r="AU30" s="36">
        <f>[1]BOA!$J30</f>
        <v>10833.333333333334</v>
      </c>
      <c r="AV30" s="31">
        <f t="shared" si="36"/>
        <v>9182.3333333333339</v>
      </c>
      <c r="AW30" s="18">
        <f t="shared" si="37"/>
        <v>1651.0000000000002</v>
      </c>
      <c r="AX30" s="31">
        <f t="shared" si="38"/>
        <v>13731.119999999999</v>
      </c>
      <c r="AY30" s="31">
        <f t="shared" si="39"/>
        <v>2468.88</v>
      </c>
      <c r="AZ30" s="157">
        <v>16200</v>
      </c>
      <c r="BA30" s="37">
        <f t="shared" si="8"/>
        <v>0.49538461538461531</v>
      </c>
      <c r="BB30" s="36">
        <f>[1]BOA!$K30</f>
        <v>10833.333333333334</v>
      </c>
      <c r="BC30" s="31">
        <f t="shared" si="40"/>
        <v>9182.3333333333339</v>
      </c>
      <c r="BD30" s="18">
        <f t="shared" si="41"/>
        <v>1651.0000000000002</v>
      </c>
      <c r="BE30" s="31">
        <f t="shared" si="42"/>
        <v>0</v>
      </c>
      <c r="BF30" s="31">
        <f t="shared" si="43"/>
        <v>0</v>
      </c>
      <c r="BG30" s="33"/>
      <c r="BH30" s="37">
        <f t="shared" si="9"/>
        <v>-1</v>
      </c>
      <c r="BI30" s="36">
        <f>[1]BOA!$L30</f>
        <v>10833.333333333334</v>
      </c>
      <c r="BJ30" s="31">
        <f t="shared" si="44"/>
        <v>9182.3333333333339</v>
      </c>
      <c r="BK30" s="18">
        <f t="shared" si="45"/>
        <v>1651.0000000000002</v>
      </c>
      <c r="BL30" s="31">
        <f t="shared" si="46"/>
        <v>0</v>
      </c>
      <c r="BM30" s="31">
        <f t="shared" si="47"/>
        <v>0</v>
      </c>
      <c r="BN30" s="33"/>
      <c r="BO30" s="37">
        <f t="shared" si="10"/>
        <v>-1</v>
      </c>
      <c r="BP30" s="36">
        <f>[1]BOA!$M30</f>
        <v>10833.333333333334</v>
      </c>
      <c r="BQ30" s="31">
        <f t="shared" si="48"/>
        <v>9182.3333333333339</v>
      </c>
      <c r="BR30" s="18">
        <f t="shared" si="49"/>
        <v>1651.0000000000002</v>
      </c>
      <c r="BS30" s="31">
        <f t="shared" si="50"/>
        <v>0</v>
      </c>
      <c r="BT30" s="31">
        <f t="shared" si="51"/>
        <v>0</v>
      </c>
      <c r="BU30" s="33"/>
      <c r="BV30" s="37">
        <f t="shared" si="11"/>
        <v>-1</v>
      </c>
      <c r="BW30" s="36">
        <f>[1]BOA!$N30</f>
        <v>10833.333333333334</v>
      </c>
      <c r="BX30" s="31">
        <f t="shared" si="52"/>
        <v>9182.3333333333339</v>
      </c>
      <c r="BY30" s="18">
        <f t="shared" si="53"/>
        <v>1651.0000000000002</v>
      </c>
      <c r="BZ30" s="31">
        <f t="shared" si="54"/>
        <v>0</v>
      </c>
      <c r="CA30" s="31">
        <f t="shared" si="55"/>
        <v>0</v>
      </c>
      <c r="CB30" s="33"/>
      <c r="CC30" s="37">
        <f t="shared" si="12"/>
        <v>-1</v>
      </c>
      <c r="CD30" s="36">
        <f>[1]BOA!$O30</f>
        <v>10833.333333333334</v>
      </c>
      <c r="CE30" s="31">
        <f t="shared" si="56"/>
        <v>9182.3333333333339</v>
      </c>
      <c r="CF30" s="18">
        <f t="shared" si="57"/>
        <v>1651.0000000000002</v>
      </c>
      <c r="CG30" s="31">
        <f t="shared" si="58"/>
        <v>0</v>
      </c>
      <c r="CH30" s="31">
        <f t="shared" si="59"/>
        <v>0</v>
      </c>
      <c r="CI30" s="33"/>
      <c r="CJ30" s="37">
        <f t="shared" si="13"/>
        <v>-1</v>
      </c>
      <c r="CK30" s="36">
        <f>[1]BOA!$P30</f>
        <v>10833.333333333334</v>
      </c>
      <c r="CL30" s="31">
        <f t="shared" si="60"/>
        <v>9182.3333333333339</v>
      </c>
      <c r="CM30" s="18">
        <f t="shared" si="61"/>
        <v>1651.0000000000002</v>
      </c>
      <c r="CN30" s="31">
        <f t="shared" si="62"/>
        <v>0</v>
      </c>
      <c r="CO30" s="31">
        <f t="shared" si="63"/>
        <v>0</v>
      </c>
      <c r="CP30" s="33"/>
      <c r="CQ30" s="37">
        <f t="shared" si="14"/>
        <v>-1</v>
      </c>
    </row>
    <row r="31" spans="1:95" s="26" customFormat="1" ht="16" customHeight="1" thickBot="1" x14ac:dyDescent="0.25">
      <c r="A31" s="38" t="s">
        <v>55</v>
      </c>
      <c r="B31" s="30">
        <f t="shared" si="0"/>
        <v>70000.000000000015</v>
      </c>
      <c r="C31" s="31">
        <f t="shared" si="0"/>
        <v>59332.000000000007</v>
      </c>
      <c r="D31" s="32">
        <f t="shared" si="0"/>
        <v>10668</v>
      </c>
      <c r="E31" s="30">
        <f t="shared" si="15"/>
        <v>23333.333333333332</v>
      </c>
      <c r="F31" s="33">
        <f t="shared" si="15"/>
        <v>19777.333333333332</v>
      </c>
      <c r="G31" s="34">
        <f t="shared" si="15"/>
        <v>3556</v>
      </c>
      <c r="H31" s="31">
        <f t="shared" si="1"/>
        <v>115167.96361199999</v>
      </c>
      <c r="I31" s="33">
        <f t="shared" si="1"/>
        <v>20707.406388000003</v>
      </c>
      <c r="J31" s="33">
        <f t="shared" si="1"/>
        <v>135875.37000000002</v>
      </c>
      <c r="K31" s="37">
        <f t="shared" si="2"/>
        <v>4.8232301428571445</v>
      </c>
      <c r="L31" s="36">
        <f>[1]BOA!$E31</f>
        <v>5833.333333333333</v>
      </c>
      <c r="M31" s="36">
        <f t="shared" si="16"/>
        <v>4944.333333333333</v>
      </c>
      <c r="N31" s="36">
        <f t="shared" si="17"/>
        <v>889</v>
      </c>
      <c r="O31" s="36">
        <f t="shared" si="18"/>
        <v>53000.258480000004</v>
      </c>
      <c r="P31" s="36">
        <f t="shared" si="19"/>
        <v>9529.5415200000007</v>
      </c>
      <c r="Q31" s="36">
        <f>898.8+40731+9300+2100+9500</f>
        <v>62529.8</v>
      </c>
      <c r="R31" s="36">
        <f t="shared" si="3"/>
        <v>9.7193942857142872</v>
      </c>
      <c r="S31" s="36">
        <f>[1]BOA!$F31</f>
        <v>5833.333333333333</v>
      </c>
      <c r="T31" s="36">
        <f t="shared" si="20"/>
        <v>4944.333333333333</v>
      </c>
      <c r="U31" s="36">
        <f t="shared" si="21"/>
        <v>889</v>
      </c>
      <c r="V31" s="36">
        <f t="shared" si="22"/>
        <v>8531.6025599999994</v>
      </c>
      <c r="W31" s="36">
        <f t="shared" si="23"/>
        <v>1533.9974400000001</v>
      </c>
      <c r="X31" s="36">
        <f>1065.6+9000</f>
        <v>10065.6</v>
      </c>
      <c r="Y31" s="36">
        <f t="shared" si="4"/>
        <v>0.72553142857142872</v>
      </c>
      <c r="Z31" s="36">
        <f>[1]BOA!$G31</f>
        <v>5833.333333333333</v>
      </c>
      <c r="AA31" s="36">
        <f t="shared" si="24"/>
        <v>4944.333333333333</v>
      </c>
      <c r="AB31" s="36">
        <f t="shared" si="25"/>
        <v>889</v>
      </c>
      <c r="AC31" s="36">
        <f t="shared" si="26"/>
        <v>3368.633632</v>
      </c>
      <c r="AD31" s="36">
        <f t="shared" si="27"/>
        <v>605.68636800000002</v>
      </c>
      <c r="AE31" s="36">
        <f>3000+974.32</f>
        <v>3974.32</v>
      </c>
      <c r="AF31" s="36">
        <f t="shared" si="5"/>
        <v>-0.31868799999999997</v>
      </c>
      <c r="AG31" s="36">
        <f>[1]BOA!$H31</f>
        <v>5833.333333333333</v>
      </c>
      <c r="AH31" s="36">
        <f t="shared" si="28"/>
        <v>4944.333333333333</v>
      </c>
      <c r="AI31" s="36">
        <f t="shared" si="29"/>
        <v>889</v>
      </c>
      <c r="AJ31" s="36">
        <f t="shared" si="30"/>
        <v>50267.468939999999</v>
      </c>
      <c r="AK31" s="36">
        <f t="shared" si="31"/>
        <v>9038.1810600000008</v>
      </c>
      <c r="AL31" s="36">
        <f>12738.65+9785+10312.5+2955+23514.5</f>
        <v>59305.65</v>
      </c>
      <c r="AM31" s="36">
        <f t="shared" si="6"/>
        <v>9.1666828571428578</v>
      </c>
      <c r="AN31" s="36">
        <f>[1]BOA!$I31</f>
        <v>5833.333333333333</v>
      </c>
      <c r="AO31" s="36">
        <f t="shared" si="32"/>
        <v>4944.333333333333</v>
      </c>
      <c r="AP31" s="36">
        <f t="shared" si="33"/>
        <v>889</v>
      </c>
      <c r="AQ31" s="36">
        <f t="shared" si="34"/>
        <v>0</v>
      </c>
      <c r="AR31" s="36">
        <f t="shared" si="35"/>
        <v>0</v>
      </c>
      <c r="AS31" s="33"/>
      <c r="AT31" s="37">
        <f t="shared" si="7"/>
        <v>-1</v>
      </c>
      <c r="AU31" s="36">
        <f>[1]BOA!$J31</f>
        <v>5833.333333333333</v>
      </c>
      <c r="AV31" s="31">
        <f t="shared" si="36"/>
        <v>4944.333333333333</v>
      </c>
      <c r="AW31" s="18">
        <f t="shared" si="37"/>
        <v>889</v>
      </c>
      <c r="AX31" s="31">
        <f t="shared" si="38"/>
        <v>0</v>
      </c>
      <c r="AY31" s="31">
        <f t="shared" si="39"/>
        <v>0</v>
      </c>
      <c r="AZ31" s="157"/>
      <c r="BA31" s="37">
        <f t="shared" si="8"/>
        <v>-1</v>
      </c>
      <c r="BB31" s="36">
        <f>[1]BOA!$K31</f>
        <v>5833.333333333333</v>
      </c>
      <c r="BC31" s="31">
        <f t="shared" si="40"/>
        <v>4944.333333333333</v>
      </c>
      <c r="BD31" s="18">
        <f t="shared" si="41"/>
        <v>889</v>
      </c>
      <c r="BE31" s="31">
        <f t="shared" si="42"/>
        <v>0</v>
      </c>
      <c r="BF31" s="31">
        <f t="shared" si="43"/>
        <v>0</v>
      </c>
      <c r="BG31" s="33"/>
      <c r="BH31" s="37">
        <f t="shared" si="9"/>
        <v>-1</v>
      </c>
      <c r="BI31" s="36">
        <f>[1]BOA!$L31</f>
        <v>5833.333333333333</v>
      </c>
      <c r="BJ31" s="31">
        <f t="shared" si="44"/>
        <v>4944.333333333333</v>
      </c>
      <c r="BK31" s="18">
        <f t="shared" si="45"/>
        <v>889</v>
      </c>
      <c r="BL31" s="31">
        <f t="shared" si="46"/>
        <v>0</v>
      </c>
      <c r="BM31" s="31">
        <f t="shared" si="47"/>
        <v>0</v>
      </c>
      <c r="BN31" s="33"/>
      <c r="BO31" s="37">
        <f t="shared" si="10"/>
        <v>-1</v>
      </c>
      <c r="BP31" s="36">
        <f>[1]BOA!$M31</f>
        <v>5833.333333333333</v>
      </c>
      <c r="BQ31" s="31">
        <f t="shared" si="48"/>
        <v>4944.333333333333</v>
      </c>
      <c r="BR31" s="18">
        <f t="shared" si="49"/>
        <v>889</v>
      </c>
      <c r="BS31" s="31">
        <f t="shared" si="50"/>
        <v>0</v>
      </c>
      <c r="BT31" s="31">
        <f t="shared" si="51"/>
        <v>0</v>
      </c>
      <c r="BU31" s="33"/>
      <c r="BV31" s="37">
        <f t="shared" si="11"/>
        <v>-1</v>
      </c>
      <c r="BW31" s="36">
        <f>[1]BOA!$N31</f>
        <v>5833.333333333333</v>
      </c>
      <c r="BX31" s="31">
        <f t="shared" si="52"/>
        <v>4944.333333333333</v>
      </c>
      <c r="BY31" s="18">
        <f t="shared" si="53"/>
        <v>889</v>
      </c>
      <c r="BZ31" s="31">
        <f t="shared" si="54"/>
        <v>0</v>
      </c>
      <c r="CA31" s="31">
        <f t="shared" si="55"/>
        <v>0</v>
      </c>
      <c r="CB31" s="33"/>
      <c r="CC31" s="37">
        <f t="shared" si="12"/>
        <v>-1</v>
      </c>
      <c r="CD31" s="36">
        <f>[1]BOA!$O31</f>
        <v>5833.333333333333</v>
      </c>
      <c r="CE31" s="31">
        <f t="shared" si="56"/>
        <v>4944.333333333333</v>
      </c>
      <c r="CF31" s="18">
        <f t="shared" si="57"/>
        <v>889</v>
      </c>
      <c r="CG31" s="31">
        <f t="shared" si="58"/>
        <v>0</v>
      </c>
      <c r="CH31" s="31">
        <f t="shared" si="59"/>
        <v>0</v>
      </c>
      <c r="CI31" s="33"/>
      <c r="CJ31" s="37">
        <f t="shared" si="13"/>
        <v>-1</v>
      </c>
      <c r="CK31" s="36">
        <f>[1]BOA!$P31</f>
        <v>5833.333333333333</v>
      </c>
      <c r="CL31" s="31">
        <f t="shared" si="60"/>
        <v>4944.333333333333</v>
      </c>
      <c r="CM31" s="18">
        <f t="shared" si="61"/>
        <v>889</v>
      </c>
      <c r="CN31" s="31">
        <f t="shared" si="62"/>
        <v>0</v>
      </c>
      <c r="CO31" s="31">
        <f t="shared" si="63"/>
        <v>0</v>
      </c>
      <c r="CP31" s="33"/>
      <c r="CQ31" s="37">
        <f t="shared" si="14"/>
        <v>-1</v>
      </c>
    </row>
    <row r="32" spans="1:95" s="26" customFormat="1" ht="16" customHeight="1" thickBot="1" x14ac:dyDescent="0.25">
      <c r="A32" s="29" t="s">
        <v>125</v>
      </c>
      <c r="B32" s="30">
        <f t="shared" si="0"/>
        <v>5233437.4399999995</v>
      </c>
      <c r="C32" s="31">
        <f t="shared" si="0"/>
        <v>4435861.5741440002</v>
      </c>
      <c r="D32" s="32">
        <f t="shared" si="0"/>
        <v>797575.86585599987</v>
      </c>
      <c r="E32" s="30">
        <f t="shared" si="15"/>
        <v>2732288.8560000001</v>
      </c>
      <c r="F32" s="33">
        <f t="shared" si="15"/>
        <v>2315888.0343455998</v>
      </c>
      <c r="G32" s="34">
        <f t="shared" si="15"/>
        <v>416400.82165439997</v>
      </c>
      <c r="H32" s="31">
        <f t="shared" si="1"/>
        <v>3458265.2129999995</v>
      </c>
      <c r="I32" s="33">
        <f t="shared" si="1"/>
        <v>621802.28700000001</v>
      </c>
      <c r="J32" s="33">
        <f t="shared" si="1"/>
        <v>4080067.5</v>
      </c>
      <c r="K32" s="37">
        <f t="shared" si="2"/>
        <v>0.49327824217426008</v>
      </c>
      <c r="L32" s="36">
        <f>[1]BOA!$E32</f>
        <v>675081.52799999993</v>
      </c>
      <c r="M32" s="36">
        <f t="shared" si="16"/>
        <v>572199.10313279997</v>
      </c>
      <c r="N32" s="36">
        <f t="shared" si="17"/>
        <v>102882.4248672</v>
      </c>
      <c r="O32" s="36">
        <f t="shared" si="18"/>
        <v>986444.19478799985</v>
      </c>
      <c r="P32" s="36">
        <f t="shared" si="19"/>
        <v>177364.43521199998</v>
      </c>
      <c r="Q32" s="36">
        <f>563598.74+539850.33-1729.2+47914.56+14174.2</f>
        <v>1163808.6299999999</v>
      </c>
      <c r="R32" s="36">
        <f t="shared" si="3"/>
        <v>0.72395271049395382</v>
      </c>
      <c r="S32" s="36">
        <f>[1]BOA!$F32</f>
        <v>717943.77599999995</v>
      </c>
      <c r="T32" s="36">
        <f t="shared" si="20"/>
        <v>608529.14453759999</v>
      </c>
      <c r="U32" s="36">
        <f t="shared" si="21"/>
        <v>109414.63146239999</v>
      </c>
      <c r="V32" s="36">
        <f t="shared" si="22"/>
        <v>469380.67321600002</v>
      </c>
      <c r="W32" s="36">
        <f t="shared" si="23"/>
        <v>84395.486784000008</v>
      </c>
      <c r="X32" s="36">
        <f>501120.28+43086.92+9568.96</f>
        <v>553776.16</v>
      </c>
      <c r="Y32" s="36">
        <f t="shared" si="4"/>
        <v>-0.22866361056105866</v>
      </c>
      <c r="Z32" s="36">
        <f>[1]BOA!$G32</f>
        <v>688551.77599999995</v>
      </c>
      <c r="AA32" s="36">
        <f t="shared" si="24"/>
        <v>583616.4853376</v>
      </c>
      <c r="AB32" s="36">
        <f t="shared" si="25"/>
        <v>104935.2906624</v>
      </c>
      <c r="AC32" s="36">
        <f t="shared" si="26"/>
        <v>566749.65557599999</v>
      </c>
      <c r="AD32" s="36">
        <f t="shared" si="27"/>
        <v>101902.604424</v>
      </c>
      <c r="AE32" s="36">
        <f>611567.04+51054.02+6031.2</f>
        <v>668652.26</v>
      </c>
      <c r="AF32" s="36">
        <f t="shared" si="5"/>
        <v>-2.8900536885696715E-2</v>
      </c>
      <c r="AG32" s="36">
        <f>[1]BOA!$H32</f>
        <v>650711.77599999995</v>
      </c>
      <c r="AH32" s="36">
        <f t="shared" si="28"/>
        <v>551543.30133759999</v>
      </c>
      <c r="AI32" s="36">
        <f t="shared" si="29"/>
        <v>99168.474662399996</v>
      </c>
      <c r="AJ32" s="36">
        <f t="shared" si="30"/>
        <v>470433.80774000002</v>
      </c>
      <c r="AK32" s="36">
        <f t="shared" si="31"/>
        <v>84584.842260000005</v>
      </c>
      <c r="AL32" s="36">
        <f>551556.25+3462.4</f>
        <v>555018.65</v>
      </c>
      <c r="AM32" s="36">
        <f t="shared" si="6"/>
        <v>-0.14705915818557425</v>
      </c>
      <c r="AN32" s="36">
        <f>[1]BOA!$I32</f>
        <v>693574.02399999998</v>
      </c>
      <c r="AO32" s="36">
        <f t="shared" si="32"/>
        <v>587873.34274240001</v>
      </c>
      <c r="AP32" s="36">
        <f t="shared" si="33"/>
        <v>105700.68125760001</v>
      </c>
      <c r="AQ32" s="36">
        <f t="shared" si="34"/>
        <v>471137.68020800006</v>
      </c>
      <c r="AR32" s="36">
        <f t="shared" si="35"/>
        <v>84711.399792000011</v>
      </c>
      <c r="AS32" s="33">
        <v>555849.08000000007</v>
      </c>
      <c r="AT32" s="37">
        <f t="shared" si="7"/>
        <v>-0.19857281160229823</v>
      </c>
      <c r="AU32" s="36">
        <f>[1]BOA!$J32</f>
        <v>795289.52799999993</v>
      </c>
      <c r="AV32" s="31">
        <f t="shared" si="36"/>
        <v>674087.40393279993</v>
      </c>
      <c r="AW32" s="18">
        <f t="shared" si="37"/>
        <v>121202.1240672</v>
      </c>
      <c r="AX32" s="31">
        <f t="shared" si="38"/>
        <v>494119.20147199999</v>
      </c>
      <c r="AY32" s="31">
        <f t="shared" si="39"/>
        <v>88843.518528000001</v>
      </c>
      <c r="AZ32" s="157">
        <v>582962.72</v>
      </c>
      <c r="BA32" s="37">
        <f t="shared" si="8"/>
        <v>-0.26698051530234657</v>
      </c>
      <c r="BB32" s="36">
        <f>[1]BOA!$K32</f>
        <v>830125.03199999989</v>
      </c>
      <c r="BC32" s="31">
        <f t="shared" si="40"/>
        <v>703613.97712319996</v>
      </c>
      <c r="BD32" s="18">
        <f t="shared" si="41"/>
        <v>126511.05487679999</v>
      </c>
      <c r="BE32" s="31">
        <f t="shared" si="42"/>
        <v>0</v>
      </c>
      <c r="BF32" s="31">
        <f t="shared" si="43"/>
        <v>0</v>
      </c>
      <c r="BG32" s="33"/>
      <c r="BH32" s="37">
        <f t="shared" si="9"/>
        <v>-1</v>
      </c>
      <c r="BI32" s="36">
        <f>[1]BOA!$L32</f>
        <v>139920</v>
      </c>
      <c r="BJ32" s="31">
        <f t="shared" si="44"/>
        <v>118596.192</v>
      </c>
      <c r="BK32" s="18">
        <f t="shared" si="45"/>
        <v>21323.808000000001</v>
      </c>
      <c r="BL32" s="31">
        <f t="shared" si="46"/>
        <v>0</v>
      </c>
      <c r="BM32" s="31">
        <f t="shared" si="47"/>
        <v>0</v>
      </c>
      <c r="BN32" s="33"/>
      <c r="BO32" s="37">
        <f t="shared" si="10"/>
        <v>-1</v>
      </c>
      <c r="BP32" s="36">
        <f>[1]BOA!$M32</f>
        <v>34320</v>
      </c>
      <c r="BQ32" s="31">
        <f t="shared" si="48"/>
        <v>29089.631999999998</v>
      </c>
      <c r="BR32" s="18">
        <f t="shared" si="49"/>
        <v>5230.3680000000004</v>
      </c>
      <c r="BS32" s="31">
        <f t="shared" si="50"/>
        <v>0</v>
      </c>
      <c r="BT32" s="31">
        <f t="shared" si="51"/>
        <v>0</v>
      </c>
      <c r="BU32" s="33"/>
      <c r="BV32" s="37">
        <f t="shared" si="11"/>
        <v>-1</v>
      </c>
      <c r="BW32" s="36">
        <f>[1]BOA!$N32</f>
        <v>7920</v>
      </c>
      <c r="BX32" s="31">
        <f t="shared" si="52"/>
        <v>6712.9920000000002</v>
      </c>
      <c r="BY32" s="18">
        <f t="shared" si="53"/>
        <v>1207.008</v>
      </c>
      <c r="BZ32" s="31">
        <f t="shared" si="54"/>
        <v>0</v>
      </c>
      <c r="CA32" s="31">
        <f t="shared" si="55"/>
        <v>0</v>
      </c>
      <c r="CB32" s="33"/>
      <c r="CC32" s="37">
        <f t="shared" si="12"/>
        <v>-1</v>
      </c>
      <c r="CD32" s="36">
        <f>[1]BOA!$O32</f>
        <v>0</v>
      </c>
      <c r="CE32" s="31">
        <f t="shared" si="56"/>
        <v>0</v>
      </c>
      <c r="CF32" s="18">
        <f t="shared" si="57"/>
        <v>0</v>
      </c>
      <c r="CG32" s="31">
        <f t="shared" si="58"/>
        <v>0</v>
      </c>
      <c r="CH32" s="31">
        <f t="shared" si="59"/>
        <v>0</v>
      </c>
      <c r="CI32" s="33"/>
      <c r="CJ32" s="37" t="str">
        <f t="shared" si="13"/>
        <v/>
      </c>
      <c r="CK32" s="36">
        <f>[1]BOA!$P32</f>
        <v>0</v>
      </c>
      <c r="CL32" s="31">
        <f t="shared" si="60"/>
        <v>0</v>
      </c>
      <c r="CM32" s="18">
        <f t="shared" si="61"/>
        <v>0</v>
      </c>
      <c r="CN32" s="31">
        <f t="shared" si="62"/>
        <v>0</v>
      </c>
      <c r="CO32" s="31">
        <f t="shared" si="63"/>
        <v>0</v>
      </c>
      <c r="CP32" s="33"/>
      <c r="CQ32" s="37" t="str">
        <f t="shared" si="14"/>
        <v/>
      </c>
    </row>
    <row r="33" spans="1:95" s="26" customFormat="1" ht="16" customHeight="1" thickBot="1" x14ac:dyDescent="0.25">
      <c r="A33" s="29" t="s">
        <v>57</v>
      </c>
      <c r="B33" s="30">
        <f t="shared" si="0"/>
        <v>3330612.2448979593</v>
      </c>
      <c r="C33" s="31">
        <f t="shared" si="0"/>
        <v>2823026.9387755105</v>
      </c>
      <c r="D33" s="32">
        <f t="shared" si="0"/>
        <v>507585.30612244894</v>
      </c>
      <c r="E33" s="30">
        <f t="shared" si="15"/>
        <v>1956734.6938775512</v>
      </c>
      <c r="F33" s="33">
        <f t="shared" si="15"/>
        <v>1658528.3265306125</v>
      </c>
      <c r="G33" s="34">
        <f t="shared" si="15"/>
        <v>298206.36734693876</v>
      </c>
      <c r="H33" s="31">
        <f t="shared" si="1"/>
        <v>1850620.1316199999</v>
      </c>
      <c r="I33" s="33">
        <f t="shared" si="1"/>
        <v>332744.81838000001</v>
      </c>
      <c r="J33" s="33">
        <f t="shared" si="1"/>
        <v>2183364.9500000002</v>
      </c>
      <c r="K33" s="37">
        <f t="shared" si="2"/>
        <v>0.11582063569044632</v>
      </c>
      <c r="L33" s="36">
        <f>[1]BOA!$E33</f>
        <v>457959.18367346941</v>
      </c>
      <c r="M33" s="36">
        <f t="shared" si="16"/>
        <v>388166.20408163266</v>
      </c>
      <c r="N33" s="36">
        <f t="shared" si="17"/>
        <v>69792.979591836745</v>
      </c>
      <c r="O33" s="36">
        <f t="shared" si="18"/>
        <v>651780.50615600008</v>
      </c>
      <c r="P33" s="36">
        <f t="shared" si="19"/>
        <v>117191.30384400001</v>
      </c>
      <c r="Q33" s="36">
        <f>477390.83+291580.98</f>
        <v>768971.81</v>
      </c>
      <c r="R33" s="36">
        <f t="shared" si="3"/>
        <v>0.67912739260249566</v>
      </c>
      <c r="S33" s="36">
        <f>[1]BOA!$F33</f>
        <v>499591.8367346939</v>
      </c>
      <c r="T33" s="36">
        <f t="shared" si="20"/>
        <v>423454.04081632657</v>
      </c>
      <c r="U33" s="36">
        <f t="shared" si="21"/>
        <v>76137.795918367352</v>
      </c>
      <c r="V33" s="36">
        <f t="shared" si="22"/>
        <v>142540.11220799998</v>
      </c>
      <c r="W33" s="36">
        <f t="shared" si="23"/>
        <v>25628.967791999999</v>
      </c>
      <c r="X33" s="36">
        <f>168169.08</f>
        <v>168169.08</v>
      </c>
      <c r="Y33" s="36">
        <f t="shared" si="4"/>
        <v>-0.66338705392156871</v>
      </c>
      <c r="Z33" s="36">
        <f>[1]BOA!$G33</f>
        <v>499591.8367346939</v>
      </c>
      <c r="AA33" s="36">
        <f t="shared" si="24"/>
        <v>423454.04081632657</v>
      </c>
      <c r="AB33" s="36">
        <f t="shared" si="25"/>
        <v>76137.795918367352</v>
      </c>
      <c r="AC33" s="36">
        <f t="shared" si="26"/>
        <v>74607.794716000004</v>
      </c>
      <c r="AD33" s="36">
        <f t="shared" si="27"/>
        <v>13414.615284000001</v>
      </c>
      <c r="AE33" s="36">
        <v>88022.41</v>
      </c>
      <c r="AF33" s="36">
        <f t="shared" si="5"/>
        <v>-0.82381135253267979</v>
      </c>
      <c r="AG33" s="36">
        <f>[1]BOA!$H33</f>
        <v>499591.8367346939</v>
      </c>
      <c r="AH33" s="36">
        <f t="shared" si="28"/>
        <v>423454.04081632657</v>
      </c>
      <c r="AI33" s="36">
        <f t="shared" si="29"/>
        <v>76137.795918367352</v>
      </c>
      <c r="AJ33" s="36">
        <f t="shared" si="30"/>
        <v>17763.848232</v>
      </c>
      <c r="AK33" s="36">
        <f t="shared" si="31"/>
        <v>3193.9717680000003</v>
      </c>
      <c r="AL33" s="36">
        <v>20957.82</v>
      </c>
      <c r="AM33" s="36">
        <f t="shared" si="6"/>
        <v>-0.95805011519607841</v>
      </c>
      <c r="AN33" s="36">
        <f>[1]BOA!$I33</f>
        <v>541224.48979591834</v>
      </c>
      <c r="AO33" s="36">
        <f t="shared" si="32"/>
        <v>458741.87755102036</v>
      </c>
      <c r="AP33" s="36">
        <f t="shared" si="33"/>
        <v>82482.612244897959</v>
      </c>
      <c r="AQ33" s="36">
        <f t="shared" si="34"/>
        <v>430051.74503200001</v>
      </c>
      <c r="AR33" s="36">
        <f t="shared" si="35"/>
        <v>77324.074968000001</v>
      </c>
      <c r="AS33" s="33">
        <v>507375.82</v>
      </c>
      <c r="AT33" s="37">
        <f t="shared" si="7"/>
        <v>-6.2540905731523377E-2</v>
      </c>
      <c r="AU33" s="36">
        <f>[1]BOA!$J33</f>
        <v>457959.18367346941</v>
      </c>
      <c r="AV33" s="31">
        <f t="shared" si="36"/>
        <v>388166.20408163266</v>
      </c>
      <c r="AW33" s="18">
        <f t="shared" si="37"/>
        <v>69792.979591836745</v>
      </c>
      <c r="AX33" s="31">
        <f t="shared" si="38"/>
        <v>533876.12527600001</v>
      </c>
      <c r="AY33" s="31">
        <f t="shared" si="39"/>
        <v>95991.884724000003</v>
      </c>
      <c r="AZ33" s="157">
        <v>629868.01</v>
      </c>
      <c r="BA33" s="37">
        <f t="shared" si="8"/>
        <v>0.37538023573975043</v>
      </c>
      <c r="BB33" s="36">
        <f>[1]BOA!$K33</f>
        <v>374693.87755102041</v>
      </c>
      <c r="BC33" s="31">
        <f t="shared" si="40"/>
        <v>317590.53061224491</v>
      </c>
      <c r="BD33" s="18">
        <f t="shared" si="41"/>
        <v>57103.34693877551</v>
      </c>
      <c r="BE33" s="31">
        <f t="shared" si="42"/>
        <v>0</v>
      </c>
      <c r="BF33" s="31">
        <f t="shared" si="43"/>
        <v>0</v>
      </c>
      <c r="BG33" s="33"/>
      <c r="BH33" s="37">
        <f t="shared" si="9"/>
        <v>-1</v>
      </c>
      <c r="BI33" s="36">
        <f>[1]BOA!$L33</f>
        <v>0</v>
      </c>
      <c r="BJ33" s="31">
        <f t="shared" si="44"/>
        <v>0</v>
      </c>
      <c r="BK33" s="18">
        <f t="shared" si="45"/>
        <v>0</v>
      </c>
      <c r="BL33" s="31">
        <f t="shared" si="46"/>
        <v>0</v>
      </c>
      <c r="BM33" s="31">
        <f t="shared" si="47"/>
        <v>0</v>
      </c>
      <c r="BN33" s="33"/>
      <c r="BO33" s="37" t="str">
        <f t="shared" si="10"/>
        <v/>
      </c>
      <c r="BP33" s="36">
        <f>[1]BOA!$M33</f>
        <v>0</v>
      </c>
      <c r="BQ33" s="31">
        <f t="shared" si="48"/>
        <v>0</v>
      </c>
      <c r="BR33" s="18">
        <f t="shared" si="49"/>
        <v>0</v>
      </c>
      <c r="BS33" s="31">
        <f t="shared" si="50"/>
        <v>0</v>
      </c>
      <c r="BT33" s="31">
        <f t="shared" si="51"/>
        <v>0</v>
      </c>
      <c r="BU33" s="33"/>
      <c r="BV33" s="37" t="str">
        <f t="shared" si="11"/>
        <v/>
      </c>
      <c r="BW33" s="36">
        <f>[1]BOA!$N33</f>
        <v>0</v>
      </c>
      <c r="BX33" s="31">
        <f t="shared" si="52"/>
        <v>0</v>
      </c>
      <c r="BY33" s="18">
        <f t="shared" si="53"/>
        <v>0</v>
      </c>
      <c r="BZ33" s="31">
        <f t="shared" si="54"/>
        <v>0</v>
      </c>
      <c r="CA33" s="31">
        <f t="shared" si="55"/>
        <v>0</v>
      </c>
      <c r="CB33" s="33"/>
      <c r="CC33" s="37" t="str">
        <f t="shared" si="12"/>
        <v/>
      </c>
      <c r="CD33" s="36">
        <f>[1]BOA!$O33</f>
        <v>0</v>
      </c>
      <c r="CE33" s="31">
        <f t="shared" si="56"/>
        <v>0</v>
      </c>
      <c r="CF33" s="18">
        <f t="shared" si="57"/>
        <v>0</v>
      </c>
      <c r="CG33" s="31">
        <f t="shared" si="58"/>
        <v>0</v>
      </c>
      <c r="CH33" s="31">
        <f t="shared" si="59"/>
        <v>0</v>
      </c>
      <c r="CI33" s="33"/>
      <c r="CJ33" s="37" t="str">
        <f t="shared" si="13"/>
        <v/>
      </c>
      <c r="CK33" s="36">
        <f>[1]BOA!$P33</f>
        <v>0</v>
      </c>
      <c r="CL33" s="31">
        <f t="shared" si="60"/>
        <v>0</v>
      </c>
      <c r="CM33" s="18">
        <f t="shared" si="61"/>
        <v>0</v>
      </c>
      <c r="CN33" s="31">
        <f t="shared" si="62"/>
        <v>0</v>
      </c>
      <c r="CO33" s="31">
        <f t="shared" si="63"/>
        <v>0</v>
      </c>
      <c r="CP33" s="33"/>
      <c r="CQ33" s="37" t="str">
        <f t="shared" si="14"/>
        <v/>
      </c>
    </row>
    <row r="34" spans="1:95" s="26" customFormat="1" ht="16" customHeight="1" thickBot="1" x14ac:dyDescent="0.25">
      <c r="A34" s="29" t="s">
        <v>126</v>
      </c>
      <c r="B34" s="30">
        <f t="shared" si="0"/>
        <v>0</v>
      </c>
      <c r="C34" s="31">
        <f t="shared" si="0"/>
        <v>0</v>
      </c>
      <c r="D34" s="32">
        <f t="shared" si="0"/>
        <v>0</v>
      </c>
      <c r="E34" s="30">
        <f t="shared" si="15"/>
        <v>0</v>
      </c>
      <c r="F34" s="33">
        <f t="shared" si="15"/>
        <v>0</v>
      </c>
      <c r="G34" s="34">
        <f t="shared" si="15"/>
        <v>0</v>
      </c>
      <c r="H34" s="31">
        <f t="shared" si="1"/>
        <v>0</v>
      </c>
      <c r="I34" s="33">
        <f t="shared" si="1"/>
        <v>0</v>
      </c>
      <c r="J34" s="33">
        <f t="shared" si="1"/>
        <v>0</v>
      </c>
      <c r="K34" s="37" t="str">
        <f t="shared" si="2"/>
        <v/>
      </c>
      <c r="L34" s="36">
        <f>[1]BOA!$E34</f>
        <v>0</v>
      </c>
      <c r="M34" s="36">
        <f t="shared" si="16"/>
        <v>0</v>
      </c>
      <c r="N34" s="36">
        <f t="shared" si="17"/>
        <v>0</v>
      </c>
      <c r="O34" s="36">
        <f t="shared" si="18"/>
        <v>0</v>
      </c>
      <c r="P34" s="36">
        <f t="shared" si="19"/>
        <v>0</v>
      </c>
      <c r="Q34" s="36"/>
      <c r="R34" s="36" t="str">
        <f t="shared" si="3"/>
        <v/>
      </c>
      <c r="S34" s="36">
        <f>[1]BOA!$F34</f>
        <v>0</v>
      </c>
      <c r="T34" s="36">
        <f t="shared" si="20"/>
        <v>0</v>
      </c>
      <c r="U34" s="36">
        <f t="shared" si="21"/>
        <v>0</v>
      </c>
      <c r="V34" s="36">
        <f t="shared" si="22"/>
        <v>0</v>
      </c>
      <c r="W34" s="36">
        <f t="shared" si="23"/>
        <v>0</v>
      </c>
      <c r="X34" s="36"/>
      <c r="Y34" s="36" t="str">
        <f t="shared" si="4"/>
        <v/>
      </c>
      <c r="Z34" s="36">
        <f>[1]BOA!$G34</f>
        <v>0</v>
      </c>
      <c r="AA34" s="36">
        <f t="shared" si="24"/>
        <v>0</v>
      </c>
      <c r="AB34" s="36">
        <f t="shared" si="25"/>
        <v>0</v>
      </c>
      <c r="AC34" s="36">
        <f t="shared" si="26"/>
        <v>0</v>
      </c>
      <c r="AD34" s="36">
        <f t="shared" si="27"/>
        <v>0</v>
      </c>
      <c r="AE34" s="36"/>
      <c r="AF34" s="36" t="str">
        <f t="shared" si="5"/>
        <v/>
      </c>
      <c r="AG34" s="36">
        <f>[1]BOA!$H34</f>
        <v>0</v>
      </c>
      <c r="AH34" s="36">
        <f t="shared" si="28"/>
        <v>0</v>
      </c>
      <c r="AI34" s="36">
        <f t="shared" si="29"/>
        <v>0</v>
      </c>
      <c r="AJ34" s="36">
        <f t="shared" si="30"/>
        <v>0</v>
      </c>
      <c r="AK34" s="36">
        <f t="shared" si="31"/>
        <v>0</v>
      </c>
      <c r="AL34" s="36"/>
      <c r="AM34" s="36" t="str">
        <f t="shared" si="6"/>
        <v/>
      </c>
      <c r="AN34" s="36">
        <f>[1]BOA!$I34</f>
        <v>0</v>
      </c>
      <c r="AO34" s="36">
        <f t="shared" si="32"/>
        <v>0</v>
      </c>
      <c r="AP34" s="36">
        <f t="shared" si="33"/>
        <v>0</v>
      </c>
      <c r="AQ34" s="36">
        <f t="shared" si="34"/>
        <v>0</v>
      </c>
      <c r="AR34" s="36">
        <f t="shared" si="35"/>
        <v>0</v>
      </c>
      <c r="AS34" s="33"/>
      <c r="AT34" s="37" t="str">
        <f t="shared" si="7"/>
        <v/>
      </c>
      <c r="AU34" s="36">
        <f>[1]BOA!$J34</f>
        <v>0</v>
      </c>
      <c r="AV34" s="31">
        <f t="shared" si="36"/>
        <v>0</v>
      </c>
      <c r="AW34" s="18">
        <f t="shared" si="37"/>
        <v>0</v>
      </c>
      <c r="AX34" s="31">
        <f t="shared" si="38"/>
        <v>0</v>
      </c>
      <c r="AY34" s="31">
        <f t="shared" si="39"/>
        <v>0</v>
      </c>
      <c r="AZ34" s="157"/>
      <c r="BA34" s="37" t="str">
        <f t="shared" si="8"/>
        <v/>
      </c>
      <c r="BB34" s="36">
        <f>[1]BOA!$K34</f>
        <v>0</v>
      </c>
      <c r="BC34" s="31">
        <f t="shared" si="40"/>
        <v>0</v>
      </c>
      <c r="BD34" s="18">
        <f t="shared" si="41"/>
        <v>0</v>
      </c>
      <c r="BE34" s="31">
        <f t="shared" si="42"/>
        <v>0</v>
      </c>
      <c r="BF34" s="31">
        <f t="shared" si="43"/>
        <v>0</v>
      </c>
      <c r="BG34" s="33"/>
      <c r="BH34" s="37" t="str">
        <f t="shared" si="9"/>
        <v/>
      </c>
      <c r="BI34" s="36">
        <f>[1]BOA!$L34</f>
        <v>0</v>
      </c>
      <c r="BJ34" s="31">
        <f t="shared" si="44"/>
        <v>0</v>
      </c>
      <c r="BK34" s="18">
        <f t="shared" si="45"/>
        <v>0</v>
      </c>
      <c r="BL34" s="31">
        <f t="shared" si="46"/>
        <v>0</v>
      </c>
      <c r="BM34" s="31">
        <f t="shared" si="47"/>
        <v>0</v>
      </c>
      <c r="BN34" s="33"/>
      <c r="BO34" s="37" t="str">
        <f t="shared" si="10"/>
        <v/>
      </c>
      <c r="BP34" s="36">
        <f>[1]BOA!$M34</f>
        <v>0</v>
      </c>
      <c r="BQ34" s="31">
        <f t="shared" si="48"/>
        <v>0</v>
      </c>
      <c r="BR34" s="18">
        <f t="shared" si="49"/>
        <v>0</v>
      </c>
      <c r="BS34" s="31">
        <f t="shared" si="50"/>
        <v>0</v>
      </c>
      <c r="BT34" s="31">
        <f t="shared" si="51"/>
        <v>0</v>
      </c>
      <c r="BU34" s="33"/>
      <c r="BV34" s="37" t="str">
        <f t="shared" si="11"/>
        <v/>
      </c>
      <c r="BW34" s="36">
        <f>[1]BOA!$N34</f>
        <v>0</v>
      </c>
      <c r="BX34" s="31">
        <f t="shared" si="52"/>
        <v>0</v>
      </c>
      <c r="BY34" s="18">
        <f t="shared" si="53"/>
        <v>0</v>
      </c>
      <c r="BZ34" s="31">
        <f t="shared" si="54"/>
        <v>0</v>
      </c>
      <c r="CA34" s="31">
        <f t="shared" si="55"/>
        <v>0</v>
      </c>
      <c r="CB34" s="33"/>
      <c r="CC34" s="37" t="str">
        <f t="shared" si="12"/>
        <v/>
      </c>
      <c r="CD34" s="36">
        <f>[1]BOA!$O34</f>
        <v>0</v>
      </c>
      <c r="CE34" s="31">
        <f t="shared" si="56"/>
        <v>0</v>
      </c>
      <c r="CF34" s="18">
        <f t="shared" si="57"/>
        <v>0</v>
      </c>
      <c r="CG34" s="31">
        <f t="shared" si="58"/>
        <v>0</v>
      </c>
      <c r="CH34" s="31">
        <f t="shared" si="59"/>
        <v>0</v>
      </c>
      <c r="CI34" s="33"/>
      <c r="CJ34" s="37" t="str">
        <f t="shared" si="13"/>
        <v/>
      </c>
      <c r="CK34" s="36">
        <f>[1]BOA!$P34</f>
        <v>0</v>
      </c>
      <c r="CL34" s="31">
        <f t="shared" si="60"/>
        <v>0</v>
      </c>
      <c r="CM34" s="18">
        <f t="shared" si="61"/>
        <v>0</v>
      </c>
      <c r="CN34" s="31">
        <f t="shared" si="62"/>
        <v>0</v>
      </c>
      <c r="CO34" s="31">
        <f t="shared" si="63"/>
        <v>0</v>
      </c>
      <c r="CP34" s="33"/>
      <c r="CQ34" s="37" t="str">
        <f t="shared" si="14"/>
        <v/>
      </c>
    </row>
    <row r="35" spans="1:95" s="26" customFormat="1" ht="16" customHeight="1" thickBot="1" x14ac:dyDescent="0.25">
      <c r="A35" s="29" t="s">
        <v>59</v>
      </c>
      <c r="B35" s="30">
        <f t="shared" si="0"/>
        <v>0</v>
      </c>
      <c r="C35" s="31">
        <f t="shared" si="0"/>
        <v>0</v>
      </c>
      <c r="D35" s="32">
        <f t="shared" si="0"/>
        <v>0</v>
      </c>
      <c r="E35" s="30">
        <f t="shared" si="15"/>
        <v>0</v>
      </c>
      <c r="F35" s="33">
        <f t="shared" si="15"/>
        <v>0</v>
      </c>
      <c r="G35" s="34">
        <f t="shared" si="15"/>
        <v>0</v>
      </c>
      <c r="H35" s="31">
        <f t="shared" si="1"/>
        <v>0</v>
      </c>
      <c r="I35" s="33">
        <f t="shared" si="1"/>
        <v>0</v>
      </c>
      <c r="J35" s="33">
        <f t="shared" si="1"/>
        <v>0</v>
      </c>
      <c r="K35" s="37" t="str">
        <f t="shared" si="2"/>
        <v/>
      </c>
      <c r="L35" s="36">
        <f>[1]BOA!$E35</f>
        <v>0</v>
      </c>
      <c r="M35" s="36">
        <f t="shared" si="16"/>
        <v>0</v>
      </c>
      <c r="N35" s="36">
        <f t="shared" si="17"/>
        <v>0</v>
      </c>
      <c r="O35" s="36">
        <f t="shared" si="18"/>
        <v>0</v>
      </c>
      <c r="P35" s="36">
        <f t="shared" si="19"/>
        <v>0</v>
      </c>
      <c r="Q35" s="36"/>
      <c r="R35" s="36" t="str">
        <f t="shared" si="3"/>
        <v/>
      </c>
      <c r="S35" s="36">
        <f>[1]BOA!$F35</f>
        <v>0</v>
      </c>
      <c r="T35" s="36">
        <f t="shared" si="20"/>
        <v>0</v>
      </c>
      <c r="U35" s="36">
        <f t="shared" si="21"/>
        <v>0</v>
      </c>
      <c r="V35" s="36">
        <f t="shared" si="22"/>
        <v>0</v>
      </c>
      <c r="W35" s="36">
        <f t="shared" si="23"/>
        <v>0</v>
      </c>
      <c r="X35" s="36"/>
      <c r="Y35" s="36" t="str">
        <f t="shared" si="4"/>
        <v/>
      </c>
      <c r="Z35" s="36">
        <f>[1]BOA!$G35</f>
        <v>0</v>
      </c>
      <c r="AA35" s="36">
        <f t="shared" si="24"/>
        <v>0</v>
      </c>
      <c r="AB35" s="36">
        <f t="shared" si="25"/>
        <v>0</v>
      </c>
      <c r="AC35" s="36">
        <f t="shared" si="26"/>
        <v>0</v>
      </c>
      <c r="AD35" s="36">
        <f t="shared" si="27"/>
        <v>0</v>
      </c>
      <c r="AE35" s="36"/>
      <c r="AF35" s="36" t="str">
        <f t="shared" si="5"/>
        <v/>
      </c>
      <c r="AG35" s="36">
        <f>[1]BOA!$H35</f>
        <v>0</v>
      </c>
      <c r="AH35" s="36">
        <f t="shared" si="28"/>
        <v>0</v>
      </c>
      <c r="AI35" s="36">
        <f t="shared" si="29"/>
        <v>0</v>
      </c>
      <c r="AJ35" s="36">
        <f t="shared" si="30"/>
        <v>0</v>
      </c>
      <c r="AK35" s="36">
        <f t="shared" si="31"/>
        <v>0</v>
      </c>
      <c r="AL35" s="36"/>
      <c r="AM35" s="36" t="str">
        <f t="shared" si="6"/>
        <v/>
      </c>
      <c r="AN35" s="36">
        <f>[1]BOA!$I35</f>
        <v>0</v>
      </c>
      <c r="AO35" s="36">
        <f t="shared" si="32"/>
        <v>0</v>
      </c>
      <c r="AP35" s="36">
        <f t="shared" si="33"/>
        <v>0</v>
      </c>
      <c r="AQ35" s="36">
        <f t="shared" si="34"/>
        <v>0</v>
      </c>
      <c r="AR35" s="36">
        <f t="shared" si="35"/>
        <v>0</v>
      </c>
      <c r="AS35" s="33"/>
      <c r="AT35" s="37" t="str">
        <f t="shared" si="7"/>
        <v/>
      </c>
      <c r="AU35" s="36">
        <f>[1]BOA!$J35</f>
        <v>0</v>
      </c>
      <c r="AV35" s="31">
        <f t="shared" si="36"/>
        <v>0</v>
      </c>
      <c r="AW35" s="18">
        <f t="shared" si="37"/>
        <v>0</v>
      </c>
      <c r="AX35" s="31">
        <f t="shared" si="38"/>
        <v>0</v>
      </c>
      <c r="AY35" s="31">
        <f t="shared" si="39"/>
        <v>0</v>
      </c>
      <c r="AZ35" s="157"/>
      <c r="BA35" s="37" t="str">
        <f t="shared" si="8"/>
        <v/>
      </c>
      <c r="BB35" s="36">
        <f>[1]BOA!$K35</f>
        <v>0</v>
      </c>
      <c r="BC35" s="31">
        <f t="shared" si="40"/>
        <v>0</v>
      </c>
      <c r="BD35" s="18">
        <f t="shared" si="41"/>
        <v>0</v>
      </c>
      <c r="BE35" s="31">
        <f t="shared" si="42"/>
        <v>0</v>
      </c>
      <c r="BF35" s="31">
        <f t="shared" si="43"/>
        <v>0</v>
      </c>
      <c r="BG35" s="33"/>
      <c r="BH35" s="37" t="str">
        <f t="shared" si="9"/>
        <v/>
      </c>
      <c r="BI35" s="36">
        <f>[1]BOA!$L35</f>
        <v>0</v>
      </c>
      <c r="BJ35" s="31">
        <f t="shared" si="44"/>
        <v>0</v>
      </c>
      <c r="BK35" s="18">
        <f t="shared" si="45"/>
        <v>0</v>
      </c>
      <c r="BL35" s="31">
        <f t="shared" si="46"/>
        <v>0</v>
      </c>
      <c r="BM35" s="31">
        <f t="shared" si="47"/>
        <v>0</v>
      </c>
      <c r="BN35" s="33"/>
      <c r="BO35" s="37" t="str">
        <f t="shared" si="10"/>
        <v/>
      </c>
      <c r="BP35" s="36">
        <f>[1]BOA!$M35</f>
        <v>0</v>
      </c>
      <c r="BQ35" s="31">
        <f t="shared" si="48"/>
        <v>0</v>
      </c>
      <c r="BR35" s="18">
        <f t="shared" si="49"/>
        <v>0</v>
      </c>
      <c r="BS35" s="31">
        <f t="shared" si="50"/>
        <v>0</v>
      </c>
      <c r="BT35" s="31">
        <f t="shared" si="51"/>
        <v>0</v>
      </c>
      <c r="BU35" s="33"/>
      <c r="BV35" s="37" t="str">
        <f t="shared" si="11"/>
        <v/>
      </c>
      <c r="BW35" s="36">
        <f>[1]BOA!$N35</f>
        <v>0</v>
      </c>
      <c r="BX35" s="31">
        <f t="shared" si="52"/>
        <v>0</v>
      </c>
      <c r="BY35" s="18">
        <f t="shared" si="53"/>
        <v>0</v>
      </c>
      <c r="BZ35" s="31">
        <f t="shared" si="54"/>
        <v>0</v>
      </c>
      <c r="CA35" s="31">
        <f t="shared" si="55"/>
        <v>0</v>
      </c>
      <c r="CB35" s="33"/>
      <c r="CC35" s="37" t="str">
        <f t="shared" si="12"/>
        <v/>
      </c>
      <c r="CD35" s="36">
        <f>[1]BOA!$O35</f>
        <v>0</v>
      </c>
      <c r="CE35" s="31">
        <f t="shared" si="56"/>
        <v>0</v>
      </c>
      <c r="CF35" s="18">
        <f t="shared" si="57"/>
        <v>0</v>
      </c>
      <c r="CG35" s="31">
        <f t="shared" si="58"/>
        <v>0</v>
      </c>
      <c r="CH35" s="31">
        <f t="shared" si="59"/>
        <v>0</v>
      </c>
      <c r="CI35" s="33"/>
      <c r="CJ35" s="37" t="str">
        <f t="shared" si="13"/>
        <v/>
      </c>
      <c r="CK35" s="36">
        <f>[1]BOA!$P35</f>
        <v>0</v>
      </c>
      <c r="CL35" s="31">
        <f t="shared" si="60"/>
        <v>0</v>
      </c>
      <c r="CM35" s="18">
        <f t="shared" si="61"/>
        <v>0</v>
      </c>
      <c r="CN35" s="31">
        <f t="shared" si="62"/>
        <v>0</v>
      </c>
      <c r="CO35" s="31">
        <f t="shared" si="63"/>
        <v>0</v>
      </c>
      <c r="CP35" s="33"/>
      <c r="CQ35" s="37" t="str">
        <f t="shared" si="14"/>
        <v/>
      </c>
    </row>
    <row r="36" spans="1:95" s="26" customFormat="1" ht="16" customHeight="1" thickBot="1" x14ac:dyDescent="0.25">
      <c r="A36" s="38" t="s">
        <v>60</v>
      </c>
      <c r="B36" s="30">
        <f t="shared" ref="B36:D54" si="64">+L36+S36+Z36+AG36+AN36+AU36+BB36+BI36+BP36+BW36+CD36+CK36</f>
        <v>199999.99999999997</v>
      </c>
      <c r="C36" s="31">
        <f t="shared" si="64"/>
        <v>169520</v>
      </c>
      <c r="D36" s="32">
        <f t="shared" si="64"/>
        <v>30480.000000000004</v>
      </c>
      <c r="E36" s="30">
        <f t="shared" si="15"/>
        <v>66666.666666666672</v>
      </c>
      <c r="F36" s="33">
        <f t="shared" si="15"/>
        <v>56506.666666666672</v>
      </c>
      <c r="G36" s="34">
        <f t="shared" si="15"/>
        <v>10160.000000000002</v>
      </c>
      <c r="H36" s="31">
        <f t="shared" ref="H36:J54" si="65">+O36+V36+AC36+AJ36+AQ36+AX36+BE36+BL36+BS36+BZ36+CG36+CN36</f>
        <v>164301.95571920002</v>
      </c>
      <c r="I36" s="33">
        <f t="shared" si="65"/>
        <v>29541.786280800003</v>
      </c>
      <c r="J36" s="33">
        <f t="shared" si="65"/>
        <v>193843.74200000003</v>
      </c>
      <c r="K36" s="37">
        <f t="shared" si="2"/>
        <v>1.9076561300000003</v>
      </c>
      <c r="L36" s="36">
        <f>[1]BOA!$E36</f>
        <v>16666.666666666668</v>
      </c>
      <c r="M36" s="36">
        <f t="shared" si="16"/>
        <v>14126.666666666668</v>
      </c>
      <c r="N36" s="36">
        <f t="shared" si="17"/>
        <v>2540.0000000000005</v>
      </c>
      <c r="O36" s="36">
        <f t="shared" si="18"/>
        <v>34692.852843999994</v>
      </c>
      <c r="P36" s="36">
        <f t="shared" si="19"/>
        <v>6237.8371559999996</v>
      </c>
      <c r="Q36" s="36">
        <f>959.54+850+145+97.52+2474.07+11.37+132.55+590+625+31.2+240+580+1880+86.4+41.6+960+83.08+34.91+120+850+684.4+990+195+348+398+750+980+824+940+376+280+360+1180+96.66+14.41+94.68+2666.66+378.79+698.06+700+900+963+153.58+402.95+180+691.3+900+525.17+81.92+198+2977.44+995+93.5+682+869.4+1395+648+4527.53</f>
        <v>40930.689999999995</v>
      </c>
      <c r="R36" s="36">
        <f t="shared" si="3"/>
        <v>1.4558413999999997</v>
      </c>
      <c r="S36" s="36">
        <f>[1]BOA!$F36</f>
        <v>16666.666666666668</v>
      </c>
      <c r="T36" s="36">
        <f t="shared" si="20"/>
        <v>14126.666666666668</v>
      </c>
      <c r="U36" s="36">
        <f t="shared" si="21"/>
        <v>2540.0000000000005</v>
      </c>
      <c r="V36" s="36">
        <f t="shared" si="22"/>
        <v>24055.396560000001</v>
      </c>
      <c r="W36" s="36">
        <f t="shared" si="23"/>
        <v>4325.2034400000002</v>
      </c>
      <c r="X36" s="36">
        <f>2199.97+1899.97+900+900+850+850+105.32+2291.34+1145.66+1237.03+876.68+987.93+919.46+72.48+725.5+1350+850+1300+495+590+480+625+203.66+59.18+228+88.7+337.5+248+52.5+696+1518+1300+950+590+457.72</f>
        <v>28380.600000000002</v>
      </c>
      <c r="Y36" s="36">
        <f t="shared" si="4"/>
        <v>0.70283600000000002</v>
      </c>
      <c r="Z36" s="36">
        <f>[1]BOA!$G36</f>
        <v>16666.666666666668</v>
      </c>
      <c r="AA36" s="36">
        <f t="shared" si="24"/>
        <v>14126.666666666668</v>
      </c>
      <c r="AB36" s="36">
        <f t="shared" si="25"/>
        <v>2540.0000000000005</v>
      </c>
      <c r="AC36" s="36">
        <f t="shared" si="26"/>
        <v>32049.57155920002</v>
      </c>
      <c r="AD36" s="36">
        <f t="shared" si="27"/>
        <v>5762.5704408000038</v>
      </c>
      <c r="AE36" s="36">
        <f>594+2368.61+2368.61+2368.61+369.42+939.11+491.25+404.56+100+54.4+487.75+900+990+282.04+897+2700+600+1550+75.42+1830+480+99.11+77.27+708.2+8.22+8.522+422.5+57.99+87.58+800+881.2+45.57+42.61+11.44+1395+1860+47.34+836.8+559.93+349.68+881.53+552.78+900+832+156.13+260.35+107.02+869.4+195+37.08+72.19+920.4+840+72.55+468.16+58.48+760+600+79.33</f>
        <v>37812.142000000022</v>
      </c>
      <c r="AF36" s="36">
        <f t="shared" si="5"/>
        <v>1.2687285200000011</v>
      </c>
      <c r="AG36" s="36">
        <f>[1]BOA!$H36</f>
        <v>16666.666666666668</v>
      </c>
      <c r="AH36" s="36">
        <f t="shared" si="28"/>
        <v>14126.666666666668</v>
      </c>
      <c r="AI36" s="36">
        <f t="shared" si="29"/>
        <v>2540.0000000000005</v>
      </c>
      <c r="AJ36" s="36">
        <f t="shared" si="30"/>
        <v>36863.836151999996</v>
      </c>
      <c r="AK36" s="36">
        <f t="shared" si="31"/>
        <v>6628.1838479999997</v>
      </c>
      <c r="AL36" s="36">
        <f>944+522.74+728.68+221.74+900+424.12+803.97+168.06+795.48+795.48+766.94+174.84+192.21+1550+4.09+36.3+960+480+305.8+7500+300+700+195+67.17+760+637.2+637.2+987.2+990+789.6+810+28.43+653.86+514.21+1508+14.21+360+280+68.23+61.41+109.17+162.62+820+375+600+200+783.2+240+68.23+973.32+634.62+1312+53.6+381.6+1550+800+920.4+901.6+24.81+81.88+460+330.8+2378+155+540</f>
        <v>43492.02</v>
      </c>
      <c r="AM36" s="36">
        <f t="shared" si="6"/>
        <v>1.6095211999999997</v>
      </c>
      <c r="AN36" s="36">
        <f>[1]BOA!$I36</f>
        <v>16666.666666666668</v>
      </c>
      <c r="AO36" s="36">
        <f t="shared" si="32"/>
        <v>14126.666666666668</v>
      </c>
      <c r="AP36" s="36">
        <f t="shared" si="33"/>
        <v>2540.0000000000005</v>
      </c>
      <c r="AQ36" s="36">
        <f t="shared" si="34"/>
        <v>15566.648656000005</v>
      </c>
      <c r="AR36" s="36">
        <f t="shared" si="35"/>
        <v>2798.911344000001</v>
      </c>
      <c r="AS36" s="33">
        <v>18365.560000000005</v>
      </c>
      <c r="AT36" s="37">
        <f t="shared" si="7"/>
        <v>0.10193360000000018</v>
      </c>
      <c r="AU36" s="36">
        <f>[1]BOA!$J36</f>
        <v>16666.666666666668</v>
      </c>
      <c r="AV36" s="31">
        <f t="shared" si="36"/>
        <v>14126.666666666668</v>
      </c>
      <c r="AW36" s="18">
        <f t="shared" si="37"/>
        <v>2540.0000000000005</v>
      </c>
      <c r="AX36" s="31">
        <f t="shared" si="38"/>
        <v>21073.649948000006</v>
      </c>
      <c r="AY36" s="31">
        <f t="shared" si="39"/>
        <v>3789.0800520000012</v>
      </c>
      <c r="AZ36" s="159">
        <v>24862.730000000007</v>
      </c>
      <c r="BA36" s="37">
        <f t="shared" si="8"/>
        <v>0.4917638000000002</v>
      </c>
      <c r="BB36" s="36">
        <f>[1]BOA!$K36</f>
        <v>16666.666666666668</v>
      </c>
      <c r="BC36" s="31">
        <f t="shared" si="40"/>
        <v>14126.666666666668</v>
      </c>
      <c r="BD36" s="18">
        <f t="shared" si="41"/>
        <v>2540.0000000000005</v>
      </c>
      <c r="BE36" s="31">
        <f t="shared" si="42"/>
        <v>0</v>
      </c>
      <c r="BF36" s="31">
        <f t="shared" si="43"/>
        <v>0</v>
      </c>
      <c r="BG36" s="33"/>
      <c r="BH36" s="37">
        <f t="shared" si="9"/>
        <v>-1</v>
      </c>
      <c r="BI36" s="36">
        <f>[1]BOA!$L36</f>
        <v>16666.666666666668</v>
      </c>
      <c r="BJ36" s="31">
        <f t="shared" si="44"/>
        <v>14126.666666666668</v>
      </c>
      <c r="BK36" s="18">
        <f t="shared" si="45"/>
        <v>2540.0000000000005</v>
      </c>
      <c r="BL36" s="31">
        <f t="shared" si="46"/>
        <v>0</v>
      </c>
      <c r="BM36" s="31">
        <f t="shared" si="47"/>
        <v>0</v>
      </c>
      <c r="BN36" s="33"/>
      <c r="BO36" s="37">
        <f t="shared" si="10"/>
        <v>-1</v>
      </c>
      <c r="BP36" s="36">
        <f>[1]BOA!$M36</f>
        <v>16666.666666666668</v>
      </c>
      <c r="BQ36" s="31">
        <f t="shared" si="48"/>
        <v>14126.666666666668</v>
      </c>
      <c r="BR36" s="18">
        <f t="shared" si="49"/>
        <v>2540.0000000000005</v>
      </c>
      <c r="BS36" s="31">
        <f t="shared" si="50"/>
        <v>0</v>
      </c>
      <c r="BT36" s="31">
        <f t="shared" si="51"/>
        <v>0</v>
      </c>
      <c r="BU36" s="33"/>
      <c r="BV36" s="37">
        <f t="shared" si="11"/>
        <v>-1</v>
      </c>
      <c r="BW36" s="36">
        <f>[1]BOA!$N36</f>
        <v>16666.666666666668</v>
      </c>
      <c r="BX36" s="31">
        <f t="shared" si="52"/>
        <v>14126.666666666668</v>
      </c>
      <c r="BY36" s="18">
        <f t="shared" si="53"/>
        <v>2540.0000000000005</v>
      </c>
      <c r="BZ36" s="31">
        <f t="shared" si="54"/>
        <v>0</v>
      </c>
      <c r="CA36" s="31">
        <f t="shared" si="55"/>
        <v>0</v>
      </c>
      <c r="CB36" s="33"/>
      <c r="CC36" s="37">
        <f t="shared" si="12"/>
        <v>-1</v>
      </c>
      <c r="CD36" s="36">
        <f>[1]BOA!$O36</f>
        <v>16666.666666666668</v>
      </c>
      <c r="CE36" s="31">
        <f t="shared" si="56"/>
        <v>14126.666666666668</v>
      </c>
      <c r="CF36" s="18">
        <f t="shared" si="57"/>
        <v>2540.0000000000005</v>
      </c>
      <c r="CG36" s="31">
        <f t="shared" si="58"/>
        <v>0</v>
      </c>
      <c r="CH36" s="31">
        <f t="shared" si="59"/>
        <v>0</v>
      </c>
      <c r="CI36" s="33"/>
      <c r="CJ36" s="37">
        <f t="shared" si="13"/>
        <v>-1</v>
      </c>
      <c r="CK36" s="36">
        <f>[1]BOA!$P36</f>
        <v>16666.666666666668</v>
      </c>
      <c r="CL36" s="31">
        <f t="shared" si="60"/>
        <v>14126.666666666668</v>
      </c>
      <c r="CM36" s="18">
        <f t="shared" si="61"/>
        <v>2540.0000000000005</v>
      </c>
      <c r="CN36" s="31">
        <f t="shared" si="62"/>
        <v>0</v>
      </c>
      <c r="CO36" s="31">
        <f t="shared" si="63"/>
        <v>0</v>
      </c>
      <c r="CP36" s="33"/>
      <c r="CQ36" s="37">
        <f t="shared" si="14"/>
        <v>-1</v>
      </c>
    </row>
    <row r="37" spans="1:95" s="26" customFormat="1" ht="16" customHeight="1" thickBot="1" x14ac:dyDescent="0.25">
      <c r="A37" s="38" t="s">
        <v>61</v>
      </c>
      <c r="B37" s="30">
        <f t="shared" si="64"/>
        <v>199999.99999999997</v>
      </c>
      <c r="C37" s="31">
        <f t="shared" si="64"/>
        <v>169520</v>
      </c>
      <c r="D37" s="32">
        <f t="shared" si="64"/>
        <v>30480.000000000004</v>
      </c>
      <c r="E37" s="30">
        <f t="shared" ref="E37:G54" si="66">+L37+S37+Z37+AG37</f>
        <v>66666.666666666672</v>
      </c>
      <c r="F37" s="33">
        <f t="shared" si="66"/>
        <v>56506.666666666672</v>
      </c>
      <c r="G37" s="34">
        <f t="shared" si="66"/>
        <v>10160.000000000002</v>
      </c>
      <c r="H37" s="31">
        <f t="shared" si="65"/>
        <v>170156.31705279998</v>
      </c>
      <c r="I37" s="33">
        <f t="shared" si="65"/>
        <v>30594.410947199998</v>
      </c>
      <c r="J37" s="33">
        <f t="shared" si="65"/>
        <v>200750.72799999997</v>
      </c>
      <c r="K37" s="37">
        <f t="shared" si="2"/>
        <v>2.0112609199999993</v>
      </c>
      <c r="L37" s="36">
        <f>[1]BOA!$E37</f>
        <v>16666.666666666668</v>
      </c>
      <c r="M37" s="36">
        <f t="shared" si="16"/>
        <v>14126.666666666668</v>
      </c>
      <c r="N37" s="36">
        <f t="shared" si="17"/>
        <v>2540.0000000000005</v>
      </c>
      <c r="O37" s="36">
        <f t="shared" si="18"/>
        <v>21082.346324000009</v>
      </c>
      <c r="P37" s="36">
        <f t="shared" si="19"/>
        <v>3790.643676000002</v>
      </c>
      <c r="Q37" s="36">
        <f>(65242.44+561.24)-Q36</f>
        <v>24872.990000000013</v>
      </c>
      <c r="R37" s="36">
        <f t="shared" si="3"/>
        <v>0.49237940000000058</v>
      </c>
      <c r="S37" s="36">
        <f>[1]BOA!$F37</f>
        <v>16666.666666666668</v>
      </c>
      <c r="T37" s="36">
        <f t="shared" si="20"/>
        <v>14126.666666666668</v>
      </c>
      <c r="U37" s="36">
        <f t="shared" si="21"/>
        <v>2540.0000000000005</v>
      </c>
      <c r="V37" s="36">
        <f t="shared" si="22"/>
        <v>23194.845231999996</v>
      </c>
      <c r="W37" s="36">
        <f t="shared" si="23"/>
        <v>4170.474768</v>
      </c>
      <c r="X37" s="36">
        <f>(53737.79+723+28.68+996.45+260)-X36</f>
        <v>27365.319999999996</v>
      </c>
      <c r="Y37" s="36">
        <f t="shared" si="4"/>
        <v>0.64191919999999958</v>
      </c>
      <c r="Z37" s="36">
        <f>[1]BOA!$G37</f>
        <v>16666.666666666668</v>
      </c>
      <c r="AA37" s="36">
        <f t="shared" si="24"/>
        <v>14126.666666666668</v>
      </c>
      <c r="AB37" s="36">
        <f t="shared" si="25"/>
        <v>2540.0000000000005</v>
      </c>
      <c r="AC37" s="36">
        <f t="shared" si="26"/>
        <v>31755.603536799987</v>
      </c>
      <c r="AD37" s="36">
        <f t="shared" si="27"/>
        <v>5709.7144631999981</v>
      </c>
      <c r="AE37" s="36">
        <f>75277.46-AE36</f>
        <v>37465.317999999985</v>
      </c>
      <c r="AF37" s="36">
        <f t="shared" si="5"/>
        <v>1.2479190799999991</v>
      </c>
      <c r="AG37" s="36">
        <f>[1]BOA!$H37</f>
        <v>16666.666666666668</v>
      </c>
      <c r="AH37" s="36">
        <f t="shared" si="28"/>
        <v>14126.666666666668</v>
      </c>
      <c r="AI37" s="36">
        <f t="shared" si="29"/>
        <v>2540.0000000000005</v>
      </c>
      <c r="AJ37" s="36">
        <f t="shared" si="30"/>
        <v>38561.748472000007</v>
      </c>
      <c r="AK37" s="36">
        <f t="shared" si="31"/>
        <v>6933.4715280000019</v>
      </c>
      <c r="AL37" s="36">
        <f>88987.24-AL36</f>
        <v>45495.220000000008</v>
      </c>
      <c r="AM37" s="36">
        <f t="shared" si="6"/>
        <v>1.7297132000000004</v>
      </c>
      <c r="AN37" s="36">
        <f>[1]BOA!$I37</f>
        <v>16666.666666666668</v>
      </c>
      <c r="AO37" s="36">
        <f t="shared" si="32"/>
        <v>14126.666666666668</v>
      </c>
      <c r="AP37" s="36">
        <f t="shared" si="33"/>
        <v>2540.0000000000005</v>
      </c>
      <c r="AQ37" s="36">
        <f t="shared" si="34"/>
        <v>35896.004091999996</v>
      </c>
      <c r="AR37" s="36">
        <f t="shared" si="35"/>
        <v>6454.1659079999999</v>
      </c>
      <c r="AS37" s="33">
        <v>42350.17</v>
      </c>
      <c r="AT37" s="37">
        <f t="shared" si="7"/>
        <v>1.5410101999999997</v>
      </c>
      <c r="AU37" s="36">
        <f>[1]BOA!$J37</f>
        <v>16666.666666666668</v>
      </c>
      <c r="AV37" s="31">
        <f t="shared" si="36"/>
        <v>14126.666666666668</v>
      </c>
      <c r="AW37" s="18">
        <f t="shared" si="37"/>
        <v>2540.0000000000005</v>
      </c>
      <c r="AX37" s="31">
        <f t="shared" si="38"/>
        <v>19665.769395999996</v>
      </c>
      <c r="AY37" s="31">
        <f t="shared" si="39"/>
        <v>3535.9406039999994</v>
      </c>
      <c r="AZ37" s="159">
        <v>23201.709999999995</v>
      </c>
      <c r="BA37" s="37">
        <f t="shared" si="8"/>
        <v>0.39210259999999963</v>
      </c>
      <c r="BB37" s="36">
        <f>[1]BOA!$K37</f>
        <v>16666.666666666668</v>
      </c>
      <c r="BC37" s="31">
        <f t="shared" si="40"/>
        <v>14126.666666666668</v>
      </c>
      <c r="BD37" s="18">
        <f t="shared" si="41"/>
        <v>2540.0000000000005</v>
      </c>
      <c r="BE37" s="31">
        <f t="shared" si="42"/>
        <v>0</v>
      </c>
      <c r="BF37" s="31">
        <f t="shared" si="43"/>
        <v>0</v>
      </c>
      <c r="BG37" s="33"/>
      <c r="BH37" s="37">
        <f t="shared" si="9"/>
        <v>-1</v>
      </c>
      <c r="BI37" s="36">
        <f>[1]BOA!$L37</f>
        <v>16666.666666666668</v>
      </c>
      <c r="BJ37" s="31">
        <f t="shared" si="44"/>
        <v>14126.666666666668</v>
      </c>
      <c r="BK37" s="18">
        <f t="shared" si="45"/>
        <v>2540.0000000000005</v>
      </c>
      <c r="BL37" s="31">
        <f t="shared" si="46"/>
        <v>0</v>
      </c>
      <c r="BM37" s="31">
        <f t="shared" si="47"/>
        <v>0</v>
      </c>
      <c r="BN37" s="33"/>
      <c r="BO37" s="37">
        <f t="shared" si="10"/>
        <v>-1</v>
      </c>
      <c r="BP37" s="36">
        <f>[1]BOA!$M37</f>
        <v>16666.666666666668</v>
      </c>
      <c r="BQ37" s="31">
        <f t="shared" si="48"/>
        <v>14126.666666666668</v>
      </c>
      <c r="BR37" s="18">
        <f t="shared" si="49"/>
        <v>2540.0000000000005</v>
      </c>
      <c r="BS37" s="31">
        <f t="shared" si="50"/>
        <v>0</v>
      </c>
      <c r="BT37" s="31">
        <f t="shared" si="51"/>
        <v>0</v>
      </c>
      <c r="BU37" s="33"/>
      <c r="BV37" s="37">
        <f t="shared" si="11"/>
        <v>-1</v>
      </c>
      <c r="BW37" s="36">
        <f>[1]BOA!$N37</f>
        <v>16666.666666666668</v>
      </c>
      <c r="BX37" s="31">
        <f t="shared" si="52"/>
        <v>14126.666666666668</v>
      </c>
      <c r="BY37" s="18">
        <f t="shared" si="53"/>
        <v>2540.0000000000005</v>
      </c>
      <c r="BZ37" s="31">
        <f t="shared" si="54"/>
        <v>0</v>
      </c>
      <c r="CA37" s="31">
        <f t="shared" si="55"/>
        <v>0</v>
      </c>
      <c r="CB37" s="33"/>
      <c r="CC37" s="37">
        <f t="shared" si="12"/>
        <v>-1</v>
      </c>
      <c r="CD37" s="36">
        <f>[1]BOA!$O37</f>
        <v>16666.666666666668</v>
      </c>
      <c r="CE37" s="31">
        <f t="shared" si="56"/>
        <v>14126.666666666668</v>
      </c>
      <c r="CF37" s="18">
        <f t="shared" si="57"/>
        <v>2540.0000000000005</v>
      </c>
      <c r="CG37" s="31">
        <f t="shared" si="58"/>
        <v>0</v>
      </c>
      <c r="CH37" s="31">
        <f t="shared" si="59"/>
        <v>0</v>
      </c>
      <c r="CI37" s="33"/>
      <c r="CJ37" s="37">
        <f t="shared" si="13"/>
        <v>-1</v>
      </c>
      <c r="CK37" s="36">
        <f>[1]BOA!$P37</f>
        <v>16666.666666666668</v>
      </c>
      <c r="CL37" s="31">
        <f t="shared" si="60"/>
        <v>14126.666666666668</v>
      </c>
      <c r="CM37" s="18">
        <f t="shared" si="61"/>
        <v>2540.0000000000005</v>
      </c>
      <c r="CN37" s="31">
        <f t="shared" si="62"/>
        <v>0</v>
      </c>
      <c r="CO37" s="31">
        <f t="shared" si="63"/>
        <v>0</v>
      </c>
      <c r="CP37" s="33"/>
      <c r="CQ37" s="37">
        <f t="shared" si="14"/>
        <v>-1</v>
      </c>
    </row>
    <row r="38" spans="1:95" s="26" customFormat="1" ht="16" customHeight="1" thickBot="1" x14ac:dyDescent="0.25">
      <c r="A38" s="38" t="s">
        <v>62</v>
      </c>
      <c r="B38" s="30">
        <f t="shared" si="64"/>
        <v>30000</v>
      </c>
      <c r="C38" s="31">
        <f t="shared" si="64"/>
        <v>25428</v>
      </c>
      <c r="D38" s="32">
        <f t="shared" si="64"/>
        <v>4572</v>
      </c>
      <c r="E38" s="30">
        <f t="shared" si="66"/>
        <v>10000</v>
      </c>
      <c r="F38" s="33">
        <f t="shared" si="66"/>
        <v>8476</v>
      </c>
      <c r="G38" s="34">
        <f t="shared" si="66"/>
        <v>1524</v>
      </c>
      <c r="H38" s="31">
        <f t="shared" si="65"/>
        <v>45748.981148000006</v>
      </c>
      <c r="I38" s="33">
        <f t="shared" si="65"/>
        <v>8225.7488520000006</v>
      </c>
      <c r="J38" s="33">
        <f t="shared" si="65"/>
        <v>53974.729999999996</v>
      </c>
      <c r="K38" s="37">
        <f t="shared" si="2"/>
        <v>4.3974729999999997</v>
      </c>
      <c r="L38" s="36">
        <f>[1]BOA!$E38</f>
        <v>2500</v>
      </c>
      <c r="M38" s="36">
        <f t="shared" si="16"/>
        <v>2119</v>
      </c>
      <c r="N38" s="36">
        <f t="shared" si="17"/>
        <v>381</v>
      </c>
      <c r="O38" s="36">
        <f t="shared" si="18"/>
        <v>1188.2334880000001</v>
      </c>
      <c r="P38" s="36">
        <f t="shared" si="19"/>
        <v>213.64651200000003</v>
      </c>
      <c r="Q38" s="36">
        <f>1401.88</f>
        <v>1401.88</v>
      </c>
      <c r="R38" s="36">
        <f t="shared" si="3"/>
        <v>-0.43924799999999997</v>
      </c>
      <c r="S38" s="36">
        <f>[1]BOA!$F38</f>
        <v>2500</v>
      </c>
      <c r="T38" s="36">
        <f t="shared" si="20"/>
        <v>2119</v>
      </c>
      <c r="U38" s="36">
        <f t="shared" si="21"/>
        <v>381</v>
      </c>
      <c r="V38" s="36">
        <f t="shared" si="22"/>
        <v>8703.6314559999992</v>
      </c>
      <c r="W38" s="36">
        <f t="shared" si="23"/>
        <v>1564.9285440000001</v>
      </c>
      <c r="X38" s="36">
        <f>10268.56</f>
        <v>10268.56</v>
      </c>
      <c r="Y38" s="36">
        <f t="shared" si="4"/>
        <v>3.107424</v>
      </c>
      <c r="Z38" s="36">
        <f>[1]BOA!$G38</f>
        <v>2500</v>
      </c>
      <c r="AA38" s="36">
        <f t="shared" si="24"/>
        <v>2119</v>
      </c>
      <c r="AB38" s="36">
        <f t="shared" si="25"/>
        <v>381</v>
      </c>
      <c r="AC38" s="36">
        <f t="shared" si="26"/>
        <v>24168.059551999999</v>
      </c>
      <c r="AD38" s="36">
        <f t="shared" si="27"/>
        <v>4345.4604480000007</v>
      </c>
      <c r="AE38" s="36">
        <f>28513.52</f>
        <v>28513.52</v>
      </c>
      <c r="AF38" s="36">
        <f t="shared" si="5"/>
        <v>10.405408</v>
      </c>
      <c r="AG38" s="36">
        <f>[1]BOA!$H38</f>
        <v>2500</v>
      </c>
      <c r="AH38" s="36">
        <f t="shared" si="28"/>
        <v>2119</v>
      </c>
      <c r="AI38" s="36">
        <f t="shared" si="29"/>
        <v>381</v>
      </c>
      <c r="AJ38" s="36">
        <f t="shared" si="30"/>
        <v>3245.6807760000002</v>
      </c>
      <c r="AK38" s="36">
        <f t="shared" si="31"/>
        <v>583.57922400000007</v>
      </c>
      <c r="AL38" s="36">
        <f>3829.26</f>
        <v>3829.26</v>
      </c>
      <c r="AM38" s="36">
        <f t="shared" si="6"/>
        <v>0.53170400000000018</v>
      </c>
      <c r="AN38" s="36">
        <f>[1]BOA!$I38</f>
        <v>2500</v>
      </c>
      <c r="AO38" s="36">
        <f t="shared" si="32"/>
        <v>2119</v>
      </c>
      <c r="AP38" s="36">
        <f t="shared" si="33"/>
        <v>381</v>
      </c>
      <c r="AQ38" s="36">
        <f t="shared" si="34"/>
        <v>4265.7165199999999</v>
      </c>
      <c r="AR38" s="36">
        <f t="shared" si="35"/>
        <v>766.98347999999999</v>
      </c>
      <c r="AS38" s="33">
        <v>5032.7</v>
      </c>
      <c r="AT38" s="37">
        <f t="shared" si="7"/>
        <v>1.01308</v>
      </c>
      <c r="AU38" s="36">
        <f>[1]BOA!$J38</f>
        <v>2500</v>
      </c>
      <c r="AV38" s="31">
        <f t="shared" si="36"/>
        <v>2119</v>
      </c>
      <c r="AW38" s="18">
        <f t="shared" si="37"/>
        <v>381</v>
      </c>
      <c r="AX38" s="31">
        <f t="shared" si="38"/>
        <v>4177.6593560000001</v>
      </c>
      <c r="AY38" s="31">
        <f t="shared" si="39"/>
        <v>751.15064400000006</v>
      </c>
      <c r="AZ38" s="159">
        <v>4928.8100000000004</v>
      </c>
      <c r="BA38" s="37">
        <f t="shared" si="8"/>
        <v>0.97152400000000005</v>
      </c>
      <c r="BB38" s="36">
        <f>[1]BOA!$K38</f>
        <v>2500</v>
      </c>
      <c r="BC38" s="31">
        <f t="shared" si="40"/>
        <v>2119</v>
      </c>
      <c r="BD38" s="18">
        <f t="shared" si="41"/>
        <v>381</v>
      </c>
      <c r="BE38" s="31">
        <f t="shared" si="42"/>
        <v>0</v>
      </c>
      <c r="BF38" s="31">
        <f t="shared" si="43"/>
        <v>0</v>
      </c>
      <c r="BG38" s="33"/>
      <c r="BH38" s="37">
        <f t="shared" si="9"/>
        <v>-1</v>
      </c>
      <c r="BI38" s="36">
        <f>[1]BOA!$L38</f>
        <v>2500</v>
      </c>
      <c r="BJ38" s="31">
        <f t="shared" si="44"/>
        <v>2119</v>
      </c>
      <c r="BK38" s="18">
        <f t="shared" si="45"/>
        <v>381</v>
      </c>
      <c r="BL38" s="31">
        <f t="shared" si="46"/>
        <v>0</v>
      </c>
      <c r="BM38" s="31">
        <f t="shared" si="47"/>
        <v>0</v>
      </c>
      <c r="BN38" s="33"/>
      <c r="BO38" s="37">
        <f t="shared" si="10"/>
        <v>-1</v>
      </c>
      <c r="BP38" s="36">
        <f>[1]BOA!$M38</f>
        <v>2500</v>
      </c>
      <c r="BQ38" s="31">
        <f t="shared" si="48"/>
        <v>2119</v>
      </c>
      <c r="BR38" s="18">
        <f t="shared" si="49"/>
        <v>381</v>
      </c>
      <c r="BS38" s="31">
        <f t="shared" si="50"/>
        <v>0</v>
      </c>
      <c r="BT38" s="31">
        <f t="shared" si="51"/>
        <v>0</v>
      </c>
      <c r="BU38" s="33"/>
      <c r="BV38" s="37">
        <f t="shared" si="11"/>
        <v>-1</v>
      </c>
      <c r="BW38" s="36">
        <f>[1]BOA!$N38</f>
        <v>2500</v>
      </c>
      <c r="BX38" s="31">
        <f t="shared" si="52"/>
        <v>2119</v>
      </c>
      <c r="BY38" s="18">
        <f t="shared" si="53"/>
        <v>381</v>
      </c>
      <c r="BZ38" s="31">
        <f t="shared" si="54"/>
        <v>0</v>
      </c>
      <c r="CA38" s="31">
        <f t="shared" si="55"/>
        <v>0</v>
      </c>
      <c r="CB38" s="33"/>
      <c r="CC38" s="37">
        <f t="shared" si="12"/>
        <v>-1</v>
      </c>
      <c r="CD38" s="36">
        <f>[1]BOA!$O38</f>
        <v>2500</v>
      </c>
      <c r="CE38" s="31">
        <f t="shared" si="56"/>
        <v>2119</v>
      </c>
      <c r="CF38" s="18">
        <f t="shared" si="57"/>
        <v>381</v>
      </c>
      <c r="CG38" s="31">
        <f t="shared" si="58"/>
        <v>0</v>
      </c>
      <c r="CH38" s="31">
        <f t="shared" si="59"/>
        <v>0</v>
      </c>
      <c r="CI38" s="33"/>
      <c r="CJ38" s="37">
        <f t="shared" si="13"/>
        <v>-1</v>
      </c>
      <c r="CK38" s="36">
        <f>[1]BOA!$P38</f>
        <v>2500</v>
      </c>
      <c r="CL38" s="31">
        <f t="shared" si="60"/>
        <v>2119</v>
      </c>
      <c r="CM38" s="18">
        <f t="shared" si="61"/>
        <v>381</v>
      </c>
      <c r="CN38" s="31">
        <f t="shared" si="62"/>
        <v>0</v>
      </c>
      <c r="CO38" s="31">
        <f t="shared" si="63"/>
        <v>0</v>
      </c>
      <c r="CP38" s="33"/>
      <c r="CQ38" s="37">
        <f t="shared" si="14"/>
        <v>-1</v>
      </c>
    </row>
    <row r="39" spans="1:95" s="26" customFormat="1" ht="16" customHeight="1" thickBot="1" x14ac:dyDescent="0.25">
      <c r="A39" s="38" t="s">
        <v>63</v>
      </c>
      <c r="B39" s="30">
        <f t="shared" si="64"/>
        <v>12000</v>
      </c>
      <c r="C39" s="31">
        <f t="shared" si="64"/>
        <v>10171.200000000003</v>
      </c>
      <c r="D39" s="32">
        <f t="shared" si="64"/>
        <v>1828.8000000000004</v>
      </c>
      <c r="E39" s="30">
        <f t="shared" si="66"/>
        <v>4000</v>
      </c>
      <c r="F39" s="33">
        <f t="shared" si="66"/>
        <v>3390.4</v>
      </c>
      <c r="G39" s="34">
        <f t="shared" si="66"/>
        <v>609.6</v>
      </c>
      <c r="H39" s="31">
        <f t="shared" si="65"/>
        <v>19140.070924</v>
      </c>
      <c r="I39" s="33">
        <f t="shared" si="65"/>
        <v>3441.4190759999997</v>
      </c>
      <c r="J39" s="33">
        <f t="shared" si="65"/>
        <v>22581.489999999998</v>
      </c>
      <c r="K39" s="37">
        <f t="shared" si="2"/>
        <v>4.6453724999999997</v>
      </c>
      <c r="L39" s="36">
        <f>[1]BOA!$E39</f>
        <v>1000</v>
      </c>
      <c r="M39" s="36">
        <f t="shared" si="16"/>
        <v>847.6</v>
      </c>
      <c r="N39" s="36">
        <f t="shared" si="17"/>
        <v>152.4</v>
      </c>
      <c r="O39" s="36">
        <f t="shared" si="18"/>
        <v>1497.7431039999999</v>
      </c>
      <c r="P39" s="36">
        <f t="shared" si="19"/>
        <v>269.296896</v>
      </c>
      <c r="Q39" s="36">
        <f>1314.36+452.68</f>
        <v>1767.04</v>
      </c>
      <c r="R39" s="36">
        <f t="shared" si="3"/>
        <v>0.76703999999999994</v>
      </c>
      <c r="S39" s="36">
        <f>[1]BOA!$F39</f>
        <v>1000</v>
      </c>
      <c r="T39" s="36">
        <f t="shared" si="20"/>
        <v>847.6</v>
      </c>
      <c r="U39" s="36">
        <f t="shared" si="21"/>
        <v>152.4</v>
      </c>
      <c r="V39" s="36">
        <f t="shared" si="22"/>
        <v>0</v>
      </c>
      <c r="W39" s="36">
        <f t="shared" si="23"/>
        <v>0</v>
      </c>
      <c r="X39" s="36"/>
      <c r="Y39" s="36">
        <f t="shared" si="4"/>
        <v>-1</v>
      </c>
      <c r="Z39" s="36">
        <f>[1]BOA!$G39</f>
        <v>1000</v>
      </c>
      <c r="AA39" s="36">
        <f t="shared" si="24"/>
        <v>847.6</v>
      </c>
      <c r="AB39" s="36">
        <f t="shared" si="25"/>
        <v>152.4</v>
      </c>
      <c r="AC39" s="36">
        <f t="shared" si="26"/>
        <v>0</v>
      </c>
      <c r="AD39" s="36">
        <f t="shared" si="27"/>
        <v>0</v>
      </c>
      <c r="AE39" s="36"/>
      <c r="AF39" s="36">
        <f t="shared" si="5"/>
        <v>-1</v>
      </c>
      <c r="AG39" s="36">
        <f>[1]BOA!$H39</f>
        <v>1000</v>
      </c>
      <c r="AH39" s="36">
        <f t="shared" si="28"/>
        <v>847.6</v>
      </c>
      <c r="AI39" s="36">
        <f t="shared" si="29"/>
        <v>152.4</v>
      </c>
      <c r="AJ39" s="36">
        <f t="shared" si="30"/>
        <v>16209.587159999999</v>
      </c>
      <c r="AK39" s="36">
        <f t="shared" si="31"/>
        <v>2914.5128399999999</v>
      </c>
      <c r="AL39" s="36">
        <f>19027.8+96.3</f>
        <v>19124.099999999999</v>
      </c>
      <c r="AM39" s="36">
        <f t="shared" si="6"/>
        <v>18.124099999999999</v>
      </c>
      <c r="AN39" s="36">
        <f>[1]BOA!$I39</f>
        <v>1000</v>
      </c>
      <c r="AO39" s="36">
        <f t="shared" si="32"/>
        <v>847.6</v>
      </c>
      <c r="AP39" s="36">
        <f t="shared" si="33"/>
        <v>152.4</v>
      </c>
      <c r="AQ39" s="36">
        <f t="shared" si="34"/>
        <v>782.63146000000006</v>
      </c>
      <c r="AR39" s="36">
        <f t="shared" si="35"/>
        <v>140.71854000000002</v>
      </c>
      <c r="AS39" s="33">
        <v>923.35</v>
      </c>
      <c r="AT39" s="37">
        <f t="shared" si="7"/>
        <v>-7.6649999999999996E-2</v>
      </c>
      <c r="AU39" s="36">
        <f>[1]BOA!$J39</f>
        <v>1000</v>
      </c>
      <c r="AV39" s="31">
        <f t="shared" si="36"/>
        <v>847.6</v>
      </c>
      <c r="AW39" s="18">
        <f t="shared" si="37"/>
        <v>152.4</v>
      </c>
      <c r="AX39" s="31">
        <f t="shared" si="38"/>
        <v>650.10919999999999</v>
      </c>
      <c r="AY39" s="31">
        <f t="shared" si="39"/>
        <v>116.89080000000001</v>
      </c>
      <c r="AZ39" s="159">
        <v>767</v>
      </c>
      <c r="BA39" s="37">
        <f t="shared" si="8"/>
        <v>-0.23299999999999998</v>
      </c>
      <c r="BB39" s="36">
        <f>[1]BOA!$K39</f>
        <v>1000</v>
      </c>
      <c r="BC39" s="31">
        <f t="shared" si="40"/>
        <v>847.6</v>
      </c>
      <c r="BD39" s="18">
        <f t="shared" si="41"/>
        <v>152.4</v>
      </c>
      <c r="BE39" s="31">
        <f t="shared" si="42"/>
        <v>0</v>
      </c>
      <c r="BF39" s="31">
        <f t="shared" si="43"/>
        <v>0</v>
      </c>
      <c r="BG39" s="33"/>
      <c r="BH39" s="37">
        <f t="shared" si="9"/>
        <v>-1</v>
      </c>
      <c r="BI39" s="36">
        <f>[1]BOA!$L39</f>
        <v>1000</v>
      </c>
      <c r="BJ39" s="31">
        <f t="shared" si="44"/>
        <v>847.6</v>
      </c>
      <c r="BK39" s="18">
        <f t="shared" si="45"/>
        <v>152.4</v>
      </c>
      <c r="BL39" s="31">
        <f t="shared" si="46"/>
        <v>0</v>
      </c>
      <c r="BM39" s="31">
        <f t="shared" si="47"/>
        <v>0</v>
      </c>
      <c r="BN39" s="33"/>
      <c r="BO39" s="37">
        <f t="shared" si="10"/>
        <v>-1</v>
      </c>
      <c r="BP39" s="36">
        <f>[1]BOA!$M39</f>
        <v>1000</v>
      </c>
      <c r="BQ39" s="31">
        <f t="shared" si="48"/>
        <v>847.6</v>
      </c>
      <c r="BR39" s="18">
        <f t="shared" si="49"/>
        <v>152.4</v>
      </c>
      <c r="BS39" s="31">
        <f t="shared" si="50"/>
        <v>0</v>
      </c>
      <c r="BT39" s="31">
        <f t="shared" si="51"/>
        <v>0</v>
      </c>
      <c r="BU39" s="33"/>
      <c r="BV39" s="37">
        <f t="shared" si="11"/>
        <v>-1</v>
      </c>
      <c r="BW39" s="36">
        <f>[1]BOA!$N39</f>
        <v>1000</v>
      </c>
      <c r="BX39" s="31">
        <f t="shared" si="52"/>
        <v>847.6</v>
      </c>
      <c r="BY39" s="18">
        <f t="shared" si="53"/>
        <v>152.4</v>
      </c>
      <c r="BZ39" s="31">
        <f t="shared" si="54"/>
        <v>0</v>
      </c>
      <c r="CA39" s="31">
        <f t="shared" si="55"/>
        <v>0</v>
      </c>
      <c r="CB39" s="33"/>
      <c r="CC39" s="37">
        <f t="shared" si="12"/>
        <v>-1</v>
      </c>
      <c r="CD39" s="36">
        <f>[1]BOA!$O39</f>
        <v>1000</v>
      </c>
      <c r="CE39" s="31">
        <f t="shared" si="56"/>
        <v>847.6</v>
      </c>
      <c r="CF39" s="18">
        <f t="shared" si="57"/>
        <v>152.4</v>
      </c>
      <c r="CG39" s="31">
        <f t="shared" si="58"/>
        <v>0</v>
      </c>
      <c r="CH39" s="31">
        <f t="shared" si="59"/>
        <v>0</v>
      </c>
      <c r="CI39" s="33"/>
      <c r="CJ39" s="37">
        <f t="shared" si="13"/>
        <v>-1</v>
      </c>
      <c r="CK39" s="36">
        <f>[1]BOA!$P39</f>
        <v>1000</v>
      </c>
      <c r="CL39" s="31">
        <f t="shared" si="60"/>
        <v>847.6</v>
      </c>
      <c r="CM39" s="18">
        <f t="shared" si="61"/>
        <v>152.4</v>
      </c>
      <c r="CN39" s="31">
        <f t="shared" si="62"/>
        <v>0</v>
      </c>
      <c r="CO39" s="31">
        <f t="shared" si="63"/>
        <v>0</v>
      </c>
      <c r="CP39" s="33"/>
      <c r="CQ39" s="37">
        <f t="shared" si="14"/>
        <v>-1</v>
      </c>
    </row>
    <row r="40" spans="1:95" s="26" customFormat="1" ht="16" customHeight="1" thickBot="1" x14ac:dyDescent="0.25">
      <c r="A40" s="38" t="s">
        <v>64</v>
      </c>
      <c r="B40" s="30">
        <f t="shared" si="64"/>
        <v>80000</v>
      </c>
      <c r="C40" s="31">
        <f t="shared" si="64"/>
        <v>67807.999999999985</v>
      </c>
      <c r="D40" s="32">
        <f t="shared" si="64"/>
        <v>12192.000000000002</v>
      </c>
      <c r="E40" s="30">
        <f t="shared" si="66"/>
        <v>26666.666666666668</v>
      </c>
      <c r="F40" s="33">
        <f t="shared" si="66"/>
        <v>22602.666666666668</v>
      </c>
      <c r="G40" s="34">
        <f t="shared" si="66"/>
        <v>4064.0000000000005</v>
      </c>
      <c r="H40" s="31">
        <f t="shared" si="65"/>
        <v>42983.796335999999</v>
      </c>
      <c r="I40" s="33">
        <f t="shared" si="65"/>
        <v>7728.5636640000002</v>
      </c>
      <c r="J40" s="33">
        <f t="shared" si="65"/>
        <v>50712.36</v>
      </c>
      <c r="K40" s="37">
        <f t="shared" si="2"/>
        <v>0.90171349999999983</v>
      </c>
      <c r="L40" s="36">
        <f>[1]BOA!$E40</f>
        <v>6666.666666666667</v>
      </c>
      <c r="M40" s="36">
        <f t="shared" si="16"/>
        <v>5650.666666666667</v>
      </c>
      <c r="N40" s="36">
        <f t="shared" si="17"/>
        <v>1016.0000000000001</v>
      </c>
      <c r="O40" s="36">
        <f t="shared" si="18"/>
        <v>3805.0120159999997</v>
      </c>
      <c r="P40" s="36">
        <f t="shared" si="19"/>
        <v>684.14798400000006</v>
      </c>
      <c r="Q40" s="36">
        <f>4489.16</f>
        <v>4489.16</v>
      </c>
      <c r="R40" s="36">
        <f t="shared" si="3"/>
        <v>-0.32662600000000008</v>
      </c>
      <c r="S40" s="36">
        <f>[1]BOA!$F40</f>
        <v>6666.666666666667</v>
      </c>
      <c r="T40" s="36">
        <f t="shared" si="20"/>
        <v>5650.666666666667</v>
      </c>
      <c r="U40" s="36">
        <f t="shared" si="21"/>
        <v>1016.0000000000001</v>
      </c>
      <c r="V40" s="36">
        <f t="shared" si="22"/>
        <v>4820.1316800000004</v>
      </c>
      <c r="W40" s="36">
        <f t="shared" si="23"/>
        <v>866.66832000000011</v>
      </c>
      <c r="X40" s="36">
        <f>5686.8</f>
        <v>5686.8</v>
      </c>
      <c r="Y40" s="36">
        <f t="shared" si="4"/>
        <v>-0.14698</v>
      </c>
      <c r="Z40" s="36">
        <f>[1]BOA!$G40</f>
        <v>6666.666666666667</v>
      </c>
      <c r="AA40" s="36">
        <f t="shared" si="24"/>
        <v>5650.666666666667</v>
      </c>
      <c r="AB40" s="36">
        <f t="shared" si="25"/>
        <v>1016.0000000000001</v>
      </c>
      <c r="AC40" s="36">
        <f t="shared" si="26"/>
        <v>4237.4999159999998</v>
      </c>
      <c r="AD40" s="36">
        <f t="shared" si="27"/>
        <v>761.91008399999998</v>
      </c>
      <c r="AE40" s="36">
        <f>4999.41</f>
        <v>4999.41</v>
      </c>
      <c r="AF40" s="36">
        <f t="shared" si="5"/>
        <v>-0.25008850000000005</v>
      </c>
      <c r="AG40" s="36">
        <f>[1]BOA!$H40</f>
        <v>6666.666666666667</v>
      </c>
      <c r="AH40" s="36">
        <f t="shared" si="28"/>
        <v>5650.666666666667</v>
      </c>
      <c r="AI40" s="36">
        <f t="shared" si="29"/>
        <v>1016.0000000000001</v>
      </c>
      <c r="AJ40" s="36">
        <f t="shared" si="30"/>
        <v>4237.4999159999998</v>
      </c>
      <c r="AK40" s="36">
        <f t="shared" si="31"/>
        <v>761.91008399999998</v>
      </c>
      <c r="AL40" s="36">
        <f>4999.41</f>
        <v>4999.41</v>
      </c>
      <c r="AM40" s="36">
        <f t="shared" si="6"/>
        <v>-0.25008850000000005</v>
      </c>
      <c r="AN40" s="36">
        <f>[1]BOA!$I40</f>
        <v>6666.666666666667</v>
      </c>
      <c r="AO40" s="36">
        <f t="shared" si="32"/>
        <v>5650.666666666667</v>
      </c>
      <c r="AP40" s="36">
        <f t="shared" si="33"/>
        <v>1016.0000000000001</v>
      </c>
      <c r="AQ40" s="36">
        <f t="shared" si="34"/>
        <v>4643.2968920000003</v>
      </c>
      <c r="AR40" s="36">
        <f t="shared" si="35"/>
        <v>834.873108</v>
      </c>
      <c r="AS40" s="33">
        <v>5478.17</v>
      </c>
      <c r="AT40" s="37">
        <f t="shared" si="7"/>
        <v>-0.1782745</v>
      </c>
      <c r="AU40" s="36">
        <f>[1]BOA!$J40</f>
        <v>6666.666666666667</v>
      </c>
      <c r="AV40" s="31">
        <f t="shared" si="36"/>
        <v>5650.666666666667</v>
      </c>
      <c r="AW40" s="18">
        <f t="shared" si="37"/>
        <v>1016.0000000000001</v>
      </c>
      <c r="AX40" s="31">
        <f t="shared" si="38"/>
        <v>21240.355916</v>
      </c>
      <c r="AY40" s="31">
        <f t="shared" si="39"/>
        <v>3819.0540840000003</v>
      </c>
      <c r="AZ40" s="157">
        <v>25059.41</v>
      </c>
      <c r="BA40" s="37">
        <f t="shared" si="8"/>
        <v>2.7589115</v>
      </c>
      <c r="BB40" s="36">
        <f>[1]BOA!$K40</f>
        <v>6666.666666666667</v>
      </c>
      <c r="BC40" s="31">
        <f t="shared" si="40"/>
        <v>5650.666666666667</v>
      </c>
      <c r="BD40" s="18">
        <f t="shared" si="41"/>
        <v>1016.0000000000001</v>
      </c>
      <c r="BE40" s="31">
        <f t="shared" si="42"/>
        <v>0</v>
      </c>
      <c r="BF40" s="31">
        <f t="shared" si="43"/>
        <v>0</v>
      </c>
      <c r="BG40" s="33"/>
      <c r="BH40" s="37">
        <f t="shared" si="9"/>
        <v>-1</v>
      </c>
      <c r="BI40" s="36">
        <f>[1]BOA!$L40</f>
        <v>6666.666666666667</v>
      </c>
      <c r="BJ40" s="31">
        <f t="shared" si="44"/>
        <v>5650.666666666667</v>
      </c>
      <c r="BK40" s="18">
        <f t="shared" si="45"/>
        <v>1016.0000000000001</v>
      </c>
      <c r="BL40" s="31">
        <f t="shared" si="46"/>
        <v>0</v>
      </c>
      <c r="BM40" s="31">
        <f t="shared" si="47"/>
        <v>0</v>
      </c>
      <c r="BN40" s="33"/>
      <c r="BO40" s="37">
        <f t="shared" si="10"/>
        <v>-1</v>
      </c>
      <c r="BP40" s="36">
        <f>[1]BOA!$M40</f>
        <v>6666.666666666667</v>
      </c>
      <c r="BQ40" s="31">
        <f t="shared" si="48"/>
        <v>5650.666666666667</v>
      </c>
      <c r="BR40" s="18">
        <f t="shared" si="49"/>
        <v>1016.0000000000001</v>
      </c>
      <c r="BS40" s="31">
        <f t="shared" si="50"/>
        <v>0</v>
      </c>
      <c r="BT40" s="31">
        <f t="shared" si="51"/>
        <v>0</v>
      </c>
      <c r="BU40" s="33"/>
      <c r="BV40" s="37">
        <f t="shared" si="11"/>
        <v>-1</v>
      </c>
      <c r="BW40" s="36">
        <f>[1]BOA!$N40</f>
        <v>6666.666666666667</v>
      </c>
      <c r="BX40" s="31">
        <f t="shared" si="52"/>
        <v>5650.666666666667</v>
      </c>
      <c r="BY40" s="18">
        <f t="shared" si="53"/>
        <v>1016.0000000000001</v>
      </c>
      <c r="BZ40" s="31">
        <f t="shared" si="54"/>
        <v>0</v>
      </c>
      <c r="CA40" s="31">
        <f t="shared" si="55"/>
        <v>0</v>
      </c>
      <c r="CB40" s="33"/>
      <c r="CC40" s="37">
        <f t="shared" si="12"/>
        <v>-1</v>
      </c>
      <c r="CD40" s="36">
        <f>[1]BOA!$O40</f>
        <v>6666.666666666667</v>
      </c>
      <c r="CE40" s="31">
        <f t="shared" si="56"/>
        <v>5650.666666666667</v>
      </c>
      <c r="CF40" s="18">
        <f t="shared" si="57"/>
        <v>1016.0000000000001</v>
      </c>
      <c r="CG40" s="31">
        <f t="shared" si="58"/>
        <v>0</v>
      </c>
      <c r="CH40" s="31">
        <f t="shared" si="59"/>
        <v>0</v>
      </c>
      <c r="CI40" s="33"/>
      <c r="CJ40" s="37">
        <f t="shared" si="13"/>
        <v>-1</v>
      </c>
      <c r="CK40" s="36">
        <f>[1]BOA!$P40</f>
        <v>6666.666666666667</v>
      </c>
      <c r="CL40" s="31">
        <f t="shared" si="60"/>
        <v>5650.666666666667</v>
      </c>
      <c r="CM40" s="18">
        <f t="shared" si="61"/>
        <v>1016.0000000000001</v>
      </c>
      <c r="CN40" s="31">
        <f t="shared" si="62"/>
        <v>0</v>
      </c>
      <c r="CO40" s="31">
        <f t="shared" si="63"/>
        <v>0</v>
      </c>
      <c r="CP40" s="33"/>
      <c r="CQ40" s="37">
        <f t="shared" si="14"/>
        <v>-1</v>
      </c>
    </row>
    <row r="41" spans="1:95" s="26" customFormat="1" ht="16" customHeight="1" thickBot="1" x14ac:dyDescent="0.25">
      <c r="A41" s="29" t="s">
        <v>65</v>
      </c>
      <c r="B41" s="30">
        <f t="shared" si="64"/>
        <v>299000</v>
      </c>
      <c r="C41" s="31">
        <f t="shared" si="64"/>
        <v>253432.40000000002</v>
      </c>
      <c r="D41" s="32">
        <f t="shared" si="64"/>
        <v>45567.600000000006</v>
      </c>
      <c r="E41" s="30">
        <f t="shared" si="66"/>
        <v>99666.666666666672</v>
      </c>
      <c r="F41" s="33">
        <f t="shared" si="66"/>
        <v>84477.466666666674</v>
      </c>
      <c r="G41" s="34">
        <f t="shared" si="66"/>
        <v>15189.2</v>
      </c>
      <c r="H41" s="31">
        <f t="shared" si="65"/>
        <v>126716.20000000001</v>
      </c>
      <c r="I41" s="33">
        <f t="shared" si="65"/>
        <v>22783.8</v>
      </c>
      <c r="J41" s="33">
        <f t="shared" si="65"/>
        <v>149500</v>
      </c>
      <c r="K41" s="37">
        <f t="shared" si="2"/>
        <v>0.5</v>
      </c>
      <c r="L41" s="46">
        <f>[1]BOA!$E41</f>
        <v>24916.666666666668</v>
      </c>
      <c r="M41" s="46">
        <f t="shared" si="16"/>
        <v>21119.366666666669</v>
      </c>
      <c r="N41" s="46">
        <f t="shared" si="17"/>
        <v>3797.3</v>
      </c>
      <c r="O41" s="46">
        <f t="shared" si="18"/>
        <v>21119.366666666669</v>
      </c>
      <c r="P41" s="46">
        <f t="shared" si="19"/>
        <v>3797.3</v>
      </c>
      <c r="Q41" s="46">
        <v>24916.666666666668</v>
      </c>
      <c r="R41" s="46">
        <f t="shared" si="3"/>
        <v>0</v>
      </c>
      <c r="S41" s="46">
        <f>[1]BOA!$F41</f>
        <v>24916.666666666668</v>
      </c>
      <c r="T41" s="46">
        <f t="shared" si="20"/>
        <v>21119.366666666669</v>
      </c>
      <c r="U41" s="46">
        <f t="shared" si="21"/>
        <v>3797.3</v>
      </c>
      <c r="V41" s="46">
        <f t="shared" si="22"/>
        <v>21119.366666666669</v>
      </c>
      <c r="W41" s="46">
        <f t="shared" si="23"/>
        <v>3797.3</v>
      </c>
      <c r="X41" s="46">
        <v>24916.666666666668</v>
      </c>
      <c r="Y41" s="46">
        <f t="shared" si="4"/>
        <v>0</v>
      </c>
      <c r="Z41" s="46">
        <f>[1]BOA!$G41</f>
        <v>24916.666666666668</v>
      </c>
      <c r="AA41" s="46">
        <f t="shared" si="24"/>
        <v>21119.366666666669</v>
      </c>
      <c r="AB41" s="46">
        <f t="shared" si="25"/>
        <v>3797.3</v>
      </c>
      <c r="AC41" s="46">
        <f t="shared" si="26"/>
        <v>21119.366666666669</v>
      </c>
      <c r="AD41" s="46">
        <f t="shared" si="27"/>
        <v>3797.3</v>
      </c>
      <c r="AE41" s="46">
        <v>24916.666666666668</v>
      </c>
      <c r="AF41" s="46">
        <f t="shared" si="5"/>
        <v>0</v>
      </c>
      <c r="AG41" s="46">
        <f>[1]BOA!$H41</f>
        <v>24916.666666666668</v>
      </c>
      <c r="AH41" s="46">
        <f t="shared" si="28"/>
        <v>21119.366666666669</v>
      </c>
      <c r="AI41" s="46">
        <f t="shared" si="29"/>
        <v>3797.3</v>
      </c>
      <c r="AJ41" s="46">
        <f t="shared" si="30"/>
        <v>21119.366666666669</v>
      </c>
      <c r="AK41" s="46">
        <f t="shared" si="31"/>
        <v>3797.3</v>
      </c>
      <c r="AL41" s="46">
        <v>24916.666666666668</v>
      </c>
      <c r="AM41" s="46">
        <f t="shared" si="6"/>
        <v>0</v>
      </c>
      <c r="AN41" s="46">
        <f>[1]BOA!$I41</f>
        <v>24916.666666666668</v>
      </c>
      <c r="AO41" s="46">
        <f t="shared" si="32"/>
        <v>21119.366666666669</v>
      </c>
      <c r="AP41" s="46">
        <f t="shared" si="33"/>
        <v>3797.3</v>
      </c>
      <c r="AQ41" s="46">
        <f t="shared" si="34"/>
        <v>21119.366666666669</v>
      </c>
      <c r="AR41" s="46">
        <f t="shared" si="35"/>
        <v>3797.3</v>
      </c>
      <c r="AS41" s="45">
        <v>24916.666666666668</v>
      </c>
      <c r="AT41" s="37">
        <f t="shared" si="7"/>
        <v>0</v>
      </c>
      <c r="AU41" s="46">
        <f>[1]BOA!$J41</f>
        <v>24916.666666666668</v>
      </c>
      <c r="AV41" s="47">
        <f t="shared" si="36"/>
        <v>21119.366666666669</v>
      </c>
      <c r="AW41" s="18">
        <f t="shared" si="37"/>
        <v>3797.3</v>
      </c>
      <c r="AX41" s="47">
        <f t="shared" si="38"/>
        <v>21119.366666666669</v>
      </c>
      <c r="AY41" s="47">
        <f t="shared" si="39"/>
        <v>3797.3</v>
      </c>
      <c r="AZ41" s="160">
        <v>24916.666666666668</v>
      </c>
      <c r="BA41" s="37">
        <f t="shared" si="8"/>
        <v>0</v>
      </c>
      <c r="BB41" s="46">
        <f>[1]BOA!$K41</f>
        <v>24916.666666666668</v>
      </c>
      <c r="BC41" s="47">
        <f t="shared" si="40"/>
        <v>21119.366666666669</v>
      </c>
      <c r="BD41" s="18">
        <f t="shared" si="41"/>
        <v>3797.3</v>
      </c>
      <c r="BE41" s="47">
        <f t="shared" si="42"/>
        <v>0</v>
      </c>
      <c r="BF41" s="47">
        <f t="shared" si="43"/>
        <v>0</v>
      </c>
      <c r="BG41" s="45"/>
      <c r="BH41" s="37">
        <f t="shared" si="9"/>
        <v>-1</v>
      </c>
      <c r="BI41" s="46">
        <f>[1]BOA!$L41</f>
        <v>24916.666666666668</v>
      </c>
      <c r="BJ41" s="47">
        <f t="shared" si="44"/>
        <v>21119.366666666669</v>
      </c>
      <c r="BK41" s="18">
        <f t="shared" si="45"/>
        <v>3797.3</v>
      </c>
      <c r="BL41" s="47">
        <f t="shared" si="46"/>
        <v>0</v>
      </c>
      <c r="BM41" s="47">
        <f t="shared" si="47"/>
        <v>0</v>
      </c>
      <c r="BN41" s="45"/>
      <c r="BO41" s="37">
        <f t="shared" si="10"/>
        <v>-1</v>
      </c>
      <c r="BP41" s="46">
        <f>[1]BOA!$M41</f>
        <v>24916.666666666668</v>
      </c>
      <c r="BQ41" s="47">
        <f t="shared" si="48"/>
        <v>21119.366666666669</v>
      </c>
      <c r="BR41" s="18">
        <f t="shared" si="49"/>
        <v>3797.3</v>
      </c>
      <c r="BS41" s="47">
        <f t="shared" si="50"/>
        <v>0</v>
      </c>
      <c r="BT41" s="47">
        <f t="shared" si="51"/>
        <v>0</v>
      </c>
      <c r="BU41" s="45"/>
      <c r="BV41" s="37">
        <f t="shared" si="11"/>
        <v>-1</v>
      </c>
      <c r="BW41" s="46">
        <f>[1]BOA!$N41</f>
        <v>24916.666666666668</v>
      </c>
      <c r="BX41" s="47">
        <f t="shared" si="52"/>
        <v>21119.366666666669</v>
      </c>
      <c r="BY41" s="18">
        <f t="shared" si="53"/>
        <v>3797.3</v>
      </c>
      <c r="BZ41" s="47">
        <f t="shared" si="54"/>
        <v>0</v>
      </c>
      <c r="CA41" s="47">
        <f t="shared" si="55"/>
        <v>0</v>
      </c>
      <c r="CB41" s="45"/>
      <c r="CC41" s="37">
        <f t="shared" si="12"/>
        <v>-1</v>
      </c>
      <c r="CD41" s="46">
        <f>[1]BOA!$O41</f>
        <v>24916.666666666668</v>
      </c>
      <c r="CE41" s="47">
        <f t="shared" si="56"/>
        <v>21119.366666666669</v>
      </c>
      <c r="CF41" s="18">
        <f t="shared" si="57"/>
        <v>3797.3</v>
      </c>
      <c r="CG41" s="47">
        <f t="shared" si="58"/>
        <v>0</v>
      </c>
      <c r="CH41" s="47">
        <f t="shared" si="59"/>
        <v>0</v>
      </c>
      <c r="CI41" s="45"/>
      <c r="CJ41" s="37">
        <f t="shared" si="13"/>
        <v>-1</v>
      </c>
      <c r="CK41" s="46">
        <f>[1]BOA!$P41</f>
        <v>24916.666666666668</v>
      </c>
      <c r="CL41" s="47">
        <f t="shared" si="60"/>
        <v>21119.366666666669</v>
      </c>
      <c r="CM41" s="18">
        <f t="shared" si="61"/>
        <v>3797.3</v>
      </c>
      <c r="CN41" s="47">
        <f t="shared" si="62"/>
        <v>0</v>
      </c>
      <c r="CO41" s="47">
        <f t="shared" si="63"/>
        <v>0</v>
      </c>
      <c r="CP41" s="161"/>
      <c r="CQ41" s="37">
        <f t="shared" si="14"/>
        <v>-1</v>
      </c>
    </row>
    <row r="42" spans="1:95" s="26" customFormat="1" ht="16" customHeight="1" thickBot="1" x14ac:dyDescent="0.25">
      <c r="A42" s="29" t="s">
        <v>66</v>
      </c>
      <c r="B42" s="30">
        <f t="shared" si="64"/>
        <v>1440000</v>
      </c>
      <c r="C42" s="31">
        <f t="shared" si="64"/>
        <v>1220544</v>
      </c>
      <c r="D42" s="32">
        <f t="shared" si="64"/>
        <v>219456</v>
      </c>
      <c r="E42" s="30">
        <f t="shared" si="66"/>
        <v>1440000</v>
      </c>
      <c r="F42" s="33">
        <f t="shared" si="66"/>
        <v>1220544</v>
      </c>
      <c r="G42" s="34">
        <f t="shared" si="66"/>
        <v>219456</v>
      </c>
      <c r="H42" s="31">
        <f t="shared" si="65"/>
        <v>1004221.9351839998</v>
      </c>
      <c r="I42" s="33">
        <f t="shared" si="65"/>
        <v>180560.90481599999</v>
      </c>
      <c r="J42" s="33">
        <f t="shared" si="65"/>
        <v>1184782.8399999999</v>
      </c>
      <c r="K42" s="37">
        <f t="shared" si="2"/>
        <v>-0.17723413888888895</v>
      </c>
      <c r="L42" s="36">
        <f>[1]BOA!$E42</f>
        <v>720000</v>
      </c>
      <c r="M42" s="36">
        <f t="shared" si="16"/>
        <v>610272</v>
      </c>
      <c r="N42" s="36">
        <f t="shared" si="17"/>
        <v>109728</v>
      </c>
      <c r="O42" s="36">
        <f t="shared" si="18"/>
        <v>101712</v>
      </c>
      <c r="P42" s="36">
        <f t="shared" si="19"/>
        <v>18288</v>
      </c>
      <c r="Q42" s="36">
        <v>120000</v>
      </c>
      <c r="R42" s="36">
        <f t="shared" si="3"/>
        <v>-0.83333333333333337</v>
      </c>
      <c r="S42" s="36">
        <f>[1]BOA!$F42</f>
        <v>720000</v>
      </c>
      <c r="T42" s="36">
        <f t="shared" si="20"/>
        <v>610272</v>
      </c>
      <c r="U42" s="36">
        <f t="shared" si="21"/>
        <v>109728</v>
      </c>
      <c r="V42" s="36">
        <f t="shared" si="22"/>
        <v>326706.30116799998</v>
      </c>
      <c r="W42" s="36">
        <f t="shared" si="23"/>
        <v>58742.378832000002</v>
      </c>
      <c r="X42" s="36">
        <f>385448.68</f>
        <v>385448.68</v>
      </c>
      <c r="Y42" s="36">
        <f t="shared" si="4"/>
        <v>-0.46465461111111117</v>
      </c>
      <c r="Z42" s="36">
        <f>[1]BOA!$G42</f>
        <v>0</v>
      </c>
      <c r="AA42" s="36">
        <f t="shared" si="24"/>
        <v>0</v>
      </c>
      <c r="AB42" s="36">
        <f t="shared" si="25"/>
        <v>0</v>
      </c>
      <c r="AC42" s="36">
        <f t="shared" si="26"/>
        <v>415921.20200799999</v>
      </c>
      <c r="AD42" s="36">
        <f t="shared" si="27"/>
        <v>74783.377992000009</v>
      </c>
      <c r="AE42" s="36">
        <f>490704.58</f>
        <v>490704.58</v>
      </c>
      <c r="AF42" s="36" t="str">
        <f t="shared" si="5"/>
        <v/>
      </c>
      <c r="AG42" s="36">
        <f>[1]BOA!$H42</f>
        <v>0</v>
      </c>
      <c r="AH42" s="36">
        <f t="shared" si="28"/>
        <v>0</v>
      </c>
      <c r="AI42" s="36">
        <f t="shared" si="29"/>
        <v>0</v>
      </c>
      <c r="AJ42" s="36">
        <f t="shared" si="30"/>
        <v>126191.45083999999</v>
      </c>
      <c r="AK42" s="36">
        <f t="shared" si="31"/>
        <v>22689.44916</v>
      </c>
      <c r="AL42" s="36">
        <v>148880.9</v>
      </c>
      <c r="AM42" s="36" t="str">
        <f t="shared" si="6"/>
        <v/>
      </c>
      <c r="AN42" s="36">
        <f>[1]BOA!$I42</f>
        <v>0</v>
      </c>
      <c r="AO42" s="36">
        <f t="shared" si="32"/>
        <v>0</v>
      </c>
      <c r="AP42" s="36">
        <f t="shared" si="33"/>
        <v>0</v>
      </c>
      <c r="AQ42" s="36">
        <f t="shared" si="34"/>
        <v>27123.200000000001</v>
      </c>
      <c r="AR42" s="36">
        <f t="shared" si="35"/>
        <v>4876.8</v>
      </c>
      <c r="AS42" s="33">
        <v>32000</v>
      </c>
      <c r="AT42" s="37" t="str">
        <f t="shared" si="7"/>
        <v/>
      </c>
      <c r="AU42" s="36">
        <f>[1]BOA!$J42</f>
        <v>0</v>
      </c>
      <c r="AV42" s="31">
        <f t="shared" si="36"/>
        <v>0</v>
      </c>
      <c r="AW42" s="18">
        <f t="shared" si="37"/>
        <v>0</v>
      </c>
      <c r="AX42" s="31">
        <f t="shared" si="38"/>
        <v>6567.7811680000004</v>
      </c>
      <c r="AY42" s="31">
        <f t="shared" si="39"/>
        <v>1180.8988320000001</v>
      </c>
      <c r="AZ42" s="157">
        <v>7748.68</v>
      </c>
      <c r="BA42" s="37" t="str">
        <f t="shared" si="8"/>
        <v/>
      </c>
      <c r="BB42" s="36">
        <f>[1]BOA!$K42</f>
        <v>0</v>
      </c>
      <c r="BC42" s="31">
        <f t="shared" si="40"/>
        <v>0</v>
      </c>
      <c r="BD42" s="18">
        <f t="shared" si="41"/>
        <v>0</v>
      </c>
      <c r="BE42" s="31">
        <f t="shared" si="42"/>
        <v>0</v>
      </c>
      <c r="BF42" s="31">
        <f t="shared" si="43"/>
        <v>0</v>
      </c>
      <c r="BG42" s="33"/>
      <c r="BH42" s="37" t="str">
        <f t="shared" si="9"/>
        <v/>
      </c>
      <c r="BI42" s="36">
        <f>[1]BOA!$L42</f>
        <v>0</v>
      </c>
      <c r="BJ42" s="31">
        <f t="shared" si="44"/>
        <v>0</v>
      </c>
      <c r="BK42" s="18">
        <f t="shared" si="45"/>
        <v>0</v>
      </c>
      <c r="BL42" s="31">
        <f t="shared" si="46"/>
        <v>0</v>
      </c>
      <c r="BM42" s="31">
        <f t="shared" si="47"/>
        <v>0</v>
      </c>
      <c r="BN42" s="33"/>
      <c r="BO42" s="37" t="str">
        <f t="shared" si="10"/>
        <v/>
      </c>
      <c r="BP42" s="36">
        <f>[1]BOA!$M42</f>
        <v>0</v>
      </c>
      <c r="BQ42" s="31">
        <f t="shared" si="48"/>
        <v>0</v>
      </c>
      <c r="BR42" s="18">
        <f t="shared" si="49"/>
        <v>0</v>
      </c>
      <c r="BS42" s="31">
        <f t="shared" si="50"/>
        <v>0</v>
      </c>
      <c r="BT42" s="31">
        <f t="shared" si="51"/>
        <v>0</v>
      </c>
      <c r="BU42" s="33"/>
      <c r="BV42" s="37" t="str">
        <f t="shared" si="11"/>
        <v/>
      </c>
      <c r="BW42" s="36">
        <f>[1]BOA!$N42</f>
        <v>0</v>
      </c>
      <c r="BX42" s="31">
        <f t="shared" si="52"/>
        <v>0</v>
      </c>
      <c r="BY42" s="18">
        <f t="shared" si="53"/>
        <v>0</v>
      </c>
      <c r="BZ42" s="31">
        <f t="shared" si="54"/>
        <v>0</v>
      </c>
      <c r="CA42" s="31">
        <f t="shared" si="55"/>
        <v>0</v>
      </c>
      <c r="CB42" s="33"/>
      <c r="CC42" s="37" t="str">
        <f t="shared" si="12"/>
        <v/>
      </c>
      <c r="CD42" s="36">
        <f>[1]BOA!$O42</f>
        <v>0</v>
      </c>
      <c r="CE42" s="31">
        <f t="shared" si="56"/>
        <v>0</v>
      </c>
      <c r="CF42" s="18">
        <f t="shared" si="57"/>
        <v>0</v>
      </c>
      <c r="CG42" s="31">
        <f t="shared" si="58"/>
        <v>0</v>
      </c>
      <c r="CH42" s="31">
        <f t="shared" si="59"/>
        <v>0</v>
      </c>
      <c r="CI42" s="33"/>
      <c r="CJ42" s="37" t="str">
        <f t="shared" si="13"/>
        <v/>
      </c>
      <c r="CK42" s="36">
        <f>[1]BOA!$P42</f>
        <v>0</v>
      </c>
      <c r="CL42" s="31">
        <f t="shared" si="60"/>
        <v>0</v>
      </c>
      <c r="CM42" s="18">
        <f t="shared" si="61"/>
        <v>0</v>
      </c>
      <c r="CN42" s="31">
        <f t="shared" si="62"/>
        <v>0</v>
      </c>
      <c r="CO42" s="31">
        <f t="shared" si="63"/>
        <v>0</v>
      </c>
      <c r="CP42" s="33"/>
      <c r="CQ42" s="37" t="str">
        <f t="shared" si="14"/>
        <v/>
      </c>
    </row>
    <row r="43" spans="1:95" s="26" customFormat="1" ht="16" customHeight="1" thickBot="1" x14ac:dyDescent="0.25">
      <c r="A43" s="38" t="s">
        <v>67</v>
      </c>
      <c r="B43" s="30">
        <f t="shared" si="64"/>
        <v>100347</v>
      </c>
      <c r="C43" s="31">
        <f t="shared" si="64"/>
        <v>85054.117199999993</v>
      </c>
      <c r="D43" s="32">
        <f t="shared" si="64"/>
        <v>15292.882800000001</v>
      </c>
      <c r="E43" s="30">
        <f t="shared" si="66"/>
        <v>33449</v>
      </c>
      <c r="F43" s="33">
        <f t="shared" si="66"/>
        <v>28351.3724</v>
      </c>
      <c r="G43" s="34">
        <f t="shared" si="66"/>
        <v>5097.6276000000007</v>
      </c>
      <c r="H43" s="31">
        <f t="shared" si="65"/>
        <v>67776.486231999996</v>
      </c>
      <c r="I43" s="33">
        <f t="shared" si="65"/>
        <v>12186.333768</v>
      </c>
      <c r="J43" s="33">
        <f t="shared" si="65"/>
        <v>79962.820000000007</v>
      </c>
      <c r="K43" s="37">
        <f t="shared" si="2"/>
        <v>1.3905892552841643</v>
      </c>
      <c r="L43" s="36">
        <f>[1]BOA!$E43</f>
        <v>8362.25</v>
      </c>
      <c r="M43" s="36">
        <f t="shared" si="16"/>
        <v>7087.8431</v>
      </c>
      <c r="N43" s="36">
        <f t="shared" si="17"/>
        <v>1274.4069000000002</v>
      </c>
      <c r="O43" s="36">
        <f t="shared" si="18"/>
        <v>8529.5598439999994</v>
      </c>
      <c r="P43" s="36">
        <f t="shared" si="19"/>
        <v>1533.6301560000002</v>
      </c>
      <c r="Q43" s="36">
        <f>10063.19</f>
        <v>10063.19</v>
      </c>
      <c r="R43" s="36">
        <f t="shared" si="3"/>
        <v>0.20340697778707884</v>
      </c>
      <c r="S43" s="36">
        <f>[1]BOA!$F43</f>
        <v>8362.25</v>
      </c>
      <c r="T43" s="36">
        <f t="shared" si="20"/>
        <v>7087.8431</v>
      </c>
      <c r="U43" s="36">
        <f t="shared" si="21"/>
        <v>1274.4069000000002</v>
      </c>
      <c r="V43" s="36">
        <f t="shared" si="22"/>
        <v>7301.2094479999996</v>
      </c>
      <c r="W43" s="36">
        <f t="shared" si="23"/>
        <v>1312.770552</v>
      </c>
      <c r="X43" s="36">
        <f>8613.98</f>
        <v>8613.98</v>
      </c>
      <c r="Y43" s="36">
        <f t="shared" si="4"/>
        <v>3.0103142096923552E-2</v>
      </c>
      <c r="Z43" s="36">
        <f>[1]BOA!$G43</f>
        <v>8362.25</v>
      </c>
      <c r="AA43" s="36">
        <f t="shared" si="24"/>
        <v>7087.8431</v>
      </c>
      <c r="AB43" s="36">
        <f t="shared" si="25"/>
        <v>1274.4069000000002</v>
      </c>
      <c r="AC43" s="36">
        <f t="shared" si="26"/>
        <v>7627.137076</v>
      </c>
      <c r="AD43" s="36">
        <f t="shared" si="27"/>
        <v>1371.372924</v>
      </c>
      <c r="AE43" s="36">
        <f>8998.51</f>
        <v>8998.51</v>
      </c>
      <c r="AF43" s="36">
        <f t="shared" si="5"/>
        <v>7.6087177494095437E-2</v>
      </c>
      <c r="AG43" s="36">
        <f>[1]BOA!$H43</f>
        <v>8362.25</v>
      </c>
      <c r="AH43" s="36">
        <f t="shared" si="28"/>
        <v>7087.8431</v>
      </c>
      <c r="AI43" s="36">
        <f t="shared" si="29"/>
        <v>1274.4069000000002</v>
      </c>
      <c r="AJ43" s="36">
        <f t="shared" si="30"/>
        <v>8276.4834360000004</v>
      </c>
      <c r="AK43" s="36">
        <f t="shared" si="31"/>
        <v>1488.1265640000001</v>
      </c>
      <c r="AL43" s="36">
        <f>9764.61</f>
        <v>9764.61</v>
      </c>
      <c r="AM43" s="36">
        <f t="shared" si="6"/>
        <v>0.16770127657030121</v>
      </c>
      <c r="AN43" s="36">
        <f>[1]BOA!$I43</f>
        <v>8362.25</v>
      </c>
      <c r="AO43" s="36">
        <f t="shared" si="32"/>
        <v>7087.8431</v>
      </c>
      <c r="AP43" s="36">
        <f t="shared" si="33"/>
        <v>1274.4069000000002</v>
      </c>
      <c r="AQ43" s="36">
        <f t="shared" si="34"/>
        <v>7073.3999959999992</v>
      </c>
      <c r="AR43" s="36">
        <f t="shared" si="35"/>
        <v>1271.8100039999999</v>
      </c>
      <c r="AS43" s="33">
        <v>8345.2099999999991</v>
      </c>
      <c r="AT43" s="37">
        <f t="shared" si="7"/>
        <v>-2.0377290800921433E-3</v>
      </c>
      <c r="AU43" s="36">
        <f>[1]BOA!$J43</f>
        <v>8362.25</v>
      </c>
      <c r="AV43" s="31">
        <f t="shared" si="36"/>
        <v>7087.8431</v>
      </c>
      <c r="AW43" s="18">
        <f t="shared" si="37"/>
        <v>1274.4069000000002</v>
      </c>
      <c r="AX43" s="31">
        <f t="shared" si="38"/>
        <v>28968.696432000001</v>
      </c>
      <c r="AY43" s="31">
        <f t="shared" si="39"/>
        <v>5208.623568</v>
      </c>
      <c r="AZ43" s="157">
        <v>34177.32</v>
      </c>
      <c r="BA43" s="37">
        <f t="shared" si="8"/>
        <v>3.0870961762683491</v>
      </c>
      <c r="BB43" s="36">
        <f>[1]BOA!$K43</f>
        <v>8362.25</v>
      </c>
      <c r="BC43" s="31">
        <f t="shared" si="40"/>
        <v>7087.8431</v>
      </c>
      <c r="BD43" s="18">
        <f t="shared" si="41"/>
        <v>1274.4069000000002</v>
      </c>
      <c r="BE43" s="31">
        <f t="shared" si="42"/>
        <v>0</v>
      </c>
      <c r="BF43" s="31">
        <f t="shared" si="43"/>
        <v>0</v>
      </c>
      <c r="BG43" s="33"/>
      <c r="BH43" s="37">
        <f t="shared" si="9"/>
        <v>-1</v>
      </c>
      <c r="BI43" s="36">
        <f>[1]BOA!$L43</f>
        <v>8362.25</v>
      </c>
      <c r="BJ43" s="31">
        <f t="shared" si="44"/>
        <v>7087.8431</v>
      </c>
      <c r="BK43" s="18">
        <f t="shared" si="45"/>
        <v>1274.4069000000002</v>
      </c>
      <c r="BL43" s="31">
        <f t="shared" si="46"/>
        <v>0</v>
      </c>
      <c r="BM43" s="31">
        <f t="shared" si="47"/>
        <v>0</v>
      </c>
      <c r="BN43" s="33"/>
      <c r="BO43" s="37">
        <f t="shared" si="10"/>
        <v>-1</v>
      </c>
      <c r="BP43" s="36">
        <f>[1]BOA!$M43</f>
        <v>8362.25</v>
      </c>
      <c r="BQ43" s="31">
        <f t="shared" si="48"/>
        <v>7087.8431</v>
      </c>
      <c r="BR43" s="18">
        <f t="shared" si="49"/>
        <v>1274.4069000000002</v>
      </c>
      <c r="BS43" s="31">
        <f t="shared" si="50"/>
        <v>0</v>
      </c>
      <c r="BT43" s="31">
        <f t="shared" si="51"/>
        <v>0</v>
      </c>
      <c r="BU43" s="33"/>
      <c r="BV43" s="37">
        <f t="shared" si="11"/>
        <v>-1</v>
      </c>
      <c r="BW43" s="36">
        <f>[1]BOA!$N43</f>
        <v>8362.25</v>
      </c>
      <c r="BX43" s="31">
        <f t="shared" si="52"/>
        <v>7087.8431</v>
      </c>
      <c r="BY43" s="18">
        <f t="shared" si="53"/>
        <v>1274.4069000000002</v>
      </c>
      <c r="BZ43" s="31">
        <f t="shared" si="54"/>
        <v>0</v>
      </c>
      <c r="CA43" s="31">
        <f t="shared" si="55"/>
        <v>0</v>
      </c>
      <c r="CB43" s="33"/>
      <c r="CC43" s="37">
        <f t="shared" si="12"/>
        <v>-1</v>
      </c>
      <c r="CD43" s="36">
        <f>[1]BOA!$O43</f>
        <v>8362.25</v>
      </c>
      <c r="CE43" s="31">
        <f t="shared" si="56"/>
        <v>7087.8431</v>
      </c>
      <c r="CF43" s="18">
        <f t="shared" si="57"/>
        <v>1274.4069000000002</v>
      </c>
      <c r="CG43" s="31">
        <f t="shared" si="58"/>
        <v>0</v>
      </c>
      <c r="CH43" s="31">
        <f t="shared" si="59"/>
        <v>0</v>
      </c>
      <c r="CI43" s="33"/>
      <c r="CJ43" s="37">
        <f t="shared" si="13"/>
        <v>-1</v>
      </c>
      <c r="CK43" s="36">
        <f>[1]BOA!$P43</f>
        <v>8362.25</v>
      </c>
      <c r="CL43" s="31">
        <f t="shared" si="60"/>
        <v>7087.8431</v>
      </c>
      <c r="CM43" s="18">
        <f t="shared" si="61"/>
        <v>1274.4069000000002</v>
      </c>
      <c r="CN43" s="31">
        <f t="shared" si="62"/>
        <v>0</v>
      </c>
      <c r="CO43" s="31">
        <f t="shared" si="63"/>
        <v>0</v>
      </c>
      <c r="CP43" s="33"/>
      <c r="CQ43" s="37">
        <f t="shared" si="14"/>
        <v>-1</v>
      </c>
    </row>
    <row r="44" spans="1:95" s="26" customFormat="1" ht="16" customHeight="1" thickBot="1" x14ac:dyDescent="0.25">
      <c r="A44" s="29" t="s">
        <v>68</v>
      </c>
      <c r="B44" s="30">
        <f t="shared" si="64"/>
        <v>0</v>
      </c>
      <c r="C44" s="31">
        <f t="shared" si="64"/>
        <v>0</v>
      </c>
      <c r="D44" s="32">
        <f t="shared" si="64"/>
        <v>0</v>
      </c>
      <c r="E44" s="30">
        <f t="shared" si="66"/>
        <v>0</v>
      </c>
      <c r="F44" s="33">
        <f t="shared" si="66"/>
        <v>0</v>
      </c>
      <c r="G44" s="34">
        <f t="shared" si="66"/>
        <v>0</v>
      </c>
      <c r="H44" s="31">
        <f t="shared" si="65"/>
        <v>0</v>
      </c>
      <c r="I44" s="33">
        <f t="shared" si="65"/>
        <v>0</v>
      </c>
      <c r="J44" s="33">
        <f t="shared" si="65"/>
        <v>0</v>
      </c>
      <c r="K44" s="37" t="str">
        <f t="shared" si="2"/>
        <v/>
      </c>
      <c r="L44" s="36">
        <f>[1]BOA!$E44</f>
        <v>0</v>
      </c>
      <c r="M44" s="36">
        <f t="shared" si="16"/>
        <v>0</v>
      </c>
      <c r="N44" s="36">
        <f t="shared" si="17"/>
        <v>0</v>
      </c>
      <c r="O44" s="36">
        <f t="shared" si="18"/>
        <v>0</v>
      </c>
      <c r="P44" s="36">
        <f t="shared" si="19"/>
        <v>0</v>
      </c>
      <c r="Q44" s="36"/>
      <c r="R44" s="36" t="str">
        <f t="shared" si="3"/>
        <v/>
      </c>
      <c r="S44" s="36">
        <f>[1]BOA!$F44</f>
        <v>0</v>
      </c>
      <c r="T44" s="36">
        <f t="shared" si="20"/>
        <v>0</v>
      </c>
      <c r="U44" s="36">
        <f t="shared" si="21"/>
        <v>0</v>
      </c>
      <c r="V44" s="36">
        <f t="shared" si="22"/>
        <v>0</v>
      </c>
      <c r="W44" s="36">
        <f t="shared" si="23"/>
        <v>0</v>
      </c>
      <c r="X44" s="36"/>
      <c r="Y44" s="36" t="str">
        <f t="shared" si="4"/>
        <v/>
      </c>
      <c r="Z44" s="36">
        <f>[1]BOA!$G44</f>
        <v>0</v>
      </c>
      <c r="AA44" s="36">
        <f t="shared" si="24"/>
        <v>0</v>
      </c>
      <c r="AB44" s="36">
        <f t="shared" si="25"/>
        <v>0</v>
      </c>
      <c r="AC44" s="36">
        <f t="shared" si="26"/>
        <v>0</v>
      </c>
      <c r="AD44" s="36">
        <f t="shared" si="27"/>
        <v>0</v>
      </c>
      <c r="AE44" s="36"/>
      <c r="AF44" s="36" t="str">
        <f t="shared" si="5"/>
        <v/>
      </c>
      <c r="AG44" s="36">
        <f>[1]BOA!$H44</f>
        <v>0</v>
      </c>
      <c r="AH44" s="36">
        <f t="shared" si="28"/>
        <v>0</v>
      </c>
      <c r="AI44" s="36">
        <f t="shared" si="29"/>
        <v>0</v>
      </c>
      <c r="AJ44" s="36">
        <f t="shared" si="30"/>
        <v>0</v>
      </c>
      <c r="AK44" s="36">
        <f t="shared" si="31"/>
        <v>0</v>
      </c>
      <c r="AL44" s="36"/>
      <c r="AM44" s="36" t="str">
        <f t="shared" si="6"/>
        <v/>
      </c>
      <c r="AN44" s="36">
        <f>[1]BOA!$I44</f>
        <v>0</v>
      </c>
      <c r="AO44" s="36">
        <f t="shared" si="32"/>
        <v>0</v>
      </c>
      <c r="AP44" s="36">
        <f t="shared" si="33"/>
        <v>0</v>
      </c>
      <c r="AQ44" s="36">
        <f t="shared" si="34"/>
        <v>0</v>
      </c>
      <c r="AR44" s="36">
        <f t="shared" si="35"/>
        <v>0</v>
      </c>
      <c r="AS44" s="33"/>
      <c r="AT44" s="37" t="str">
        <f t="shared" si="7"/>
        <v/>
      </c>
      <c r="AU44" s="36">
        <f>[1]BOA!$J44</f>
        <v>0</v>
      </c>
      <c r="AV44" s="31">
        <f t="shared" si="36"/>
        <v>0</v>
      </c>
      <c r="AW44" s="18">
        <f t="shared" si="37"/>
        <v>0</v>
      </c>
      <c r="AX44" s="31">
        <f t="shared" si="38"/>
        <v>0</v>
      </c>
      <c r="AY44" s="31">
        <f t="shared" si="39"/>
        <v>0</v>
      </c>
      <c r="AZ44" s="157"/>
      <c r="BA44" s="37" t="str">
        <f t="shared" si="8"/>
        <v/>
      </c>
      <c r="BB44" s="36">
        <f>[1]BOA!$K44</f>
        <v>0</v>
      </c>
      <c r="BC44" s="31">
        <f t="shared" si="40"/>
        <v>0</v>
      </c>
      <c r="BD44" s="18">
        <f t="shared" si="41"/>
        <v>0</v>
      </c>
      <c r="BE44" s="31">
        <f t="shared" si="42"/>
        <v>0</v>
      </c>
      <c r="BF44" s="31">
        <f t="shared" si="43"/>
        <v>0</v>
      </c>
      <c r="BG44" s="33"/>
      <c r="BH44" s="37" t="str">
        <f t="shared" si="9"/>
        <v/>
      </c>
      <c r="BI44" s="36">
        <f>[1]BOA!$L44</f>
        <v>0</v>
      </c>
      <c r="BJ44" s="31">
        <f t="shared" si="44"/>
        <v>0</v>
      </c>
      <c r="BK44" s="18">
        <f t="shared" si="45"/>
        <v>0</v>
      </c>
      <c r="BL44" s="31">
        <f t="shared" si="46"/>
        <v>0</v>
      </c>
      <c r="BM44" s="31">
        <f t="shared" si="47"/>
        <v>0</v>
      </c>
      <c r="BN44" s="33"/>
      <c r="BO44" s="37" t="str">
        <f t="shared" si="10"/>
        <v/>
      </c>
      <c r="BP44" s="36">
        <f>[1]BOA!$M44</f>
        <v>0</v>
      </c>
      <c r="BQ44" s="31">
        <f t="shared" si="48"/>
        <v>0</v>
      </c>
      <c r="BR44" s="18">
        <f t="shared" si="49"/>
        <v>0</v>
      </c>
      <c r="BS44" s="31">
        <f t="shared" si="50"/>
        <v>0</v>
      </c>
      <c r="BT44" s="31">
        <f t="shared" si="51"/>
        <v>0</v>
      </c>
      <c r="BU44" s="33"/>
      <c r="BV44" s="37" t="str">
        <f t="shared" si="11"/>
        <v/>
      </c>
      <c r="BW44" s="36">
        <f>[1]BOA!$N44</f>
        <v>0</v>
      </c>
      <c r="BX44" s="31">
        <f t="shared" si="52"/>
        <v>0</v>
      </c>
      <c r="BY44" s="18">
        <f t="shared" si="53"/>
        <v>0</v>
      </c>
      <c r="BZ44" s="31">
        <f t="shared" si="54"/>
        <v>0</v>
      </c>
      <c r="CA44" s="31">
        <f t="shared" si="55"/>
        <v>0</v>
      </c>
      <c r="CB44" s="33"/>
      <c r="CC44" s="37" t="str">
        <f t="shared" si="12"/>
        <v/>
      </c>
      <c r="CD44" s="36">
        <f>[1]BOA!$O44</f>
        <v>0</v>
      </c>
      <c r="CE44" s="31">
        <f t="shared" si="56"/>
        <v>0</v>
      </c>
      <c r="CF44" s="18">
        <f t="shared" si="57"/>
        <v>0</v>
      </c>
      <c r="CG44" s="31">
        <f t="shared" si="58"/>
        <v>0</v>
      </c>
      <c r="CH44" s="31">
        <f t="shared" si="59"/>
        <v>0</v>
      </c>
      <c r="CI44" s="33"/>
      <c r="CJ44" s="37" t="str">
        <f t="shared" si="13"/>
        <v/>
      </c>
      <c r="CK44" s="36">
        <f>[1]BOA!$P44</f>
        <v>0</v>
      </c>
      <c r="CL44" s="31">
        <f t="shared" si="60"/>
        <v>0</v>
      </c>
      <c r="CM44" s="18">
        <f t="shared" si="61"/>
        <v>0</v>
      </c>
      <c r="CN44" s="31">
        <f t="shared" si="62"/>
        <v>0</v>
      </c>
      <c r="CO44" s="31">
        <f t="shared" si="63"/>
        <v>0</v>
      </c>
      <c r="CP44" s="33"/>
      <c r="CQ44" s="37" t="str">
        <f t="shared" si="14"/>
        <v/>
      </c>
    </row>
    <row r="45" spans="1:95" s="26" customFormat="1" ht="16" customHeight="1" thickBot="1" x14ac:dyDescent="0.25">
      <c r="A45" s="39" t="s">
        <v>69</v>
      </c>
      <c r="B45" s="30">
        <f t="shared" si="64"/>
        <v>0</v>
      </c>
      <c r="C45" s="31">
        <f t="shared" si="64"/>
        <v>0</v>
      </c>
      <c r="D45" s="32">
        <f t="shared" si="64"/>
        <v>0</v>
      </c>
      <c r="E45" s="30">
        <f t="shared" si="66"/>
        <v>0</v>
      </c>
      <c r="F45" s="33">
        <f t="shared" si="66"/>
        <v>0</v>
      </c>
      <c r="G45" s="34">
        <f t="shared" si="66"/>
        <v>0</v>
      </c>
      <c r="H45" s="31">
        <f t="shared" si="65"/>
        <v>0</v>
      </c>
      <c r="I45" s="33">
        <f t="shared" si="65"/>
        <v>0</v>
      </c>
      <c r="J45" s="33">
        <f t="shared" si="65"/>
        <v>0</v>
      </c>
      <c r="K45" s="37" t="str">
        <f t="shared" si="2"/>
        <v/>
      </c>
      <c r="L45" s="36">
        <f>[1]BOA!$E45</f>
        <v>0</v>
      </c>
      <c r="M45" s="36">
        <f t="shared" si="16"/>
        <v>0</v>
      </c>
      <c r="N45" s="36">
        <f t="shared" si="17"/>
        <v>0</v>
      </c>
      <c r="O45" s="36">
        <f t="shared" si="18"/>
        <v>0</v>
      </c>
      <c r="P45" s="36">
        <f t="shared" si="19"/>
        <v>0</v>
      </c>
      <c r="Q45" s="36"/>
      <c r="R45" s="36" t="str">
        <f t="shared" si="3"/>
        <v/>
      </c>
      <c r="S45" s="36">
        <f>[1]BOA!$F45</f>
        <v>0</v>
      </c>
      <c r="T45" s="36">
        <f t="shared" si="20"/>
        <v>0</v>
      </c>
      <c r="U45" s="36">
        <f t="shared" si="21"/>
        <v>0</v>
      </c>
      <c r="V45" s="36">
        <f t="shared" si="22"/>
        <v>0</v>
      </c>
      <c r="W45" s="36">
        <f t="shared" si="23"/>
        <v>0</v>
      </c>
      <c r="X45" s="36"/>
      <c r="Y45" s="36" t="str">
        <f t="shared" si="4"/>
        <v/>
      </c>
      <c r="Z45" s="36">
        <f>[1]BOA!$G45</f>
        <v>0</v>
      </c>
      <c r="AA45" s="36">
        <f t="shared" si="24"/>
        <v>0</v>
      </c>
      <c r="AB45" s="36">
        <f t="shared" si="25"/>
        <v>0</v>
      </c>
      <c r="AC45" s="36">
        <f t="shared" si="26"/>
        <v>0</v>
      </c>
      <c r="AD45" s="36">
        <f t="shared" si="27"/>
        <v>0</v>
      </c>
      <c r="AE45" s="36"/>
      <c r="AF45" s="36" t="str">
        <f t="shared" si="5"/>
        <v/>
      </c>
      <c r="AG45" s="36">
        <f>[1]BOA!$H45</f>
        <v>0</v>
      </c>
      <c r="AH45" s="36">
        <f t="shared" si="28"/>
        <v>0</v>
      </c>
      <c r="AI45" s="36">
        <f t="shared" si="29"/>
        <v>0</v>
      </c>
      <c r="AJ45" s="36">
        <f t="shared" si="30"/>
        <v>0</v>
      </c>
      <c r="AK45" s="36">
        <f t="shared" si="31"/>
        <v>0</v>
      </c>
      <c r="AL45" s="36"/>
      <c r="AM45" s="36" t="str">
        <f t="shared" si="6"/>
        <v/>
      </c>
      <c r="AN45" s="36">
        <f>[1]BOA!$I45</f>
        <v>0</v>
      </c>
      <c r="AO45" s="36">
        <f t="shared" si="32"/>
        <v>0</v>
      </c>
      <c r="AP45" s="36">
        <f t="shared" si="33"/>
        <v>0</v>
      </c>
      <c r="AQ45" s="36">
        <f t="shared" si="34"/>
        <v>0</v>
      </c>
      <c r="AR45" s="36">
        <f t="shared" si="35"/>
        <v>0</v>
      </c>
      <c r="AS45" s="33"/>
      <c r="AT45" s="37" t="str">
        <f t="shared" si="7"/>
        <v/>
      </c>
      <c r="AU45" s="36">
        <f>[1]BOA!$J45</f>
        <v>0</v>
      </c>
      <c r="AV45" s="31">
        <f t="shared" si="36"/>
        <v>0</v>
      </c>
      <c r="AW45" s="18">
        <f t="shared" si="37"/>
        <v>0</v>
      </c>
      <c r="AX45" s="31">
        <f t="shared" si="38"/>
        <v>0</v>
      </c>
      <c r="AY45" s="31">
        <f t="shared" si="39"/>
        <v>0</v>
      </c>
      <c r="AZ45" s="157"/>
      <c r="BA45" s="37" t="str">
        <f t="shared" si="8"/>
        <v/>
      </c>
      <c r="BB45" s="36">
        <f>[1]BOA!$K45</f>
        <v>0</v>
      </c>
      <c r="BC45" s="31">
        <f t="shared" si="40"/>
        <v>0</v>
      </c>
      <c r="BD45" s="18">
        <f t="shared" si="41"/>
        <v>0</v>
      </c>
      <c r="BE45" s="31">
        <f t="shared" si="42"/>
        <v>0</v>
      </c>
      <c r="BF45" s="31">
        <f t="shared" si="43"/>
        <v>0</v>
      </c>
      <c r="BG45" s="33"/>
      <c r="BH45" s="37" t="str">
        <f t="shared" si="9"/>
        <v/>
      </c>
      <c r="BI45" s="36">
        <f>[1]BOA!$L45</f>
        <v>0</v>
      </c>
      <c r="BJ45" s="31">
        <f t="shared" si="44"/>
        <v>0</v>
      </c>
      <c r="BK45" s="18">
        <f t="shared" si="45"/>
        <v>0</v>
      </c>
      <c r="BL45" s="31">
        <f t="shared" si="46"/>
        <v>0</v>
      </c>
      <c r="BM45" s="31">
        <f t="shared" si="47"/>
        <v>0</v>
      </c>
      <c r="BN45" s="33"/>
      <c r="BO45" s="37" t="str">
        <f t="shared" si="10"/>
        <v/>
      </c>
      <c r="BP45" s="36">
        <f>[1]BOA!$M45</f>
        <v>0</v>
      </c>
      <c r="BQ45" s="31">
        <f t="shared" si="48"/>
        <v>0</v>
      </c>
      <c r="BR45" s="18">
        <f t="shared" si="49"/>
        <v>0</v>
      </c>
      <c r="BS45" s="31">
        <f t="shared" si="50"/>
        <v>0</v>
      </c>
      <c r="BT45" s="31">
        <f t="shared" si="51"/>
        <v>0</v>
      </c>
      <c r="BU45" s="33"/>
      <c r="BV45" s="37" t="str">
        <f t="shared" si="11"/>
        <v/>
      </c>
      <c r="BW45" s="36">
        <f>[1]BOA!$N45</f>
        <v>0</v>
      </c>
      <c r="BX45" s="31">
        <f t="shared" si="52"/>
        <v>0</v>
      </c>
      <c r="BY45" s="18">
        <f t="shared" si="53"/>
        <v>0</v>
      </c>
      <c r="BZ45" s="31">
        <f t="shared" si="54"/>
        <v>0</v>
      </c>
      <c r="CA45" s="31">
        <f t="shared" si="55"/>
        <v>0</v>
      </c>
      <c r="CB45" s="33"/>
      <c r="CC45" s="37" t="str">
        <f t="shared" si="12"/>
        <v/>
      </c>
      <c r="CD45" s="36">
        <f>[1]BOA!$O45</f>
        <v>0</v>
      </c>
      <c r="CE45" s="31">
        <f t="shared" si="56"/>
        <v>0</v>
      </c>
      <c r="CF45" s="18">
        <f t="shared" si="57"/>
        <v>0</v>
      </c>
      <c r="CG45" s="31">
        <f t="shared" si="58"/>
        <v>0</v>
      </c>
      <c r="CH45" s="31">
        <f t="shared" si="59"/>
        <v>0</v>
      </c>
      <c r="CI45" s="33"/>
      <c r="CJ45" s="37" t="str">
        <f t="shared" si="13"/>
        <v/>
      </c>
      <c r="CK45" s="36">
        <f>[1]BOA!$P45</f>
        <v>0</v>
      </c>
      <c r="CL45" s="31">
        <f t="shared" si="60"/>
        <v>0</v>
      </c>
      <c r="CM45" s="18">
        <f t="shared" si="61"/>
        <v>0</v>
      </c>
      <c r="CN45" s="31">
        <f t="shared" si="62"/>
        <v>0</v>
      </c>
      <c r="CO45" s="31">
        <f t="shared" si="63"/>
        <v>0</v>
      </c>
      <c r="CP45" s="33"/>
      <c r="CQ45" s="37" t="str">
        <f t="shared" si="14"/>
        <v/>
      </c>
    </row>
    <row r="46" spans="1:95" s="26" customFormat="1" ht="16" customHeight="1" thickBot="1" x14ac:dyDescent="0.25">
      <c r="A46" s="38" t="s">
        <v>70</v>
      </c>
      <c r="B46" s="30">
        <f t="shared" si="64"/>
        <v>0</v>
      </c>
      <c r="C46" s="31">
        <f t="shared" si="64"/>
        <v>0</v>
      </c>
      <c r="D46" s="32">
        <f t="shared" si="64"/>
        <v>0</v>
      </c>
      <c r="E46" s="30">
        <f t="shared" si="66"/>
        <v>0</v>
      </c>
      <c r="F46" s="33">
        <f t="shared" si="66"/>
        <v>0</v>
      </c>
      <c r="G46" s="34">
        <f t="shared" si="66"/>
        <v>0</v>
      </c>
      <c r="H46" s="31">
        <f t="shared" si="65"/>
        <v>0</v>
      </c>
      <c r="I46" s="33">
        <f t="shared" si="65"/>
        <v>0</v>
      </c>
      <c r="J46" s="33">
        <f t="shared" si="65"/>
        <v>0</v>
      </c>
      <c r="K46" s="37" t="str">
        <f t="shared" si="2"/>
        <v/>
      </c>
      <c r="L46" s="36">
        <f>[1]BOA!$E46</f>
        <v>0</v>
      </c>
      <c r="M46" s="36">
        <f t="shared" si="16"/>
        <v>0</v>
      </c>
      <c r="N46" s="36">
        <f t="shared" si="17"/>
        <v>0</v>
      </c>
      <c r="O46" s="36">
        <f t="shared" si="18"/>
        <v>0</v>
      </c>
      <c r="P46" s="36">
        <f t="shared" si="19"/>
        <v>0</v>
      </c>
      <c r="Q46" s="36"/>
      <c r="R46" s="36" t="str">
        <f t="shared" si="3"/>
        <v/>
      </c>
      <c r="S46" s="36">
        <f>[1]BOA!$F46</f>
        <v>0</v>
      </c>
      <c r="T46" s="36">
        <f t="shared" si="20"/>
        <v>0</v>
      </c>
      <c r="U46" s="36">
        <f t="shared" si="21"/>
        <v>0</v>
      </c>
      <c r="V46" s="36">
        <f t="shared" si="22"/>
        <v>0</v>
      </c>
      <c r="W46" s="36">
        <f t="shared" si="23"/>
        <v>0</v>
      </c>
      <c r="X46" s="36"/>
      <c r="Y46" s="36" t="str">
        <f t="shared" si="4"/>
        <v/>
      </c>
      <c r="Z46" s="36">
        <f>[1]BOA!$G46</f>
        <v>0</v>
      </c>
      <c r="AA46" s="36">
        <f t="shared" si="24"/>
        <v>0</v>
      </c>
      <c r="AB46" s="36">
        <f t="shared" si="25"/>
        <v>0</v>
      </c>
      <c r="AC46" s="36">
        <f t="shared" si="26"/>
        <v>0</v>
      </c>
      <c r="AD46" s="36">
        <f t="shared" si="27"/>
        <v>0</v>
      </c>
      <c r="AE46" s="36"/>
      <c r="AF46" s="36" t="str">
        <f t="shared" si="5"/>
        <v/>
      </c>
      <c r="AG46" s="36">
        <f>[1]BOA!$H46</f>
        <v>0</v>
      </c>
      <c r="AH46" s="36">
        <f t="shared" si="28"/>
        <v>0</v>
      </c>
      <c r="AI46" s="36">
        <f t="shared" si="29"/>
        <v>0</v>
      </c>
      <c r="AJ46" s="36">
        <f t="shared" si="30"/>
        <v>0</v>
      </c>
      <c r="AK46" s="36">
        <f t="shared" si="31"/>
        <v>0</v>
      </c>
      <c r="AL46" s="36"/>
      <c r="AM46" s="36" t="str">
        <f t="shared" si="6"/>
        <v/>
      </c>
      <c r="AN46" s="36">
        <f>[1]BOA!$I46</f>
        <v>0</v>
      </c>
      <c r="AO46" s="36">
        <f t="shared" si="32"/>
        <v>0</v>
      </c>
      <c r="AP46" s="36">
        <f t="shared" si="33"/>
        <v>0</v>
      </c>
      <c r="AQ46" s="36">
        <f t="shared" si="34"/>
        <v>0</v>
      </c>
      <c r="AR46" s="36">
        <f t="shared" si="35"/>
        <v>0</v>
      </c>
      <c r="AS46" s="33"/>
      <c r="AT46" s="37" t="str">
        <f t="shared" si="7"/>
        <v/>
      </c>
      <c r="AU46" s="36">
        <f>[1]BOA!$J46</f>
        <v>0</v>
      </c>
      <c r="AV46" s="31">
        <f t="shared" si="36"/>
        <v>0</v>
      </c>
      <c r="AW46" s="18">
        <f t="shared" si="37"/>
        <v>0</v>
      </c>
      <c r="AX46" s="31">
        <f t="shared" si="38"/>
        <v>0</v>
      </c>
      <c r="AY46" s="31">
        <f t="shared" si="39"/>
        <v>0</v>
      </c>
      <c r="AZ46" s="157"/>
      <c r="BA46" s="37" t="str">
        <f t="shared" si="8"/>
        <v/>
      </c>
      <c r="BB46" s="36">
        <f>[1]BOA!$K46</f>
        <v>0</v>
      </c>
      <c r="BC46" s="31">
        <f t="shared" si="40"/>
        <v>0</v>
      </c>
      <c r="BD46" s="18">
        <f t="shared" si="41"/>
        <v>0</v>
      </c>
      <c r="BE46" s="31">
        <f t="shared" si="42"/>
        <v>0</v>
      </c>
      <c r="BF46" s="31">
        <f t="shared" si="43"/>
        <v>0</v>
      </c>
      <c r="BG46" s="33"/>
      <c r="BH46" s="37" t="str">
        <f t="shared" si="9"/>
        <v/>
      </c>
      <c r="BI46" s="36">
        <f>[1]BOA!$L46</f>
        <v>0</v>
      </c>
      <c r="BJ46" s="31">
        <f t="shared" si="44"/>
        <v>0</v>
      </c>
      <c r="BK46" s="18">
        <f t="shared" si="45"/>
        <v>0</v>
      </c>
      <c r="BL46" s="31">
        <f t="shared" si="46"/>
        <v>0</v>
      </c>
      <c r="BM46" s="31">
        <f t="shared" si="47"/>
        <v>0</v>
      </c>
      <c r="BN46" s="33"/>
      <c r="BO46" s="37" t="str">
        <f t="shared" si="10"/>
        <v/>
      </c>
      <c r="BP46" s="36">
        <f>[1]BOA!$M46</f>
        <v>0</v>
      </c>
      <c r="BQ46" s="31">
        <f t="shared" si="48"/>
        <v>0</v>
      </c>
      <c r="BR46" s="18">
        <f t="shared" si="49"/>
        <v>0</v>
      </c>
      <c r="BS46" s="31">
        <f t="shared" si="50"/>
        <v>0</v>
      </c>
      <c r="BT46" s="31">
        <f t="shared" si="51"/>
        <v>0</v>
      </c>
      <c r="BU46" s="33"/>
      <c r="BV46" s="37" t="str">
        <f t="shared" si="11"/>
        <v/>
      </c>
      <c r="BW46" s="36">
        <f>[1]BOA!$N46</f>
        <v>0</v>
      </c>
      <c r="BX46" s="31">
        <f t="shared" si="52"/>
        <v>0</v>
      </c>
      <c r="BY46" s="18">
        <f t="shared" si="53"/>
        <v>0</v>
      </c>
      <c r="BZ46" s="31">
        <f t="shared" si="54"/>
        <v>0</v>
      </c>
      <c r="CA46" s="31">
        <f t="shared" si="55"/>
        <v>0</v>
      </c>
      <c r="CB46" s="33"/>
      <c r="CC46" s="37" t="str">
        <f t="shared" si="12"/>
        <v/>
      </c>
      <c r="CD46" s="36">
        <f>[1]BOA!$O46</f>
        <v>0</v>
      </c>
      <c r="CE46" s="31">
        <f t="shared" si="56"/>
        <v>0</v>
      </c>
      <c r="CF46" s="18">
        <f t="shared" si="57"/>
        <v>0</v>
      </c>
      <c r="CG46" s="31">
        <f t="shared" si="58"/>
        <v>0</v>
      </c>
      <c r="CH46" s="31">
        <f t="shared" si="59"/>
        <v>0</v>
      </c>
      <c r="CI46" s="33"/>
      <c r="CJ46" s="37" t="str">
        <f t="shared" si="13"/>
        <v/>
      </c>
      <c r="CK46" s="36">
        <f>[1]BOA!$P46</f>
        <v>0</v>
      </c>
      <c r="CL46" s="31">
        <f t="shared" si="60"/>
        <v>0</v>
      </c>
      <c r="CM46" s="18">
        <f t="shared" si="61"/>
        <v>0</v>
      </c>
      <c r="CN46" s="31">
        <f t="shared" si="62"/>
        <v>0</v>
      </c>
      <c r="CO46" s="31">
        <f t="shared" si="63"/>
        <v>0</v>
      </c>
      <c r="CP46" s="33"/>
      <c r="CQ46" s="37" t="str">
        <f t="shared" si="14"/>
        <v/>
      </c>
    </row>
    <row r="47" spans="1:95" s="26" customFormat="1" ht="16" customHeight="1" thickBot="1" x14ac:dyDescent="0.25">
      <c r="A47" s="29" t="s">
        <v>71</v>
      </c>
      <c r="B47" s="30">
        <f t="shared" si="64"/>
        <v>0</v>
      </c>
      <c r="C47" s="31">
        <f t="shared" si="64"/>
        <v>0</v>
      </c>
      <c r="D47" s="32">
        <f t="shared" si="64"/>
        <v>0</v>
      </c>
      <c r="E47" s="30">
        <f t="shared" si="66"/>
        <v>0</v>
      </c>
      <c r="F47" s="33">
        <f t="shared" si="66"/>
        <v>0</v>
      </c>
      <c r="G47" s="34">
        <f t="shared" si="66"/>
        <v>0</v>
      </c>
      <c r="H47" s="31">
        <f t="shared" si="65"/>
        <v>0</v>
      </c>
      <c r="I47" s="33">
        <f t="shared" si="65"/>
        <v>0</v>
      </c>
      <c r="J47" s="33">
        <f t="shared" si="65"/>
        <v>0</v>
      </c>
      <c r="K47" s="37" t="str">
        <f t="shared" si="2"/>
        <v/>
      </c>
      <c r="L47" s="36">
        <f>[1]BOA!$E47</f>
        <v>0</v>
      </c>
      <c r="M47" s="36">
        <f t="shared" si="16"/>
        <v>0</v>
      </c>
      <c r="N47" s="36">
        <f t="shared" si="17"/>
        <v>0</v>
      </c>
      <c r="O47" s="36">
        <f t="shared" si="18"/>
        <v>0</v>
      </c>
      <c r="P47" s="36">
        <f t="shared" si="19"/>
        <v>0</v>
      </c>
      <c r="Q47" s="36"/>
      <c r="R47" s="36" t="str">
        <f t="shared" si="3"/>
        <v/>
      </c>
      <c r="S47" s="36">
        <f>[1]BOA!$F47</f>
        <v>0</v>
      </c>
      <c r="T47" s="36">
        <f t="shared" si="20"/>
        <v>0</v>
      </c>
      <c r="U47" s="36">
        <f t="shared" si="21"/>
        <v>0</v>
      </c>
      <c r="V47" s="36">
        <f t="shared" si="22"/>
        <v>0</v>
      </c>
      <c r="W47" s="36">
        <f t="shared" si="23"/>
        <v>0</v>
      </c>
      <c r="X47" s="36"/>
      <c r="Y47" s="36" t="str">
        <f t="shared" si="4"/>
        <v/>
      </c>
      <c r="Z47" s="36">
        <f>[1]BOA!$G47</f>
        <v>0</v>
      </c>
      <c r="AA47" s="36">
        <f t="shared" si="24"/>
        <v>0</v>
      </c>
      <c r="AB47" s="36">
        <f t="shared" si="25"/>
        <v>0</v>
      </c>
      <c r="AC47" s="36">
        <f t="shared" si="26"/>
        <v>0</v>
      </c>
      <c r="AD47" s="36">
        <f t="shared" si="27"/>
        <v>0</v>
      </c>
      <c r="AE47" s="36"/>
      <c r="AF47" s="36" t="str">
        <f t="shared" si="5"/>
        <v/>
      </c>
      <c r="AG47" s="36">
        <f>[1]BOA!$H47</f>
        <v>0</v>
      </c>
      <c r="AH47" s="36">
        <f t="shared" si="28"/>
        <v>0</v>
      </c>
      <c r="AI47" s="36">
        <f t="shared" si="29"/>
        <v>0</v>
      </c>
      <c r="AJ47" s="36">
        <f t="shared" si="30"/>
        <v>0</v>
      </c>
      <c r="AK47" s="36">
        <f t="shared" si="31"/>
        <v>0</v>
      </c>
      <c r="AL47" s="36"/>
      <c r="AM47" s="36" t="str">
        <f t="shared" si="6"/>
        <v/>
      </c>
      <c r="AN47" s="36">
        <f>[1]BOA!$I47</f>
        <v>0</v>
      </c>
      <c r="AO47" s="36">
        <f t="shared" si="32"/>
        <v>0</v>
      </c>
      <c r="AP47" s="36">
        <f t="shared" si="33"/>
        <v>0</v>
      </c>
      <c r="AQ47" s="36">
        <f t="shared" si="34"/>
        <v>0</v>
      </c>
      <c r="AR47" s="36">
        <f t="shared" si="35"/>
        <v>0</v>
      </c>
      <c r="AS47" s="33"/>
      <c r="AT47" s="37" t="str">
        <f t="shared" si="7"/>
        <v/>
      </c>
      <c r="AU47" s="36">
        <f>[1]BOA!$J47</f>
        <v>0</v>
      </c>
      <c r="AV47" s="31">
        <f t="shared" si="36"/>
        <v>0</v>
      </c>
      <c r="AW47" s="18">
        <f t="shared" si="37"/>
        <v>0</v>
      </c>
      <c r="AX47" s="31">
        <f t="shared" si="38"/>
        <v>0</v>
      </c>
      <c r="AY47" s="31">
        <f t="shared" si="39"/>
        <v>0</v>
      </c>
      <c r="AZ47" s="157"/>
      <c r="BA47" s="37" t="str">
        <f t="shared" si="8"/>
        <v/>
      </c>
      <c r="BB47" s="36">
        <f>[1]BOA!$K47</f>
        <v>0</v>
      </c>
      <c r="BC47" s="31">
        <f t="shared" si="40"/>
        <v>0</v>
      </c>
      <c r="BD47" s="18">
        <f t="shared" si="41"/>
        <v>0</v>
      </c>
      <c r="BE47" s="31">
        <f t="shared" si="42"/>
        <v>0</v>
      </c>
      <c r="BF47" s="31">
        <f t="shared" si="43"/>
        <v>0</v>
      </c>
      <c r="BG47" s="33"/>
      <c r="BH47" s="37" t="str">
        <f t="shared" si="9"/>
        <v/>
      </c>
      <c r="BI47" s="36">
        <f>[1]BOA!$L47</f>
        <v>0</v>
      </c>
      <c r="BJ47" s="31">
        <f t="shared" si="44"/>
        <v>0</v>
      </c>
      <c r="BK47" s="18">
        <f t="shared" si="45"/>
        <v>0</v>
      </c>
      <c r="BL47" s="31">
        <f t="shared" si="46"/>
        <v>0</v>
      </c>
      <c r="BM47" s="31">
        <f t="shared" si="47"/>
        <v>0</v>
      </c>
      <c r="BN47" s="33"/>
      <c r="BO47" s="37" t="str">
        <f t="shared" si="10"/>
        <v/>
      </c>
      <c r="BP47" s="36">
        <f>[1]BOA!$M47</f>
        <v>0</v>
      </c>
      <c r="BQ47" s="31">
        <f t="shared" si="48"/>
        <v>0</v>
      </c>
      <c r="BR47" s="18">
        <f t="shared" si="49"/>
        <v>0</v>
      </c>
      <c r="BS47" s="31">
        <f t="shared" si="50"/>
        <v>0</v>
      </c>
      <c r="BT47" s="31">
        <f t="shared" si="51"/>
        <v>0</v>
      </c>
      <c r="BU47" s="33"/>
      <c r="BV47" s="37" t="str">
        <f t="shared" si="11"/>
        <v/>
      </c>
      <c r="BW47" s="36">
        <f>[1]BOA!$N47</f>
        <v>0</v>
      </c>
      <c r="BX47" s="31">
        <f t="shared" si="52"/>
        <v>0</v>
      </c>
      <c r="BY47" s="18">
        <f t="shared" si="53"/>
        <v>0</v>
      </c>
      <c r="BZ47" s="31">
        <f t="shared" si="54"/>
        <v>0</v>
      </c>
      <c r="CA47" s="31">
        <f t="shared" si="55"/>
        <v>0</v>
      </c>
      <c r="CB47" s="33"/>
      <c r="CC47" s="37" t="str">
        <f t="shared" si="12"/>
        <v/>
      </c>
      <c r="CD47" s="36">
        <f>[1]BOA!$O47</f>
        <v>0</v>
      </c>
      <c r="CE47" s="31">
        <f t="shared" si="56"/>
        <v>0</v>
      </c>
      <c r="CF47" s="18">
        <f t="shared" si="57"/>
        <v>0</v>
      </c>
      <c r="CG47" s="31">
        <f t="shared" si="58"/>
        <v>0</v>
      </c>
      <c r="CH47" s="31">
        <f t="shared" si="59"/>
        <v>0</v>
      </c>
      <c r="CI47" s="33"/>
      <c r="CJ47" s="37" t="str">
        <f t="shared" si="13"/>
        <v/>
      </c>
      <c r="CK47" s="36">
        <f>[1]BOA!$P47</f>
        <v>0</v>
      </c>
      <c r="CL47" s="31">
        <f t="shared" si="60"/>
        <v>0</v>
      </c>
      <c r="CM47" s="18">
        <f t="shared" si="61"/>
        <v>0</v>
      </c>
      <c r="CN47" s="31">
        <f t="shared" si="62"/>
        <v>0</v>
      </c>
      <c r="CO47" s="31">
        <f t="shared" si="63"/>
        <v>0</v>
      </c>
      <c r="CP47" s="33"/>
      <c r="CQ47" s="37" t="str">
        <f t="shared" si="14"/>
        <v/>
      </c>
    </row>
    <row r="48" spans="1:95" s="26" customFormat="1" ht="16" customHeight="1" thickBot="1" x14ac:dyDescent="0.25">
      <c r="A48" s="38" t="s">
        <v>72</v>
      </c>
      <c r="B48" s="30">
        <f t="shared" si="64"/>
        <v>49999.999999999993</v>
      </c>
      <c r="C48" s="31">
        <f t="shared" si="64"/>
        <v>42380</v>
      </c>
      <c r="D48" s="32">
        <f t="shared" si="64"/>
        <v>7620.0000000000009</v>
      </c>
      <c r="E48" s="30">
        <f t="shared" si="66"/>
        <v>16666.666666666668</v>
      </c>
      <c r="F48" s="33">
        <f t="shared" si="66"/>
        <v>14126.666666666668</v>
      </c>
      <c r="G48" s="34">
        <f t="shared" si="66"/>
        <v>2540.0000000000005</v>
      </c>
      <c r="H48" s="31">
        <f t="shared" si="65"/>
        <v>10017.792876</v>
      </c>
      <c r="I48" s="33">
        <f t="shared" si="65"/>
        <v>1801.217124</v>
      </c>
      <c r="J48" s="33">
        <f t="shared" si="65"/>
        <v>11819.009999999998</v>
      </c>
      <c r="K48" s="37">
        <f t="shared" si="2"/>
        <v>-0.2908594000000001</v>
      </c>
      <c r="L48" s="36">
        <f>[1]BOA!$E48</f>
        <v>4166.666666666667</v>
      </c>
      <c r="M48" s="36">
        <f t="shared" si="16"/>
        <v>3531.666666666667</v>
      </c>
      <c r="N48" s="36">
        <f t="shared" si="17"/>
        <v>635.00000000000011</v>
      </c>
      <c r="O48" s="36">
        <f t="shared" si="18"/>
        <v>164.85820000000001</v>
      </c>
      <c r="P48" s="36">
        <f t="shared" si="19"/>
        <v>29.6418</v>
      </c>
      <c r="Q48" s="36">
        <f>194.5</f>
        <v>194.5</v>
      </c>
      <c r="R48" s="36">
        <f t="shared" si="3"/>
        <v>-0.95331999999999995</v>
      </c>
      <c r="S48" s="36">
        <f>[1]BOA!$F48</f>
        <v>4166.666666666667</v>
      </c>
      <c r="T48" s="36">
        <f t="shared" si="20"/>
        <v>3531.666666666667</v>
      </c>
      <c r="U48" s="36">
        <f t="shared" si="21"/>
        <v>635.00000000000011</v>
      </c>
      <c r="V48" s="36">
        <f t="shared" si="22"/>
        <v>2332.5951999999997</v>
      </c>
      <c r="W48" s="36">
        <f t="shared" si="23"/>
        <v>419.40480000000002</v>
      </c>
      <c r="X48" s="36">
        <f>2752</f>
        <v>2752</v>
      </c>
      <c r="Y48" s="36">
        <f t="shared" si="4"/>
        <v>-0.33952000000000004</v>
      </c>
      <c r="Z48" s="36">
        <f>[1]BOA!$G48</f>
        <v>4166.666666666667</v>
      </c>
      <c r="AA48" s="36">
        <f t="shared" si="24"/>
        <v>3531.666666666667</v>
      </c>
      <c r="AB48" s="36">
        <f t="shared" si="25"/>
        <v>635.00000000000011</v>
      </c>
      <c r="AC48" s="36">
        <f t="shared" si="26"/>
        <v>859.29687999999999</v>
      </c>
      <c r="AD48" s="36">
        <f t="shared" si="27"/>
        <v>154.50312</v>
      </c>
      <c r="AE48" s="36">
        <f>1228.8-215</f>
        <v>1013.8</v>
      </c>
      <c r="AF48" s="36">
        <f t="shared" si="5"/>
        <v>-0.75668800000000003</v>
      </c>
      <c r="AG48" s="36">
        <f>[1]BOA!$H48</f>
        <v>4166.666666666667</v>
      </c>
      <c r="AH48" s="36">
        <f t="shared" si="28"/>
        <v>3531.666666666667</v>
      </c>
      <c r="AI48" s="36">
        <f t="shared" si="29"/>
        <v>635.00000000000011</v>
      </c>
      <c r="AJ48" s="36">
        <f t="shared" si="30"/>
        <v>727.30860800000005</v>
      </c>
      <c r="AK48" s="36">
        <f t="shared" si="31"/>
        <v>130.77139200000002</v>
      </c>
      <c r="AL48" s="36">
        <f>858.08</f>
        <v>858.08</v>
      </c>
      <c r="AM48" s="36">
        <f t="shared" si="6"/>
        <v>-0.79406080000000001</v>
      </c>
      <c r="AN48" s="36">
        <f>[1]BOA!$I48</f>
        <v>4166.666666666667</v>
      </c>
      <c r="AO48" s="36">
        <f t="shared" si="32"/>
        <v>3531.666666666667</v>
      </c>
      <c r="AP48" s="36">
        <f t="shared" si="33"/>
        <v>635.00000000000011</v>
      </c>
      <c r="AQ48" s="36">
        <f t="shared" si="34"/>
        <v>4949.8399079999999</v>
      </c>
      <c r="AR48" s="36">
        <f t="shared" si="35"/>
        <v>889.990092</v>
      </c>
      <c r="AS48" s="33">
        <v>5839.83</v>
      </c>
      <c r="AT48" s="37">
        <f t="shared" si="7"/>
        <v>0.40155919999999989</v>
      </c>
      <c r="AU48" s="36">
        <f>[1]BOA!$J48</f>
        <v>4166.666666666667</v>
      </c>
      <c r="AV48" s="31">
        <f t="shared" si="36"/>
        <v>3531.666666666667</v>
      </c>
      <c r="AW48" s="18">
        <f t="shared" si="37"/>
        <v>635.00000000000011</v>
      </c>
      <c r="AX48" s="31">
        <f t="shared" si="38"/>
        <v>983.89407999999992</v>
      </c>
      <c r="AY48" s="31">
        <f t="shared" si="39"/>
        <v>176.90592000000001</v>
      </c>
      <c r="AZ48" s="157">
        <v>1160.8</v>
      </c>
      <c r="BA48" s="37">
        <f t="shared" si="8"/>
        <v>-0.72140800000000005</v>
      </c>
      <c r="BB48" s="36">
        <f>[1]BOA!$K48</f>
        <v>4166.666666666667</v>
      </c>
      <c r="BC48" s="31">
        <f t="shared" si="40"/>
        <v>3531.666666666667</v>
      </c>
      <c r="BD48" s="18">
        <f t="shared" si="41"/>
        <v>635.00000000000011</v>
      </c>
      <c r="BE48" s="31">
        <f t="shared" si="42"/>
        <v>0</v>
      </c>
      <c r="BF48" s="31">
        <f t="shared" si="43"/>
        <v>0</v>
      </c>
      <c r="BG48" s="33"/>
      <c r="BH48" s="37">
        <f t="shared" si="9"/>
        <v>-1</v>
      </c>
      <c r="BI48" s="36">
        <f>[1]BOA!$L48</f>
        <v>4166.666666666667</v>
      </c>
      <c r="BJ48" s="31">
        <f t="shared" si="44"/>
        <v>3531.666666666667</v>
      </c>
      <c r="BK48" s="18">
        <f t="shared" si="45"/>
        <v>635.00000000000011</v>
      </c>
      <c r="BL48" s="31">
        <f t="shared" si="46"/>
        <v>0</v>
      </c>
      <c r="BM48" s="31">
        <f t="shared" si="47"/>
        <v>0</v>
      </c>
      <c r="BN48" s="33"/>
      <c r="BO48" s="37">
        <f t="shared" si="10"/>
        <v>-1</v>
      </c>
      <c r="BP48" s="36">
        <f>[1]BOA!$M48</f>
        <v>4166.666666666667</v>
      </c>
      <c r="BQ48" s="31">
        <f t="shared" si="48"/>
        <v>3531.666666666667</v>
      </c>
      <c r="BR48" s="18">
        <f t="shared" si="49"/>
        <v>635.00000000000011</v>
      </c>
      <c r="BS48" s="31">
        <f t="shared" si="50"/>
        <v>0</v>
      </c>
      <c r="BT48" s="31">
        <f t="shared" si="51"/>
        <v>0</v>
      </c>
      <c r="BU48" s="33"/>
      <c r="BV48" s="37">
        <f t="shared" si="11"/>
        <v>-1</v>
      </c>
      <c r="BW48" s="36">
        <f>[1]BOA!$N48</f>
        <v>4166.666666666667</v>
      </c>
      <c r="BX48" s="31">
        <f t="shared" si="52"/>
        <v>3531.666666666667</v>
      </c>
      <c r="BY48" s="18">
        <f t="shared" si="53"/>
        <v>635.00000000000011</v>
      </c>
      <c r="BZ48" s="31">
        <f t="shared" si="54"/>
        <v>0</v>
      </c>
      <c r="CA48" s="31">
        <f t="shared" si="55"/>
        <v>0</v>
      </c>
      <c r="CB48" s="33"/>
      <c r="CC48" s="37">
        <f t="shared" si="12"/>
        <v>-1</v>
      </c>
      <c r="CD48" s="36">
        <f>[1]BOA!$O48</f>
        <v>4166.666666666667</v>
      </c>
      <c r="CE48" s="31">
        <f t="shared" si="56"/>
        <v>3531.666666666667</v>
      </c>
      <c r="CF48" s="18">
        <f t="shared" si="57"/>
        <v>635.00000000000011</v>
      </c>
      <c r="CG48" s="31">
        <f t="shared" si="58"/>
        <v>0</v>
      </c>
      <c r="CH48" s="31">
        <f t="shared" si="59"/>
        <v>0</v>
      </c>
      <c r="CI48" s="33"/>
      <c r="CJ48" s="37">
        <f t="shared" si="13"/>
        <v>-1</v>
      </c>
      <c r="CK48" s="36">
        <f>[1]BOA!$P48</f>
        <v>4166.666666666667</v>
      </c>
      <c r="CL48" s="31">
        <f t="shared" si="60"/>
        <v>3531.666666666667</v>
      </c>
      <c r="CM48" s="18">
        <f t="shared" si="61"/>
        <v>635.00000000000011</v>
      </c>
      <c r="CN48" s="31">
        <f t="shared" si="62"/>
        <v>0</v>
      </c>
      <c r="CO48" s="31">
        <f t="shared" si="63"/>
        <v>0</v>
      </c>
      <c r="CP48" s="33"/>
      <c r="CQ48" s="37">
        <f t="shared" si="14"/>
        <v>-1</v>
      </c>
    </row>
    <row r="49" spans="1:99" s="26" customFormat="1" ht="16" customHeight="1" thickBot="1" x14ac:dyDescent="0.25">
      <c r="A49" s="29" t="s">
        <v>73</v>
      </c>
      <c r="B49" s="30">
        <f t="shared" si="64"/>
        <v>192300</v>
      </c>
      <c r="C49" s="31">
        <f t="shared" si="64"/>
        <v>162993.48000000007</v>
      </c>
      <c r="D49" s="32">
        <f t="shared" si="64"/>
        <v>29306.519999999993</v>
      </c>
      <c r="E49" s="30">
        <f t="shared" si="66"/>
        <v>64100</v>
      </c>
      <c r="F49" s="33">
        <f t="shared" si="66"/>
        <v>54331.16</v>
      </c>
      <c r="G49" s="34">
        <f t="shared" si="66"/>
        <v>9768.84</v>
      </c>
      <c r="H49" s="31">
        <f t="shared" si="65"/>
        <v>96337.249735999998</v>
      </c>
      <c r="I49" s="33">
        <f t="shared" si="65"/>
        <v>17321.610263999999</v>
      </c>
      <c r="J49" s="33">
        <f t="shared" si="65"/>
        <v>113658.85999999999</v>
      </c>
      <c r="K49" s="37">
        <f t="shared" si="2"/>
        <v>0.77314914196567841</v>
      </c>
      <c r="L49" s="36">
        <f>[1]BOA!$E49</f>
        <v>16025</v>
      </c>
      <c r="M49" s="36">
        <f t="shared" si="16"/>
        <v>13582.79</v>
      </c>
      <c r="N49" s="36">
        <f t="shared" si="17"/>
        <v>2442.21</v>
      </c>
      <c r="O49" s="36">
        <f t="shared" si="18"/>
        <v>17451.422871999999</v>
      </c>
      <c r="P49" s="36">
        <f t="shared" si="19"/>
        <v>3137.7971279999997</v>
      </c>
      <c r="Q49" s="36">
        <f>R83</f>
        <v>20589.219999999998</v>
      </c>
      <c r="R49" s="36">
        <f t="shared" si="3"/>
        <v>0.28481872074882975</v>
      </c>
      <c r="S49" s="36">
        <f>[1]BOA!$F49</f>
        <v>16025</v>
      </c>
      <c r="T49" s="36">
        <f t="shared" si="20"/>
        <v>13582.79</v>
      </c>
      <c r="U49" s="36">
        <f t="shared" si="21"/>
        <v>2442.21</v>
      </c>
      <c r="V49" s="36">
        <f t="shared" si="22"/>
        <v>14166.811828000002</v>
      </c>
      <c r="W49" s="36">
        <f t="shared" si="23"/>
        <v>2547.2181720000003</v>
      </c>
      <c r="X49" s="36">
        <f>Y83</f>
        <v>16714.030000000002</v>
      </c>
      <c r="Y49" s="36">
        <f t="shared" si="4"/>
        <v>4.2997191887675701E-2</v>
      </c>
      <c r="Z49" s="36">
        <f>[1]BOA!$G49</f>
        <v>16025</v>
      </c>
      <c r="AA49" s="36">
        <f t="shared" si="24"/>
        <v>13582.79</v>
      </c>
      <c r="AB49" s="36">
        <f t="shared" si="25"/>
        <v>2442.21</v>
      </c>
      <c r="AC49" s="36">
        <f t="shared" si="26"/>
        <v>12401.176267999999</v>
      </c>
      <c r="AD49" s="36">
        <f t="shared" si="27"/>
        <v>2229.7537320000001</v>
      </c>
      <c r="AE49" s="36">
        <f>AF83</f>
        <v>14630.93</v>
      </c>
      <c r="AF49" s="36">
        <f t="shared" si="5"/>
        <v>-8.6993447737909513E-2</v>
      </c>
      <c r="AG49" s="36">
        <f>[1]BOA!$H49</f>
        <v>16025</v>
      </c>
      <c r="AH49" s="36">
        <f t="shared" si="28"/>
        <v>13582.79</v>
      </c>
      <c r="AI49" s="36">
        <f t="shared" si="29"/>
        <v>2442.21</v>
      </c>
      <c r="AJ49" s="36">
        <f t="shared" si="30"/>
        <v>17120.146887999996</v>
      </c>
      <c r="AK49" s="36">
        <f t="shared" si="31"/>
        <v>3078.2331119999999</v>
      </c>
      <c r="AL49" s="36">
        <f>AM83</f>
        <v>20198.379999999997</v>
      </c>
      <c r="AM49" s="36">
        <f t="shared" si="6"/>
        <v>0.26042932917316675</v>
      </c>
      <c r="AN49" s="36">
        <f>[1]BOA!$I49</f>
        <v>16025</v>
      </c>
      <c r="AO49" s="36">
        <f t="shared" si="32"/>
        <v>13582.79</v>
      </c>
      <c r="AP49" s="36">
        <f t="shared" si="33"/>
        <v>2442.21</v>
      </c>
      <c r="AQ49" s="36">
        <f t="shared" si="34"/>
        <v>16864.18864</v>
      </c>
      <c r="AR49" s="36">
        <f t="shared" si="35"/>
        <v>3032.2113600000002</v>
      </c>
      <c r="AS49" s="33">
        <v>19896.400000000001</v>
      </c>
      <c r="AT49" s="37">
        <f t="shared" si="7"/>
        <v>0.24158502340093624</v>
      </c>
      <c r="AU49" s="36">
        <f>[1]BOA!$J49</f>
        <v>16025</v>
      </c>
      <c r="AV49" s="31">
        <f t="shared" si="36"/>
        <v>13582.79</v>
      </c>
      <c r="AW49" s="18">
        <f t="shared" si="37"/>
        <v>2442.21</v>
      </c>
      <c r="AX49" s="31">
        <f t="shared" si="38"/>
        <v>18333.503239999998</v>
      </c>
      <c r="AY49" s="31">
        <f t="shared" si="39"/>
        <v>3296.3967599999996</v>
      </c>
      <c r="AZ49" s="157">
        <v>21629.899999999998</v>
      </c>
      <c r="BA49" s="37">
        <f t="shared" si="8"/>
        <v>0.34975975039001539</v>
      </c>
      <c r="BB49" s="36">
        <f>[1]BOA!$K49</f>
        <v>16025</v>
      </c>
      <c r="BC49" s="31">
        <f t="shared" si="40"/>
        <v>13582.79</v>
      </c>
      <c r="BD49" s="18">
        <f t="shared" si="41"/>
        <v>2442.21</v>
      </c>
      <c r="BE49" s="31">
        <f t="shared" si="42"/>
        <v>0</v>
      </c>
      <c r="BF49" s="31">
        <f t="shared" si="43"/>
        <v>0</v>
      </c>
      <c r="BG49" s="33"/>
      <c r="BH49" s="37">
        <f t="shared" si="9"/>
        <v>-1</v>
      </c>
      <c r="BI49" s="36">
        <f>[1]BOA!$L49</f>
        <v>16025</v>
      </c>
      <c r="BJ49" s="31">
        <f t="shared" si="44"/>
        <v>13582.79</v>
      </c>
      <c r="BK49" s="18">
        <f t="shared" si="45"/>
        <v>2442.21</v>
      </c>
      <c r="BL49" s="31">
        <f t="shared" si="46"/>
        <v>0</v>
      </c>
      <c r="BM49" s="31">
        <f t="shared" si="47"/>
        <v>0</v>
      </c>
      <c r="BN49" s="33"/>
      <c r="BO49" s="37">
        <f t="shared" si="10"/>
        <v>-1</v>
      </c>
      <c r="BP49" s="36">
        <f>[1]BOA!$M49</f>
        <v>16025</v>
      </c>
      <c r="BQ49" s="31">
        <f t="shared" si="48"/>
        <v>13582.79</v>
      </c>
      <c r="BR49" s="18">
        <f t="shared" si="49"/>
        <v>2442.21</v>
      </c>
      <c r="BS49" s="31">
        <f t="shared" si="50"/>
        <v>0</v>
      </c>
      <c r="BT49" s="31">
        <f t="shared" si="51"/>
        <v>0</v>
      </c>
      <c r="BU49" s="33"/>
      <c r="BV49" s="37">
        <f t="shared" si="11"/>
        <v>-1</v>
      </c>
      <c r="BW49" s="36">
        <f>[1]BOA!$N49</f>
        <v>16025</v>
      </c>
      <c r="BX49" s="31">
        <f t="shared" si="52"/>
        <v>13582.79</v>
      </c>
      <c r="BY49" s="18">
        <f t="shared" si="53"/>
        <v>2442.21</v>
      </c>
      <c r="BZ49" s="31">
        <f t="shared" si="54"/>
        <v>0</v>
      </c>
      <c r="CA49" s="31">
        <f t="shared" si="55"/>
        <v>0</v>
      </c>
      <c r="CB49" s="33"/>
      <c r="CC49" s="37">
        <f t="shared" si="12"/>
        <v>-1</v>
      </c>
      <c r="CD49" s="36">
        <f>[1]BOA!$O49</f>
        <v>16025</v>
      </c>
      <c r="CE49" s="31">
        <f t="shared" si="56"/>
        <v>13582.79</v>
      </c>
      <c r="CF49" s="18">
        <f t="shared" si="57"/>
        <v>2442.21</v>
      </c>
      <c r="CG49" s="31">
        <f t="shared" si="58"/>
        <v>0</v>
      </c>
      <c r="CH49" s="31">
        <f t="shared" si="59"/>
        <v>0</v>
      </c>
      <c r="CI49" s="33"/>
      <c r="CJ49" s="37">
        <f t="shared" si="13"/>
        <v>-1</v>
      </c>
      <c r="CK49" s="36">
        <f>[1]BOA!$P49</f>
        <v>16025</v>
      </c>
      <c r="CL49" s="31">
        <f t="shared" si="60"/>
        <v>13582.79</v>
      </c>
      <c r="CM49" s="18">
        <f t="shared" si="61"/>
        <v>2442.21</v>
      </c>
      <c r="CN49" s="31">
        <f t="shared" si="62"/>
        <v>0</v>
      </c>
      <c r="CO49" s="31">
        <f t="shared" si="63"/>
        <v>0</v>
      </c>
      <c r="CP49" s="33"/>
      <c r="CQ49" s="37">
        <f t="shared" si="14"/>
        <v>-1</v>
      </c>
    </row>
    <row r="50" spans="1:99" s="26" customFormat="1" ht="16" customHeight="1" thickBot="1" x14ac:dyDescent="0.25">
      <c r="A50" s="29" t="s">
        <v>74</v>
      </c>
      <c r="B50" s="30">
        <f t="shared" si="64"/>
        <v>11935.6</v>
      </c>
      <c r="C50" s="31">
        <f t="shared" si="64"/>
        <v>10116.614560000002</v>
      </c>
      <c r="D50" s="32">
        <f t="shared" si="64"/>
        <v>1818.9854400000002</v>
      </c>
      <c r="E50" s="30">
        <f t="shared" si="66"/>
        <v>3978.5333333333333</v>
      </c>
      <c r="F50" s="33">
        <f t="shared" si="66"/>
        <v>3372.2048533333332</v>
      </c>
      <c r="G50" s="34">
        <f t="shared" si="66"/>
        <v>606.32848000000001</v>
      </c>
      <c r="H50" s="31">
        <f t="shared" si="65"/>
        <v>4820.7843319999993</v>
      </c>
      <c r="I50" s="33">
        <f t="shared" si="65"/>
        <v>866.78566800000021</v>
      </c>
      <c r="J50" s="33">
        <f t="shared" si="65"/>
        <v>5687.5700000000006</v>
      </c>
      <c r="K50" s="37">
        <f t="shared" si="2"/>
        <v>0.42956449612922709</v>
      </c>
      <c r="L50" s="36">
        <f>[1]BOA!$E50</f>
        <v>994.63333333333333</v>
      </c>
      <c r="M50" s="36">
        <f t="shared" si="16"/>
        <v>843.05121333333329</v>
      </c>
      <c r="N50" s="36">
        <f t="shared" si="17"/>
        <v>151.58212</v>
      </c>
      <c r="O50" s="36">
        <f t="shared" si="18"/>
        <v>788.242572</v>
      </c>
      <c r="P50" s="36">
        <f t="shared" si="19"/>
        <v>141.727428</v>
      </c>
      <c r="Q50" s="36">
        <f>929.97</f>
        <v>929.97</v>
      </c>
      <c r="R50" s="36">
        <f t="shared" si="3"/>
        <v>-6.5012232313415241E-2</v>
      </c>
      <c r="S50" s="36">
        <f>[1]BOA!$F50</f>
        <v>994.63333333333333</v>
      </c>
      <c r="T50" s="36">
        <f t="shared" si="20"/>
        <v>843.05121333333329</v>
      </c>
      <c r="U50" s="36">
        <f t="shared" si="21"/>
        <v>151.58212</v>
      </c>
      <c r="V50" s="36">
        <f t="shared" si="22"/>
        <v>912.83977200000004</v>
      </c>
      <c r="W50" s="36">
        <f t="shared" si="23"/>
        <v>164.13022800000002</v>
      </c>
      <c r="X50" s="36">
        <f>1076.97</f>
        <v>1076.97</v>
      </c>
      <c r="Y50" s="36">
        <f t="shared" si="4"/>
        <v>8.2780924293709646E-2</v>
      </c>
      <c r="Z50" s="36">
        <f>[1]BOA!$G50</f>
        <v>994.63333333333333</v>
      </c>
      <c r="AA50" s="36">
        <f t="shared" si="24"/>
        <v>843.05121333333329</v>
      </c>
      <c r="AB50" s="36">
        <f t="shared" si="25"/>
        <v>151.58212</v>
      </c>
      <c r="AC50" s="36">
        <f t="shared" si="26"/>
        <v>1609.88906</v>
      </c>
      <c r="AD50" s="36">
        <f t="shared" si="27"/>
        <v>289.46093999999999</v>
      </c>
      <c r="AE50" s="36">
        <f>1899.35</f>
        <v>1899.35</v>
      </c>
      <c r="AF50" s="36">
        <f t="shared" si="5"/>
        <v>0.90959817688260314</v>
      </c>
      <c r="AG50" s="36">
        <f>[1]BOA!$H50</f>
        <v>994.63333333333333</v>
      </c>
      <c r="AH50" s="36">
        <f t="shared" si="28"/>
        <v>843.05121333333329</v>
      </c>
      <c r="AI50" s="36">
        <f t="shared" si="29"/>
        <v>151.58212</v>
      </c>
      <c r="AJ50" s="36">
        <f t="shared" si="30"/>
        <v>745.44724799999995</v>
      </c>
      <c r="AK50" s="36">
        <f t="shared" si="31"/>
        <v>134.03275200000002</v>
      </c>
      <c r="AL50" s="36">
        <f>879.48</f>
        <v>879.48</v>
      </c>
      <c r="AM50" s="36">
        <f t="shared" si="6"/>
        <v>-0.11577465732765846</v>
      </c>
      <c r="AN50" s="36">
        <f>[1]BOA!$I50</f>
        <v>994.63333333333333</v>
      </c>
      <c r="AO50" s="36">
        <f t="shared" si="32"/>
        <v>843.05121333333329</v>
      </c>
      <c r="AP50" s="36">
        <f t="shared" si="33"/>
        <v>151.58212</v>
      </c>
      <c r="AQ50" s="36">
        <f t="shared" si="34"/>
        <v>607.63596399999994</v>
      </c>
      <c r="AR50" s="36">
        <f t="shared" si="35"/>
        <v>109.254036</v>
      </c>
      <c r="AS50" s="150">
        <v>716.89</v>
      </c>
      <c r="AT50" s="37">
        <f t="shared" si="7"/>
        <v>-0.27924193170012401</v>
      </c>
      <c r="AU50" s="36">
        <f>[1]BOA!$J50</f>
        <v>994.63333333333333</v>
      </c>
      <c r="AV50" s="28">
        <f t="shared" si="36"/>
        <v>843.05121333333329</v>
      </c>
      <c r="AW50" s="18">
        <f t="shared" si="37"/>
        <v>151.58212</v>
      </c>
      <c r="AX50" s="28">
        <f t="shared" si="38"/>
        <v>156.72971599999997</v>
      </c>
      <c r="AY50" s="28">
        <f t="shared" si="39"/>
        <v>28.180283999999997</v>
      </c>
      <c r="AZ50" s="162">
        <v>184.90999999999997</v>
      </c>
      <c r="BA50" s="37">
        <f t="shared" si="8"/>
        <v>-0.8140922953182077</v>
      </c>
      <c r="BB50" s="36">
        <f>[1]BOA!$K50</f>
        <v>994.63333333333333</v>
      </c>
      <c r="BC50" s="28">
        <f t="shared" si="40"/>
        <v>843.05121333333329</v>
      </c>
      <c r="BD50" s="18">
        <f t="shared" si="41"/>
        <v>151.58212</v>
      </c>
      <c r="BE50" s="28">
        <f t="shared" si="42"/>
        <v>0</v>
      </c>
      <c r="BF50" s="28">
        <f t="shared" si="43"/>
        <v>0</v>
      </c>
      <c r="BG50" s="150"/>
      <c r="BH50" s="37">
        <f t="shared" si="9"/>
        <v>-1</v>
      </c>
      <c r="BI50" s="36">
        <f>[1]BOA!$L50</f>
        <v>994.63333333333333</v>
      </c>
      <c r="BJ50" s="28">
        <f t="shared" si="44"/>
        <v>843.05121333333329</v>
      </c>
      <c r="BK50" s="18">
        <f t="shared" si="45"/>
        <v>151.58212</v>
      </c>
      <c r="BL50" s="28">
        <f t="shared" si="46"/>
        <v>0</v>
      </c>
      <c r="BM50" s="28">
        <f t="shared" si="47"/>
        <v>0</v>
      </c>
      <c r="BN50" s="150"/>
      <c r="BO50" s="37">
        <f t="shared" si="10"/>
        <v>-1</v>
      </c>
      <c r="BP50" s="36">
        <f>[1]BOA!$M50</f>
        <v>994.63333333333333</v>
      </c>
      <c r="BQ50" s="28">
        <f t="shared" si="48"/>
        <v>843.05121333333329</v>
      </c>
      <c r="BR50" s="18">
        <f t="shared" si="49"/>
        <v>151.58212</v>
      </c>
      <c r="BS50" s="28">
        <f t="shared" si="50"/>
        <v>0</v>
      </c>
      <c r="BT50" s="28">
        <f t="shared" si="51"/>
        <v>0</v>
      </c>
      <c r="BU50" s="150"/>
      <c r="BV50" s="37">
        <f t="shared" si="11"/>
        <v>-1</v>
      </c>
      <c r="BW50" s="36">
        <f>[1]BOA!$N50</f>
        <v>994.63333333333333</v>
      </c>
      <c r="BX50" s="28">
        <f t="shared" si="52"/>
        <v>843.05121333333329</v>
      </c>
      <c r="BY50" s="18">
        <f t="shared" si="53"/>
        <v>151.58212</v>
      </c>
      <c r="BZ50" s="28">
        <f t="shared" si="54"/>
        <v>0</v>
      </c>
      <c r="CA50" s="28">
        <f t="shared" si="55"/>
        <v>0</v>
      </c>
      <c r="CB50" s="150"/>
      <c r="CC50" s="37">
        <f t="shared" si="12"/>
        <v>-1</v>
      </c>
      <c r="CD50" s="36">
        <f>[1]BOA!$O50</f>
        <v>994.63333333333333</v>
      </c>
      <c r="CE50" s="28">
        <f t="shared" si="56"/>
        <v>843.05121333333329</v>
      </c>
      <c r="CF50" s="18">
        <f t="shared" si="57"/>
        <v>151.58212</v>
      </c>
      <c r="CG50" s="28">
        <f t="shared" si="58"/>
        <v>0</v>
      </c>
      <c r="CH50" s="28">
        <f t="shared" si="59"/>
        <v>0</v>
      </c>
      <c r="CI50" s="150"/>
      <c r="CJ50" s="37">
        <f t="shared" si="13"/>
        <v>-1</v>
      </c>
      <c r="CK50" s="36">
        <f>[1]BOA!$P50</f>
        <v>994.63333333333333</v>
      </c>
      <c r="CL50" s="28">
        <f t="shared" si="60"/>
        <v>843.05121333333329</v>
      </c>
      <c r="CM50" s="18">
        <f t="shared" si="61"/>
        <v>151.58212</v>
      </c>
      <c r="CN50" s="28">
        <f t="shared" si="62"/>
        <v>0</v>
      </c>
      <c r="CO50" s="28">
        <f t="shared" si="63"/>
        <v>0</v>
      </c>
      <c r="CP50" s="150"/>
      <c r="CQ50" s="37">
        <f t="shared" si="14"/>
        <v>-1</v>
      </c>
    </row>
    <row r="51" spans="1:99" s="26" customFormat="1" ht="16" customHeight="1" thickBot="1" x14ac:dyDescent="0.25">
      <c r="A51" s="29" t="s">
        <v>75</v>
      </c>
      <c r="B51" s="30">
        <f t="shared" si="64"/>
        <v>8970.9546000000009</v>
      </c>
      <c r="C51" s="31">
        <f t="shared" si="64"/>
        <v>7603.7811189599997</v>
      </c>
      <c r="D51" s="32">
        <f t="shared" si="64"/>
        <v>1367.1734810399996</v>
      </c>
      <c r="E51" s="30">
        <f t="shared" si="66"/>
        <v>2990.3181999999997</v>
      </c>
      <c r="F51" s="33">
        <f t="shared" si="66"/>
        <v>2534.5937063199999</v>
      </c>
      <c r="G51" s="34">
        <f t="shared" si="66"/>
        <v>455.72449367999997</v>
      </c>
      <c r="H51" s="31">
        <f t="shared" si="65"/>
        <v>3749.2399360000004</v>
      </c>
      <c r="I51" s="33">
        <f t="shared" si="65"/>
        <v>674.12006400000007</v>
      </c>
      <c r="J51" s="33">
        <f t="shared" si="65"/>
        <v>4423.3599999999997</v>
      </c>
      <c r="K51" s="37">
        <f t="shared" si="2"/>
        <v>0.4792271939487911</v>
      </c>
      <c r="L51" s="36">
        <f>[1]BOA!$E51</f>
        <v>747.57954999999993</v>
      </c>
      <c r="M51" s="36">
        <f t="shared" si="16"/>
        <v>633.64842657999998</v>
      </c>
      <c r="N51" s="36">
        <f t="shared" si="17"/>
        <v>113.93112341999999</v>
      </c>
      <c r="O51" s="36">
        <f t="shared" si="18"/>
        <v>627.58846799999992</v>
      </c>
      <c r="P51" s="36">
        <f t="shared" si="19"/>
        <v>112.841532</v>
      </c>
      <c r="Q51" s="36">
        <f>740.43</f>
        <v>740.43</v>
      </c>
      <c r="R51" s="36">
        <f t="shared" si="3"/>
        <v>-9.5635976131235312E-3</v>
      </c>
      <c r="S51" s="36">
        <f>[1]BOA!$F51</f>
        <v>747.57954999999993</v>
      </c>
      <c r="T51" s="36">
        <f t="shared" si="20"/>
        <v>633.64842657999998</v>
      </c>
      <c r="U51" s="36">
        <f t="shared" si="21"/>
        <v>113.93112341999999</v>
      </c>
      <c r="V51" s="36">
        <f t="shared" si="22"/>
        <v>611.24673999999993</v>
      </c>
      <c r="W51" s="36">
        <f t="shared" si="23"/>
        <v>109.90326</v>
      </c>
      <c r="X51" s="36">
        <f>721.15</f>
        <v>721.15</v>
      </c>
      <c r="Y51" s="36">
        <f t="shared" si="4"/>
        <v>-3.5353495156468573E-2</v>
      </c>
      <c r="Z51" s="36">
        <f>[1]BOA!$G51</f>
        <v>747.57954999999993</v>
      </c>
      <c r="AA51" s="36">
        <f t="shared" si="24"/>
        <v>633.64842657999998</v>
      </c>
      <c r="AB51" s="36">
        <f t="shared" si="25"/>
        <v>113.93112341999999</v>
      </c>
      <c r="AC51" s="36">
        <f t="shared" si="26"/>
        <v>568.51074800000004</v>
      </c>
      <c r="AD51" s="36">
        <f t="shared" si="27"/>
        <v>102.21925200000001</v>
      </c>
      <c r="AE51" s="36">
        <f>670.73</f>
        <v>670.73</v>
      </c>
      <c r="AF51" s="36">
        <f t="shared" si="5"/>
        <v>-0.10279782265312087</v>
      </c>
      <c r="AG51" s="36">
        <f>[1]BOA!$H51</f>
        <v>747.57954999999993</v>
      </c>
      <c r="AH51" s="36">
        <f t="shared" si="28"/>
        <v>633.64842657999998</v>
      </c>
      <c r="AI51" s="36">
        <f t="shared" si="29"/>
        <v>113.93112341999999</v>
      </c>
      <c r="AJ51" s="36">
        <f t="shared" si="30"/>
        <v>758.18667600000003</v>
      </c>
      <c r="AK51" s="36">
        <f t="shared" si="31"/>
        <v>136.32332400000001</v>
      </c>
      <c r="AL51" s="36">
        <f>894.51</f>
        <v>894.51</v>
      </c>
      <c r="AM51" s="36">
        <f t="shared" si="6"/>
        <v>0.19654155868763401</v>
      </c>
      <c r="AN51" s="36">
        <f>[1]BOA!$I51</f>
        <v>747.57954999999993</v>
      </c>
      <c r="AO51" s="36">
        <f t="shared" si="32"/>
        <v>633.64842657999998</v>
      </c>
      <c r="AP51" s="36">
        <f t="shared" si="33"/>
        <v>113.93112341999999</v>
      </c>
      <c r="AQ51" s="36">
        <f t="shared" si="34"/>
        <v>622.68934000000002</v>
      </c>
      <c r="AR51" s="36">
        <f t="shared" si="35"/>
        <v>111.96066</v>
      </c>
      <c r="AS51" s="45">
        <v>734.65</v>
      </c>
      <c r="AT51" s="37">
        <f t="shared" si="7"/>
        <v>-1.7295216274976988E-2</v>
      </c>
      <c r="AU51" s="36">
        <f>[1]BOA!$J51</f>
        <v>747.57954999999993</v>
      </c>
      <c r="AV51" s="31">
        <f t="shared" si="36"/>
        <v>633.64842657999998</v>
      </c>
      <c r="AW51" s="18">
        <f t="shared" si="37"/>
        <v>113.93112341999999</v>
      </c>
      <c r="AX51" s="31">
        <f t="shared" si="38"/>
        <v>561.01796400000001</v>
      </c>
      <c r="AY51" s="31">
        <f t="shared" si="39"/>
        <v>100.87203600000001</v>
      </c>
      <c r="AZ51" s="160">
        <v>661.89</v>
      </c>
      <c r="BA51" s="37">
        <f t="shared" si="8"/>
        <v>-0.1146226511947791</v>
      </c>
      <c r="BB51" s="36">
        <f>[1]BOA!$K51</f>
        <v>747.57954999999993</v>
      </c>
      <c r="BC51" s="31">
        <f t="shared" si="40"/>
        <v>633.64842657999998</v>
      </c>
      <c r="BD51" s="18">
        <f t="shared" si="41"/>
        <v>113.93112341999999</v>
      </c>
      <c r="BE51" s="31">
        <f t="shared" si="42"/>
        <v>0</v>
      </c>
      <c r="BF51" s="31">
        <f t="shared" si="43"/>
        <v>0</v>
      </c>
      <c r="BG51" s="45"/>
      <c r="BH51" s="37">
        <f t="shared" si="9"/>
        <v>-1</v>
      </c>
      <c r="BI51" s="36">
        <f>[1]BOA!$L51</f>
        <v>747.57954999999993</v>
      </c>
      <c r="BJ51" s="31">
        <f t="shared" si="44"/>
        <v>633.64842657999998</v>
      </c>
      <c r="BK51" s="18">
        <f t="shared" si="45"/>
        <v>113.93112341999999</v>
      </c>
      <c r="BL51" s="31">
        <f t="shared" si="46"/>
        <v>0</v>
      </c>
      <c r="BM51" s="31">
        <f t="shared" si="47"/>
        <v>0</v>
      </c>
      <c r="BN51" s="45"/>
      <c r="BO51" s="37">
        <f t="shared" si="10"/>
        <v>-1</v>
      </c>
      <c r="BP51" s="36">
        <f>[1]BOA!$M51</f>
        <v>747.57954999999993</v>
      </c>
      <c r="BQ51" s="31">
        <f t="shared" si="48"/>
        <v>633.64842657999998</v>
      </c>
      <c r="BR51" s="18">
        <f t="shared" si="49"/>
        <v>113.93112341999999</v>
      </c>
      <c r="BS51" s="31">
        <f t="shared" si="50"/>
        <v>0</v>
      </c>
      <c r="BT51" s="31">
        <f t="shared" si="51"/>
        <v>0</v>
      </c>
      <c r="BU51" s="45"/>
      <c r="BV51" s="37">
        <f t="shared" si="11"/>
        <v>-1</v>
      </c>
      <c r="BW51" s="36">
        <f>[1]BOA!$N51</f>
        <v>747.57954999999993</v>
      </c>
      <c r="BX51" s="31">
        <f t="shared" si="52"/>
        <v>633.64842657999998</v>
      </c>
      <c r="BY51" s="18">
        <f t="shared" si="53"/>
        <v>113.93112341999999</v>
      </c>
      <c r="BZ51" s="31">
        <f t="shared" si="54"/>
        <v>0</v>
      </c>
      <c r="CA51" s="31">
        <f t="shared" si="55"/>
        <v>0</v>
      </c>
      <c r="CB51" s="45"/>
      <c r="CC51" s="37">
        <f t="shared" si="12"/>
        <v>-1</v>
      </c>
      <c r="CD51" s="36">
        <f>[1]BOA!$O51</f>
        <v>747.57954999999993</v>
      </c>
      <c r="CE51" s="31">
        <f t="shared" si="56"/>
        <v>633.64842657999998</v>
      </c>
      <c r="CF51" s="18">
        <f t="shared" si="57"/>
        <v>113.93112341999999</v>
      </c>
      <c r="CG51" s="31">
        <f t="shared" si="58"/>
        <v>0</v>
      </c>
      <c r="CH51" s="31">
        <f t="shared" si="59"/>
        <v>0</v>
      </c>
      <c r="CI51" s="45"/>
      <c r="CJ51" s="37">
        <f t="shared" si="13"/>
        <v>-1</v>
      </c>
      <c r="CK51" s="36">
        <f>[1]BOA!$P51</f>
        <v>747.57954999999993</v>
      </c>
      <c r="CL51" s="31">
        <f t="shared" si="60"/>
        <v>633.64842657999998</v>
      </c>
      <c r="CM51" s="18">
        <f t="shared" si="61"/>
        <v>113.93112341999999</v>
      </c>
      <c r="CN51" s="31">
        <f t="shared" si="62"/>
        <v>0</v>
      </c>
      <c r="CO51" s="31">
        <f t="shared" si="63"/>
        <v>0</v>
      </c>
      <c r="CP51" s="45"/>
      <c r="CQ51" s="37">
        <f t="shared" si="14"/>
        <v>-1</v>
      </c>
    </row>
    <row r="52" spans="1:99" s="26" customFormat="1" ht="16" customHeight="1" thickBot="1" x14ac:dyDescent="0.25">
      <c r="A52" s="29" t="s">
        <v>76</v>
      </c>
      <c r="B52" s="30">
        <f t="shared" si="64"/>
        <v>30000</v>
      </c>
      <c r="C52" s="31">
        <f t="shared" si="64"/>
        <v>25428</v>
      </c>
      <c r="D52" s="32">
        <f t="shared" si="64"/>
        <v>4572</v>
      </c>
      <c r="E52" s="30">
        <f t="shared" si="66"/>
        <v>10000</v>
      </c>
      <c r="F52" s="33">
        <f t="shared" si="66"/>
        <v>8476</v>
      </c>
      <c r="G52" s="34">
        <f t="shared" si="66"/>
        <v>1524</v>
      </c>
      <c r="H52" s="31">
        <f t="shared" si="65"/>
        <v>15149.722692000001</v>
      </c>
      <c r="I52" s="33">
        <f t="shared" si="65"/>
        <v>2723.9473079999998</v>
      </c>
      <c r="J52" s="33">
        <f t="shared" si="65"/>
        <v>17873.670000000002</v>
      </c>
      <c r="K52" s="37">
        <f t="shared" si="2"/>
        <v>0.78736700000000015</v>
      </c>
      <c r="L52" s="36">
        <f>[1]BOA!$E52</f>
        <v>2500</v>
      </c>
      <c r="M52" s="36">
        <f t="shared" si="16"/>
        <v>2119</v>
      </c>
      <c r="N52" s="36">
        <f t="shared" si="17"/>
        <v>381</v>
      </c>
      <c r="O52" s="36">
        <f t="shared" si="18"/>
        <v>6600.7528080000002</v>
      </c>
      <c r="P52" s="36">
        <f t="shared" si="19"/>
        <v>1186.827192</v>
      </c>
      <c r="Q52" s="36">
        <f>7787.58</f>
        <v>7787.58</v>
      </c>
      <c r="R52" s="36">
        <f t="shared" si="3"/>
        <v>2.1150319999999998</v>
      </c>
      <c r="S52" s="36">
        <f>[1]BOA!$F52</f>
        <v>2500</v>
      </c>
      <c r="T52" s="36">
        <f t="shared" si="20"/>
        <v>2119</v>
      </c>
      <c r="U52" s="36">
        <f t="shared" si="21"/>
        <v>381</v>
      </c>
      <c r="V52" s="36">
        <f t="shared" si="22"/>
        <v>1117.43346</v>
      </c>
      <c r="W52" s="36">
        <f t="shared" si="23"/>
        <v>200.91654</v>
      </c>
      <c r="X52" s="36">
        <f>1318.35</f>
        <v>1318.35</v>
      </c>
      <c r="Y52" s="36">
        <f t="shared" si="4"/>
        <v>-0.47266000000000008</v>
      </c>
      <c r="Z52" s="36">
        <f>[1]BOA!$G52</f>
        <v>2500</v>
      </c>
      <c r="AA52" s="36">
        <f t="shared" si="24"/>
        <v>2119</v>
      </c>
      <c r="AB52" s="36">
        <f t="shared" si="25"/>
        <v>381</v>
      </c>
      <c r="AC52" s="36">
        <f t="shared" si="26"/>
        <v>2846.1984199999997</v>
      </c>
      <c r="AD52" s="36">
        <f t="shared" si="27"/>
        <v>511.75157999999999</v>
      </c>
      <c r="AE52" s="36">
        <f>3357.95</f>
        <v>3357.95</v>
      </c>
      <c r="AF52" s="36">
        <f t="shared" si="5"/>
        <v>0.34317999999999982</v>
      </c>
      <c r="AG52" s="36">
        <f>[1]BOA!$H52</f>
        <v>2500</v>
      </c>
      <c r="AH52" s="36">
        <f t="shared" si="28"/>
        <v>2119</v>
      </c>
      <c r="AI52" s="36">
        <f t="shared" si="29"/>
        <v>381</v>
      </c>
      <c r="AJ52" s="36">
        <f t="shared" si="30"/>
        <v>1796.7933360000002</v>
      </c>
      <c r="AK52" s="36">
        <f t="shared" si="31"/>
        <v>323.06666400000006</v>
      </c>
      <c r="AL52" s="36">
        <f>2119.86</f>
        <v>2119.86</v>
      </c>
      <c r="AM52" s="36">
        <f t="shared" si="6"/>
        <v>-0.15205599999999997</v>
      </c>
      <c r="AN52" s="36">
        <f>[1]BOA!$I52</f>
        <v>2500</v>
      </c>
      <c r="AO52" s="36">
        <f t="shared" si="32"/>
        <v>2119</v>
      </c>
      <c r="AP52" s="36">
        <f t="shared" si="33"/>
        <v>381</v>
      </c>
      <c r="AQ52" s="36">
        <f t="shared" si="34"/>
        <v>1162.873296</v>
      </c>
      <c r="AR52" s="36">
        <f t="shared" si="35"/>
        <v>209.08670400000003</v>
      </c>
      <c r="AS52" s="33">
        <v>1371.96</v>
      </c>
      <c r="AT52" s="37">
        <f t="shared" si="7"/>
        <v>-0.45121599999999995</v>
      </c>
      <c r="AU52" s="36">
        <f>[1]BOA!$J52</f>
        <v>2500</v>
      </c>
      <c r="AV52" s="31">
        <f t="shared" si="36"/>
        <v>2119</v>
      </c>
      <c r="AW52" s="18">
        <f t="shared" si="37"/>
        <v>381</v>
      </c>
      <c r="AX52" s="31">
        <f t="shared" si="38"/>
        <v>1625.671372</v>
      </c>
      <c r="AY52" s="31">
        <f t="shared" si="39"/>
        <v>292.29862800000001</v>
      </c>
      <c r="AZ52" s="157">
        <v>1917.97</v>
      </c>
      <c r="BA52" s="37">
        <f t="shared" si="8"/>
        <v>-0.23281200000000002</v>
      </c>
      <c r="BB52" s="36">
        <f>[1]BOA!$K52</f>
        <v>2500</v>
      </c>
      <c r="BC52" s="31">
        <f t="shared" si="40"/>
        <v>2119</v>
      </c>
      <c r="BD52" s="18">
        <f t="shared" si="41"/>
        <v>381</v>
      </c>
      <c r="BE52" s="31">
        <f t="shared" si="42"/>
        <v>0</v>
      </c>
      <c r="BF52" s="31">
        <f t="shared" si="43"/>
        <v>0</v>
      </c>
      <c r="BG52" s="33"/>
      <c r="BH52" s="37">
        <f t="shared" si="9"/>
        <v>-1</v>
      </c>
      <c r="BI52" s="36">
        <f>[1]BOA!$L52</f>
        <v>2500</v>
      </c>
      <c r="BJ52" s="31">
        <f t="shared" si="44"/>
        <v>2119</v>
      </c>
      <c r="BK52" s="18">
        <f t="shared" si="45"/>
        <v>381</v>
      </c>
      <c r="BL52" s="31">
        <f t="shared" si="46"/>
        <v>0</v>
      </c>
      <c r="BM52" s="31">
        <f t="shared" si="47"/>
        <v>0</v>
      </c>
      <c r="BN52" s="33"/>
      <c r="BO52" s="37">
        <f t="shared" si="10"/>
        <v>-1</v>
      </c>
      <c r="BP52" s="36">
        <f>[1]BOA!$M52</f>
        <v>2500</v>
      </c>
      <c r="BQ52" s="31">
        <f t="shared" si="48"/>
        <v>2119</v>
      </c>
      <c r="BR52" s="18">
        <f t="shared" si="49"/>
        <v>381</v>
      </c>
      <c r="BS52" s="31">
        <f t="shared" si="50"/>
        <v>0</v>
      </c>
      <c r="BT52" s="31">
        <f t="shared" si="51"/>
        <v>0</v>
      </c>
      <c r="BU52" s="33"/>
      <c r="BV52" s="37">
        <f t="shared" si="11"/>
        <v>-1</v>
      </c>
      <c r="BW52" s="36">
        <f>[1]BOA!$N52</f>
        <v>2500</v>
      </c>
      <c r="BX52" s="31">
        <f t="shared" si="52"/>
        <v>2119</v>
      </c>
      <c r="BY52" s="18">
        <f t="shared" si="53"/>
        <v>381</v>
      </c>
      <c r="BZ52" s="31">
        <f t="shared" si="54"/>
        <v>0</v>
      </c>
      <c r="CA52" s="31">
        <f t="shared" si="55"/>
        <v>0</v>
      </c>
      <c r="CB52" s="33"/>
      <c r="CC52" s="37">
        <f t="shared" si="12"/>
        <v>-1</v>
      </c>
      <c r="CD52" s="36">
        <f>[1]BOA!$O52</f>
        <v>2500</v>
      </c>
      <c r="CE52" s="31">
        <f t="shared" si="56"/>
        <v>2119</v>
      </c>
      <c r="CF52" s="18">
        <f t="shared" si="57"/>
        <v>381</v>
      </c>
      <c r="CG52" s="31">
        <f t="shared" si="58"/>
        <v>0</v>
      </c>
      <c r="CH52" s="31">
        <f t="shared" si="59"/>
        <v>0</v>
      </c>
      <c r="CI52" s="33"/>
      <c r="CJ52" s="37">
        <f t="shared" si="13"/>
        <v>-1</v>
      </c>
      <c r="CK52" s="36">
        <f>[1]BOA!$P52</f>
        <v>2500</v>
      </c>
      <c r="CL52" s="31">
        <f t="shared" si="60"/>
        <v>2119</v>
      </c>
      <c r="CM52" s="18">
        <f t="shared" si="61"/>
        <v>381</v>
      </c>
      <c r="CN52" s="31">
        <f t="shared" si="62"/>
        <v>0</v>
      </c>
      <c r="CO52" s="31">
        <f t="shared" si="63"/>
        <v>0</v>
      </c>
      <c r="CP52" s="33"/>
      <c r="CQ52" s="37">
        <f t="shared" si="14"/>
        <v>-1</v>
      </c>
    </row>
    <row r="53" spans="1:99" s="26" customFormat="1" ht="16" customHeight="1" thickBot="1" x14ac:dyDescent="0.25">
      <c r="A53" s="38" t="s">
        <v>77</v>
      </c>
      <c r="B53" s="30">
        <f t="shared" si="64"/>
        <v>12000</v>
      </c>
      <c r="C53" s="31">
        <f t="shared" si="64"/>
        <v>10171.200000000003</v>
      </c>
      <c r="D53" s="32">
        <f t="shared" si="64"/>
        <v>1828.8000000000004</v>
      </c>
      <c r="E53" s="30">
        <f t="shared" si="66"/>
        <v>4000</v>
      </c>
      <c r="F53" s="33">
        <f t="shared" si="66"/>
        <v>3390.4</v>
      </c>
      <c r="G53" s="34">
        <f t="shared" si="66"/>
        <v>609.6</v>
      </c>
      <c r="H53" s="31">
        <f t="shared" si="65"/>
        <v>21547.339683999999</v>
      </c>
      <c r="I53" s="33">
        <f t="shared" si="65"/>
        <v>3874.2503160000001</v>
      </c>
      <c r="J53" s="33">
        <f t="shared" si="65"/>
        <v>25421.59</v>
      </c>
      <c r="K53" s="37">
        <f t="shared" si="2"/>
        <v>5.3553975000000005</v>
      </c>
      <c r="L53" s="36">
        <f>[1]BOA!$E53</f>
        <v>1000</v>
      </c>
      <c r="M53" s="36">
        <f t="shared" si="16"/>
        <v>847.6</v>
      </c>
      <c r="N53" s="36">
        <f t="shared" si="17"/>
        <v>152.4</v>
      </c>
      <c r="O53" s="36">
        <f t="shared" si="18"/>
        <v>0</v>
      </c>
      <c r="P53" s="36">
        <f t="shared" si="19"/>
        <v>0</v>
      </c>
      <c r="Q53" s="36"/>
      <c r="R53" s="36">
        <f t="shared" si="3"/>
        <v>-1</v>
      </c>
      <c r="S53" s="36">
        <f>[1]BOA!$F53</f>
        <v>1000</v>
      </c>
      <c r="T53" s="36">
        <f t="shared" si="20"/>
        <v>847.6</v>
      </c>
      <c r="U53" s="36">
        <f t="shared" si="21"/>
        <v>152.4</v>
      </c>
      <c r="V53" s="36">
        <f t="shared" si="22"/>
        <v>790.85317999999995</v>
      </c>
      <c r="W53" s="36">
        <f t="shared" si="23"/>
        <v>142.19682</v>
      </c>
      <c r="X53" s="36">
        <f>933.05</f>
        <v>933.05</v>
      </c>
      <c r="Y53" s="36">
        <f t="shared" si="4"/>
        <v>-6.6950000000000065E-2</v>
      </c>
      <c r="Z53" s="36">
        <f>[1]BOA!$G53</f>
        <v>1000</v>
      </c>
      <c r="AA53" s="36">
        <f t="shared" si="24"/>
        <v>847.6</v>
      </c>
      <c r="AB53" s="36">
        <f t="shared" si="25"/>
        <v>152.4</v>
      </c>
      <c r="AC53" s="36">
        <f t="shared" si="26"/>
        <v>263.55274400000002</v>
      </c>
      <c r="AD53" s="36">
        <f t="shared" si="27"/>
        <v>47.387256000000001</v>
      </c>
      <c r="AE53" s="36">
        <f>310.94</f>
        <v>310.94</v>
      </c>
      <c r="AF53" s="36">
        <f t="shared" si="5"/>
        <v>-0.68906000000000001</v>
      </c>
      <c r="AG53" s="36">
        <f>[1]BOA!$H53</f>
        <v>1000</v>
      </c>
      <c r="AH53" s="36">
        <f t="shared" si="28"/>
        <v>847.6</v>
      </c>
      <c r="AI53" s="36">
        <f t="shared" si="29"/>
        <v>152.4</v>
      </c>
      <c r="AJ53" s="36">
        <f t="shared" si="30"/>
        <v>114.426</v>
      </c>
      <c r="AK53" s="36">
        <f t="shared" si="31"/>
        <v>20.574000000000002</v>
      </c>
      <c r="AL53" s="36">
        <f>135</f>
        <v>135</v>
      </c>
      <c r="AM53" s="36">
        <f t="shared" si="6"/>
        <v>-0.86499999999999999</v>
      </c>
      <c r="AN53" s="36">
        <f>[1]BOA!$I53</f>
        <v>1000</v>
      </c>
      <c r="AO53" s="36">
        <f t="shared" si="32"/>
        <v>847.6</v>
      </c>
      <c r="AP53" s="36">
        <f t="shared" si="33"/>
        <v>152.4</v>
      </c>
      <c r="AQ53" s="36">
        <f t="shared" si="34"/>
        <v>20378.50776</v>
      </c>
      <c r="AR53" s="36">
        <f t="shared" si="35"/>
        <v>3664.0922399999999</v>
      </c>
      <c r="AS53" s="33">
        <v>24042.6</v>
      </c>
      <c r="AT53" s="37">
        <f t="shared" si="7"/>
        <v>23.0426</v>
      </c>
      <c r="AU53" s="36">
        <f>[1]BOA!$J53</f>
        <v>1000</v>
      </c>
      <c r="AV53" s="31">
        <f t="shared" si="36"/>
        <v>847.6</v>
      </c>
      <c r="AW53" s="18">
        <f t="shared" si="37"/>
        <v>152.4</v>
      </c>
      <c r="AX53" s="31">
        <f t="shared" si="38"/>
        <v>0</v>
      </c>
      <c r="AY53" s="31">
        <f t="shared" si="39"/>
        <v>0</v>
      </c>
      <c r="AZ53" s="157"/>
      <c r="BA53" s="37">
        <f t="shared" si="8"/>
        <v>-1</v>
      </c>
      <c r="BB53" s="36">
        <f>[1]BOA!$K53</f>
        <v>1000</v>
      </c>
      <c r="BC53" s="31">
        <f t="shared" si="40"/>
        <v>847.6</v>
      </c>
      <c r="BD53" s="18">
        <f t="shared" si="41"/>
        <v>152.4</v>
      </c>
      <c r="BE53" s="31">
        <f t="shared" si="42"/>
        <v>0</v>
      </c>
      <c r="BF53" s="31">
        <f t="shared" si="43"/>
        <v>0</v>
      </c>
      <c r="BG53" s="33"/>
      <c r="BH53" s="37">
        <f t="shared" si="9"/>
        <v>-1</v>
      </c>
      <c r="BI53" s="36">
        <f>[1]BOA!$L53</f>
        <v>1000</v>
      </c>
      <c r="BJ53" s="31">
        <f t="shared" si="44"/>
        <v>847.6</v>
      </c>
      <c r="BK53" s="18">
        <f t="shared" si="45"/>
        <v>152.4</v>
      </c>
      <c r="BL53" s="31">
        <f t="shared" si="46"/>
        <v>0</v>
      </c>
      <c r="BM53" s="31">
        <f t="shared" si="47"/>
        <v>0</v>
      </c>
      <c r="BN53" s="33"/>
      <c r="BO53" s="37">
        <f t="shared" si="10"/>
        <v>-1</v>
      </c>
      <c r="BP53" s="36">
        <f>[1]BOA!$M53</f>
        <v>1000</v>
      </c>
      <c r="BQ53" s="31">
        <f t="shared" si="48"/>
        <v>847.6</v>
      </c>
      <c r="BR53" s="18">
        <f t="shared" si="49"/>
        <v>152.4</v>
      </c>
      <c r="BS53" s="31">
        <f t="shared" si="50"/>
        <v>0</v>
      </c>
      <c r="BT53" s="31">
        <f t="shared" si="51"/>
        <v>0</v>
      </c>
      <c r="BU53" s="33"/>
      <c r="BV53" s="37">
        <f t="shared" si="11"/>
        <v>-1</v>
      </c>
      <c r="BW53" s="36">
        <f>[1]BOA!$N53</f>
        <v>1000</v>
      </c>
      <c r="BX53" s="31">
        <f t="shared" si="52"/>
        <v>847.6</v>
      </c>
      <c r="BY53" s="18">
        <f t="shared" si="53"/>
        <v>152.4</v>
      </c>
      <c r="BZ53" s="31">
        <f t="shared" si="54"/>
        <v>0</v>
      </c>
      <c r="CA53" s="31">
        <f t="shared" si="55"/>
        <v>0</v>
      </c>
      <c r="CB53" s="33"/>
      <c r="CC53" s="37">
        <f t="shared" si="12"/>
        <v>-1</v>
      </c>
      <c r="CD53" s="36">
        <f>[1]BOA!$O53</f>
        <v>1000</v>
      </c>
      <c r="CE53" s="31">
        <f t="shared" si="56"/>
        <v>847.6</v>
      </c>
      <c r="CF53" s="18">
        <f t="shared" si="57"/>
        <v>152.4</v>
      </c>
      <c r="CG53" s="31">
        <f t="shared" si="58"/>
        <v>0</v>
      </c>
      <c r="CH53" s="31">
        <f t="shared" si="59"/>
        <v>0</v>
      </c>
      <c r="CI53" s="33"/>
      <c r="CJ53" s="37">
        <f t="shared" si="13"/>
        <v>-1</v>
      </c>
      <c r="CK53" s="36">
        <f>[1]BOA!$P53</f>
        <v>1000</v>
      </c>
      <c r="CL53" s="31">
        <f t="shared" si="60"/>
        <v>847.6</v>
      </c>
      <c r="CM53" s="18">
        <f t="shared" si="61"/>
        <v>152.4</v>
      </c>
      <c r="CN53" s="31">
        <f t="shared" si="62"/>
        <v>0</v>
      </c>
      <c r="CO53" s="31">
        <f t="shared" si="63"/>
        <v>0</v>
      </c>
      <c r="CP53" s="33"/>
      <c r="CQ53" s="37">
        <f t="shared" si="14"/>
        <v>-1</v>
      </c>
    </row>
    <row r="54" spans="1:99" s="26" customFormat="1" ht="16" customHeight="1" thickBot="1" x14ac:dyDescent="0.25">
      <c r="A54" s="39" t="s">
        <v>78</v>
      </c>
      <c r="B54" s="50">
        <f t="shared" si="64"/>
        <v>442000.00000000006</v>
      </c>
      <c r="C54" s="40">
        <f t="shared" si="64"/>
        <v>374639.2</v>
      </c>
      <c r="D54" s="51">
        <f t="shared" si="64"/>
        <v>67360.800000000003</v>
      </c>
      <c r="E54" s="52">
        <f t="shared" si="66"/>
        <v>252571.42857142858</v>
      </c>
      <c r="F54" s="53">
        <f t="shared" si="66"/>
        <v>214079.54285714286</v>
      </c>
      <c r="G54" s="54">
        <f t="shared" si="66"/>
        <v>38491.885714285716</v>
      </c>
      <c r="H54" s="40">
        <f t="shared" si="65"/>
        <v>485581.86235520116</v>
      </c>
      <c r="I54" s="53">
        <f t="shared" si="65"/>
        <v>87308.489644800226</v>
      </c>
      <c r="J54" s="53">
        <f t="shared" si="65"/>
        <v>572890.35200000135</v>
      </c>
      <c r="K54" s="60">
        <f t="shared" si="2"/>
        <v>1.2682310316742136</v>
      </c>
      <c r="L54" s="87">
        <f>[1]BOA!$E54</f>
        <v>63142.857142857145</v>
      </c>
      <c r="M54" s="87">
        <f t="shared" si="16"/>
        <v>53519.885714285716</v>
      </c>
      <c r="N54" s="87">
        <f t="shared" si="17"/>
        <v>9622.971428571429</v>
      </c>
      <c r="O54" s="87">
        <f t="shared" si="18"/>
        <v>44796.600835999998</v>
      </c>
      <c r="P54" s="87">
        <f t="shared" si="19"/>
        <v>8054.5091640000001</v>
      </c>
      <c r="Q54" s="87">
        <v>52851.11</v>
      </c>
      <c r="R54" s="87">
        <f t="shared" si="3"/>
        <v>-0.16299147058823527</v>
      </c>
      <c r="S54" s="87">
        <f>[1]BOA!$F54</f>
        <v>63142.857142857145</v>
      </c>
      <c r="T54" s="87">
        <f t="shared" si="20"/>
        <v>53519.885714285716</v>
      </c>
      <c r="U54" s="87">
        <f t="shared" si="21"/>
        <v>9622.971428571429</v>
      </c>
      <c r="V54" s="87">
        <f t="shared" si="22"/>
        <v>85892.452932</v>
      </c>
      <c r="W54" s="87">
        <f t="shared" si="23"/>
        <v>15443.617068000001</v>
      </c>
      <c r="X54" s="87">
        <v>101336.07</v>
      </c>
      <c r="Y54" s="87">
        <f t="shared" si="4"/>
        <v>0.60486988687782817</v>
      </c>
      <c r="Z54" s="87">
        <f>[1]BOA!$G54</f>
        <v>63142.857142857145</v>
      </c>
      <c r="AA54" s="87">
        <f t="shared" si="24"/>
        <v>53519.885714285716</v>
      </c>
      <c r="AB54" s="87">
        <f t="shared" si="25"/>
        <v>9622.971428571429</v>
      </c>
      <c r="AC54" s="87">
        <f t="shared" si="26"/>
        <v>159869.38066320081</v>
      </c>
      <c r="AD54" s="87">
        <f t="shared" si="27"/>
        <v>28744.801336800148</v>
      </c>
      <c r="AE54" s="87">
        <v>188614.18200000096</v>
      </c>
      <c r="AF54" s="87">
        <f t="shared" si="5"/>
        <v>1.9871024298642683</v>
      </c>
      <c r="AG54" s="87">
        <f>[1]BOA!$H54</f>
        <v>63142.857142857145</v>
      </c>
      <c r="AH54" s="87">
        <f t="shared" si="28"/>
        <v>53519.885714285716</v>
      </c>
      <c r="AI54" s="87">
        <f t="shared" si="29"/>
        <v>9622.971428571429</v>
      </c>
      <c r="AJ54" s="87">
        <f t="shared" si="30"/>
        <v>178832.77614800038</v>
      </c>
      <c r="AK54" s="87">
        <f t="shared" si="31"/>
        <v>32154.453852000071</v>
      </c>
      <c r="AL54" s="87">
        <v>210987.23000000045</v>
      </c>
      <c r="AM54" s="87">
        <f t="shared" si="6"/>
        <v>2.3414267194570204</v>
      </c>
      <c r="AN54" s="87">
        <f>[1]BOA!$I54</f>
        <v>63142.857142857145</v>
      </c>
      <c r="AO54" s="87">
        <f t="shared" si="32"/>
        <v>53519.885714285716</v>
      </c>
      <c r="AP54" s="87">
        <f t="shared" si="33"/>
        <v>9622.971428571429</v>
      </c>
      <c r="AQ54" s="87">
        <f t="shared" si="34"/>
        <v>16190.651775999999</v>
      </c>
      <c r="AR54" s="87">
        <f t="shared" si="35"/>
        <v>2911.1082240000001</v>
      </c>
      <c r="AS54" s="58">
        <v>19101.759999999998</v>
      </c>
      <c r="AT54" s="60">
        <f t="shared" si="7"/>
        <v>-0.6974834389140272</v>
      </c>
      <c r="AU54" s="56">
        <f>[1]BOA!$J54</f>
        <v>63142.857142857145</v>
      </c>
      <c r="AV54" s="40">
        <f t="shared" si="36"/>
        <v>53519.885714285716</v>
      </c>
      <c r="AW54" s="18">
        <f t="shared" si="37"/>
        <v>9622.971428571429</v>
      </c>
      <c r="AX54" s="40">
        <f t="shared" si="38"/>
        <v>0</v>
      </c>
      <c r="AY54" s="40">
        <f t="shared" si="39"/>
        <v>0</v>
      </c>
      <c r="AZ54" s="163"/>
      <c r="BA54" s="60">
        <f t="shared" si="8"/>
        <v>-1</v>
      </c>
      <c r="BB54" s="56">
        <f>[1]BOA!$K54</f>
        <v>63142.857142857145</v>
      </c>
      <c r="BC54" s="40">
        <f t="shared" si="40"/>
        <v>53519.885714285716</v>
      </c>
      <c r="BD54" s="18">
        <f t="shared" si="41"/>
        <v>9622.971428571429</v>
      </c>
      <c r="BE54" s="40">
        <f t="shared" si="42"/>
        <v>0</v>
      </c>
      <c r="BF54" s="40">
        <f t="shared" si="43"/>
        <v>0</v>
      </c>
      <c r="BG54" s="58"/>
      <c r="BH54" s="60">
        <f t="shared" si="9"/>
        <v>-1</v>
      </c>
      <c r="BI54" s="56">
        <f>[1]BOA!$L54</f>
        <v>0</v>
      </c>
      <c r="BJ54" s="40">
        <f t="shared" si="44"/>
        <v>0</v>
      </c>
      <c r="BK54" s="18">
        <f t="shared" si="45"/>
        <v>0</v>
      </c>
      <c r="BL54" s="40">
        <f t="shared" si="46"/>
        <v>0</v>
      </c>
      <c r="BM54" s="40">
        <f t="shared" si="47"/>
        <v>0</v>
      </c>
      <c r="BN54" s="58"/>
      <c r="BO54" s="60" t="str">
        <f t="shared" si="10"/>
        <v/>
      </c>
      <c r="BP54" s="56">
        <f>[1]BOA!$M54</f>
        <v>0</v>
      </c>
      <c r="BQ54" s="40">
        <f t="shared" si="48"/>
        <v>0</v>
      </c>
      <c r="BR54" s="18">
        <f t="shared" si="49"/>
        <v>0</v>
      </c>
      <c r="BS54" s="40">
        <f t="shared" si="50"/>
        <v>0</v>
      </c>
      <c r="BT54" s="40">
        <f t="shared" si="51"/>
        <v>0</v>
      </c>
      <c r="BU54" s="58"/>
      <c r="BV54" s="60" t="str">
        <f t="shared" si="11"/>
        <v/>
      </c>
      <c r="BW54" s="87">
        <f>[1]BOA!$N54</f>
        <v>0</v>
      </c>
      <c r="BX54" s="40">
        <f t="shared" si="52"/>
        <v>0</v>
      </c>
      <c r="BY54" s="18">
        <f t="shared" si="53"/>
        <v>0</v>
      </c>
      <c r="BZ54" s="40">
        <f t="shared" si="54"/>
        <v>0</v>
      </c>
      <c r="CA54" s="40">
        <f t="shared" si="55"/>
        <v>0</v>
      </c>
      <c r="CB54" s="53"/>
      <c r="CC54" s="60" t="str">
        <f t="shared" si="12"/>
        <v/>
      </c>
      <c r="CD54" s="87">
        <f>[1]BOA!$O54</f>
        <v>0</v>
      </c>
      <c r="CE54" s="40">
        <f t="shared" si="56"/>
        <v>0</v>
      </c>
      <c r="CF54" s="18">
        <f t="shared" si="57"/>
        <v>0</v>
      </c>
      <c r="CG54" s="40">
        <f t="shared" si="58"/>
        <v>0</v>
      </c>
      <c r="CH54" s="40">
        <f t="shared" si="59"/>
        <v>0</v>
      </c>
      <c r="CI54" s="53"/>
      <c r="CJ54" s="60" t="str">
        <f t="shared" si="13"/>
        <v/>
      </c>
      <c r="CK54" s="87">
        <f>[1]BOA!$P54</f>
        <v>0</v>
      </c>
      <c r="CL54" s="40">
        <f t="shared" si="60"/>
        <v>0</v>
      </c>
      <c r="CM54" s="18">
        <f t="shared" si="61"/>
        <v>0</v>
      </c>
      <c r="CN54" s="40">
        <f t="shared" si="62"/>
        <v>0</v>
      </c>
      <c r="CO54" s="40">
        <f t="shared" si="63"/>
        <v>0</v>
      </c>
      <c r="CP54" s="53"/>
      <c r="CQ54" s="60" t="str">
        <f t="shared" si="14"/>
        <v/>
      </c>
    </row>
    <row r="55" spans="1:99" s="26" customFormat="1" ht="16" customHeight="1" thickBot="1" x14ac:dyDescent="0.25">
      <c r="A55" s="119" t="s">
        <v>79</v>
      </c>
      <c r="B55" s="63">
        <f t="shared" ref="B55:J55" si="67">SUM(B4:B54)</f>
        <v>22004564.866659116</v>
      </c>
      <c r="C55" s="64">
        <f t="shared" si="67"/>
        <v>18651069.180980265</v>
      </c>
      <c r="D55" s="65">
        <f t="shared" si="67"/>
        <v>3353495.685678849</v>
      </c>
      <c r="E55" s="63">
        <f t="shared" si="67"/>
        <v>10182259.479303805</v>
      </c>
      <c r="F55" s="66">
        <f t="shared" si="67"/>
        <v>8630483.1346579026</v>
      </c>
      <c r="G55" s="67">
        <f t="shared" si="67"/>
        <v>1551776.3446458997</v>
      </c>
      <c r="H55" s="64">
        <f t="shared" si="67"/>
        <v>12432063.339207202</v>
      </c>
      <c r="I55" s="66">
        <f t="shared" si="67"/>
        <v>2235307.282792801</v>
      </c>
      <c r="J55" s="66">
        <f t="shared" si="67"/>
        <v>14667370.622000001</v>
      </c>
      <c r="K55" s="120">
        <f>+J55/E55-1</f>
        <v>0.44048289594392243</v>
      </c>
      <c r="L55" s="121">
        <f t="shared" ref="L55:V55" si="68">SUM(L4:L54)</f>
        <v>2574786.8633948746</v>
      </c>
      <c r="M55" s="121">
        <f t="shared" si="68"/>
        <v>2182389.3454134958</v>
      </c>
      <c r="N55" s="121">
        <f t="shared" si="17"/>
        <v>392397.51798137889</v>
      </c>
      <c r="O55" s="121">
        <f t="shared" si="68"/>
        <v>2461118.5651346664</v>
      </c>
      <c r="P55" s="121">
        <f t="shared" si="68"/>
        <v>442513.53153199994</v>
      </c>
      <c r="Q55" s="121">
        <f t="shared" si="68"/>
        <v>2903632.0966666671</v>
      </c>
      <c r="R55" s="121">
        <f>+Q55/L55-1</f>
        <v>0.1277174580727074</v>
      </c>
      <c r="S55" s="121">
        <f t="shared" si="68"/>
        <v>2778765.0831328984</v>
      </c>
      <c r="T55" s="121">
        <f t="shared" si="68"/>
        <v>2355281.2844634447</v>
      </c>
      <c r="U55" s="121">
        <f t="shared" si="21"/>
        <v>423483.79866945377</v>
      </c>
      <c r="V55" s="121">
        <f t="shared" si="68"/>
        <v>1754323.5384306668</v>
      </c>
      <c r="W55" s="121">
        <f t="shared" ref="W55:X55" si="69">SUM(W52:W54)</f>
        <v>15786.730428000001</v>
      </c>
      <c r="X55" s="121">
        <f t="shared" si="69"/>
        <v>103587.47</v>
      </c>
      <c r="Y55" s="121">
        <f>+X55/S55-1</f>
        <v>-0.96272176060193937</v>
      </c>
      <c r="Z55" s="121">
        <f t="shared" ref="Z55:AE55" si="70">SUM(Z4:Z54)</f>
        <v>2668898.4171891799</v>
      </c>
      <c r="AA55" s="121">
        <f t="shared" si="70"/>
        <v>2262158.2984095491</v>
      </c>
      <c r="AB55" s="121">
        <f t="shared" si="25"/>
        <v>406740.11877963104</v>
      </c>
      <c r="AC55" s="121">
        <f t="shared" si="70"/>
        <v>2204953.1738658673</v>
      </c>
      <c r="AD55" s="121">
        <f t="shared" si="70"/>
        <v>396454.5348008002</v>
      </c>
      <c r="AE55" s="121">
        <f t="shared" si="70"/>
        <v>2601407.7086666673</v>
      </c>
      <c r="AF55" s="121">
        <f>+AE55/Z55-1</f>
        <v>-2.5287852129491029E-2</v>
      </c>
      <c r="AG55" s="121">
        <f t="shared" ref="AG55:AL55" si="71">SUM(AG4:AG54)</f>
        <v>2159809.1155868494</v>
      </c>
      <c r="AH55" s="121">
        <f t="shared" si="71"/>
        <v>1830654.206371414</v>
      </c>
      <c r="AI55" s="121">
        <f t="shared" si="29"/>
        <v>329154.90921543585</v>
      </c>
      <c r="AJ55" s="121">
        <f t="shared" si="71"/>
        <v>1938902.9408666673</v>
      </c>
      <c r="AK55" s="121">
        <f t="shared" si="71"/>
        <v>348618.22580000007</v>
      </c>
      <c r="AL55" s="121">
        <f t="shared" si="71"/>
        <v>2287521.1666666674</v>
      </c>
      <c r="AM55" s="121">
        <f>+AL55/AG55-1</f>
        <v>5.9131175138649628E-2</v>
      </c>
      <c r="AN55" s="121">
        <f t="shared" ref="AN55:AS55" si="72">SUM(AN4:AN54)</f>
        <v>2276421.5054629208</v>
      </c>
      <c r="AO55" s="121">
        <f t="shared" si="72"/>
        <v>1929494.868030373</v>
      </c>
      <c r="AP55" s="121">
        <f t="shared" si="33"/>
        <v>346926.63743254915</v>
      </c>
      <c r="AQ55" s="121">
        <f t="shared" si="72"/>
        <v>2038953.3651586664</v>
      </c>
      <c r="AR55" s="121">
        <f t="shared" si="72"/>
        <v>366607.47150800016</v>
      </c>
      <c r="AS55" s="123">
        <f t="shared" si="72"/>
        <v>2405560.8366666664</v>
      </c>
      <c r="AT55" s="120">
        <f>+AS55/AN55-1</f>
        <v>5.672909471898735E-2</v>
      </c>
      <c r="AU55" s="121">
        <f t="shared" ref="AU55:AZ55" si="73">SUM(AU4:AU54)</f>
        <v>2245559.5729505848</v>
      </c>
      <c r="AV55" s="121">
        <f t="shared" si="73"/>
        <v>1903336.2940329169</v>
      </c>
      <c r="AW55" s="18">
        <f t="shared" si="37"/>
        <v>342223.27891766914</v>
      </c>
      <c r="AX55" s="122">
        <f t="shared" si="73"/>
        <v>2033811.7557506668</v>
      </c>
      <c r="AY55" s="122">
        <f t="shared" si="73"/>
        <v>365683.00091599993</v>
      </c>
      <c r="AZ55" s="123">
        <f t="shared" si="73"/>
        <v>2399494.7566666668</v>
      </c>
      <c r="BA55" s="120">
        <f>+AZ55/AU55-1</f>
        <v>6.8550924041537176E-2</v>
      </c>
      <c r="BB55" s="121">
        <f t="shared" ref="BB55:BG55" si="74">SUM(BB4:BB54)</f>
        <v>2393083.2024021139</v>
      </c>
      <c r="BC55" s="121">
        <f t="shared" si="74"/>
        <v>2028377.3223560331</v>
      </c>
      <c r="BD55" s="18">
        <f t="shared" si="41"/>
        <v>364705.88004608219</v>
      </c>
      <c r="BE55" s="122">
        <f t="shared" si="74"/>
        <v>0</v>
      </c>
      <c r="BF55" s="122">
        <f t="shared" si="74"/>
        <v>0</v>
      </c>
      <c r="BG55" s="123">
        <f t="shared" si="74"/>
        <v>0</v>
      </c>
      <c r="BH55" s="120">
        <f>+BG55/BB55-1</f>
        <v>-1</v>
      </c>
      <c r="BI55" s="121">
        <f t="shared" ref="BI55:BN55" si="75">SUM(BI4:BI54)</f>
        <v>1070070.2235754181</v>
      </c>
      <c r="BJ55" s="121">
        <f t="shared" si="75"/>
        <v>906991.52150252485</v>
      </c>
      <c r="BK55" s="18">
        <f t="shared" si="45"/>
        <v>163078.70207289374</v>
      </c>
      <c r="BL55" s="122">
        <f t="shared" si="75"/>
        <v>0</v>
      </c>
      <c r="BM55" s="122">
        <f t="shared" si="75"/>
        <v>0</v>
      </c>
      <c r="BN55" s="123">
        <f t="shared" si="75"/>
        <v>0</v>
      </c>
      <c r="BO55" s="120">
        <f>+BN55/BI55-1</f>
        <v>-1</v>
      </c>
      <c r="BP55" s="121">
        <f t="shared" ref="BP55:BU55" si="76">SUM(BP4:BP54)</f>
        <v>1239530.5793542655</v>
      </c>
      <c r="BQ55" s="121">
        <f t="shared" si="76"/>
        <v>1050626.1190606756</v>
      </c>
      <c r="BR55" s="18">
        <f t="shared" si="49"/>
        <v>188904.46029359006</v>
      </c>
      <c r="BS55" s="122">
        <f t="shared" si="76"/>
        <v>0</v>
      </c>
      <c r="BT55" s="122">
        <f t="shared" si="76"/>
        <v>0</v>
      </c>
      <c r="BU55" s="123">
        <f t="shared" si="76"/>
        <v>0</v>
      </c>
      <c r="BV55" s="120">
        <f>+BU55/BP55-1</f>
        <v>-1</v>
      </c>
      <c r="BW55" s="121">
        <f t="shared" ref="BW55:CB55" si="77">SUM(BW4:BW54)</f>
        <v>956351.85160599253</v>
      </c>
      <c r="BX55" s="121">
        <f t="shared" si="77"/>
        <v>810603.82942123944</v>
      </c>
      <c r="BY55" s="18">
        <f t="shared" si="53"/>
        <v>145748.02218475327</v>
      </c>
      <c r="BZ55" s="122">
        <f t="shared" si="77"/>
        <v>0</v>
      </c>
      <c r="CA55" s="122">
        <f t="shared" si="77"/>
        <v>0</v>
      </c>
      <c r="CB55" s="123">
        <f t="shared" si="77"/>
        <v>0</v>
      </c>
      <c r="CC55" s="120">
        <f>+CB55/BW55-1</f>
        <v>-1</v>
      </c>
      <c r="CD55" s="121">
        <f t="shared" ref="CD55:CI55" si="78">SUM(CD4:CD54)</f>
        <v>816896.1403638646</v>
      </c>
      <c r="CE55" s="121">
        <f t="shared" si="78"/>
        <v>692401.16857241176</v>
      </c>
      <c r="CF55" s="18">
        <f t="shared" si="57"/>
        <v>124494.97179145298</v>
      </c>
      <c r="CG55" s="122">
        <f t="shared" si="78"/>
        <v>0</v>
      </c>
      <c r="CH55" s="122">
        <f t="shared" si="78"/>
        <v>0</v>
      </c>
      <c r="CI55" s="123">
        <f t="shared" si="78"/>
        <v>0</v>
      </c>
      <c r="CJ55" s="120">
        <f>+CI55/CD55-1</f>
        <v>-1</v>
      </c>
      <c r="CK55" s="121">
        <f t="shared" ref="CK55:CP55" si="79">SUM(CK4:CK54)</f>
        <v>824392.31164015247</v>
      </c>
      <c r="CL55" s="121">
        <f t="shared" si="79"/>
        <v>698754.92334619351</v>
      </c>
      <c r="CM55" s="18">
        <f t="shared" si="61"/>
        <v>125637.38829395924</v>
      </c>
      <c r="CN55" s="122">
        <f t="shared" si="79"/>
        <v>0</v>
      </c>
      <c r="CO55" s="122">
        <f t="shared" si="79"/>
        <v>0</v>
      </c>
      <c r="CP55" s="123">
        <f t="shared" si="79"/>
        <v>0</v>
      </c>
      <c r="CQ55" s="120">
        <f>+CP55/CK55-1</f>
        <v>-1</v>
      </c>
      <c r="CR55" s="72"/>
      <c r="CS55" s="72"/>
      <c r="CT55" s="72"/>
      <c r="CU55" s="72"/>
    </row>
    <row r="56" spans="1:99" s="26" customFormat="1" ht="16" customHeight="1" thickBot="1" x14ac:dyDescent="0.25">
      <c r="A56" s="125" t="s">
        <v>80</v>
      </c>
      <c r="B56" s="75">
        <f>+L56+S56+Z56+AG56+AN56+AU56+BB56+BI56+BP56+BW56+CD56+CK56</f>
        <v>-415224.91349480971</v>
      </c>
      <c r="C56" s="76">
        <f t="shared" ref="C56:D57" si="80">+M56+T56+AA56+AH56+AO56+AV56+BC56+BJ56+BQ56+BX56+CE56+CL56</f>
        <v>-351944.63667820062</v>
      </c>
      <c r="D56" s="77">
        <f t="shared" si="80"/>
        <v>-63280.276816608988</v>
      </c>
      <c r="E56" s="75">
        <f>+L56+S56+Z56+AG56</f>
        <v>-138408.30449826989</v>
      </c>
      <c r="F56" s="78">
        <f t="shared" ref="F56:G57" si="81">+M56+T56+AA56+AH56</f>
        <v>-117314.87889273356</v>
      </c>
      <c r="G56" s="79">
        <f t="shared" si="81"/>
        <v>-21093.425605536333</v>
      </c>
      <c r="H56" s="76">
        <f t="shared" ref="H56:J57" si="82">+O56+V56+AC56+AJ56+AQ56+AX56+BE56+BL56+BS56+BZ56+CG56+CN56</f>
        <v>-161969.94366800002</v>
      </c>
      <c r="I56" s="78">
        <f t="shared" si="82"/>
        <v>-29122.486332</v>
      </c>
      <c r="J56" s="78">
        <f t="shared" si="82"/>
        <v>-191092.43000000002</v>
      </c>
      <c r="K56" s="25">
        <f t="shared" ref="K56:K57" si="83">IF(E56=0,"",(+J56/E56-1))</f>
        <v>0.38064280675000028</v>
      </c>
      <c r="L56" s="23">
        <f>[1]BOA!$E56</f>
        <v>-34602.076124567473</v>
      </c>
      <c r="M56" s="23">
        <f t="shared" ref="M56:M57" si="84">L56-N56</f>
        <v>-29328.719723183389</v>
      </c>
      <c r="N56" s="23">
        <f t="shared" si="17"/>
        <v>-5273.3564013840833</v>
      </c>
      <c r="O56" s="23">
        <f t="shared" ref="O56:O57" si="85">+Q56-P56</f>
        <v>0</v>
      </c>
      <c r="P56" s="23">
        <f t="shared" ref="P56:P57" si="86">+Q56*15.24%</f>
        <v>0</v>
      </c>
      <c r="Q56" s="23"/>
      <c r="R56" s="23">
        <f t="shared" ref="R56:R57" si="87">IF(L56=0,"",(+Q56/L56-1))</f>
        <v>-1</v>
      </c>
      <c r="S56" s="23">
        <f>[1]BOA!$F56</f>
        <v>-34602.076124567473</v>
      </c>
      <c r="T56" s="23">
        <f t="shared" ref="T56:T57" si="88">S56-U56</f>
        <v>-29328.719723183389</v>
      </c>
      <c r="U56" s="23">
        <f t="shared" si="21"/>
        <v>-5273.3564013840833</v>
      </c>
      <c r="V56" s="23">
        <f t="shared" ref="V56:V57" si="89">+X56-W56</f>
        <v>-63588.596344000005</v>
      </c>
      <c r="W56" s="23">
        <f t="shared" ref="W56:W57" si="90">+X56*15.24%</f>
        <v>-11433.343656000001</v>
      </c>
      <c r="X56" s="23">
        <v>-75021.94</v>
      </c>
      <c r="Y56" s="23">
        <f>IF(S56=0,"",(+X56/S56-1))</f>
        <v>1.1681340659999999</v>
      </c>
      <c r="Z56" s="23">
        <f>[1]BOA!$G56</f>
        <v>-34602.076124567473</v>
      </c>
      <c r="AA56" s="23">
        <f t="shared" ref="AA56:AA57" si="91">Z56-AB56</f>
        <v>-29328.719723183389</v>
      </c>
      <c r="AB56" s="23">
        <f t="shared" si="25"/>
        <v>-5273.3564013840833</v>
      </c>
      <c r="AC56" s="23">
        <f t="shared" ref="AC56:AC57" si="92">+AE56-AD56</f>
        <v>1285.198928</v>
      </c>
      <c r="AD56" s="23">
        <f t="shared" ref="AD56:AD57" si="93">+AE56*15.24%</f>
        <v>231.08107200000001</v>
      </c>
      <c r="AE56" s="23">
        <f>1516.28</f>
        <v>1516.28</v>
      </c>
      <c r="AF56" s="23">
        <f t="shared" ref="AF56:AF57" si="94">IF(Z56=0,"",(+AE56/Z56-1))</f>
        <v>-1.043820492</v>
      </c>
      <c r="AG56" s="23">
        <f>[1]BOA!$H56</f>
        <v>-34602.076124567473</v>
      </c>
      <c r="AH56" s="23">
        <f t="shared" ref="AH56:AH57" si="95">AG56-AI56</f>
        <v>-29328.719723183389</v>
      </c>
      <c r="AI56" s="23">
        <f t="shared" si="29"/>
        <v>-5273.3564013840833</v>
      </c>
      <c r="AJ56" s="23">
        <f t="shared" ref="AJ56:AJ57" si="96">+AL56-AK56</f>
        <v>-50823.511491999998</v>
      </c>
      <c r="AK56" s="23">
        <f t="shared" ref="AK56:AK57" si="97">+AL56*15.24%</f>
        <v>-9138.1585080000004</v>
      </c>
      <c r="AL56" s="23">
        <f>-61746.2+1784.53</f>
        <v>-59961.67</v>
      </c>
      <c r="AM56" s="23">
        <f t="shared" ref="AM56:AM57" si="98">IF(AG56=0,"",(+AL56/AG56-1))</f>
        <v>0.7328922630000001</v>
      </c>
      <c r="AN56" s="23">
        <f>[1]BOA!$I56</f>
        <v>-34602.076124567473</v>
      </c>
      <c r="AO56" s="23">
        <f t="shared" ref="AO56:AO57" si="99">AN56-AP56</f>
        <v>-29328.719723183389</v>
      </c>
      <c r="AP56" s="23">
        <f t="shared" si="33"/>
        <v>-5273.3564013840833</v>
      </c>
      <c r="AQ56" s="23">
        <f t="shared" ref="AQ56:AQ57" si="100">+AS56-AR56</f>
        <v>0</v>
      </c>
      <c r="AR56" s="23">
        <f t="shared" ref="AR56:AR57" si="101">+AS56*15.24%</f>
        <v>0</v>
      </c>
      <c r="AS56" s="20"/>
      <c r="AT56" s="25">
        <f t="shared" ref="AT56:AT57" si="102">IF(AN56=0,"",(+AS56/AN56-1))</f>
        <v>-1</v>
      </c>
      <c r="AU56" s="23">
        <f>[1]BOA!$J56</f>
        <v>-34602.076124567473</v>
      </c>
      <c r="AV56" s="18">
        <f t="shared" ref="AV56:AV57" si="103">AU56-AW56</f>
        <v>-29328.719723183389</v>
      </c>
      <c r="AW56" s="18">
        <f t="shared" si="37"/>
        <v>-5273.3564013840833</v>
      </c>
      <c r="AX56" s="18">
        <f t="shared" ref="AX56:AX57" si="104">+AZ56-AY56</f>
        <v>-48843.034760000002</v>
      </c>
      <c r="AY56" s="18">
        <f t="shared" ref="AY56:AY57" si="105">+AZ56*15.24%</f>
        <v>-8782.0652400000017</v>
      </c>
      <c r="AZ56" s="156">
        <v>-57625.100000000006</v>
      </c>
      <c r="BA56" s="25">
        <f t="shared" ref="BA56:BA57" si="106">IF(AU56=0,"",(+AZ56/AU56-1))</f>
        <v>0.66536539000000028</v>
      </c>
      <c r="BB56" s="23">
        <f>[1]BOA!$K56</f>
        <v>-34602.076124567473</v>
      </c>
      <c r="BC56" s="18">
        <f t="shared" ref="BC56:BC57" si="107">BB56-BD56</f>
        <v>-29328.719723183389</v>
      </c>
      <c r="BD56" s="18">
        <f t="shared" si="41"/>
        <v>-5273.3564013840833</v>
      </c>
      <c r="BE56" s="18">
        <f t="shared" ref="BE56:BE57" si="108">+BG56-BF56</f>
        <v>0</v>
      </c>
      <c r="BF56" s="18">
        <f t="shared" ref="BF56:BF57" si="109">+BG56*15.24%</f>
        <v>0</v>
      </c>
      <c r="BG56" s="20"/>
      <c r="BH56" s="25">
        <f t="shared" ref="BH56:BH57" si="110">IF(BB56=0,"",(+BG56/BB56-1))</f>
        <v>-1</v>
      </c>
      <c r="BI56" s="23">
        <f>[1]BOA!$L56</f>
        <v>-34602.076124567473</v>
      </c>
      <c r="BJ56" s="18">
        <f t="shared" ref="BJ56:BJ57" si="111">BI56-BK56</f>
        <v>-29328.719723183389</v>
      </c>
      <c r="BK56" s="18">
        <f t="shared" si="45"/>
        <v>-5273.3564013840833</v>
      </c>
      <c r="BL56" s="18">
        <f t="shared" ref="BL56:BL57" si="112">+BN56-BM56</f>
        <v>0</v>
      </c>
      <c r="BM56" s="18">
        <f t="shared" ref="BM56:BM57" si="113">+BN56*15.24%</f>
        <v>0</v>
      </c>
      <c r="BN56" s="20"/>
      <c r="BO56" s="25">
        <f t="shared" ref="BO56:BO57" si="114">IF(BI56=0,"",(+BN56/BI56-1))</f>
        <v>-1</v>
      </c>
      <c r="BP56" s="23">
        <f>[1]BOA!$M56</f>
        <v>-34602.076124567473</v>
      </c>
      <c r="BQ56" s="18">
        <f t="shared" ref="BQ56:BQ57" si="115">BP56-BR56</f>
        <v>-29328.719723183389</v>
      </c>
      <c r="BR56" s="18">
        <f t="shared" si="49"/>
        <v>-5273.3564013840833</v>
      </c>
      <c r="BS56" s="18">
        <f t="shared" ref="BS56:BS57" si="116">+BU56-BT56</f>
        <v>0</v>
      </c>
      <c r="BT56" s="18">
        <f t="shared" ref="BT56:BT57" si="117">+BU56*15.24%</f>
        <v>0</v>
      </c>
      <c r="BU56" s="20"/>
      <c r="BV56" s="25">
        <f t="shared" ref="BV56:BV57" si="118">IF(BP56=0,"",(+BU56/BP56-1))</f>
        <v>-1</v>
      </c>
      <c r="BW56" s="23">
        <f>[1]BOA!$N56</f>
        <v>-34602.076124567473</v>
      </c>
      <c r="BX56" s="18">
        <f t="shared" ref="BX56:BX57" si="119">BW56-BY56</f>
        <v>-29328.719723183389</v>
      </c>
      <c r="BY56" s="18">
        <f t="shared" si="53"/>
        <v>-5273.3564013840833</v>
      </c>
      <c r="BZ56" s="18">
        <f t="shared" ref="BZ56:BZ57" si="120">+CB56-CA56</f>
        <v>0</v>
      </c>
      <c r="CA56" s="18">
        <f t="shared" ref="CA56:CA57" si="121">+CB56*15.24%</f>
        <v>0</v>
      </c>
      <c r="CB56" s="20"/>
      <c r="CC56" s="25">
        <f t="shared" ref="CC56:CC57" si="122">IF(BW56=0,"",(+CB56/BW56-1))</f>
        <v>-1</v>
      </c>
      <c r="CD56" s="23">
        <f>[1]BOA!$O56</f>
        <v>-34602.076124567473</v>
      </c>
      <c r="CE56" s="18">
        <f t="shared" ref="CE56:CE57" si="123">CD56-CF56</f>
        <v>-29328.719723183389</v>
      </c>
      <c r="CF56" s="18">
        <f t="shared" si="57"/>
        <v>-5273.3564013840833</v>
      </c>
      <c r="CG56" s="18">
        <f t="shared" ref="CG56:CG57" si="124">+CI56-CH56</f>
        <v>0</v>
      </c>
      <c r="CH56" s="18">
        <f t="shared" ref="CH56:CH57" si="125">+CI56*15.24%</f>
        <v>0</v>
      </c>
      <c r="CI56" s="20"/>
      <c r="CJ56" s="25">
        <f t="shared" ref="CJ56:CJ57" si="126">IF(CD56=0,"",(+CI56/CD56-1))</f>
        <v>-1</v>
      </c>
      <c r="CK56" s="23">
        <f>[1]BOA!$P56</f>
        <v>-34602.076124567473</v>
      </c>
      <c r="CL56" s="18">
        <f t="shared" ref="CL56:CL57" si="127">CK56-CM56</f>
        <v>-29328.719723183389</v>
      </c>
      <c r="CM56" s="18">
        <f t="shared" si="61"/>
        <v>-5273.3564013840833</v>
      </c>
      <c r="CN56" s="18">
        <f t="shared" ref="CN56:CN57" si="128">+CP56-CO56</f>
        <v>0</v>
      </c>
      <c r="CO56" s="18">
        <f t="shared" ref="CO56:CO57" si="129">+CP56*15.24%</f>
        <v>0</v>
      </c>
      <c r="CP56" s="20"/>
      <c r="CQ56" s="25">
        <f t="shared" ref="CQ56:CQ57" si="130">IF(CK56=0,"",(+CP56/CK56-1))</f>
        <v>-1</v>
      </c>
    </row>
    <row r="57" spans="1:99" s="26" customFormat="1" ht="16" customHeight="1" thickBot="1" x14ac:dyDescent="0.25">
      <c r="A57" s="126" t="s">
        <v>81</v>
      </c>
      <c r="B57" s="52">
        <f>+L57+S57+Z57+AG57+AN57+AU57+BB57+BI57+BP57+BW57+CD57+CK57</f>
        <v>-138408.30449826986</v>
      </c>
      <c r="C57" s="40">
        <f t="shared" si="80"/>
        <v>-117314.87889273356</v>
      </c>
      <c r="D57" s="51">
        <f t="shared" si="80"/>
        <v>-21093.425605536337</v>
      </c>
      <c r="E57" s="50">
        <f>+L57+S57+Z57+AG57</f>
        <v>-46136.101499423297</v>
      </c>
      <c r="F57" s="58">
        <f t="shared" si="81"/>
        <v>-39104.959630911188</v>
      </c>
      <c r="G57" s="85">
        <f t="shared" si="81"/>
        <v>-7031.1418685121107</v>
      </c>
      <c r="H57" s="57">
        <f t="shared" si="82"/>
        <v>-60693.889776000004</v>
      </c>
      <c r="I57" s="58">
        <f t="shared" si="82"/>
        <v>-10912.870224</v>
      </c>
      <c r="J57" s="58">
        <f t="shared" si="82"/>
        <v>-71606.759999999995</v>
      </c>
      <c r="K57" s="127">
        <f t="shared" si="83"/>
        <v>0.55207652299999999</v>
      </c>
      <c r="L57" s="56">
        <f>[1]BOA!$E57</f>
        <v>-11534.025374855824</v>
      </c>
      <c r="M57" s="56">
        <f t="shared" si="84"/>
        <v>-9776.2399077277969</v>
      </c>
      <c r="N57" s="56">
        <f t="shared" si="17"/>
        <v>-1757.7854671280277</v>
      </c>
      <c r="O57" s="56">
        <f t="shared" si="85"/>
        <v>-38546.754428</v>
      </c>
      <c r="P57" s="56">
        <f t="shared" si="86"/>
        <v>-6930.7755720000005</v>
      </c>
      <c r="Q57" s="56">
        <v>-45477.53</v>
      </c>
      <c r="R57" s="56">
        <f t="shared" si="87"/>
        <v>2.9429018510000002</v>
      </c>
      <c r="S57" s="56">
        <f>[1]BOA!$F57</f>
        <v>-11534.025374855824</v>
      </c>
      <c r="T57" s="56">
        <f t="shared" si="88"/>
        <v>-9776.2399077277969</v>
      </c>
      <c r="U57" s="56">
        <f t="shared" si="21"/>
        <v>-1757.7854671280277</v>
      </c>
      <c r="V57" s="56">
        <f t="shared" si="89"/>
        <v>-5695.3210600000002</v>
      </c>
      <c r="W57" s="56">
        <f t="shared" si="90"/>
        <v>-1024.0289400000001</v>
      </c>
      <c r="X57" s="56">
        <v>-6719.35</v>
      </c>
      <c r="Y57" s="56">
        <f>IF(S57=0,"",(+X57/S57-1))</f>
        <v>-0.41743235499999998</v>
      </c>
      <c r="Z57" s="56">
        <f>[1]BOA!$G57</f>
        <v>-11534.025374855824</v>
      </c>
      <c r="AA57" s="56">
        <f t="shared" si="91"/>
        <v>-9776.2399077277969</v>
      </c>
      <c r="AB57" s="56">
        <f t="shared" si="25"/>
        <v>-1757.7854671280277</v>
      </c>
      <c r="AC57" s="56">
        <f t="shared" si="92"/>
        <v>-25040.502708</v>
      </c>
      <c r="AD57" s="56">
        <f t="shared" si="93"/>
        <v>-4502.3272920000009</v>
      </c>
      <c r="AE57" s="56">
        <v>-29542.83</v>
      </c>
      <c r="AF57" s="56">
        <f t="shared" si="94"/>
        <v>1.5613633610000002</v>
      </c>
      <c r="AG57" s="56">
        <f>[1]BOA!$H57</f>
        <v>-11534.025374855824</v>
      </c>
      <c r="AH57" s="56">
        <f t="shared" si="95"/>
        <v>-9776.2399077277969</v>
      </c>
      <c r="AI57" s="56">
        <f t="shared" si="29"/>
        <v>-1757.7854671280277</v>
      </c>
      <c r="AJ57" s="56">
        <f t="shared" si="96"/>
        <v>0</v>
      </c>
      <c r="AK57" s="56">
        <f t="shared" si="97"/>
        <v>0</v>
      </c>
      <c r="AL57" s="56"/>
      <c r="AM57" s="56">
        <f t="shared" si="98"/>
        <v>-1</v>
      </c>
      <c r="AN57" s="56">
        <f>[1]BOA!$I57</f>
        <v>-11534.025374855824</v>
      </c>
      <c r="AO57" s="56">
        <f t="shared" si="99"/>
        <v>-9776.2399077277969</v>
      </c>
      <c r="AP57" s="56">
        <f t="shared" si="33"/>
        <v>-1757.7854671280277</v>
      </c>
      <c r="AQ57" s="56">
        <f t="shared" si="100"/>
        <v>3627.1177279999997</v>
      </c>
      <c r="AR57" s="56">
        <f t="shared" si="101"/>
        <v>652.16227200000003</v>
      </c>
      <c r="AS57" s="58">
        <v>4279.28</v>
      </c>
      <c r="AT57" s="127">
        <f t="shared" si="102"/>
        <v>-1.371013576</v>
      </c>
      <c r="AU57" s="56">
        <f>[1]BOA!$J57</f>
        <v>-11534.025374855824</v>
      </c>
      <c r="AV57" s="57">
        <f t="shared" si="103"/>
        <v>-9776.2399077277969</v>
      </c>
      <c r="AW57" s="18">
        <f t="shared" si="37"/>
        <v>-1757.7854671280277</v>
      </c>
      <c r="AX57" s="57">
        <f t="shared" si="104"/>
        <v>4961.5706920000002</v>
      </c>
      <c r="AY57" s="57">
        <f t="shared" si="105"/>
        <v>892.09930800000006</v>
      </c>
      <c r="AZ57" s="163">
        <v>5853.67</v>
      </c>
      <c r="BA57" s="127">
        <f t="shared" si="106"/>
        <v>-1.507513189</v>
      </c>
      <c r="BB57" s="56">
        <f>[1]BOA!$K57</f>
        <v>-11534.025374855824</v>
      </c>
      <c r="BC57" s="57">
        <f t="shared" si="107"/>
        <v>-9776.2399077277969</v>
      </c>
      <c r="BD57" s="18">
        <f t="shared" si="41"/>
        <v>-1757.7854671280277</v>
      </c>
      <c r="BE57" s="57">
        <f t="shared" si="108"/>
        <v>0</v>
      </c>
      <c r="BF57" s="57">
        <f t="shared" si="109"/>
        <v>0</v>
      </c>
      <c r="BG57" s="58"/>
      <c r="BH57" s="127">
        <f t="shared" si="110"/>
        <v>-1</v>
      </c>
      <c r="BI57" s="56">
        <f>[1]BOA!$L57</f>
        <v>-11534.025374855824</v>
      </c>
      <c r="BJ57" s="57">
        <f t="shared" si="111"/>
        <v>-9776.2399077277969</v>
      </c>
      <c r="BK57" s="18">
        <f t="shared" si="45"/>
        <v>-1757.7854671280277</v>
      </c>
      <c r="BL57" s="57">
        <f t="shared" si="112"/>
        <v>0</v>
      </c>
      <c r="BM57" s="57">
        <f t="shared" si="113"/>
        <v>0</v>
      </c>
      <c r="BN57" s="58"/>
      <c r="BO57" s="127">
        <f t="shared" si="114"/>
        <v>-1</v>
      </c>
      <c r="BP57" s="56">
        <f>[1]BOA!$M57</f>
        <v>-11534.025374855824</v>
      </c>
      <c r="BQ57" s="57">
        <f t="shared" si="115"/>
        <v>-9776.2399077277969</v>
      </c>
      <c r="BR57" s="18">
        <f t="shared" si="49"/>
        <v>-1757.7854671280277</v>
      </c>
      <c r="BS57" s="57">
        <f t="shared" si="116"/>
        <v>0</v>
      </c>
      <c r="BT57" s="57">
        <f t="shared" si="117"/>
        <v>0</v>
      </c>
      <c r="BU57" s="58"/>
      <c r="BV57" s="127">
        <f t="shared" si="118"/>
        <v>-1</v>
      </c>
      <c r="BW57" s="56">
        <f>[1]BOA!$N57</f>
        <v>-11534.025374855824</v>
      </c>
      <c r="BX57" s="57">
        <f t="shared" si="119"/>
        <v>-9776.2399077277969</v>
      </c>
      <c r="BY57" s="18">
        <f t="shared" si="53"/>
        <v>-1757.7854671280277</v>
      </c>
      <c r="BZ57" s="57">
        <f t="shared" si="120"/>
        <v>0</v>
      </c>
      <c r="CA57" s="57">
        <f t="shared" si="121"/>
        <v>0</v>
      </c>
      <c r="CB57" s="58"/>
      <c r="CC57" s="127">
        <f t="shared" si="122"/>
        <v>-1</v>
      </c>
      <c r="CD57" s="56">
        <f>[1]BOA!$O57</f>
        <v>-11534.025374855824</v>
      </c>
      <c r="CE57" s="57">
        <f t="shared" si="123"/>
        <v>-9776.2399077277969</v>
      </c>
      <c r="CF57" s="18">
        <f t="shared" si="57"/>
        <v>-1757.7854671280277</v>
      </c>
      <c r="CG57" s="57">
        <f t="shared" si="124"/>
        <v>0</v>
      </c>
      <c r="CH57" s="57">
        <f t="shared" si="125"/>
        <v>0</v>
      </c>
      <c r="CI57" s="58"/>
      <c r="CJ57" s="127">
        <f t="shared" si="126"/>
        <v>-1</v>
      </c>
      <c r="CK57" s="56">
        <f>[1]BOA!$P57</f>
        <v>-11534.025374855824</v>
      </c>
      <c r="CL57" s="57">
        <f t="shared" si="127"/>
        <v>-9776.2399077277969</v>
      </c>
      <c r="CM57" s="18">
        <f t="shared" si="61"/>
        <v>-1757.7854671280277</v>
      </c>
      <c r="CN57" s="57">
        <f t="shared" si="128"/>
        <v>0</v>
      </c>
      <c r="CO57" s="57">
        <f t="shared" si="129"/>
        <v>0</v>
      </c>
      <c r="CP57" s="58"/>
      <c r="CQ57" s="127">
        <f t="shared" si="130"/>
        <v>-1</v>
      </c>
    </row>
    <row r="58" spans="1:99" s="26" customFormat="1" ht="16" customHeight="1" thickBot="1" x14ac:dyDescent="0.25">
      <c r="A58" s="131" t="s">
        <v>82</v>
      </c>
      <c r="B58" s="89">
        <f>+B55+B56+B57</f>
        <v>21450931.648666035</v>
      </c>
      <c r="C58" s="90">
        <f t="shared" ref="C58:D58" si="131">+C55+C56+C57</f>
        <v>18181809.66540933</v>
      </c>
      <c r="D58" s="91">
        <f t="shared" si="131"/>
        <v>3269121.9832567037</v>
      </c>
      <c r="E58" s="92">
        <f t="shared" ref="E58:J58" si="132">SUM(E55:E57)</f>
        <v>9997715.0733061116</v>
      </c>
      <c r="F58" s="93">
        <f t="shared" si="132"/>
        <v>8474063.2961342596</v>
      </c>
      <c r="G58" s="94">
        <f t="shared" si="132"/>
        <v>1523651.7771718511</v>
      </c>
      <c r="H58" s="95">
        <f t="shared" si="132"/>
        <v>12209399.505763201</v>
      </c>
      <c r="I58" s="96">
        <f t="shared" si="132"/>
        <v>2195271.9262368008</v>
      </c>
      <c r="J58" s="96">
        <f t="shared" si="132"/>
        <v>14404671.432000002</v>
      </c>
      <c r="K58" s="132">
        <f>+J58/E55-1</f>
        <v>0.41468320084344357</v>
      </c>
      <c r="L58" s="133">
        <f t="shared" ref="L58:BW58" si="133">SUM(L55:L57)</f>
        <v>2528650.7618954512</v>
      </c>
      <c r="M58" s="133">
        <f t="shared" si="133"/>
        <v>2143284.385782585</v>
      </c>
      <c r="N58" s="133">
        <f t="shared" si="17"/>
        <v>385366.3761128668</v>
      </c>
      <c r="O58" s="133">
        <f t="shared" si="133"/>
        <v>2422571.8107066662</v>
      </c>
      <c r="P58" s="133">
        <f t="shared" si="133"/>
        <v>435582.75595999992</v>
      </c>
      <c r="Q58" s="133">
        <f t="shared" si="133"/>
        <v>2858154.5666666673</v>
      </c>
      <c r="R58" s="133">
        <f>+Q58/L55-1</f>
        <v>0.11005481941063278</v>
      </c>
      <c r="S58" s="133">
        <f t="shared" si="133"/>
        <v>2732628.9816334751</v>
      </c>
      <c r="T58" s="133">
        <f t="shared" si="133"/>
        <v>2316176.324832534</v>
      </c>
      <c r="U58" s="133">
        <f t="shared" si="21"/>
        <v>416452.65680094162</v>
      </c>
      <c r="V58" s="133">
        <f t="shared" si="133"/>
        <v>1685039.6210266668</v>
      </c>
      <c r="W58" s="133">
        <f t="shared" si="133"/>
        <v>3329.3578319999997</v>
      </c>
      <c r="X58" s="133">
        <f t="shared" si="133"/>
        <v>21846.18</v>
      </c>
      <c r="Y58" s="133">
        <f>+X58/S55-1</f>
        <v>-0.99213816952983669</v>
      </c>
      <c r="Z58" s="133">
        <f t="shared" si="133"/>
        <v>2622762.3156897565</v>
      </c>
      <c r="AA58" s="133">
        <f t="shared" si="133"/>
        <v>2223053.3387786383</v>
      </c>
      <c r="AB58" s="133">
        <f t="shared" si="25"/>
        <v>399708.97691111889</v>
      </c>
      <c r="AC58" s="133">
        <f t="shared" si="133"/>
        <v>2181197.8700858671</v>
      </c>
      <c r="AD58" s="133">
        <f t="shared" si="133"/>
        <v>392183.28858080017</v>
      </c>
      <c r="AE58" s="133">
        <f t="shared" si="133"/>
        <v>2573381.1586666671</v>
      </c>
      <c r="AF58" s="133">
        <f>+AE58/Z55-1</f>
        <v>-3.5789019884507001E-2</v>
      </c>
      <c r="AG58" s="133">
        <f t="shared" si="133"/>
        <v>2113673.014087426</v>
      </c>
      <c r="AH58" s="133">
        <f t="shared" si="133"/>
        <v>1791549.2467405028</v>
      </c>
      <c r="AI58" s="133">
        <f t="shared" si="29"/>
        <v>322123.76734692376</v>
      </c>
      <c r="AJ58" s="133">
        <f t="shared" si="133"/>
        <v>1888079.4293746674</v>
      </c>
      <c r="AK58" s="133">
        <f t="shared" si="133"/>
        <v>339480.06729200005</v>
      </c>
      <c r="AL58" s="133">
        <f t="shared" si="133"/>
        <v>2227559.4966666675</v>
      </c>
      <c r="AM58" s="133">
        <f>+AL58/AG55-1</f>
        <v>3.1368689293363561E-2</v>
      </c>
      <c r="AN58" s="133">
        <f t="shared" si="133"/>
        <v>2230285.4039634974</v>
      </c>
      <c r="AO58" s="133">
        <f t="shared" si="133"/>
        <v>1890389.9083994618</v>
      </c>
      <c r="AP58" s="133">
        <f t="shared" si="33"/>
        <v>339895.495564037</v>
      </c>
      <c r="AQ58" s="133">
        <f t="shared" si="133"/>
        <v>2042580.4828866664</v>
      </c>
      <c r="AR58" s="133">
        <f t="shared" si="133"/>
        <v>367259.63378000015</v>
      </c>
      <c r="AS58" s="96">
        <f t="shared" si="133"/>
        <v>2409840.1166666662</v>
      </c>
      <c r="AT58" s="132">
        <f>+AS58/AN55-1</f>
        <v>5.8608922329880242E-2</v>
      </c>
      <c r="AU58" s="133">
        <f t="shared" si="133"/>
        <v>2199423.4714511614</v>
      </c>
      <c r="AV58" s="133">
        <f t="shared" si="133"/>
        <v>1864231.3344020057</v>
      </c>
      <c r="AW58" s="18">
        <f t="shared" si="37"/>
        <v>335192.137049157</v>
      </c>
      <c r="AX58" s="95">
        <f t="shared" si="133"/>
        <v>1989930.2916826669</v>
      </c>
      <c r="AY58" s="95">
        <f t="shared" si="133"/>
        <v>357793.03498399991</v>
      </c>
      <c r="AZ58" s="96">
        <f t="shared" si="133"/>
        <v>2347723.3266666667</v>
      </c>
      <c r="BA58" s="132">
        <f>+AZ58/AU55-1</f>
        <v>4.5495899973761356E-2</v>
      </c>
      <c r="BB58" s="133">
        <f t="shared" si="133"/>
        <v>2346947.1009026906</v>
      </c>
      <c r="BC58" s="133">
        <f t="shared" si="133"/>
        <v>1989272.3627251219</v>
      </c>
      <c r="BD58" s="18">
        <f t="shared" si="41"/>
        <v>357674.73817757005</v>
      </c>
      <c r="BE58" s="95">
        <f t="shared" si="133"/>
        <v>0</v>
      </c>
      <c r="BF58" s="95">
        <f t="shared" si="133"/>
        <v>0</v>
      </c>
      <c r="BG58" s="96">
        <f t="shared" si="133"/>
        <v>0</v>
      </c>
      <c r="BH58" s="132">
        <f>+BG58/BB55-1</f>
        <v>-1</v>
      </c>
      <c r="BI58" s="133">
        <f t="shared" si="133"/>
        <v>1023934.1220759948</v>
      </c>
      <c r="BJ58" s="133">
        <f t="shared" si="133"/>
        <v>867886.56187161361</v>
      </c>
      <c r="BK58" s="18">
        <f t="shared" si="45"/>
        <v>156047.56020438162</v>
      </c>
      <c r="BL58" s="95">
        <f t="shared" si="133"/>
        <v>0</v>
      </c>
      <c r="BM58" s="95">
        <f t="shared" si="133"/>
        <v>0</v>
      </c>
      <c r="BN58" s="96">
        <f t="shared" si="133"/>
        <v>0</v>
      </c>
      <c r="BO58" s="132">
        <f>+BN58/BI55-1</f>
        <v>-1</v>
      </c>
      <c r="BP58" s="133">
        <f t="shared" si="133"/>
        <v>1193394.4778548421</v>
      </c>
      <c r="BQ58" s="133">
        <f t="shared" si="133"/>
        <v>1011521.1594297644</v>
      </c>
      <c r="BR58" s="18">
        <f t="shared" si="49"/>
        <v>181873.31842507794</v>
      </c>
      <c r="BS58" s="95">
        <f t="shared" si="133"/>
        <v>0</v>
      </c>
      <c r="BT58" s="95">
        <f t="shared" si="133"/>
        <v>0</v>
      </c>
      <c r="BU58" s="96">
        <f t="shared" si="133"/>
        <v>0</v>
      </c>
      <c r="BV58" s="132">
        <f>+BU58/BP55-1</f>
        <v>-1</v>
      </c>
      <c r="BW58" s="133">
        <f t="shared" si="133"/>
        <v>910215.75010656926</v>
      </c>
      <c r="BX58" s="133">
        <f t="shared" ref="BX58:CB58" si="134">SUM(BX55:BX57)</f>
        <v>771498.8697903282</v>
      </c>
      <c r="BY58" s="18">
        <f t="shared" si="53"/>
        <v>138716.88031624115</v>
      </c>
      <c r="BZ58" s="95">
        <f t="shared" si="134"/>
        <v>0</v>
      </c>
      <c r="CA58" s="95">
        <f t="shared" si="134"/>
        <v>0</v>
      </c>
      <c r="CB58" s="96">
        <f t="shared" si="134"/>
        <v>0</v>
      </c>
      <c r="CC58" s="132">
        <f>+CB58/BW55-1</f>
        <v>-1</v>
      </c>
      <c r="CD58" s="133">
        <f t="shared" ref="CD58:CI58" si="135">SUM(CD55:CD57)</f>
        <v>770760.03886444133</v>
      </c>
      <c r="CE58" s="133">
        <f t="shared" si="135"/>
        <v>653296.20894150052</v>
      </c>
      <c r="CF58" s="18">
        <f t="shared" si="57"/>
        <v>117463.82992294086</v>
      </c>
      <c r="CG58" s="95">
        <f t="shared" si="135"/>
        <v>0</v>
      </c>
      <c r="CH58" s="95">
        <f t="shared" si="135"/>
        <v>0</v>
      </c>
      <c r="CI58" s="96">
        <f t="shared" si="135"/>
        <v>0</v>
      </c>
      <c r="CJ58" s="132">
        <f>+CI58/CD55-1</f>
        <v>-1</v>
      </c>
      <c r="CK58" s="133">
        <f t="shared" ref="CK58:CP58" si="136">SUM(CK55:CK57)</f>
        <v>778256.21014072921</v>
      </c>
      <c r="CL58" s="133">
        <f t="shared" si="136"/>
        <v>659649.96371528227</v>
      </c>
      <c r="CM58" s="18">
        <f t="shared" si="61"/>
        <v>118606.24642544714</v>
      </c>
      <c r="CN58" s="95">
        <f t="shared" si="136"/>
        <v>0</v>
      </c>
      <c r="CO58" s="95">
        <f t="shared" si="136"/>
        <v>0</v>
      </c>
      <c r="CP58" s="96">
        <f t="shared" si="136"/>
        <v>0</v>
      </c>
      <c r="CQ58" s="132">
        <f>+CP58/CK55-1</f>
        <v>-1</v>
      </c>
    </row>
    <row r="59" spans="1:99" ht="14.25" customHeight="1" x14ac:dyDescent="0.2">
      <c r="B59" s="155"/>
      <c r="C59" s="155"/>
      <c r="D59" s="155"/>
      <c r="J59" s="139">
        <f>J58-'[2]BOA ESP.'!$N$51</f>
        <v>4757563.4433333334</v>
      </c>
      <c r="Q59" s="139">
        <f>Q58-'[2]BOA ESP.'!$N$109</f>
        <v>0</v>
      </c>
      <c r="X59" s="139">
        <f>X58-'[2]BOA ESP.'!$N$164</f>
        <v>-1966166.5866666669</v>
      </c>
      <c r="AE59" s="139">
        <f>AE58-'[2]BOA ESP.'!$N$219</f>
        <v>0</v>
      </c>
      <c r="AL59" s="139">
        <f>AL58-'[2]BOA ESP.'!$N$277</f>
        <v>0</v>
      </c>
      <c r="AS59" s="139">
        <f>AS58-'[3]BOA ESP.'!$N$327</f>
        <v>2409840.1166666662</v>
      </c>
      <c r="AZ59" s="139">
        <f>AZ58-'[3]BOA ESP.'!$N$382</f>
        <v>2347723.3266666667</v>
      </c>
      <c r="BG59" s="139">
        <f>BG58-'[3]BOA ESP.'!$N$437</f>
        <v>0</v>
      </c>
      <c r="BI59" s="139"/>
      <c r="BJ59" s="139"/>
      <c r="BK59" s="139"/>
      <c r="BL59" s="139"/>
      <c r="BM59" s="139"/>
      <c r="BN59" s="139">
        <f>BN58-'[3]BOA ESP.'!$N$492</f>
        <v>0</v>
      </c>
      <c r="BU59" s="139">
        <f>BU58-'[3]BOA ESP.'!$N$547</f>
        <v>0</v>
      </c>
      <c r="CB59" s="139">
        <f>CB58-'[3]BOA ESP.'!$N$602</f>
        <v>0</v>
      </c>
      <c r="CI59" s="164">
        <f>CI58-'[3]BOA ESP.'!$N$657</f>
        <v>0</v>
      </c>
      <c r="CP59" s="139">
        <f>CP58-'[3]BOA ESP.'!$N$712</f>
        <v>0</v>
      </c>
    </row>
    <row r="60" spans="1:99" ht="14.25" customHeight="1" x14ac:dyDescent="0.2">
      <c r="L60" s="241" t="s">
        <v>83</v>
      </c>
      <c r="M60" s="242"/>
      <c r="N60" s="242"/>
      <c r="O60" s="242"/>
      <c r="P60" s="242"/>
      <c r="Q60" s="243"/>
      <c r="R60" s="244"/>
      <c r="S60" s="241" t="s">
        <v>83</v>
      </c>
      <c r="T60" s="242"/>
      <c r="U60" s="242"/>
      <c r="V60" s="242"/>
      <c r="W60" s="242"/>
      <c r="X60" s="243"/>
      <c r="Y60" s="244"/>
      <c r="Z60" s="241" t="s">
        <v>83</v>
      </c>
      <c r="AA60" s="242"/>
      <c r="AB60" s="242"/>
      <c r="AC60" s="242"/>
      <c r="AD60" s="242"/>
      <c r="AE60" s="243"/>
      <c r="AF60" s="244"/>
      <c r="AG60" s="241" t="s">
        <v>83</v>
      </c>
      <c r="AH60" s="242"/>
      <c r="AI60" s="242"/>
      <c r="AJ60" s="242"/>
      <c r="AK60" s="242"/>
      <c r="AL60" s="243"/>
      <c r="AM60" s="244"/>
      <c r="AN60" s="241" t="s">
        <v>83</v>
      </c>
      <c r="AO60" s="242"/>
      <c r="AP60" s="242"/>
      <c r="AQ60" s="242"/>
      <c r="AR60" s="242"/>
      <c r="AS60" s="243"/>
      <c r="AT60" s="244"/>
      <c r="AU60" s="241" t="s">
        <v>83</v>
      </c>
      <c r="AV60" s="242"/>
      <c r="AW60" s="242"/>
      <c r="AX60" s="242"/>
      <c r="AY60" s="242"/>
      <c r="AZ60" s="243"/>
      <c r="BA60" s="244"/>
      <c r="BB60" s="241" t="s">
        <v>83</v>
      </c>
      <c r="BC60" s="242"/>
      <c r="BD60" s="242"/>
      <c r="BE60" s="242"/>
      <c r="BF60" s="242"/>
      <c r="BG60" s="243"/>
      <c r="BH60" s="244"/>
      <c r="BI60" s="241" t="s">
        <v>83</v>
      </c>
      <c r="BJ60" s="242"/>
      <c r="BK60" s="242"/>
      <c r="BL60" s="242"/>
      <c r="BM60" s="242"/>
      <c r="BN60" s="243"/>
      <c r="BO60" s="244"/>
      <c r="BP60" s="241" t="s">
        <v>83</v>
      </c>
      <c r="BQ60" s="242"/>
      <c r="BR60" s="242"/>
      <c r="BS60" s="242"/>
      <c r="BT60" s="242"/>
      <c r="BU60" s="243"/>
      <c r="BV60" s="244"/>
      <c r="BW60" s="241" t="s">
        <v>83</v>
      </c>
      <c r="BX60" s="242"/>
      <c r="BY60" s="242"/>
      <c r="BZ60" s="242"/>
      <c r="CA60" s="242"/>
      <c r="CB60" s="243"/>
      <c r="CC60" s="244"/>
      <c r="CD60" s="241" t="s">
        <v>83</v>
      </c>
      <c r="CE60" s="242"/>
      <c r="CF60" s="242"/>
      <c r="CG60" s="242"/>
      <c r="CH60" s="242"/>
      <c r="CI60" s="243"/>
      <c r="CJ60" s="244"/>
      <c r="CK60" s="241" t="s">
        <v>83</v>
      </c>
      <c r="CL60" s="242"/>
      <c r="CM60" s="242"/>
      <c r="CN60" s="242"/>
      <c r="CO60" s="242"/>
      <c r="CP60" s="243"/>
      <c r="CQ60" s="244"/>
    </row>
    <row r="61" spans="1:99" ht="14.25" customHeight="1" x14ac:dyDescent="0.2">
      <c r="L61" s="107" t="s">
        <v>84</v>
      </c>
      <c r="M61" s="108"/>
      <c r="N61" s="108"/>
      <c r="O61" s="108"/>
      <c r="P61" s="108"/>
      <c r="Q61" s="109"/>
      <c r="R61" s="165">
        <f>24.06+1495.9+86.69+7.5+139.86+5.68+1350.4+397.46+211.98+709.76+84.22+14.2+12.11+77.19+880.15+106.93+2.01+1495.9+12.44+1350.88+7.15</f>
        <v>8472.4699999999993</v>
      </c>
      <c r="S61" s="107" t="s">
        <v>84</v>
      </c>
      <c r="T61" s="108"/>
      <c r="U61" s="108"/>
      <c r="V61" s="108"/>
      <c r="W61" s="108"/>
      <c r="X61" s="109"/>
      <c r="Y61" s="166">
        <f>34.07+26.15+41.64+139.87+31.7+28.39+1453.79+91.18+714.18+137.46+9.48+51.1+1495.9+170.34+7.5+49.73+28.9+5.68+15.14+709.76+14.2</f>
        <v>5256.16</v>
      </c>
      <c r="Z61" s="107" t="s">
        <v>84</v>
      </c>
      <c r="AA61" s="108"/>
      <c r="AB61" s="108"/>
      <c r="AC61" s="108"/>
      <c r="AD61" s="108"/>
      <c r="AE61" s="109"/>
      <c r="AF61" s="110">
        <f>35.01+7.5+37.78+5.68+227.12+709.76+14.2+74.03+1495.9+20.82+77.4+612.83+107.03</f>
        <v>3425.0600000000004</v>
      </c>
      <c r="AG61" s="107" t="s">
        <v>84</v>
      </c>
      <c r="AH61" s="108"/>
      <c r="AI61" s="108"/>
      <c r="AJ61" s="108"/>
      <c r="AK61" s="108"/>
      <c r="AL61" s="109"/>
      <c r="AM61" s="110">
        <f>70.13+94.9+22.9+7.5+397.46+54.81+9.85+5.68+1380.25+709.76+14.2+317.97+62.45+803.56+1495.9+35.02</f>
        <v>5482.34</v>
      </c>
      <c r="AN61" s="107"/>
      <c r="AO61" s="108"/>
      <c r="AP61" s="108"/>
      <c r="AQ61" s="108"/>
      <c r="AR61" s="108"/>
      <c r="AS61" s="109"/>
      <c r="AT61" s="110"/>
      <c r="AU61" s="107"/>
      <c r="AV61" s="108"/>
      <c r="AW61" s="108"/>
      <c r="AX61" s="108"/>
      <c r="AY61" s="108"/>
      <c r="AZ61" s="109"/>
      <c r="BA61" s="166"/>
      <c r="BB61" s="107"/>
      <c r="BC61" s="108"/>
      <c r="BD61" s="108"/>
      <c r="BE61" s="108"/>
      <c r="BF61" s="108"/>
      <c r="BG61" s="109"/>
      <c r="BH61" s="110"/>
      <c r="BI61" s="107"/>
      <c r="BJ61" s="108"/>
      <c r="BK61" s="108"/>
      <c r="BL61" s="108"/>
      <c r="BM61" s="108"/>
      <c r="BN61" s="109"/>
      <c r="BO61" s="110"/>
      <c r="BP61" s="107"/>
      <c r="BQ61" s="108"/>
      <c r="BR61" s="108"/>
      <c r="BS61" s="108"/>
      <c r="BT61" s="108"/>
      <c r="BU61" s="109"/>
      <c r="BV61" s="110"/>
      <c r="BW61" s="107"/>
      <c r="BX61" s="108"/>
      <c r="BY61" s="108"/>
      <c r="BZ61" s="108"/>
      <c r="CA61" s="108"/>
      <c r="CB61" s="109"/>
      <c r="CC61" s="114"/>
      <c r="CD61" s="107"/>
      <c r="CE61" s="108"/>
      <c r="CF61" s="108"/>
      <c r="CG61" s="108"/>
      <c r="CH61" s="108"/>
      <c r="CI61" s="109"/>
      <c r="CJ61" s="114"/>
      <c r="CK61" s="107"/>
      <c r="CL61" s="108"/>
      <c r="CM61" s="108"/>
      <c r="CN61" s="108"/>
      <c r="CO61" s="108"/>
      <c r="CP61" s="109"/>
      <c r="CQ61" s="110"/>
    </row>
    <row r="62" spans="1:99" ht="14.25" customHeight="1" x14ac:dyDescent="0.2">
      <c r="L62" s="107" t="s">
        <v>86</v>
      </c>
      <c r="M62" s="108"/>
      <c r="N62" s="108"/>
      <c r="O62" s="108"/>
      <c r="P62" s="108"/>
      <c r="Q62" s="109"/>
      <c r="R62" s="165">
        <f>785.31</f>
        <v>785.31</v>
      </c>
      <c r="S62" s="107" t="s">
        <v>86</v>
      </c>
      <c r="T62" s="108"/>
      <c r="U62" s="108"/>
      <c r="V62" s="108"/>
      <c r="W62" s="108"/>
      <c r="X62" s="109"/>
      <c r="Y62" s="166">
        <f>670.1</f>
        <v>670.1</v>
      </c>
      <c r="Z62" s="107" t="s">
        <v>86</v>
      </c>
      <c r="AA62" s="108"/>
      <c r="AB62" s="108"/>
      <c r="AC62" s="108"/>
      <c r="AD62" s="108"/>
      <c r="AE62" s="109"/>
      <c r="AF62" s="110">
        <v>868.08</v>
      </c>
      <c r="AG62" s="107" t="s">
        <v>86</v>
      </c>
      <c r="AH62" s="108"/>
      <c r="AI62" s="108"/>
      <c r="AJ62" s="108"/>
      <c r="AK62" s="108"/>
      <c r="AL62" s="109"/>
      <c r="AM62" s="114">
        <f>810.19</f>
        <v>810.19</v>
      </c>
      <c r="AN62" s="107"/>
      <c r="AO62" s="108"/>
      <c r="AP62" s="108"/>
      <c r="AQ62" s="108"/>
      <c r="AR62" s="108"/>
      <c r="AS62" s="109"/>
      <c r="AT62" s="110"/>
      <c r="AU62" s="107"/>
      <c r="AV62" s="108"/>
      <c r="AW62" s="108"/>
      <c r="AX62" s="108"/>
      <c r="AY62" s="108"/>
      <c r="AZ62" s="109"/>
      <c r="BA62" s="166"/>
      <c r="BB62" s="107"/>
      <c r="BC62" s="108"/>
      <c r="BD62" s="108"/>
      <c r="BE62" s="108"/>
      <c r="BF62" s="108"/>
      <c r="BG62" s="109"/>
      <c r="BH62" s="110"/>
      <c r="BI62" s="107"/>
      <c r="BJ62" s="108"/>
      <c r="BK62" s="108"/>
      <c r="BL62" s="108"/>
      <c r="BM62" s="108"/>
      <c r="BN62" s="109"/>
      <c r="BO62" s="110"/>
      <c r="BP62" s="107"/>
      <c r="BQ62" s="108"/>
      <c r="BR62" s="108"/>
      <c r="BS62" s="108"/>
      <c r="BT62" s="108"/>
      <c r="BU62" s="109"/>
      <c r="BV62" s="110"/>
      <c r="BW62" s="107"/>
      <c r="BX62" s="108"/>
      <c r="BY62" s="108"/>
      <c r="BZ62" s="108"/>
      <c r="CA62" s="108"/>
      <c r="CB62" s="109"/>
      <c r="CC62" s="114"/>
      <c r="CD62" s="107"/>
      <c r="CE62" s="108"/>
      <c r="CF62" s="108"/>
      <c r="CG62" s="108"/>
      <c r="CH62" s="108"/>
      <c r="CI62" s="109"/>
      <c r="CJ62" s="114"/>
      <c r="CK62" s="107"/>
      <c r="CL62" s="108"/>
      <c r="CM62" s="108"/>
      <c r="CN62" s="108"/>
      <c r="CO62" s="108"/>
      <c r="CP62" s="109"/>
      <c r="CQ62" s="110"/>
    </row>
    <row r="63" spans="1:99" ht="14.25" customHeight="1" x14ac:dyDescent="0.2">
      <c r="L63" s="107" t="s">
        <v>87</v>
      </c>
      <c r="M63" s="108"/>
      <c r="N63" s="108"/>
      <c r="O63" s="108"/>
      <c r="P63" s="108"/>
      <c r="Q63" s="109"/>
      <c r="R63" s="167">
        <v>528.74</v>
      </c>
      <c r="S63" s="107" t="s">
        <v>87</v>
      </c>
      <c r="T63" s="108"/>
      <c r="U63" s="108"/>
      <c r="V63" s="108"/>
      <c r="W63" s="108"/>
      <c r="X63" s="109"/>
      <c r="Y63" s="166">
        <f>290</f>
        <v>290</v>
      </c>
      <c r="Z63" s="107" t="s">
        <v>87</v>
      </c>
      <c r="AA63" s="108"/>
      <c r="AB63" s="108"/>
      <c r="AC63" s="108"/>
      <c r="AD63" s="108"/>
      <c r="AE63" s="109"/>
      <c r="AF63" s="110">
        <f>528.74</f>
        <v>528.74</v>
      </c>
      <c r="AG63" s="107" t="s">
        <v>87</v>
      </c>
      <c r="AH63" s="108"/>
      <c r="AI63" s="108"/>
      <c r="AJ63" s="108"/>
      <c r="AK63" s="108"/>
      <c r="AL63" s="109"/>
      <c r="AM63" s="110">
        <f>90+200</f>
        <v>290</v>
      </c>
      <c r="AN63" s="107"/>
      <c r="AO63" s="108"/>
      <c r="AP63" s="108"/>
      <c r="AQ63" s="108"/>
      <c r="AR63" s="108"/>
      <c r="AS63" s="109"/>
      <c r="AT63" s="110"/>
      <c r="AU63" s="107"/>
      <c r="AV63" s="108"/>
      <c r="AW63" s="108"/>
      <c r="AX63" s="108"/>
      <c r="AY63" s="108"/>
      <c r="AZ63" s="109"/>
      <c r="BA63" s="166"/>
      <c r="BB63" s="107"/>
      <c r="BC63" s="108"/>
      <c r="BD63" s="108"/>
      <c r="BE63" s="108"/>
      <c r="BF63" s="108"/>
      <c r="BG63" s="109"/>
      <c r="BH63" s="110"/>
      <c r="BI63" s="107"/>
      <c r="BJ63" s="108"/>
      <c r="BK63" s="108"/>
      <c r="BL63" s="108"/>
      <c r="BM63" s="108"/>
      <c r="BN63" s="109"/>
      <c r="BO63" s="110"/>
      <c r="BP63" s="107"/>
      <c r="BQ63" s="108"/>
      <c r="BR63" s="108"/>
      <c r="BS63" s="108"/>
      <c r="BT63" s="108"/>
      <c r="BU63" s="109"/>
      <c r="BV63" s="110"/>
      <c r="BW63" s="107"/>
      <c r="BX63" s="108"/>
      <c r="BY63" s="108"/>
      <c r="BZ63" s="108"/>
      <c r="CA63" s="108"/>
      <c r="CB63" s="109"/>
      <c r="CC63" s="166"/>
      <c r="CD63" s="107"/>
      <c r="CE63" s="108"/>
      <c r="CF63" s="108"/>
      <c r="CG63" s="108"/>
      <c r="CH63" s="108"/>
      <c r="CI63" s="109"/>
      <c r="CJ63" s="166"/>
      <c r="CK63" s="107"/>
      <c r="CL63" s="108"/>
      <c r="CM63" s="108"/>
      <c r="CN63" s="108"/>
      <c r="CO63" s="108"/>
      <c r="CP63" s="109"/>
      <c r="CQ63" s="110"/>
    </row>
    <row r="64" spans="1:99" ht="14.25" customHeight="1" x14ac:dyDescent="0.2">
      <c r="L64" s="107" t="s">
        <v>127</v>
      </c>
      <c r="M64" s="108"/>
      <c r="N64" s="108"/>
      <c r="O64" s="108"/>
      <c r="P64" s="108"/>
      <c r="Q64" s="109"/>
      <c r="R64" s="167">
        <f>21.5</f>
        <v>21.5</v>
      </c>
      <c r="S64" s="107" t="s">
        <v>127</v>
      </c>
      <c r="T64" s="108"/>
      <c r="U64" s="108"/>
      <c r="V64" s="108"/>
      <c r="W64" s="108"/>
      <c r="X64" s="109"/>
      <c r="Y64" s="166">
        <f>62.5+200</f>
        <v>262.5</v>
      </c>
      <c r="Z64" s="107" t="s">
        <v>127</v>
      </c>
      <c r="AA64" s="108"/>
      <c r="AB64" s="108"/>
      <c r="AC64" s="108"/>
      <c r="AD64" s="108"/>
      <c r="AE64" s="109"/>
      <c r="AF64" s="110"/>
      <c r="AG64" s="107" t="s">
        <v>127</v>
      </c>
      <c r="AH64" s="108"/>
      <c r="AI64" s="108"/>
      <c r="AJ64" s="108"/>
      <c r="AK64" s="108"/>
      <c r="AL64" s="109"/>
      <c r="AM64" s="110"/>
      <c r="AN64" s="107"/>
      <c r="AO64" s="108"/>
      <c r="AP64" s="108"/>
      <c r="AQ64" s="108"/>
      <c r="AR64" s="108"/>
      <c r="AS64" s="109"/>
      <c r="AT64" s="110"/>
      <c r="AU64" s="107"/>
      <c r="AV64" s="108"/>
      <c r="AW64" s="108"/>
      <c r="AX64" s="108"/>
      <c r="AY64" s="108"/>
      <c r="AZ64" s="109"/>
      <c r="BA64" s="166"/>
      <c r="BB64" s="107"/>
      <c r="BC64" s="108"/>
      <c r="BD64" s="108"/>
      <c r="BE64" s="108"/>
      <c r="BF64" s="108"/>
      <c r="BG64" s="109"/>
      <c r="BH64" s="110"/>
      <c r="BI64" s="107"/>
      <c r="BJ64" s="108"/>
      <c r="BK64" s="108"/>
      <c r="BL64" s="108"/>
      <c r="BM64" s="108"/>
      <c r="BN64" s="109"/>
      <c r="BO64" s="110"/>
      <c r="BP64" s="107"/>
      <c r="BQ64" s="108"/>
      <c r="BR64" s="108"/>
      <c r="BS64" s="108"/>
      <c r="BT64" s="108"/>
      <c r="BU64" s="109"/>
      <c r="BV64" s="110"/>
      <c r="BW64" s="107"/>
      <c r="BX64" s="108"/>
      <c r="BY64" s="108"/>
      <c r="BZ64" s="108"/>
      <c r="CA64" s="108"/>
      <c r="CB64" s="109"/>
      <c r="CC64" s="166"/>
      <c r="CD64" s="107"/>
      <c r="CE64" s="108"/>
      <c r="CF64" s="108"/>
      <c r="CG64" s="108"/>
      <c r="CH64" s="108"/>
      <c r="CI64" s="109"/>
      <c r="CJ64" s="166"/>
      <c r="CK64" s="107"/>
      <c r="CL64" s="108"/>
      <c r="CM64" s="108"/>
      <c r="CN64" s="108"/>
      <c r="CO64" s="108"/>
      <c r="CP64" s="109"/>
      <c r="CQ64" s="110"/>
    </row>
    <row r="65" spans="12:99" ht="14.25" customHeight="1" x14ac:dyDescent="0.2">
      <c r="L65" s="107" t="s">
        <v>128</v>
      </c>
      <c r="M65" s="108"/>
      <c r="N65" s="108"/>
      <c r="O65" s="108"/>
      <c r="P65" s="108"/>
      <c r="Q65" s="109"/>
      <c r="R65" s="167">
        <f>447</f>
        <v>447</v>
      </c>
      <c r="S65" s="107" t="s">
        <v>129</v>
      </c>
      <c r="T65" s="108"/>
      <c r="U65" s="108"/>
      <c r="V65" s="108"/>
      <c r="W65" s="108"/>
      <c r="X65" s="109"/>
      <c r="Y65" s="166">
        <f>238.74</f>
        <v>238.74</v>
      </c>
      <c r="Z65" s="107" t="s">
        <v>129</v>
      </c>
      <c r="AA65" s="108"/>
      <c r="AB65" s="108"/>
      <c r="AC65" s="108"/>
      <c r="AD65" s="108"/>
      <c r="AE65" s="109"/>
      <c r="AF65" s="110"/>
      <c r="AG65" s="107" t="s">
        <v>129</v>
      </c>
      <c r="AH65" s="108"/>
      <c r="AI65" s="108"/>
      <c r="AJ65" s="108"/>
      <c r="AK65" s="108"/>
      <c r="AL65" s="109"/>
      <c r="AM65" s="166">
        <f>238.74</f>
        <v>238.74</v>
      </c>
      <c r="AN65" s="107"/>
      <c r="AO65" s="108"/>
      <c r="AP65" s="108"/>
      <c r="AQ65" s="108"/>
      <c r="AR65" s="108"/>
      <c r="AS65" s="109"/>
      <c r="AT65" s="110"/>
      <c r="AU65" s="107"/>
      <c r="AV65" s="108"/>
      <c r="AW65" s="108"/>
      <c r="AX65" s="108"/>
      <c r="AY65" s="108"/>
      <c r="AZ65" s="109"/>
      <c r="BA65" s="166"/>
      <c r="BB65" s="107"/>
      <c r="BC65" s="108"/>
      <c r="BD65" s="108"/>
      <c r="BE65" s="108"/>
      <c r="BF65" s="108"/>
      <c r="BG65" s="109"/>
      <c r="BH65" s="110"/>
      <c r="BI65" s="107"/>
      <c r="BJ65" s="108"/>
      <c r="BK65" s="108"/>
      <c r="BL65" s="108"/>
      <c r="BM65" s="108"/>
      <c r="BN65" s="109"/>
      <c r="BO65" s="110"/>
      <c r="BP65" s="107"/>
      <c r="BQ65" s="108"/>
      <c r="BR65" s="108"/>
      <c r="BS65" s="108"/>
      <c r="BT65" s="108"/>
      <c r="BU65" s="109"/>
      <c r="BV65" s="110"/>
      <c r="BW65" s="107"/>
      <c r="BX65" s="108"/>
      <c r="BY65" s="108"/>
      <c r="BZ65" s="108"/>
      <c r="CA65" s="108"/>
      <c r="CB65" s="109"/>
      <c r="CC65" s="166"/>
      <c r="CD65" s="107"/>
      <c r="CE65" s="108"/>
      <c r="CF65" s="108"/>
      <c r="CG65" s="108"/>
      <c r="CH65" s="108"/>
      <c r="CI65" s="109"/>
      <c r="CJ65" s="166"/>
      <c r="CK65" s="107"/>
      <c r="CL65" s="108"/>
      <c r="CM65" s="108"/>
      <c r="CN65" s="108"/>
      <c r="CO65" s="108"/>
      <c r="CP65" s="109"/>
      <c r="CQ65" s="110"/>
    </row>
    <row r="66" spans="12:99" ht="14.25" customHeight="1" x14ac:dyDescent="0.2">
      <c r="L66" s="107" t="s">
        <v>130</v>
      </c>
      <c r="M66" s="108"/>
      <c r="N66" s="108"/>
      <c r="O66" s="108"/>
      <c r="P66" s="108"/>
      <c r="Q66" s="109"/>
      <c r="R66" s="167">
        <f>220.5</f>
        <v>220.5</v>
      </c>
      <c r="S66" s="107" t="s">
        <v>130</v>
      </c>
      <c r="T66" s="108"/>
      <c r="U66" s="108"/>
      <c r="V66" s="108"/>
      <c r="W66" s="108"/>
      <c r="X66" s="109"/>
      <c r="Y66" s="166"/>
      <c r="Z66" s="107" t="s">
        <v>130</v>
      </c>
      <c r="AA66" s="108"/>
      <c r="AB66" s="108"/>
      <c r="AC66" s="108"/>
      <c r="AD66" s="108"/>
      <c r="AE66" s="109"/>
      <c r="AF66" s="110"/>
      <c r="AG66" s="107" t="s">
        <v>130</v>
      </c>
      <c r="AH66" s="108"/>
      <c r="AI66" s="108"/>
      <c r="AJ66" s="108"/>
      <c r="AK66" s="108"/>
      <c r="AL66" s="109"/>
      <c r="AM66" s="166"/>
      <c r="AN66" s="107"/>
      <c r="AO66" s="108"/>
      <c r="AP66" s="108"/>
      <c r="AQ66" s="108"/>
      <c r="AR66" s="108"/>
      <c r="AS66" s="109"/>
      <c r="AT66" s="110"/>
      <c r="AU66" s="107"/>
      <c r="AV66" s="108"/>
      <c r="AW66" s="108"/>
      <c r="AX66" s="108"/>
      <c r="AY66" s="108"/>
      <c r="AZ66" s="109"/>
      <c r="BA66" s="166"/>
      <c r="BB66" s="107"/>
      <c r="BC66" s="108"/>
      <c r="BD66" s="108"/>
      <c r="BE66" s="108"/>
      <c r="BF66" s="108"/>
      <c r="BG66" s="109"/>
      <c r="BH66" s="110"/>
      <c r="BI66" s="107"/>
      <c r="BJ66" s="108"/>
      <c r="BK66" s="108"/>
      <c r="BL66" s="108"/>
      <c r="BM66" s="108"/>
      <c r="BN66" s="109"/>
      <c r="BO66" s="110"/>
      <c r="BP66" s="107"/>
      <c r="BQ66" s="108"/>
      <c r="BR66" s="108"/>
      <c r="BS66" s="108"/>
      <c r="BT66" s="108"/>
      <c r="BU66" s="109"/>
      <c r="BV66" s="110"/>
      <c r="BW66" s="107"/>
      <c r="BX66" s="108"/>
      <c r="BY66" s="108"/>
      <c r="BZ66" s="108"/>
      <c r="CA66" s="108"/>
      <c r="CB66" s="109"/>
      <c r="CC66" s="166"/>
      <c r="CD66" s="107"/>
      <c r="CE66" s="108"/>
      <c r="CF66" s="108"/>
      <c r="CG66" s="108"/>
      <c r="CH66" s="108"/>
      <c r="CI66" s="109"/>
      <c r="CJ66" s="166"/>
      <c r="CK66" s="107"/>
      <c r="CL66" s="108"/>
      <c r="CM66" s="108"/>
      <c r="CN66" s="108"/>
      <c r="CO66" s="108"/>
      <c r="CP66" s="109"/>
      <c r="CQ66" s="110"/>
    </row>
    <row r="67" spans="12:99" ht="14.25" customHeight="1" x14ac:dyDescent="0.2">
      <c r="L67" s="107" t="s">
        <v>131</v>
      </c>
      <c r="M67" s="108"/>
      <c r="N67" s="108"/>
      <c r="O67" s="108"/>
      <c r="P67" s="108"/>
      <c r="Q67" s="109"/>
      <c r="R67" s="167">
        <f>644.99</f>
        <v>644.99</v>
      </c>
      <c r="S67" s="107" t="s">
        <v>131</v>
      </c>
      <c r="T67" s="108"/>
      <c r="U67" s="108"/>
      <c r="V67" s="108"/>
      <c r="W67" s="108"/>
      <c r="X67" s="109"/>
      <c r="Y67" s="166">
        <f>507.15+145.02+210.84</f>
        <v>863.01</v>
      </c>
      <c r="Z67" s="107" t="s">
        <v>131</v>
      </c>
      <c r="AA67" s="108"/>
      <c r="AB67" s="108"/>
      <c r="AC67" s="108"/>
      <c r="AD67" s="108"/>
      <c r="AE67" s="109"/>
      <c r="AF67" s="110">
        <f>507.79</f>
        <v>507.79</v>
      </c>
      <c r="AG67" s="107" t="s">
        <v>131</v>
      </c>
      <c r="AH67" s="108"/>
      <c r="AI67" s="108"/>
      <c r="AJ67" s="108"/>
      <c r="AK67" s="108"/>
      <c r="AL67" s="109"/>
      <c r="AM67" s="166"/>
      <c r="AN67" s="107"/>
      <c r="AO67" s="108"/>
      <c r="AP67" s="108"/>
      <c r="AQ67" s="108"/>
      <c r="AR67" s="108"/>
      <c r="AS67" s="109"/>
      <c r="AT67" s="110"/>
      <c r="AU67" s="107"/>
      <c r="AV67" s="108"/>
      <c r="AW67" s="108"/>
      <c r="AX67" s="108"/>
      <c r="AY67" s="108"/>
      <c r="AZ67" s="109"/>
      <c r="BA67" s="166"/>
      <c r="BB67" s="107"/>
      <c r="BC67" s="108"/>
      <c r="BD67" s="108"/>
      <c r="BE67" s="108"/>
      <c r="BF67" s="108"/>
      <c r="BG67" s="109"/>
      <c r="BH67" s="110"/>
      <c r="BI67" s="107"/>
      <c r="BJ67" s="108"/>
      <c r="BK67" s="108"/>
      <c r="BL67" s="108"/>
      <c r="BM67" s="108"/>
      <c r="BN67" s="109"/>
      <c r="BO67" s="110"/>
      <c r="BP67" s="107"/>
      <c r="BQ67" s="108"/>
      <c r="BR67" s="108"/>
      <c r="BS67" s="108"/>
      <c r="BT67" s="108"/>
      <c r="BU67" s="109"/>
      <c r="BV67" s="110"/>
      <c r="BW67" s="107"/>
      <c r="BX67" s="108"/>
      <c r="BY67" s="108"/>
      <c r="BZ67" s="108"/>
      <c r="CA67" s="108"/>
      <c r="CB67" s="109"/>
      <c r="CC67" s="166"/>
      <c r="CD67" s="107"/>
      <c r="CE67" s="108"/>
      <c r="CF67" s="108"/>
      <c r="CG67" s="108"/>
      <c r="CH67" s="108"/>
      <c r="CI67" s="109"/>
      <c r="CJ67" s="166"/>
      <c r="CK67" s="107"/>
      <c r="CL67" s="108"/>
      <c r="CM67" s="108"/>
      <c r="CN67" s="108"/>
      <c r="CO67" s="108"/>
      <c r="CP67" s="109"/>
      <c r="CQ67" s="110"/>
    </row>
    <row r="68" spans="12:99" ht="14.25" customHeight="1" x14ac:dyDescent="0.2">
      <c r="L68" s="107" t="s">
        <v>90</v>
      </c>
      <c r="M68" s="108"/>
      <c r="N68" s="108"/>
      <c r="O68" s="108"/>
      <c r="P68" s="108"/>
      <c r="Q68" s="109"/>
      <c r="R68" s="167">
        <f>1555+1000</f>
        <v>2555</v>
      </c>
      <c r="S68" s="107" t="s">
        <v>90</v>
      </c>
      <c r="T68" s="108"/>
      <c r="U68" s="108"/>
      <c r="V68" s="108"/>
      <c r="W68" s="108"/>
      <c r="X68" s="109"/>
      <c r="Y68" s="166">
        <f>229+280</f>
        <v>509</v>
      </c>
      <c r="Z68" s="107" t="s">
        <v>90</v>
      </c>
      <c r="AA68" s="108"/>
      <c r="AB68" s="108"/>
      <c r="AC68" s="108"/>
      <c r="AD68" s="108"/>
      <c r="AE68" s="109"/>
      <c r="AF68" s="110">
        <v>215</v>
      </c>
      <c r="AG68" s="107" t="s">
        <v>90</v>
      </c>
      <c r="AH68" s="108"/>
      <c r="AI68" s="108"/>
      <c r="AJ68" s="108"/>
      <c r="AK68" s="108"/>
      <c r="AL68" s="109"/>
      <c r="AM68" s="166">
        <f>75+655+59</f>
        <v>789</v>
      </c>
      <c r="AN68" s="107"/>
      <c r="AO68" s="108"/>
      <c r="AP68" s="108"/>
      <c r="AQ68" s="108"/>
      <c r="AR68" s="108"/>
      <c r="AS68" s="109"/>
      <c r="AT68" s="110"/>
      <c r="AU68" s="107"/>
      <c r="AV68" s="108"/>
      <c r="AW68" s="108"/>
      <c r="AX68" s="108"/>
      <c r="AY68" s="108"/>
      <c r="AZ68" s="109"/>
      <c r="BA68" s="166"/>
      <c r="BB68" s="107"/>
      <c r="BC68" s="108"/>
      <c r="BD68" s="108"/>
      <c r="BE68" s="108"/>
      <c r="BF68" s="108"/>
      <c r="BG68" s="109"/>
      <c r="BH68" s="110"/>
      <c r="BI68" s="107"/>
      <c r="BJ68" s="108"/>
      <c r="BK68" s="108"/>
      <c r="BL68" s="108"/>
      <c r="BM68" s="108"/>
      <c r="BN68" s="109"/>
      <c r="BO68" s="110"/>
      <c r="BP68" s="107"/>
      <c r="BQ68" s="108"/>
      <c r="BR68" s="108"/>
      <c r="BS68" s="108"/>
      <c r="BT68" s="108"/>
      <c r="BU68" s="109"/>
      <c r="BV68" s="110"/>
      <c r="BW68" s="107"/>
      <c r="BX68" s="108"/>
      <c r="BY68" s="108"/>
      <c r="BZ68" s="108"/>
      <c r="CA68" s="108"/>
      <c r="CB68" s="109"/>
      <c r="CC68" s="166"/>
      <c r="CD68" s="107"/>
      <c r="CE68" s="108"/>
      <c r="CF68" s="108"/>
      <c r="CG68" s="108"/>
      <c r="CH68" s="108"/>
      <c r="CI68" s="109"/>
      <c r="CJ68" s="166"/>
      <c r="CK68" s="107"/>
      <c r="CL68" s="108"/>
      <c r="CM68" s="108"/>
      <c r="CN68" s="108"/>
      <c r="CO68" s="108"/>
      <c r="CP68" s="109"/>
      <c r="CQ68" s="110"/>
    </row>
    <row r="69" spans="12:99" ht="14.25" customHeight="1" x14ac:dyDescent="0.2">
      <c r="L69" s="107" t="s">
        <v>132</v>
      </c>
      <c r="M69" s="108"/>
      <c r="N69" s="108"/>
      <c r="O69" s="108"/>
      <c r="P69" s="108"/>
      <c r="Q69" s="109"/>
      <c r="R69" s="167">
        <v>1150</v>
      </c>
      <c r="S69" s="107" t="s">
        <v>99</v>
      </c>
      <c r="T69" s="108"/>
      <c r="U69" s="108"/>
      <c r="V69" s="108"/>
      <c r="W69" s="108"/>
      <c r="X69" s="109"/>
      <c r="Y69" s="166">
        <f>594.2</f>
        <v>594.20000000000005</v>
      </c>
      <c r="Z69" s="107" t="s">
        <v>99</v>
      </c>
      <c r="AA69" s="108"/>
      <c r="AB69" s="108"/>
      <c r="AC69" s="108"/>
      <c r="AD69" s="108"/>
      <c r="AE69" s="109"/>
      <c r="AF69" s="110"/>
      <c r="AG69" s="107" t="s">
        <v>99</v>
      </c>
      <c r="AH69" s="108"/>
      <c r="AI69" s="108"/>
      <c r="AJ69" s="108"/>
      <c r="AK69" s="108"/>
      <c r="AL69" s="109"/>
      <c r="AM69" s="166"/>
      <c r="AN69" s="107"/>
      <c r="AO69" s="108"/>
      <c r="AP69" s="108"/>
      <c r="AQ69" s="108"/>
      <c r="AR69" s="108"/>
      <c r="AS69" s="109"/>
      <c r="AT69" s="110"/>
      <c r="AU69" s="107"/>
      <c r="AV69" s="108"/>
      <c r="AW69" s="108"/>
      <c r="AX69" s="108"/>
      <c r="AY69" s="108"/>
      <c r="AZ69" s="109"/>
      <c r="BA69" s="166"/>
      <c r="BB69" s="107"/>
      <c r="BC69" s="108"/>
      <c r="BD69" s="108"/>
      <c r="BE69" s="108"/>
      <c r="BF69" s="108"/>
      <c r="BG69" s="109"/>
      <c r="BH69" s="110"/>
      <c r="BI69" s="107"/>
      <c r="BJ69" s="108"/>
      <c r="BK69" s="108"/>
      <c r="BL69" s="108"/>
      <c r="BM69" s="108"/>
      <c r="BN69" s="109"/>
      <c r="BO69" s="110"/>
      <c r="BP69" s="107"/>
      <c r="BQ69" s="108"/>
      <c r="BR69" s="108"/>
      <c r="BS69" s="108"/>
      <c r="BT69" s="108"/>
      <c r="BU69" s="109"/>
      <c r="BV69" s="110"/>
      <c r="BW69" s="107"/>
      <c r="BX69" s="108"/>
      <c r="BY69" s="108"/>
      <c r="BZ69" s="108"/>
      <c r="CA69" s="108"/>
      <c r="CB69" s="109"/>
      <c r="CC69" s="166"/>
      <c r="CD69" s="107"/>
      <c r="CE69" s="108"/>
      <c r="CF69" s="108"/>
      <c r="CG69" s="108"/>
      <c r="CH69" s="108"/>
      <c r="CI69" s="109"/>
      <c r="CJ69" s="166"/>
      <c r="CK69" s="107"/>
      <c r="CL69" s="108"/>
      <c r="CM69" s="108"/>
      <c r="CN69" s="108"/>
      <c r="CO69" s="108"/>
      <c r="CP69" s="109"/>
      <c r="CQ69" s="110"/>
    </row>
    <row r="70" spans="12:99" ht="14.25" customHeight="1" x14ac:dyDescent="0.2">
      <c r="L70" s="107" t="s">
        <v>133</v>
      </c>
      <c r="M70" s="108"/>
      <c r="N70" s="108"/>
      <c r="O70" s="108"/>
      <c r="P70" s="108"/>
      <c r="Q70" s="109"/>
      <c r="R70" s="167">
        <v>28.9</v>
      </c>
      <c r="S70" s="107" t="s">
        <v>133</v>
      </c>
      <c r="T70" s="108"/>
      <c r="U70" s="108"/>
      <c r="V70" s="108"/>
      <c r="W70" s="108"/>
      <c r="X70" s="109"/>
      <c r="Y70" s="166"/>
      <c r="Z70" s="107" t="s">
        <v>133</v>
      </c>
      <c r="AA70" s="108"/>
      <c r="AB70" s="108"/>
      <c r="AC70" s="108"/>
      <c r="AD70" s="108"/>
      <c r="AE70" s="109"/>
      <c r="AF70" s="110">
        <f>28.9</f>
        <v>28.9</v>
      </c>
      <c r="AG70" s="107" t="s">
        <v>133</v>
      </c>
      <c r="AH70" s="108"/>
      <c r="AI70" s="108"/>
      <c r="AJ70" s="108"/>
      <c r="AK70" s="108"/>
      <c r="AL70" s="109"/>
      <c r="AM70" s="166"/>
      <c r="AN70" s="107"/>
      <c r="AO70" s="108"/>
      <c r="AP70" s="108"/>
      <c r="AQ70" s="108"/>
      <c r="AR70" s="108"/>
      <c r="AS70" s="109"/>
      <c r="AT70" s="110"/>
      <c r="AU70" s="107"/>
      <c r="AV70" s="108"/>
      <c r="AW70" s="108"/>
      <c r="AX70" s="108"/>
      <c r="AY70" s="108"/>
      <c r="AZ70" s="109"/>
      <c r="BA70" s="166"/>
      <c r="BB70" s="107"/>
      <c r="BC70" s="108"/>
      <c r="BD70" s="108"/>
      <c r="BE70" s="108"/>
      <c r="BF70" s="108"/>
      <c r="BG70" s="109"/>
      <c r="BH70" s="110"/>
      <c r="BI70" s="107"/>
      <c r="BJ70" s="108"/>
      <c r="BK70" s="108"/>
      <c r="BL70" s="108"/>
      <c r="BM70" s="108"/>
      <c r="BN70" s="109"/>
      <c r="BO70" s="110"/>
      <c r="BP70" s="107"/>
      <c r="BQ70" s="108"/>
      <c r="BR70" s="108"/>
      <c r="BS70" s="108"/>
      <c r="BT70" s="108"/>
      <c r="BU70" s="109"/>
      <c r="BV70" s="110"/>
      <c r="BW70" s="107"/>
      <c r="BX70" s="108"/>
      <c r="BY70" s="108"/>
      <c r="BZ70" s="108"/>
      <c r="CA70" s="108"/>
      <c r="CB70" s="109"/>
      <c r="CC70" s="166"/>
      <c r="CD70" s="107"/>
      <c r="CE70" s="108"/>
      <c r="CF70" s="108"/>
      <c r="CG70" s="108"/>
      <c r="CH70" s="108"/>
      <c r="CI70" s="109"/>
      <c r="CJ70" s="166"/>
      <c r="CK70" s="107"/>
      <c r="CL70" s="108"/>
      <c r="CM70" s="108"/>
      <c r="CN70" s="108"/>
      <c r="CO70" s="108"/>
      <c r="CP70" s="109"/>
      <c r="CQ70" s="110"/>
    </row>
    <row r="71" spans="12:99" ht="14.25" customHeight="1" x14ac:dyDescent="0.2">
      <c r="L71" s="107" t="s">
        <v>134</v>
      </c>
      <c r="M71" s="108"/>
      <c r="N71" s="108"/>
      <c r="O71" s="108"/>
      <c r="P71" s="108"/>
      <c r="Q71" s="109"/>
      <c r="R71" s="167">
        <f>823.36</f>
        <v>823.36</v>
      </c>
      <c r="S71" s="107" t="s">
        <v>135</v>
      </c>
      <c r="T71" s="108"/>
      <c r="U71" s="108"/>
      <c r="V71" s="108"/>
      <c r="W71" s="108"/>
      <c r="X71" s="109"/>
      <c r="Y71" s="166">
        <f>515+966.53+220+220</f>
        <v>1921.53</v>
      </c>
      <c r="Z71" s="107" t="s">
        <v>135</v>
      </c>
      <c r="AA71" s="108"/>
      <c r="AB71" s="108"/>
      <c r="AC71" s="108"/>
      <c r="AD71" s="108"/>
      <c r="AE71" s="109"/>
      <c r="AF71" s="168"/>
      <c r="AG71" s="107" t="s">
        <v>135</v>
      </c>
      <c r="AH71" s="108"/>
      <c r="AI71" s="108"/>
      <c r="AJ71" s="108"/>
      <c r="AK71" s="108"/>
      <c r="AL71" s="109"/>
      <c r="AM71" s="169"/>
      <c r="AN71" s="107"/>
      <c r="AO71" s="108"/>
      <c r="AP71" s="108"/>
      <c r="AQ71" s="108"/>
      <c r="AR71" s="108"/>
      <c r="AS71" s="109"/>
      <c r="AT71" s="168"/>
      <c r="AU71" s="107"/>
      <c r="AV71" s="108"/>
      <c r="AW71" s="108"/>
      <c r="AX71" s="108"/>
      <c r="AY71" s="108"/>
      <c r="AZ71" s="109"/>
      <c r="BA71" s="169"/>
      <c r="BB71" s="107"/>
      <c r="BC71" s="108"/>
      <c r="BD71" s="108"/>
      <c r="BE71" s="108"/>
      <c r="BF71" s="108"/>
      <c r="BG71" s="109"/>
      <c r="BH71" s="168"/>
      <c r="BI71" s="107"/>
      <c r="BJ71" s="108"/>
      <c r="BK71" s="108"/>
      <c r="BL71" s="108"/>
      <c r="BM71" s="108"/>
      <c r="BN71" s="109"/>
      <c r="BO71" s="168"/>
      <c r="BP71" s="107"/>
      <c r="BQ71" s="108"/>
      <c r="BR71" s="108"/>
      <c r="BS71" s="108"/>
      <c r="BT71" s="108"/>
      <c r="BU71" s="109"/>
      <c r="BV71" s="168"/>
      <c r="BW71" s="107"/>
      <c r="BX71" s="108"/>
      <c r="BY71" s="108"/>
      <c r="BZ71" s="108"/>
      <c r="CA71" s="108"/>
      <c r="CB71" s="109"/>
      <c r="CC71" s="169"/>
      <c r="CD71" s="107"/>
      <c r="CE71" s="108"/>
      <c r="CF71" s="108"/>
      <c r="CG71" s="108"/>
      <c r="CH71" s="108"/>
      <c r="CI71" s="109"/>
      <c r="CJ71" s="169"/>
      <c r="CK71" s="107"/>
      <c r="CL71" s="108"/>
      <c r="CM71" s="108"/>
      <c r="CN71" s="108"/>
      <c r="CO71" s="108"/>
      <c r="CP71" s="109"/>
      <c r="CQ71" s="168"/>
    </row>
    <row r="72" spans="12:99" ht="14.25" customHeight="1" x14ac:dyDescent="0.2">
      <c r="L72" s="107" t="s">
        <v>94</v>
      </c>
      <c r="M72" s="108"/>
      <c r="N72" s="108"/>
      <c r="O72" s="108"/>
      <c r="P72" s="108"/>
      <c r="Q72" s="109"/>
      <c r="R72" s="167">
        <f>211.82</f>
        <v>211.82</v>
      </c>
      <c r="S72" s="107" t="s">
        <v>94</v>
      </c>
      <c r="T72" s="108"/>
      <c r="U72" s="108"/>
      <c r="V72" s="108"/>
      <c r="W72" s="108"/>
      <c r="X72" s="109"/>
      <c r="Y72" s="166"/>
      <c r="Z72" s="107" t="s">
        <v>94</v>
      </c>
      <c r="AA72" s="108"/>
      <c r="AB72" s="108"/>
      <c r="AC72" s="108"/>
      <c r="AD72" s="108"/>
      <c r="AE72" s="109"/>
      <c r="AF72" s="110"/>
      <c r="AG72" s="107" t="s">
        <v>94</v>
      </c>
      <c r="AH72" s="108"/>
      <c r="AI72" s="108"/>
      <c r="AJ72" s="108"/>
      <c r="AK72" s="108"/>
      <c r="AL72" s="109"/>
      <c r="AM72" s="166"/>
      <c r="AN72" s="107"/>
      <c r="AO72" s="108"/>
      <c r="AP72" s="108"/>
      <c r="AQ72" s="108"/>
      <c r="AR72" s="108"/>
      <c r="AS72" s="109"/>
      <c r="AT72" s="110"/>
      <c r="AU72" s="107"/>
      <c r="AV72" s="108"/>
      <c r="AW72" s="108"/>
      <c r="AX72" s="108"/>
      <c r="AY72" s="108"/>
      <c r="AZ72" s="109"/>
      <c r="BA72" s="166"/>
      <c r="BB72" s="107"/>
      <c r="BC72" s="108"/>
      <c r="BD72" s="108"/>
      <c r="BE72" s="108"/>
      <c r="BF72" s="108"/>
      <c r="BG72" s="109"/>
      <c r="BH72" s="110"/>
      <c r="BI72" s="107"/>
      <c r="BJ72" s="108"/>
      <c r="BK72" s="108"/>
      <c r="BL72" s="108"/>
      <c r="BM72" s="108"/>
      <c r="BN72" s="109"/>
      <c r="BO72" s="110"/>
      <c r="BP72" s="107"/>
      <c r="BQ72" s="108"/>
      <c r="BR72" s="108"/>
      <c r="BS72" s="108"/>
      <c r="BT72" s="108"/>
      <c r="BU72" s="109"/>
      <c r="BV72" s="110"/>
      <c r="BW72" s="107"/>
      <c r="BX72" s="108"/>
      <c r="BY72" s="108"/>
      <c r="BZ72" s="108"/>
      <c r="CA72" s="108"/>
      <c r="CB72" s="109"/>
      <c r="CC72" s="166"/>
      <c r="CD72" s="107"/>
      <c r="CE72" s="108"/>
      <c r="CF72" s="108"/>
      <c r="CG72" s="108"/>
      <c r="CH72" s="108"/>
      <c r="CI72" s="109"/>
      <c r="CJ72" s="166"/>
      <c r="CK72" s="107"/>
      <c r="CL72" s="108"/>
      <c r="CM72" s="108"/>
      <c r="CN72" s="108"/>
      <c r="CO72" s="108"/>
      <c r="CP72" s="109"/>
      <c r="CQ72" s="110"/>
      <c r="CU72" s="154"/>
    </row>
    <row r="73" spans="12:99" ht="14.25" customHeight="1" x14ac:dyDescent="0.2">
      <c r="L73" s="107" t="s">
        <v>136</v>
      </c>
      <c r="M73" s="108"/>
      <c r="N73" s="108"/>
      <c r="O73" s="108"/>
      <c r="P73" s="108"/>
      <c r="Q73" s="109"/>
      <c r="R73" s="167">
        <f>495</f>
        <v>495</v>
      </c>
      <c r="S73" s="107" t="s">
        <v>136</v>
      </c>
      <c r="T73" s="108"/>
      <c r="U73" s="108"/>
      <c r="V73" s="108"/>
      <c r="W73" s="108"/>
      <c r="X73" s="109"/>
      <c r="Y73" s="166"/>
      <c r="Z73" s="107" t="s">
        <v>136</v>
      </c>
      <c r="AA73" s="108"/>
      <c r="AB73" s="108"/>
      <c r="AC73" s="108"/>
      <c r="AD73" s="108"/>
      <c r="AE73" s="109"/>
      <c r="AF73" s="110">
        <f>450</f>
        <v>450</v>
      </c>
      <c r="AG73" s="107" t="s">
        <v>136</v>
      </c>
      <c r="AH73" s="108"/>
      <c r="AI73" s="108"/>
      <c r="AJ73" s="108"/>
      <c r="AK73" s="108"/>
      <c r="AL73" s="109"/>
      <c r="AM73" s="166">
        <v>517.5</v>
      </c>
      <c r="AN73" s="107"/>
      <c r="AO73" s="108"/>
      <c r="AP73" s="108"/>
      <c r="AQ73" s="108"/>
      <c r="AR73" s="108"/>
      <c r="AS73" s="109"/>
      <c r="AT73" s="110"/>
      <c r="AU73" s="107"/>
      <c r="AV73" s="108"/>
      <c r="AW73" s="108"/>
      <c r="AX73" s="108"/>
      <c r="AY73" s="108"/>
      <c r="AZ73" s="109"/>
      <c r="BA73" s="166"/>
      <c r="BB73" s="107"/>
      <c r="BC73" s="108"/>
      <c r="BD73" s="108"/>
      <c r="BE73" s="108"/>
      <c r="BF73" s="108"/>
      <c r="BG73" s="109"/>
      <c r="BH73" s="110"/>
      <c r="BI73" s="107"/>
      <c r="BJ73" s="108"/>
      <c r="BK73" s="108"/>
      <c r="BL73" s="108"/>
      <c r="BM73" s="108"/>
      <c r="BN73" s="109"/>
      <c r="BO73" s="110"/>
      <c r="BP73" s="107"/>
      <c r="BQ73" s="108"/>
      <c r="BR73" s="108"/>
      <c r="BS73" s="108"/>
      <c r="BT73" s="108"/>
      <c r="BU73" s="109"/>
      <c r="BV73" s="110"/>
      <c r="BW73" s="107"/>
      <c r="BX73" s="108"/>
      <c r="BY73" s="108"/>
      <c r="BZ73" s="108"/>
      <c r="CA73" s="108"/>
      <c r="CB73" s="109"/>
      <c r="CC73" s="166"/>
      <c r="CD73" s="107"/>
      <c r="CE73" s="108"/>
      <c r="CF73" s="108"/>
      <c r="CG73" s="108"/>
      <c r="CH73" s="108"/>
      <c r="CI73" s="109"/>
      <c r="CJ73" s="166"/>
      <c r="CK73" s="107"/>
      <c r="CL73" s="108"/>
      <c r="CM73" s="108"/>
      <c r="CN73" s="108"/>
      <c r="CO73" s="108"/>
      <c r="CP73" s="109"/>
      <c r="CQ73" s="110"/>
      <c r="CU73" s="154"/>
    </row>
    <row r="74" spans="12:99" ht="14.25" customHeight="1" x14ac:dyDescent="0.2">
      <c r="L74" s="107" t="s">
        <v>116</v>
      </c>
      <c r="M74" s="108"/>
      <c r="N74" s="108"/>
      <c r="O74" s="108"/>
      <c r="P74" s="108"/>
      <c r="Q74" s="109"/>
      <c r="R74" s="167">
        <f>153.55+145.73</f>
        <v>299.27999999999997</v>
      </c>
      <c r="S74" s="107" t="s">
        <v>116</v>
      </c>
      <c r="T74" s="108"/>
      <c r="U74" s="108"/>
      <c r="V74" s="108"/>
      <c r="W74" s="108"/>
      <c r="X74" s="109"/>
      <c r="Y74" s="166"/>
      <c r="Z74" s="107" t="s">
        <v>116</v>
      </c>
      <c r="AA74" s="108"/>
      <c r="AB74" s="108"/>
      <c r="AC74" s="108"/>
      <c r="AD74" s="108"/>
      <c r="AE74" s="109"/>
      <c r="AF74" s="110">
        <f>342.85</f>
        <v>342.85</v>
      </c>
      <c r="AG74" s="107" t="s">
        <v>116</v>
      </c>
      <c r="AH74" s="108"/>
      <c r="AI74" s="108"/>
      <c r="AJ74" s="108"/>
      <c r="AK74" s="108"/>
      <c r="AL74" s="109"/>
      <c r="AM74" s="166">
        <f>148.92</f>
        <v>148.91999999999999</v>
      </c>
      <c r="AN74" s="107"/>
      <c r="AO74" s="108"/>
      <c r="AP74" s="108"/>
      <c r="AQ74" s="108"/>
      <c r="AR74" s="108"/>
      <c r="AS74" s="109"/>
      <c r="AT74" s="110"/>
      <c r="AU74" s="107"/>
      <c r="AV74" s="108"/>
      <c r="AW74" s="108"/>
      <c r="AX74" s="108"/>
      <c r="AY74" s="108"/>
      <c r="AZ74" s="109"/>
      <c r="BA74" s="166"/>
      <c r="BB74" s="107"/>
      <c r="BC74" s="108"/>
      <c r="BD74" s="108"/>
      <c r="BE74" s="108"/>
      <c r="BF74" s="108"/>
      <c r="BG74" s="109"/>
      <c r="BH74" s="110"/>
      <c r="BI74" s="107"/>
      <c r="BJ74" s="108"/>
      <c r="BK74" s="108"/>
      <c r="BL74" s="108"/>
      <c r="BM74" s="108"/>
      <c r="BN74" s="109"/>
      <c r="BO74" s="110"/>
      <c r="BP74" s="107"/>
      <c r="BQ74" s="108"/>
      <c r="BR74" s="108"/>
      <c r="BS74" s="108"/>
      <c r="BT74" s="108"/>
      <c r="BU74" s="109"/>
      <c r="BV74" s="110"/>
      <c r="BW74" s="107"/>
      <c r="BX74" s="108"/>
      <c r="BY74" s="108"/>
      <c r="BZ74" s="108"/>
      <c r="CA74" s="108"/>
      <c r="CB74" s="109"/>
      <c r="CC74" s="166"/>
      <c r="CD74" s="107"/>
      <c r="CE74" s="108"/>
      <c r="CF74" s="108"/>
      <c r="CG74" s="108"/>
      <c r="CH74" s="108"/>
      <c r="CI74" s="109"/>
      <c r="CJ74" s="166"/>
      <c r="CK74" s="107"/>
      <c r="CL74" s="108"/>
      <c r="CM74" s="108"/>
      <c r="CN74" s="108"/>
      <c r="CO74" s="108"/>
      <c r="CP74" s="109"/>
      <c r="CQ74" s="110"/>
      <c r="CU74" s="154"/>
    </row>
    <row r="75" spans="12:99" ht="14.25" customHeight="1" x14ac:dyDescent="0.2">
      <c r="L75" s="107" t="s">
        <v>97</v>
      </c>
      <c r="M75" s="108"/>
      <c r="N75" s="108"/>
      <c r="O75" s="108"/>
      <c r="P75" s="108"/>
      <c r="Q75" s="109"/>
      <c r="R75" s="167">
        <f>819</f>
        <v>819</v>
      </c>
      <c r="S75" s="107" t="s">
        <v>97</v>
      </c>
      <c r="T75" s="108"/>
      <c r="U75" s="108"/>
      <c r="V75" s="108"/>
      <c r="W75" s="108"/>
      <c r="X75" s="109"/>
      <c r="Y75" s="166">
        <f>780</f>
        <v>780</v>
      </c>
      <c r="Z75" s="107" t="s">
        <v>97</v>
      </c>
      <c r="AA75" s="108"/>
      <c r="AB75" s="108"/>
      <c r="AC75" s="108"/>
      <c r="AD75" s="108"/>
      <c r="AE75" s="109"/>
      <c r="AF75" s="110"/>
      <c r="AG75" s="107" t="s">
        <v>97</v>
      </c>
      <c r="AH75" s="108"/>
      <c r="AI75" s="108"/>
      <c r="AJ75" s="108"/>
      <c r="AK75" s="108"/>
      <c r="AL75" s="109"/>
      <c r="AM75" s="166">
        <f>858</f>
        <v>858</v>
      </c>
      <c r="AN75" s="107"/>
      <c r="AO75" s="108"/>
      <c r="AP75" s="108"/>
      <c r="AQ75" s="108"/>
      <c r="AR75" s="108"/>
      <c r="AS75" s="109"/>
      <c r="AT75" s="110"/>
      <c r="AU75" s="107"/>
      <c r="AV75" s="108"/>
      <c r="AW75" s="108"/>
      <c r="AX75" s="108"/>
      <c r="AY75" s="108"/>
      <c r="AZ75" s="109"/>
      <c r="BA75" s="166"/>
      <c r="BB75" s="107"/>
      <c r="BC75" s="108"/>
      <c r="BD75" s="108"/>
      <c r="BE75" s="108"/>
      <c r="BF75" s="108"/>
      <c r="BG75" s="109"/>
      <c r="BH75" s="110"/>
      <c r="BI75" s="107"/>
      <c r="BJ75" s="108"/>
      <c r="BK75" s="108"/>
      <c r="BL75" s="108"/>
      <c r="BM75" s="108"/>
      <c r="BN75" s="109"/>
      <c r="BO75" s="110"/>
      <c r="BP75" s="107"/>
      <c r="BQ75" s="108"/>
      <c r="BR75" s="108"/>
      <c r="BS75" s="108"/>
      <c r="BT75" s="108"/>
      <c r="BU75" s="109"/>
      <c r="BV75" s="110"/>
      <c r="BW75" s="107"/>
      <c r="BX75" s="108"/>
      <c r="BY75" s="108"/>
      <c r="BZ75" s="108"/>
      <c r="CA75" s="108"/>
      <c r="CB75" s="109"/>
      <c r="CC75" s="166"/>
      <c r="CD75" s="107"/>
      <c r="CE75" s="108"/>
      <c r="CF75" s="108"/>
      <c r="CG75" s="108"/>
      <c r="CH75" s="108"/>
      <c r="CI75" s="109"/>
      <c r="CJ75" s="166"/>
      <c r="CK75" s="107"/>
      <c r="CL75" s="108"/>
      <c r="CM75" s="108"/>
      <c r="CN75" s="108"/>
      <c r="CO75" s="108"/>
      <c r="CP75" s="109"/>
      <c r="CQ75" s="110"/>
      <c r="CU75" s="154"/>
    </row>
    <row r="76" spans="12:99" ht="14.25" customHeight="1" x14ac:dyDescent="0.2">
      <c r="L76" s="107" t="s">
        <v>98</v>
      </c>
      <c r="M76" s="108"/>
      <c r="N76" s="108"/>
      <c r="O76" s="108"/>
      <c r="P76" s="108"/>
      <c r="Q76" s="109"/>
      <c r="R76" s="167">
        <v>94.31</v>
      </c>
      <c r="S76" s="107" t="s">
        <v>98</v>
      </c>
      <c r="T76" s="108"/>
      <c r="U76" s="108"/>
      <c r="V76" s="108"/>
      <c r="W76" s="108"/>
      <c r="X76" s="109"/>
      <c r="Y76" s="166">
        <v>93.6</v>
      </c>
      <c r="Z76" s="107" t="s">
        <v>98</v>
      </c>
      <c r="AA76" s="108"/>
      <c r="AB76" s="108"/>
      <c r="AC76" s="108"/>
      <c r="AD76" s="108"/>
      <c r="AE76" s="109"/>
      <c r="AF76" s="110">
        <v>186.55</v>
      </c>
      <c r="AG76" s="107" t="s">
        <v>98</v>
      </c>
      <c r="AH76" s="108"/>
      <c r="AI76" s="108"/>
      <c r="AJ76" s="108"/>
      <c r="AK76" s="108"/>
      <c r="AL76" s="109"/>
      <c r="AM76" s="114">
        <f>92.21</f>
        <v>92.21</v>
      </c>
      <c r="AN76" s="107"/>
      <c r="AO76" s="108"/>
      <c r="AP76" s="108"/>
      <c r="AQ76" s="108"/>
      <c r="AR76" s="108"/>
      <c r="AS76" s="109"/>
      <c r="AT76" s="110"/>
      <c r="AU76" s="107"/>
      <c r="AV76" s="108"/>
      <c r="AW76" s="108"/>
      <c r="AX76" s="108"/>
      <c r="AY76" s="108"/>
      <c r="AZ76" s="109"/>
      <c r="BA76" s="166"/>
      <c r="BB76" s="107"/>
      <c r="BC76" s="108"/>
      <c r="BD76" s="108"/>
      <c r="BE76" s="108"/>
      <c r="BF76" s="108"/>
      <c r="BG76" s="109"/>
      <c r="BH76" s="110"/>
      <c r="BI76" s="107"/>
      <c r="BJ76" s="108"/>
      <c r="BK76" s="108"/>
      <c r="BL76" s="108"/>
      <c r="BM76" s="108"/>
      <c r="BN76" s="109"/>
      <c r="BO76" s="110"/>
      <c r="BP76" s="107"/>
      <c r="BQ76" s="108"/>
      <c r="BR76" s="108"/>
      <c r="BS76" s="108"/>
      <c r="BT76" s="108"/>
      <c r="BU76" s="109"/>
      <c r="BV76" s="110"/>
      <c r="BW76" s="107"/>
      <c r="BX76" s="108"/>
      <c r="BY76" s="108"/>
      <c r="BZ76" s="108"/>
      <c r="CA76" s="108"/>
      <c r="CB76" s="109"/>
      <c r="CC76" s="166"/>
      <c r="CD76" s="107"/>
      <c r="CE76" s="108"/>
      <c r="CF76" s="108"/>
      <c r="CG76" s="108"/>
      <c r="CH76" s="108"/>
      <c r="CI76" s="109"/>
      <c r="CJ76" s="166"/>
      <c r="CK76" s="107"/>
      <c r="CL76" s="108"/>
      <c r="CM76" s="108"/>
      <c r="CN76" s="108"/>
      <c r="CO76" s="108"/>
      <c r="CP76" s="109"/>
      <c r="CQ76" s="110"/>
      <c r="CU76" s="154"/>
    </row>
    <row r="77" spans="12:99" ht="14.25" customHeight="1" x14ac:dyDescent="0.2">
      <c r="L77" s="107" t="s">
        <v>137</v>
      </c>
      <c r="M77" s="108"/>
      <c r="N77" s="108"/>
      <c r="O77" s="108"/>
      <c r="P77" s="108"/>
      <c r="Q77" s="109"/>
      <c r="R77" s="167">
        <f>2992.04</f>
        <v>2992.04</v>
      </c>
      <c r="S77" s="107" t="s">
        <v>137</v>
      </c>
      <c r="T77" s="108"/>
      <c r="U77" s="108"/>
      <c r="V77" s="108"/>
      <c r="W77" s="108"/>
      <c r="X77" s="109"/>
      <c r="Y77" s="166">
        <f>5055.9</f>
        <v>5055.8999999999996</v>
      </c>
      <c r="Z77" s="107" t="s">
        <v>137</v>
      </c>
      <c r="AA77" s="108"/>
      <c r="AB77" s="108"/>
      <c r="AC77" s="108"/>
      <c r="AD77" s="108"/>
      <c r="AE77" s="109"/>
      <c r="AF77" s="110">
        <v>7178.96</v>
      </c>
      <c r="AG77" s="107" t="s">
        <v>137</v>
      </c>
      <c r="AH77" s="108"/>
      <c r="AI77" s="108"/>
      <c r="AJ77" s="108"/>
      <c r="AK77" s="108"/>
      <c r="AL77" s="109"/>
      <c r="AM77" s="166">
        <f>10971.48</f>
        <v>10971.48</v>
      </c>
      <c r="AN77" s="107"/>
      <c r="AO77" s="108"/>
      <c r="AP77" s="108"/>
      <c r="AQ77" s="108"/>
      <c r="AR77" s="108"/>
      <c r="AS77" s="109"/>
      <c r="AT77" s="110"/>
      <c r="AU77" s="107"/>
      <c r="AV77" s="108"/>
      <c r="AW77" s="108"/>
      <c r="AX77" s="108"/>
      <c r="AY77" s="108"/>
      <c r="AZ77" s="109"/>
      <c r="BA77" s="166"/>
      <c r="BB77" s="107"/>
      <c r="BC77" s="108"/>
      <c r="BD77" s="108"/>
      <c r="BE77" s="108"/>
      <c r="BF77" s="108"/>
      <c r="BG77" s="109"/>
      <c r="BH77" s="110"/>
      <c r="BI77" s="107"/>
      <c r="BJ77" s="108"/>
      <c r="BK77" s="108"/>
      <c r="BL77" s="108"/>
      <c r="BM77" s="108"/>
      <c r="BN77" s="109"/>
      <c r="BO77" s="110"/>
      <c r="BP77" s="107"/>
      <c r="BQ77" s="108"/>
      <c r="BR77" s="108"/>
      <c r="BS77" s="108"/>
      <c r="BT77" s="108"/>
      <c r="BU77" s="109"/>
      <c r="BV77" s="110"/>
      <c r="BW77" s="107"/>
      <c r="BX77" s="108"/>
      <c r="BY77" s="108"/>
      <c r="BZ77" s="108"/>
      <c r="CA77" s="108"/>
      <c r="CB77" s="109"/>
      <c r="CC77" s="166"/>
      <c r="CD77" s="107"/>
      <c r="CE77" s="108"/>
      <c r="CF77" s="108"/>
      <c r="CG77" s="108"/>
      <c r="CH77" s="108"/>
      <c r="CI77" s="109"/>
      <c r="CJ77" s="166"/>
      <c r="CK77" s="107"/>
      <c r="CL77" s="108"/>
      <c r="CM77" s="108"/>
      <c r="CN77" s="108"/>
      <c r="CO77" s="108"/>
      <c r="CP77" s="109"/>
      <c r="CQ77" s="110"/>
      <c r="CU77" s="154"/>
    </row>
    <row r="78" spans="12:99" ht="14.25" customHeight="1" x14ac:dyDescent="0.2">
      <c r="L78" s="107"/>
      <c r="M78" s="108"/>
      <c r="N78" s="108"/>
      <c r="O78" s="108"/>
      <c r="P78" s="108"/>
      <c r="Q78" s="109"/>
      <c r="R78" s="167"/>
      <c r="S78" s="107" t="s">
        <v>138</v>
      </c>
      <c r="T78" s="108"/>
      <c r="U78" s="108"/>
      <c r="V78" s="108"/>
      <c r="W78" s="108"/>
      <c r="X78" s="109"/>
      <c r="Y78" s="166">
        <f>100</f>
        <v>100</v>
      </c>
      <c r="Z78" s="107" t="s">
        <v>138</v>
      </c>
      <c r="AA78" s="108"/>
      <c r="AB78" s="108"/>
      <c r="AC78" s="108"/>
      <c r="AD78" s="108"/>
      <c r="AE78" s="109"/>
      <c r="AF78" s="110"/>
      <c r="AG78" s="107" t="s">
        <v>138</v>
      </c>
      <c r="AH78" s="108"/>
      <c r="AI78" s="108"/>
      <c r="AJ78" s="108"/>
      <c r="AK78" s="108"/>
      <c r="AL78" s="109"/>
      <c r="AM78" s="166"/>
      <c r="AN78" s="107"/>
      <c r="AO78" s="108"/>
      <c r="AP78" s="108"/>
      <c r="AQ78" s="108"/>
      <c r="AR78" s="108"/>
      <c r="AS78" s="109"/>
      <c r="AT78" s="110"/>
      <c r="AU78" s="107"/>
      <c r="AV78" s="108"/>
      <c r="AW78" s="108"/>
      <c r="AX78" s="108"/>
      <c r="AY78" s="108"/>
      <c r="AZ78" s="109"/>
      <c r="BA78" s="166"/>
      <c r="BB78" s="107"/>
      <c r="BC78" s="108"/>
      <c r="BD78" s="108"/>
      <c r="BE78" s="108"/>
      <c r="BF78" s="108"/>
      <c r="BG78" s="109"/>
      <c r="BH78" s="110"/>
      <c r="BI78" s="107"/>
      <c r="BJ78" s="108"/>
      <c r="BK78" s="108"/>
      <c r="BL78" s="108"/>
      <c r="BM78" s="108"/>
      <c r="BN78" s="109"/>
      <c r="BO78" s="110"/>
      <c r="BP78" s="107"/>
      <c r="BQ78" s="108"/>
      <c r="BR78" s="108"/>
      <c r="BS78" s="108"/>
      <c r="BT78" s="108"/>
      <c r="BU78" s="109"/>
      <c r="BV78" s="110"/>
      <c r="BW78" s="107"/>
      <c r="BX78" s="108"/>
      <c r="BY78" s="108"/>
      <c r="BZ78" s="108"/>
      <c r="CA78" s="108"/>
      <c r="CB78" s="109"/>
      <c r="CC78" s="166"/>
      <c r="CD78" s="107"/>
      <c r="CE78" s="108"/>
      <c r="CF78" s="108"/>
      <c r="CG78" s="108"/>
      <c r="CH78" s="108"/>
      <c r="CI78" s="109"/>
      <c r="CJ78" s="166"/>
      <c r="CK78" s="107"/>
      <c r="CL78" s="108"/>
      <c r="CM78" s="108"/>
      <c r="CN78" s="108"/>
      <c r="CO78" s="108"/>
      <c r="CP78" s="109"/>
      <c r="CQ78" s="110"/>
    </row>
    <row r="79" spans="12:99" ht="14.25" customHeight="1" x14ac:dyDescent="0.2">
      <c r="L79" s="107"/>
      <c r="M79" s="108"/>
      <c r="N79" s="108"/>
      <c r="O79" s="108"/>
      <c r="P79" s="108"/>
      <c r="Q79" s="109"/>
      <c r="R79" s="167"/>
      <c r="S79" s="107" t="s">
        <v>110</v>
      </c>
      <c r="T79" s="108"/>
      <c r="U79" s="108"/>
      <c r="V79" s="108"/>
      <c r="W79" s="108"/>
      <c r="X79" s="109"/>
      <c r="Y79" s="166">
        <f>79.29</f>
        <v>79.290000000000006</v>
      </c>
      <c r="Z79" s="107" t="s">
        <v>110</v>
      </c>
      <c r="AA79" s="108"/>
      <c r="AB79" s="108"/>
      <c r="AC79" s="108"/>
      <c r="AD79" s="108"/>
      <c r="AE79" s="109"/>
      <c r="AF79" s="110"/>
      <c r="AG79" s="107" t="s">
        <v>110</v>
      </c>
      <c r="AH79" s="108"/>
      <c r="AI79" s="108"/>
      <c r="AJ79" s="108"/>
      <c r="AK79" s="108"/>
      <c r="AL79" s="109"/>
      <c r="AM79" s="166"/>
      <c r="AN79" s="107"/>
      <c r="AO79" s="108"/>
      <c r="AP79" s="108"/>
      <c r="AQ79" s="108"/>
      <c r="AR79" s="108"/>
      <c r="AS79" s="109"/>
      <c r="AT79" s="110"/>
      <c r="AU79" s="107"/>
      <c r="AV79" s="108"/>
      <c r="AW79" s="108"/>
      <c r="AX79" s="108"/>
      <c r="AY79" s="108"/>
      <c r="AZ79" s="109"/>
      <c r="BA79" s="166"/>
      <c r="BB79" s="107"/>
      <c r="BC79" s="108"/>
      <c r="BD79" s="108"/>
      <c r="BE79" s="108"/>
      <c r="BF79" s="108"/>
      <c r="BG79" s="109"/>
      <c r="BH79" s="110"/>
      <c r="BI79" s="107"/>
      <c r="BJ79" s="108"/>
      <c r="BK79" s="108"/>
      <c r="BL79" s="108"/>
      <c r="BM79" s="108"/>
      <c r="BN79" s="109"/>
      <c r="BO79" s="110"/>
      <c r="BP79" s="107"/>
      <c r="BQ79" s="108"/>
      <c r="BR79" s="108"/>
      <c r="BS79" s="108"/>
      <c r="BT79" s="108"/>
      <c r="BU79" s="109"/>
      <c r="BV79" s="110"/>
      <c r="BW79" s="107"/>
      <c r="BX79" s="108"/>
      <c r="BY79" s="108"/>
      <c r="BZ79" s="108"/>
      <c r="CA79" s="108"/>
      <c r="CB79" s="109"/>
      <c r="CC79" s="166"/>
      <c r="CD79" s="107"/>
      <c r="CE79" s="108"/>
      <c r="CF79" s="108"/>
      <c r="CG79" s="108"/>
      <c r="CH79" s="108"/>
      <c r="CI79" s="109"/>
      <c r="CJ79" s="166"/>
      <c r="CK79" s="107"/>
      <c r="CL79" s="108"/>
      <c r="CM79" s="108"/>
      <c r="CN79" s="108"/>
      <c r="CO79" s="108"/>
      <c r="CP79" s="109"/>
      <c r="CQ79" s="110"/>
    </row>
    <row r="80" spans="12:99" ht="14.25" customHeight="1" x14ac:dyDescent="0.2">
      <c r="L80" s="107"/>
      <c r="M80" s="108"/>
      <c r="N80" s="108"/>
      <c r="O80" s="108"/>
      <c r="P80" s="108"/>
      <c r="Q80" s="109"/>
      <c r="R80" s="167"/>
      <c r="S80" s="107"/>
      <c r="T80" s="108"/>
      <c r="U80" s="108"/>
      <c r="V80" s="108"/>
      <c r="W80" s="108"/>
      <c r="X80" s="109"/>
      <c r="Y80" s="166"/>
      <c r="Z80" s="107" t="s">
        <v>122</v>
      </c>
      <c r="AA80" s="108"/>
      <c r="AB80" s="108"/>
      <c r="AC80" s="108"/>
      <c r="AD80" s="108"/>
      <c r="AE80" s="109"/>
      <c r="AF80" s="110">
        <f>899</f>
        <v>899</v>
      </c>
      <c r="AG80" s="107" t="s">
        <v>122</v>
      </c>
      <c r="AH80" s="108"/>
      <c r="AI80" s="108"/>
      <c r="AJ80" s="108"/>
      <c r="AK80" s="108"/>
      <c r="AL80" s="109"/>
      <c r="AM80" s="166"/>
      <c r="AN80" s="107"/>
      <c r="AO80" s="108"/>
      <c r="AP80" s="108"/>
      <c r="AQ80" s="108"/>
      <c r="AR80" s="108"/>
      <c r="AS80" s="109"/>
      <c r="AT80" s="110"/>
      <c r="AU80" s="107"/>
      <c r="AV80" s="108"/>
      <c r="AW80" s="108"/>
      <c r="AX80" s="108"/>
      <c r="AY80" s="108"/>
      <c r="AZ80" s="109"/>
      <c r="BA80" s="166"/>
      <c r="BB80" s="107"/>
      <c r="BC80" s="108"/>
      <c r="BD80" s="108"/>
      <c r="BE80" s="108"/>
      <c r="BF80" s="108"/>
      <c r="BG80" s="109"/>
      <c r="BH80" s="110"/>
      <c r="BI80" s="107"/>
      <c r="BJ80" s="108"/>
      <c r="BK80" s="108"/>
      <c r="BL80" s="108"/>
      <c r="BM80" s="108"/>
      <c r="BN80" s="109"/>
      <c r="BO80" s="110"/>
      <c r="BP80" s="107"/>
      <c r="BQ80" s="108"/>
      <c r="BR80" s="108"/>
      <c r="BS80" s="108"/>
      <c r="BT80" s="108"/>
      <c r="BU80" s="109"/>
      <c r="BV80" s="110"/>
      <c r="BW80" s="107"/>
      <c r="BX80" s="108"/>
      <c r="BY80" s="108"/>
      <c r="BZ80" s="108"/>
      <c r="CA80" s="108"/>
      <c r="CB80" s="109"/>
      <c r="CC80" s="166"/>
      <c r="CD80" s="107"/>
      <c r="CE80" s="108"/>
      <c r="CF80" s="108"/>
      <c r="CG80" s="108"/>
      <c r="CH80" s="108"/>
      <c r="CI80" s="109"/>
      <c r="CJ80" s="166"/>
      <c r="CK80" s="107"/>
      <c r="CL80" s="108"/>
      <c r="CM80" s="108"/>
      <c r="CN80" s="108"/>
      <c r="CO80" s="108"/>
      <c r="CP80" s="109"/>
      <c r="CQ80" s="110"/>
    </row>
    <row r="81" spans="12:99" ht="14.25" customHeight="1" x14ac:dyDescent="0.2">
      <c r="L81" s="107"/>
      <c r="M81" s="108"/>
      <c r="N81" s="108"/>
      <c r="O81" s="108"/>
      <c r="P81" s="108"/>
      <c r="Q81" s="109"/>
      <c r="R81" s="167"/>
      <c r="S81" s="107"/>
      <c r="T81" s="108"/>
      <c r="U81" s="108"/>
      <c r="V81" s="108"/>
      <c r="W81" s="108"/>
      <c r="X81" s="109"/>
      <c r="Y81" s="166"/>
      <c r="Z81" s="107"/>
      <c r="AA81" s="108"/>
      <c r="AB81" s="108"/>
      <c r="AC81" s="108"/>
      <c r="AD81" s="108"/>
      <c r="AE81" s="109"/>
      <c r="AF81" s="110"/>
      <c r="AG81" s="107"/>
      <c r="AH81" s="108"/>
      <c r="AI81" s="108"/>
      <c r="AJ81" s="108"/>
      <c r="AK81" s="108"/>
      <c r="AL81" s="109"/>
      <c r="AM81" s="110"/>
      <c r="AN81" s="107"/>
      <c r="AO81" s="108"/>
      <c r="AP81" s="108"/>
      <c r="AQ81" s="108"/>
      <c r="AR81" s="108"/>
      <c r="AS81" s="109"/>
      <c r="AT81" s="110"/>
      <c r="AU81" s="107"/>
      <c r="AV81" s="108"/>
      <c r="AW81" s="108"/>
      <c r="AX81" s="108"/>
      <c r="AY81" s="108"/>
      <c r="AZ81" s="109"/>
      <c r="BA81" s="166"/>
      <c r="BB81" s="107"/>
      <c r="BC81" s="108"/>
      <c r="BD81" s="108"/>
      <c r="BE81" s="108"/>
      <c r="BF81" s="108"/>
      <c r="BG81" s="109"/>
      <c r="BH81" s="110"/>
      <c r="BI81" s="107"/>
      <c r="BJ81" s="108"/>
      <c r="BK81" s="108"/>
      <c r="BL81" s="108"/>
      <c r="BM81" s="108"/>
      <c r="BN81" s="109"/>
      <c r="BO81" s="110"/>
      <c r="BP81" s="107"/>
      <c r="BQ81" s="108"/>
      <c r="BR81" s="108"/>
      <c r="BS81" s="108"/>
      <c r="BT81" s="108"/>
      <c r="BU81" s="109"/>
      <c r="BV81" s="110"/>
      <c r="BW81" s="107"/>
      <c r="BX81" s="108"/>
      <c r="BY81" s="108"/>
      <c r="BZ81" s="108"/>
      <c r="CA81" s="108"/>
      <c r="CB81" s="109"/>
      <c r="CC81" s="166"/>
      <c r="CD81" s="107"/>
      <c r="CE81" s="108"/>
      <c r="CF81" s="108"/>
      <c r="CG81" s="108"/>
      <c r="CH81" s="108"/>
      <c r="CI81" s="109"/>
      <c r="CJ81" s="166"/>
      <c r="CK81" s="107"/>
      <c r="CL81" s="108"/>
      <c r="CM81" s="108"/>
      <c r="CN81" s="108"/>
      <c r="CO81" s="108"/>
      <c r="CP81" s="109"/>
      <c r="CQ81" s="110"/>
    </row>
    <row r="82" spans="12:99" ht="14.25" customHeight="1" x14ac:dyDescent="0.2">
      <c r="L82" s="107"/>
      <c r="M82" s="108"/>
      <c r="N82" s="108"/>
      <c r="O82" s="108"/>
      <c r="P82" s="108"/>
      <c r="Q82" s="109"/>
      <c r="R82" s="167"/>
      <c r="S82" s="107"/>
      <c r="T82" s="108"/>
      <c r="U82" s="108"/>
      <c r="V82" s="108"/>
      <c r="W82" s="108"/>
      <c r="X82" s="109"/>
      <c r="Y82" s="166"/>
      <c r="Z82" s="107"/>
      <c r="AA82" s="108"/>
      <c r="AB82" s="108"/>
      <c r="AC82" s="108"/>
      <c r="AD82" s="108"/>
      <c r="AE82" s="109"/>
      <c r="AF82" s="110"/>
      <c r="AG82" s="107"/>
      <c r="AH82" s="108"/>
      <c r="AI82" s="108"/>
      <c r="AJ82" s="108"/>
      <c r="AK82" s="108"/>
      <c r="AL82" s="109"/>
      <c r="AM82" s="110"/>
      <c r="AN82" s="107"/>
      <c r="AO82" s="108"/>
      <c r="AP82" s="108"/>
      <c r="AQ82" s="108"/>
      <c r="AR82" s="108"/>
      <c r="AS82" s="109"/>
      <c r="AT82" s="110"/>
      <c r="AU82" s="107"/>
      <c r="AV82" s="108"/>
      <c r="AW82" s="108"/>
      <c r="AX82" s="108"/>
      <c r="AY82" s="108"/>
      <c r="AZ82" s="109"/>
      <c r="BA82" s="166"/>
      <c r="BB82" s="107"/>
      <c r="BC82" s="108"/>
      <c r="BD82" s="108"/>
      <c r="BE82" s="108"/>
      <c r="BF82" s="108"/>
      <c r="BG82" s="109"/>
      <c r="BH82" s="110"/>
      <c r="BI82" s="107"/>
      <c r="BJ82" s="108"/>
      <c r="BK82" s="108"/>
      <c r="BL82" s="108"/>
      <c r="BM82" s="108"/>
      <c r="BN82" s="109"/>
      <c r="BO82" s="110"/>
      <c r="BP82" s="107"/>
      <c r="BQ82" s="108"/>
      <c r="BR82" s="108"/>
      <c r="BS82" s="108"/>
      <c r="BT82" s="108"/>
      <c r="BU82" s="109"/>
      <c r="BV82" s="110"/>
      <c r="BW82" s="107"/>
      <c r="BX82" s="108"/>
      <c r="BY82" s="108"/>
      <c r="BZ82" s="108"/>
      <c r="CA82" s="108"/>
      <c r="CB82" s="109"/>
      <c r="CC82" s="114"/>
      <c r="CD82" s="107"/>
      <c r="CE82" s="108"/>
      <c r="CF82" s="108"/>
      <c r="CG82" s="108"/>
      <c r="CH82" s="108"/>
      <c r="CI82" s="109"/>
      <c r="CJ82" s="114"/>
      <c r="CK82" s="107"/>
      <c r="CL82" s="108"/>
      <c r="CM82" s="108"/>
      <c r="CN82" s="108"/>
      <c r="CO82" s="108"/>
      <c r="CP82" s="109"/>
      <c r="CQ82" s="110"/>
    </row>
    <row r="83" spans="12:99" ht="14.25" customHeight="1" x14ac:dyDescent="0.2">
      <c r="L83" s="107" t="s">
        <v>82</v>
      </c>
      <c r="M83" s="108"/>
      <c r="N83" s="108"/>
      <c r="O83" s="108"/>
      <c r="P83" s="108"/>
      <c r="Q83" s="109"/>
      <c r="R83" s="166">
        <f>SUM(R61:R82)</f>
        <v>20589.219999999998</v>
      </c>
      <c r="S83" s="107" t="s">
        <v>82</v>
      </c>
      <c r="T83" s="108"/>
      <c r="U83" s="108"/>
      <c r="V83" s="108"/>
      <c r="W83" s="108"/>
      <c r="X83" s="109"/>
      <c r="Y83" s="166">
        <f>SUM(Y61:Y82)</f>
        <v>16714.030000000002</v>
      </c>
      <c r="Z83" s="107" t="s">
        <v>82</v>
      </c>
      <c r="AA83" s="108"/>
      <c r="AB83" s="108"/>
      <c r="AC83" s="108"/>
      <c r="AD83" s="108"/>
      <c r="AE83" s="109"/>
      <c r="AF83" s="110">
        <f>SUM(AF61:AF82)</f>
        <v>14630.93</v>
      </c>
      <c r="AG83" s="107" t="s">
        <v>82</v>
      </c>
      <c r="AH83" s="108"/>
      <c r="AI83" s="108"/>
      <c r="AJ83" s="108"/>
      <c r="AK83" s="108"/>
      <c r="AL83" s="109"/>
      <c r="AM83" s="110">
        <f>SUM(AM61:AM82)</f>
        <v>20198.379999999997</v>
      </c>
      <c r="AN83" s="107" t="s">
        <v>82</v>
      </c>
      <c r="AO83" s="108"/>
      <c r="AP83" s="108"/>
      <c r="AQ83" s="108"/>
      <c r="AR83" s="108"/>
      <c r="AS83" s="109"/>
      <c r="AT83" s="110">
        <f>SUM(AT61:AT82)</f>
        <v>0</v>
      </c>
      <c r="AU83" s="107" t="s">
        <v>82</v>
      </c>
      <c r="AV83" s="108"/>
      <c r="AW83" s="108"/>
      <c r="AX83" s="108"/>
      <c r="AY83" s="108"/>
      <c r="AZ83" s="109"/>
      <c r="BA83" s="166">
        <f>SUM(BA61:BA82)</f>
        <v>0</v>
      </c>
      <c r="BB83" s="107" t="s">
        <v>82</v>
      </c>
      <c r="BC83" s="108"/>
      <c r="BD83" s="108"/>
      <c r="BE83" s="108"/>
      <c r="BF83" s="108"/>
      <c r="BG83" s="109"/>
      <c r="BH83" s="110">
        <f>SUM(BH61:BH82)</f>
        <v>0</v>
      </c>
      <c r="BI83" s="107" t="s">
        <v>82</v>
      </c>
      <c r="BJ83" s="108"/>
      <c r="BK83" s="108"/>
      <c r="BL83" s="108"/>
      <c r="BM83" s="108"/>
      <c r="BN83" s="109"/>
      <c r="BO83" s="110">
        <f>SUM(BO61:BO82)</f>
        <v>0</v>
      </c>
      <c r="BP83" s="107" t="s">
        <v>82</v>
      </c>
      <c r="BQ83" s="108"/>
      <c r="BR83" s="108"/>
      <c r="BS83" s="108"/>
      <c r="BT83" s="108"/>
      <c r="BU83" s="109"/>
      <c r="BV83" s="110">
        <f>SUM(BV61:BV82)</f>
        <v>0</v>
      </c>
      <c r="BW83" s="107" t="s">
        <v>82</v>
      </c>
      <c r="BX83" s="108"/>
      <c r="BY83" s="108"/>
      <c r="BZ83" s="108"/>
      <c r="CA83" s="108"/>
      <c r="CB83" s="109"/>
      <c r="CC83" s="114">
        <f>SUM(CC61:CC82)</f>
        <v>0</v>
      </c>
      <c r="CD83" s="107" t="s">
        <v>82</v>
      </c>
      <c r="CE83" s="108"/>
      <c r="CF83" s="108"/>
      <c r="CG83" s="108"/>
      <c r="CH83" s="108"/>
      <c r="CI83" s="109"/>
      <c r="CJ83" s="114">
        <f>SUM(CJ61:CJ82)</f>
        <v>0</v>
      </c>
      <c r="CK83" s="107" t="s">
        <v>82</v>
      </c>
      <c r="CL83" s="108"/>
      <c r="CM83" s="108"/>
      <c r="CN83" s="108"/>
      <c r="CO83" s="108"/>
      <c r="CP83" s="109"/>
      <c r="CQ83" s="110">
        <f>SUM(CQ61:CQ82)</f>
        <v>0</v>
      </c>
      <c r="CU83" s="154"/>
    </row>
    <row r="84" spans="12:99" ht="14.25" customHeight="1" x14ac:dyDescent="0.2">
      <c r="BA84" s="139"/>
      <c r="BV84" s="140"/>
    </row>
    <row r="85" spans="12:99" ht="14.25" customHeight="1" x14ac:dyDescent="0.2">
      <c r="BA85" s="139"/>
    </row>
    <row r="86" spans="12:99" ht="14.25" customHeight="1" x14ac:dyDescent="0.2">
      <c r="BA86" s="139"/>
    </row>
    <row r="87" spans="12:99" ht="14.25" customHeight="1" x14ac:dyDescent="0.2">
      <c r="BA87" s="139"/>
    </row>
    <row r="88" spans="12:99" ht="14.25" customHeight="1" x14ac:dyDescent="0.2">
      <c r="BA88" s="139"/>
    </row>
    <row r="89" spans="12:99" ht="14.25" customHeight="1" x14ac:dyDescent="0.2"/>
    <row r="90" spans="12:99" ht="14.25" customHeight="1" x14ac:dyDescent="0.2"/>
    <row r="91" spans="12:99" ht="14.25" customHeight="1" x14ac:dyDescent="0.2"/>
    <row r="92" spans="12:99" ht="14.25" customHeight="1" x14ac:dyDescent="0.2"/>
    <row r="93" spans="12:99" ht="14.25" customHeight="1" x14ac:dyDescent="0.2"/>
    <row r="94" spans="12:99" ht="14.25" customHeight="1" x14ac:dyDescent="0.2"/>
    <row r="95" spans="12:99" ht="14.25" customHeight="1" x14ac:dyDescent="0.2"/>
    <row r="96" spans="12:99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spans="99:99" ht="14.25" customHeight="1" x14ac:dyDescent="0.2"/>
    <row r="178" spans="99:99" ht="14.25" customHeight="1" x14ac:dyDescent="0.2"/>
    <row r="179" spans="99:99" ht="14.25" customHeight="1" x14ac:dyDescent="0.2"/>
    <row r="180" spans="99:99" ht="14.25" customHeight="1" x14ac:dyDescent="0.2"/>
    <row r="181" spans="99:99" ht="14.25" customHeight="1" x14ac:dyDescent="0.2"/>
    <row r="182" spans="99:99" ht="14.25" customHeight="1" x14ac:dyDescent="0.2"/>
    <row r="183" spans="99:99" ht="14.25" customHeight="1" x14ac:dyDescent="0.2"/>
    <row r="184" spans="99:99" ht="14.25" customHeight="1" x14ac:dyDescent="0.2"/>
    <row r="185" spans="99:99" ht="14.25" customHeight="1" x14ac:dyDescent="0.2"/>
    <row r="186" spans="99:99" ht="14.25" customHeight="1" x14ac:dyDescent="0.2"/>
    <row r="187" spans="99:99" ht="14.25" customHeight="1" x14ac:dyDescent="0.2"/>
    <row r="188" spans="99:99" ht="14.25" customHeight="1" x14ac:dyDescent="0.2"/>
    <row r="189" spans="99:99" ht="14.25" customHeight="1" x14ac:dyDescent="0.2"/>
    <row r="190" spans="99:99" ht="14.25" customHeight="1" x14ac:dyDescent="0.2">
      <c r="CU190" s="154"/>
    </row>
    <row r="191" spans="99:99" ht="14.25" customHeight="1" x14ac:dyDescent="0.2">
      <c r="CU191" s="154"/>
    </row>
    <row r="192" spans="99:99" ht="14.25" customHeight="1" x14ac:dyDescent="0.2">
      <c r="CU192" s="154"/>
    </row>
    <row r="193" spans="99:99" ht="14.25" customHeight="1" x14ac:dyDescent="0.2">
      <c r="CU193" s="154"/>
    </row>
    <row r="194" spans="99:99" ht="14.25" customHeight="1" x14ac:dyDescent="0.2">
      <c r="CU194" s="154"/>
    </row>
    <row r="195" spans="99:99" ht="14.25" customHeight="1" x14ac:dyDescent="0.2">
      <c r="CU195" s="154"/>
    </row>
    <row r="196" spans="99:99" ht="14.25" customHeight="1" x14ac:dyDescent="0.2">
      <c r="CU196" s="154"/>
    </row>
    <row r="197" spans="99:99" ht="14.25" customHeight="1" x14ac:dyDescent="0.2">
      <c r="CU197" s="154"/>
    </row>
    <row r="198" spans="99:99" ht="14.25" customHeight="1" x14ac:dyDescent="0.2">
      <c r="CU198" s="154"/>
    </row>
    <row r="199" spans="99:99" ht="14.25" customHeight="1" x14ac:dyDescent="0.2">
      <c r="CU199" s="154"/>
    </row>
    <row r="200" spans="99:99" ht="14.25" customHeight="1" x14ac:dyDescent="0.2">
      <c r="CU200" s="154"/>
    </row>
    <row r="201" spans="99:99" ht="14.25" customHeight="1" x14ac:dyDescent="0.2">
      <c r="CU201" s="154"/>
    </row>
    <row r="202" spans="99:99" ht="14.25" customHeight="1" x14ac:dyDescent="0.2">
      <c r="CU202" s="154"/>
    </row>
    <row r="203" spans="99:99" ht="14.25" customHeight="1" x14ac:dyDescent="0.2">
      <c r="CU203" s="154"/>
    </row>
    <row r="204" spans="99:99" ht="14.25" customHeight="1" x14ac:dyDescent="0.2">
      <c r="CU204" s="154"/>
    </row>
    <row r="205" spans="99:99" ht="14.25" customHeight="1" x14ac:dyDescent="0.2">
      <c r="CU205" s="154"/>
    </row>
    <row r="206" spans="99:99" ht="14.25" customHeight="1" x14ac:dyDescent="0.2">
      <c r="CU206" s="154"/>
    </row>
    <row r="207" spans="99:99" ht="14.25" customHeight="1" x14ac:dyDescent="0.2">
      <c r="CU207" s="154"/>
    </row>
    <row r="208" spans="99:99" ht="14.25" customHeight="1" x14ac:dyDescent="0.2">
      <c r="CU208" s="154"/>
    </row>
    <row r="209" spans="99:99" ht="14.25" customHeight="1" x14ac:dyDescent="0.2">
      <c r="CU209" s="154"/>
    </row>
    <row r="210" spans="99:99" ht="14.25" customHeight="1" x14ac:dyDescent="0.2">
      <c r="CU210" s="154"/>
    </row>
    <row r="211" spans="99:99" ht="14.25" customHeight="1" x14ac:dyDescent="0.2">
      <c r="CU211" s="154"/>
    </row>
    <row r="212" spans="99:99" ht="14.25" customHeight="1" x14ac:dyDescent="0.2">
      <c r="CU212" s="154"/>
    </row>
    <row r="213" spans="99:99" ht="14.25" customHeight="1" x14ac:dyDescent="0.2">
      <c r="CU213" s="154"/>
    </row>
    <row r="214" spans="99:99" ht="14.25" customHeight="1" x14ac:dyDescent="0.2">
      <c r="CU214" s="154"/>
    </row>
    <row r="215" spans="99:99" ht="14.25" customHeight="1" x14ac:dyDescent="0.2">
      <c r="CU215" s="154"/>
    </row>
    <row r="216" spans="99:99" ht="14.25" customHeight="1" x14ac:dyDescent="0.2">
      <c r="CU216" s="154"/>
    </row>
    <row r="217" spans="99:99" ht="14.25" customHeight="1" x14ac:dyDescent="0.2">
      <c r="CU217" s="154"/>
    </row>
    <row r="218" spans="99:99" ht="14.25" customHeight="1" x14ac:dyDescent="0.2">
      <c r="CU218" s="154"/>
    </row>
    <row r="219" spans="99:99" ht="14.25" customHeight="1" x14ac:dyDescent="0.2">
      <c r="CU219" s="154"/>
    </row>
    <row r="220" spans="99:99" ht="14.25" customHeight="1" x14ac:dyDescent="0.2">
      <c r="CU220" s="154"/>
    </row>
    <row r="221" spans="99:99" ht="14.25" customHeight="1" x14ac:dyDescent="0.2">
      <c r="CU221" s="154"/>
    </row>
    <row r="222" spans="99:99" ht="14.25" customHeight="1" x14ac:dyDescent="0.2">
      <c r="CU222" s="154"/>
    </row>
    <row r="223" spans="99:99" ht="14.25" customHeight="1" x14ac:dyDescent="0.2">
      <c r="CU223" s="154"/>
    </row>
    <row r="224" spans="99:99" ht="14.25" customHeight="1" x14ac:dyDescent="0.2">
      <c r="CU224" s="154"/>
    </row>
    <row r="225" spans="99:99" ht="14.25" customHeight="1" x14ac:dyDescent="0.2">
      <c r="CU225" s="154"/>
    </row>
    <row r="226" spans="99:99" ht="14.25" customHeight="1" x14ac:dyDescent="0.2">
      <c r="CU226" s="154"/>
    </row>
    <row r="227" spans="99:99" ht="14.25" customHeight="1" x14ac:dyDescent="0.2">
      <c r="CU227" s="154"/>
    </row>
    <row r="228" spans="99:99" ht="14.25" customHeight="1" x14ac:dyDescent="0.2">
      <c r="CU228" s="154"/>
    </row>
    <row r="229" spans="99:99" ht="14.25" customHeight="1" x14ac:dyDescent="0.2">
      <c r="CU229" s="154"/>
    </row>
    <row r="230" spans="99:99" ht="14.25" customHeight="1" x14ac:dyDescent="0.2">
      <c r="CU230" s="154"/>
    </row>
    <row r="231" spans="99:99" ht="14.25" customHeight="1" x14ac:dyDescent="0.2">
      <c r="CU231" s="154"/>
    </row>
    <row r="232" spans="99:99" ht="14.25" customHeight="1" x14ac:dyDescent="0.2">
      <c r="CU232" s="154"/>
    </row>
    <row r="233" spans="99:99" ht="14.25" customHeight="1" x14ac:dyDescent="0.2">
      <c r="CU233" s="154"/>
    </row>
    <row r="234" spans="99:99" ht="14.25" customHeight="1" x14ac:dyDescent="0.2">
      <c r="CU234" s="154"/>
    </row>
    <row r="235" spans="99:99" ht="14.25" customHeight="1" x14ac:dyDescent="0.2">
      <c r="CU235" s="154"/>
    </row>
    <row r="236" spans="99:99" ht="14.25" customHeight="1" x14ac:dyDescent="0.2">
      <c r="CU236" s="154"/>
    </row>
    <row r="237" spans="99:99" ht="14.25" customHeight="1" x14ac:dyDescent="0.2">
      <c r="CU237" s="154"/>
    </row>
    <row r="238" spans="99:99" ht="14.25" customHeight="1" x14ac:dyDescent="0.2">
      <c r="CU238" s="154"/>
    </row>
    <row r="239" spans="99:99" ht="14.25" customHeight="1" x14ac:dyDescent="0.2">
      <c r="CU239" s="154"/>
    </row>
    <row r="240" spans="99:99" ht="14.25" customHeight="1" x14ac:dyDescent="0.2">
      <c r="CU240" s="154"/>
    </row>
    <row r="241" spans="99:99" ht="14.25" customHeight="1" x14ac:dyDescent="0.2">
      <c r="CU241" s="154"/>
    </row>
    <row r="242" spans="99:99" ht="14.25" customHeight="1" x14ac:dyDescent="0.2">
      <c r="CU242" s="154"/>
    </row>
    <row r="243" spans="99:99" ht="14.25" customHeight="1" x14ac:dyDescent="0.2">
      <c r="CU243" s="154"/>
    </row>
    <row r="244" spans="99:99" ht="14.25" customHeight="1" x14ac:dyDescent="0.2">
      <c r="CU244" s="154"/>
    </row>
    <row r="245" spans="99:99" ht="14.25" customHeight="1" x14ac:dyDescent="0.2">
      <c r="CU245" s="154"/>
    </row>
    <row r="246" spans="99:99" ht="14.25" customHeight="1" x14ac:dyDescent="0.2">
      <c r="CU246" s="154"/>
    </row>
    <row r="247" spans="99:99" ht="14.25" customHeight="1" x14ac:dyDescent="0.2">
      <c r="CU247" s="154"/>
    </row>
    <row r="248" spans="99:99" ht="14.25" customHeight="1" x14ac:dyDescent="0.2">
      <c r="CU248" s="154"/>
    </row>
    <row r="249" spans="99:99" ht="14.25" customHeight="1" x14ac:dyDescent="0.2">
      <c r="CU249" s="154"/>
    </row>
    <row r="250" spans="99:99" ht="14.25" customHeight="1" x14ac:dyDescent="0.2">
      <c r="CU250" s="154"/>
    </row>
    <row r="251" spans="99:99" ht="14.25" customHeight="1" x14ac:dyDescent="0.2">
      <c r="CU251" s="154"/>
    </row>
    <row r="252" spans="99:99" ht="14.25" customHeight="1" x14ac:dyDescent="0.2">
      <c r="CU252" s="154"/>
    </row>
    <row r="253" spans="99:99" ht="14.25" customHeight="1" x14ac:dyDescent="0.2">
      <c r="CU253" s="154"/>
    </row>
    <row r="254" spans="99:99" ht="14.25" customHeight="1" x14ac:dyDescent="0.2">
      <c r="CU254" s="154"/>
    </row>
    <row r="255" spans="99:99" ht="14.25" customHeight="1" x14ac:dyDescent="0.2">
      <c r="CU255" s="154"/>
    </row>
    <row r="256" spans="99:99" ht="14.25" customHeight="1" x14ac:dyDescent="0.2">
      <c r="CU256" s="154"/>
    </row>
    <row r="257" spans="99:99" ht="14.25" customHeight="1" x14ac:dyDescent="0.2">
      <c r="CU257" s="154"/>
    </row>
    <row r="258" spans="99:99" ht="14.25" customHeight="1" x14ac:dyDescent="0.2">
      <c r="CU258" s="154"/>
    </row>
    <row r="259" spans="99:99" ht="14.25" customHeight="1" x14ac:dyDescent="0.2">
      <c r="CU259" s="154"/>
    </row>
    <row r="260" spans="99:99" ht="14.25" customHeight="1" x14ac:dyDescent="0.2">
      <c r="CU260" s="154"/>
    </row>
    <row r="261" spans="99:99" ht="14.25" customHeight="1" x14ac:dyDescent="0.2">
      <c r="CU261" s="154"/>
    </row>
    <row r="262" spans="99:99" ht="14.25" customHeight="1" x14ac:dyDescent="0.2">
      <c r="CU262" s="154"/>
    </row>
    <row r="263" spans="99:99" ht="14.25" customHeight="1" x14ac:dyDescent="0.2">
      <c r="CU263" s="154"/>
    </row>
    <row r="264" spans="99:99" ht="14.25" customHeight="1" x14ac:dyDescent="0.2">
      <c r="CU264" s="154"/>
    </row>
    <row r="265" spans="99:99" ht="14.25" customHeight="1" x14ac:dyDescent="0.2">
      <c r="CU265" s="154"/>
    </row>
    <row r="266" spans="99:99" ht="14.25" customHeight="1" x14ac:dyDescent="0.2">
      <c r="CU266" s="154"/>
    </row>
    <row r="267" spans="99:99" ht="14.25" customHeight="1" x14ac:dyDescent="0.2">
      <c r="CU267" s="154"/>
    </row>
    <row r="268" spans="99:99" ht="14.25" customHeight="1" x14ac:dyDescent="0.2">
      <c r="CU268" s="154"/>
    </row>
    <row r="269" spans="99:99" ht="14.25" customHeight="1" x14ac:dyDescent="0.2">
      <c r="CU269" s="154"/>
    </row>
    <row r="270" spans="99:99" ht="14.25" customHeight="1" x14ac:dyDescent="0.2">
      <c r="CU270" s="154"/>
    </row>
    <row r="271" spans="99:99" ht="14.25" customHeight="1" x14ac:dyDescent="0.2">
      <c r="CU271" s="154"/>
    </row>
    <row r="272" spans="99:99" ht="14.25" customHeight="1" x14ac:dyDescent="0.2">
      <c r="CU272" s="154"/>
    </row>
    <row r="273" spans="99:99" ht="14.25" customHeight="1" x14ac:dyDescent="0.2">
      <c r="CU273" s="154"/>
    </row>
    <row r="274" spans="99:99" ht="14.25" customHeight="1" x14ac:dyDescent="0.2">
      <c r="CU274" s="154"/>
    </row>
    <row r="275" spans="99:99" ht="14.25" customHeight="1" x14ac:dyDescent="0.2">
      <c r="CU275" s="154"/>
    </row>
    <row r="276" spans="99:99" ht="14.25" customHeight="1" x14ac:dyDescent="0.2">
      <c r="CU276" s="154"/>
    </row>
    <row r="277" spans="99:99" ht="14.25" customHeight="1" x14ac:dyDescent="0.2">
      <c r="CU277" s="154"/>
    </row>
    <row r="278" spans="99:99" ht="14.25" customHeight="1" x14ac:dyDescent="0.2">
      <c r="CU278" s="154"/>
    </row>
    <row r="279" spans="99:99" ht="14.25" customHeight="1" x14ac:dyDescent="0.2">
      <c r="CU279" s="154"/>
    </row>
    <row r="280" spans="99:99" ht="14.25" customHeight="1" x14ac:dyDescent="0.2">
      <c r="CU280" s="154"/>
    </row>
    <row r="281" spans="99:99" ht="14.25" customHeight="1" x14ac:dyDescent="0.2">
      <c r="CU281" s="154"/>
    </row>
    <row r="282" spans="99:99" ht="14.25" customHeight="1" x14ac:dyDescent="0.2">
      <c r="CU282" s="154"/>
    </row>
    <row r="283" spans="99:99" ht="14.25" customHeight="1" x14ac:dyDescent="0.2">
      <c r="CU283" s="154"/>
    </row>
    <row r="284" spans="99:99" ht="14.25" customHeight="1" x14ac:dyDescent="0.2">
      <c r="CU284" s="154"/>
    </row>
    <row r="285" spans="99:99" ht="14.25" customHeight="1" x14ac:dyDescent="0.2">
      <c r="CU285" s="154"/>
    </row>
    <row r="286" spans="99:99" ht="14.25" customHeight="1" x14ac:dyDescent="0.2">
      <c r="CU286" s="154"/>
    </row>
    <row r="287" spans="99:99" ht="14.25" customHeight="1" x14ac:dyDescent="0.2">
      <c r="CU287" s="154"/>
    </row>
    <row r="288" spans="99:99" ht="14.25" customHeight="1" x14ac:dyDescent="0.2">
      <c r="CU288" s="154"/>
    </row>
    <row r="289" spans="99:99" ht="14.25" customHeight="1" x14ac:dyDescent="0.2">
      <c r="CU289" s="154"/>
    </row>
    <row r="290" spans="99:99" ht="14.25" customHeight="1" x14ac:dyDescent="0.2">
      <c r="CU290" s="154"/>
    </row>
    <row r="291" spans="99:99" ht="14.25" customHeight="1" x14ac:dyDescent="0.2">
      <c r="CU291" s="154"/>
    </row>
    <row r="292" spans="99:99" ht="14.25" customHeight="1" x14ac:dyDescent="0.2">
      <c r="CU292" s="154"/>
    </row>
    <row r="293" spans="99:99" ht="14.25" customHeight="1" x14ac:dyDescent="0.2">
      <c r="CU293" s="154"/>
    </row>
    <row r="294" spans="99:99" ht="14.25" customHeight="1" x14ac:dyDescent="0.2">
      <c r="CU294" s="154"/>
    </row>
    <row r="295" spans="99:99" ht="14.25" customHeight="1" x14ac:dyDescent="0.2">
      <c r="CU295" s="154"/>
    </row>
    <row r="296" spans="99:99" ht="14.25" customHeight="1" x14ac:dyDescent="0.2">
      <c r="CU296" s="154"/>
    </row>
    <row r="297" spans="99:99" ht="14.25" customHeight="1" x14ac:dyDescent="0.2">
      <c r="CU297" s="154"/>
    </row>
    <row r="298" spans="99:99" ht="14.25" customHeight="1" x14ac:dyDescent="0.2">
      <c r="CU298" s="154"/>
    </row>
    <row r="299" spans="99:99" ht="14.25" customHeight="1" x14ac:dyDescent="0.2">
      <c r="CU299" s="154"/>
    </row>
    <row r="300" spans="99:99" ht="14.25" customHeight="1" x14ac:dyDescent="0.2">
      <c r="CU300" s="154"/>
    </row>
    <row r="301" spans="99:99" ht="14.25" customHeight="1" x14ac:dyDescent="0.2">
      <c r="CU301" s="154"/>
    </row>
    <row r="302" spans="99:99" ht="14.25" customHeight="1" x14ac:dyDescent="0.2">
      <c r="CU302" s="154"/>
    </row>
    <row r="303" spans="99:99" ht="14.25" customHeight="1" x14ac:dyDescent="0.2">
      <c r="CU303" s="154"/>
    </row>
    <row r="304" spans="99:99" ht="14.25" customHeight="1" x14ac:dyDescent="0.2">
      <c r="CU304" s="154"/>
    </row>
    <row r="305" spans="99:99" ht="14.25" customHeight="1" x14ac:dyDescent="0.2">
      <c r="CU305" s="154"/>
    </row>
    <row r="306" spans="99:99" ht="14.25" customHeight="1" x14ac:dyDescent="0.2">
      <c r="CU306" s="154"/>
    </row>
    <row r="307" spans="99:99" ht="14.25" customHeight="1" x14ac:dyDescent="0.2">
      <c r="CU307" s="154"/>
    </row>
    <row r="308" spans="99:99" ht="14.25" customHeight="1" x14ac:dyDescent="0.2">
      <c r="CU308" s="154"/>
    </row>
    <row r="309" spans="99:99" ht="14.25" customHeight="1" x14ac:dyDescent="0.2">
      <c r="CU309" s="154"/>
    </row>
    <row r="310" spans="99:99" ht="14.25" customHeight="1" x14ac:dyDescent="0.2">
      <c r="CU310" s="154"/>
    </row>
    <row r="311" spans="99:99" ht="14.25" customHeight="1" x14ac:dyDescent="0.2">
      <c r="CU311" s="154"/>
    </row>
    <row r="312" spans="99:99" ht="14.25" customHeight="1" x14ac:dyDescent="0.2">
      <c r="CU312" s="154"/>
    </row>
    <row r="313" spans="99:99" ht="14.25" customHeight="1" x14ac:dyDescent="0.2">
      <c r="CU313" s="154"/>
    </row>
    <row r="314" spans="99:99" ht="14.25" customHeight="1" x14ac:dyDescent="0.2">
      <c r="CU314" s="154"/>
    </row>
    <row r="315" spans="99:99" ht="14.25" customHeight="1" x14ac:dyDescent="0.2">
      <c r="CU315" s="154"/>
    </row>
    <row r="316" spans="99:99" ht="14.25" customHeight="1" x14ac:dyDescent="0.2">
      <c r="CU316" s="154"/>
    </row>
    <row r="317" spans="99:99" ht="14.25" customHeight="1" x14ac:dyDescent="0.2">
      <c r="CU317" s="154"/>
    </row>
    <row r="318" spans="99:99" ht="14.25" customHeight="1" x14ac:dyDescent="0.2">
      <c r="CU318" s="154"/>
    </row>
    <row r="319" spans="99:99" ht="14.25" customHeight="1" x14ac:dyDescent="0.2">
      <c r="CU319" s="154"/>
    </row>
    <row r="320" spans="99:99" ht="14.25" customHeight="1" x14ac:dyDescent="0.2">
      <c r="CU320" s="154"/>
    </row>
    <row r="321" spans="99:99" ht="14.25" customHeight="1" x14ac:dyDescent="0.2">
      <c r="CU321" s="154"/>
    </row>
    <row r="322" spans="99:99" ht="14.25" customHeight="1" x14ac:dyDescent="0.2">
      <c r="CU322" s="154"/>
    </row>
    <row r="323" spans="99:99" ht="14.25" customHeight="1" x14ac:dyDescent="0.2">
      <c r="CU323" s="154"/>
    </row>
    <row r="324" spans="99:99" ht="14.25" customHeight="1" x14ac:dyDescent="0.2">
      <c r="CU324" s="154"/>
    </row>
    <row r="325" spans="99:99" ht="14.25" customHeight="1" x14ac:dyDescent="0.2">
      <c r="CU325" s="154"/>
    </row>
    <row r="326" spans="99:99" ht="14.25" customHeight="1" x14ac:dyDescent="0.2">
      <c r="CU326" s="154"/>
    </row>
    <row r="327" spans="99:99" ht="14.25" customHeight="1" x14ac:dyDescent="0.2">
      <c r="CU327" s="154"/>
    </row>
    <row r="328" spans="99:99" ht="14.25" customHeight="1" x14ac:dyDescent="0.2">
      <c r="CU328" s="154"/>
    </row>
    <row r="329" spans="99:99" ht="14.25" customHeight="1" x14ac:dyDescent="0.2">
      <c r="CU329" s="154"/>
    </row>
    <row r="330" spans="99:99" ht="14.25" customHeight="1" x14ac:dyDescent="0.2">
      <c r="CU330" s="154"/>
    </row>
    <row r="331" spans="99:99" ht="14.25" customHeight="1" x14ac:dyDescent="0.2">
      <c r="CU331" s="154"/>
    </row>
    <row r="332" spans="99:99" ht="14.25" customHeight="1" x14ac:dyDescent="0.2">
      <c r="CU332" s="154"/>
    </row>
    <row r="333" spans="99:99" ht="14.25" customHeight="1" x14ac:dyDescent="0.2">
      <c r="CU333" s="154"/>
    </row>
    <row r="334" spans="99:99" ht="14.25" customHeight="1" x14ac:dyDescent="0.2">
      <c r="CU334" s="154"/>
    </row>
    <row r="335" spans="99:99" ht="14.25" customHeight="1" x14ac:dyDescent="0.2">
      <c r="CU335" s="154"/>
    </row>
    <row r="336" spans="99:99" ht="14.25" customHeight="1" x14ac:dyDescent="0.2">
      <c r="CU336" s="154"/>
    </row>
    <row r="337" spans="99:99" ht="14.25" customHeight="1" x14ac:dyDescent="0.2">
      <c r="CU337" s="154"/>
    </row>
    <row r="338" spans="99:99" ht="14.25" customHeight="1" x14ac:dyDescent="0.2">
      <c r="CU338" s="154"/>
    </row>
    <row r="339" spans="99:99" ht="14.25" customHeight="1" x14ac:dyDescent="0.2">
      <c r="CU339" s="154"/>
    </row>
    <row r="340" spans="99:99" ht="14.25" customHeight="1" x14ac:dyDescent="0.2">
      <c r="CU340" s="154"/>
    </row>
    <row r="341" spans="99:99" ht="14.25" customHeight="1" x14ac:dyDescent="0.2">
      <c r="CU341" s="154"/>
    </row>
    <row r="342" spans="99:99" ht="14.25" customHeight="1" x14ac:dyDescent="0.2">
      <c r="CU342" s="154"/>
    </row>
    <row r="343" spans="99:99" ht="14.25" customHeight="1" x14ac:dyDescent="0.2">
      <c r="CU343" s="154"/>
    </row>
    <row r="344" spans="99:99" ht="14.25" customHeight="1" x14ac:dyDescent="0.2">
      <c r="CU344" s="154"/>
    </row>
    <row r="345" spans="99:99" ht="14.25" customHeight="1" x14ac:dyDescent="0.2">
      <c r="CU345" s="154"/>
    </row>
    <row r="346" spans="99:99" ht="14.25" customHeight="1" x14ac:dyDescent="0.2">
      <c r="CU346" s="154"/>
    </row>
    <row r="347" spans="99:99" ht="14.25" customHeight="1" x14ac:dyDescent="0.2">
      <c r="CU347" s="154"/>
    </row>
    <row r="348" spans="99:99" ht="14.25" customHeight="1" x14ac:dyDescent="0.2">
      <c r="CU348" s="154"/>
    </row>
    <row r="349" spans="99:99" ht="14.25" customHeight="1" x14ac:dyDescent="0.2">
      <c r="CU349" s="154"/>
    </row>
    <row r="350" spans="99:99" ht="14.25" customHeight="1" x14ac:dyDescent="0.2">
      <c r="CU350" s="154"/>
    </row>
    <row r="351" spans="99:99" ht="14.25" customHeight="1" x14ac:dyDescent="0.2">
      <c r="CU351" s="154"/>
    </row>
    <row r="352" spans="99:99" ht="14.25" customHeight="1" x14ac:dyDescent="0.2">
      <c r="CU352" s="154"/>
    </row>
    <row r="353" spans="99:99" ht="14.25" customHeight="1" x14ac:dyDescent="0.2">
      <c r="CU353" s="154"/>
    </row>
    <row r="354" spans="99:99" ht="14.25" customHeight="1" x14ac:dyDescent="0.2">
      <c r="CU354" s="154"/>
    </row>
    <row r="355" spans="99:99" ht="14.25" customHeight="1" x14ac:dyDescent="0.2">
      <c r="CU355" s="154"/>
    </row>
    <row r="356" spans="99:99" ht="14.25" customHeight="1" x14ac:dyDescent="0.2">
      <c r="CU356" s="154"/>
    </row>
    <row r="357" spans="99:99" ht="14.25" customHeight="1" x14ac:dyDescent="0.2">
      <c r="CU357" s="154"/>
    </row>
    <row r="358" spans="99:99" ht="14.25" customHeight="1" x14ac:dyDescent="0.2">
      <c r="CU358" s="154"/>
    </row>
    <row r="359" spans="99:99" ht="14.25" customHeight="1" x14ac:dyDescent="0.2">
      <c r="CU359" s="154"/>
    </row>
    <row r="360" spans="99:99" ht="14.25" customHeight="1" x14ac:dyDescent="0.2">
      <c r="CU360" s="154"/>
    </row>
    <row r="361" spans="99:99" ht="14.25" customHeight="1" x14ac:dyDescent="0.2">
      <c r="CU361" s="154"/>
    </row>
    <row r="362" spans="99:99" ht="14.25" customHeight="1" x14ac:dyDescent="0.2">
      <c r="CU362" s="154"/>
    </row>
    <row r="363" spans="99:99" ht="14.25" customHeight="1" x14ac:dyDescent="0.2">
      <c r="CU363" s="154"/>
    </row>
    <row r="364" spans="99:99" ht="14.25" customHeight="1" x14ac:dyDescent="0.2">
      <c r="CU364" s="154"/>
    </row>
    <row r="365" spans="99:99" ht="14.25" customHeight="1" x14ac:dyDescent="0.2">
      <c r="CU365" s="154"/>
    </row>
    <row r="366" spans="99:99" ht="14.25" customHeight="1" x14ac:dyDescent="0.2">
      <c r="CU366" s="154"/>
    </row>
    <row r="367" spans="99:99" ht="14.25" customHeight="1" x14ac:dyDescent="0.2">
      <c r="CU367" s="154"/>
    </row>
    <row r="368" spans="99:99" ht="14.25" customHeight="1" x14ac:dyDescent="0.2">
      <c r="CU368" s="154"/>
    </row>
    <row r="369" spans="99:99" ht="14.25" customHeight="1" x14ac:dyDescent="0.2">
      <c r="CU369" s="154"/>
    </row>
    <row r="370" spans="99:99" ht="14.25" customHeight="1" x14ac:dyDescent="0.2">
      <c r="CU370" s="154"/>
    </row>
    <row r="371" spans="99:99" ht="14.25" customHeight="1" x14ac:dyDescent="0.2">
      <c r="CU371" s="154"/>
    </row>
    <row r="372" spans="99:99" ht="14.25" customHeight="1" x14ac:dyDescent="0.2">
      <c r="CU372" s="154"/>
    </row>
    <row r="373" spans="99:99" ht="14.25" customHeight="1" x14ac:dyDescent="0.2">
      <c r="CU373" s="154"/>
    </row>
    <row r="374" spans="99:99" ht="14.25" customHeight="1" x14ac:dyDescent="0.2">
      <c r="CU374" s="154"/>
    </row>
    <row r="375" spans="99:99" ht="14.25" customHeight="1" x14ac:dyDescent="0.2">
      <c r="CU375" s="154"/>
    </row>
    <row r="376" spans="99:99" ht="14.25" customHeight="1" x14ac:dyDescent="0.2">
      <c r="CU376" s="154"/>
    </row>
    <row r="377" spans="99:99" ht="14.25" customHeight="1" x14ac:dyDescent="0.2">
      <c r="CU377" s="154"/>
    </row>
    <row r="378" spans="99:99" ht="14.25" customHeight="1" x14ac:dyDescent="0.2">
      <c r="CU378" s="154"/>
    </row>
    <row r="379" spans="99:99" ht="14.25" customHeight="1" x14ac:dyDescent="0.2">
      <c r="CU379" s="154"/>
    </row>
    <row r="380" spans="99:99" ht="14.25" customHeight="1" x14ac:dyDescent="0.2">
      <c r="CU380" s="154"/>
    </row>
    <row r="381" spans="99:99" ht="14.25" customHeight="1" x14ac:dyDescent="0.2">
      <c r="CU381" s="154"/>
    </row>
    <row r="382" spans="99:99" ht="14.25" customHeight="1" x14ac:dyDescent="0.2">
      <c r="CU382" s="154"/>
    </row>
    <row r="383" spans="99:99" ht="14.25" customHeight="1" x14ac:dyDescent="0.2">
      <c r="CU383" s="154"/>
    </row>
    <row r="384" spans="99:99" ht="14.25" customHeight="1" x14ac:dyDescent="0.2">
      <c r="CU384" s="154"/>
    </row>
    <row r="385" spans="99:99" ht="14.25" customHeight="1" x14ac:dyDescent="0.2">
      <c r="CU385" s="154"/>
    </row>
    <row r="386" spans="99:99" ht="14.25" customHeight="1" x14ac:dyDescent="0.2">
      <c r="CU386" s="154"/>
    </row>
    <row r="387" spans="99:99" ht="14.25" customHeight="1" x14ac:dyDescent="0.2">
      <c r="CU387" s="154"/>
    </row>
    <row r="388" spans="99:99" ht="14.25" customHeight="1" x14ac:dyDescent="0.2">
      <c r="CU388" s="154"/>
    </row>
    <row r="389" spans="99:99" ht="14.25" customHeight="1" x14ac:dyDescent="0.2">
      <c r="CU389" s="154"/>
    </row>
    <row r="390" spans="99:99" ht="14.25" customHeight="1" x14ac:dyDescent="0.2">
      <c r="CU390" s="154"/>
    </row>
    <row r="391" spans="99:99" ht="14.25" customHeight="1" x14ac:dyDescent="0.2">
      <c r="CU391" s="154"/>
    </row>
    <row r="392" spans="99:99" ht="14.25" customHeight="1" x14ac:dyDescent="0.2">
      <c r="CU392" s="154"/>
    </row>
    <row r="393" spans="99:99" ht="14.25" customHeight="1" x14ac:dyDescent="0.2">
      <c r="CU393" s="154"/>
    </row>
    <row r="394" spans="99:99" ht="14.25" customHeight="1" x14ac:dyDescent="0.2">
      <c r="CU394" s="154"/>
    </row>
    <row r="395" spans="99:99" ht="14.25" customHeight="1" x14ac:dyDescent="0.2">
      <c r="CU395" s="154"/>
    </row>
    <row r="396" spans="99:99" ht="14.25" customHeight="1" x14ac:dyDescent="0.2">
      <c r="CU396" s="154"/>
    </row>
    <row r="397" spans="99:99" ht="14.25" customHeight="1" x14ac:dyDescent="0.2">
      <c r="CU397" s="154"/>
    </row>
    <row r="398" spans="99:99" ht="14.25" customHeight="1" x14ac:dyDescent="0.2">
      <c r="CU398" s="154"/>
    </row>
    <row r="399" spans="99:99" ht="14.25" customHeight="1" x14ac:dyDescent="0.2">
      <c r="CU399" s="154"/>
    </row>
    <row r="400" spans="99:99" ht="14.25" customHeight="1" x14ac:dyDescent="0.2">
      <c r="CU400" s="154"/>
    </row>
    <row r="401" spans="99:99" ht="14.25" customHeight="1" x14ac:dyDescent="0.2">
      <c r="CU401" s="154"/>
    </row>
    <row r="402" spans="99:99" ht="14.25" customHeight="1" x14ac:dyDescent="0.2">
      <c r="CU402" s="154"/>
    </row>
    <row r="403" spans="99:99" ht="14.25" customHeight="1" x14ac:dyDescent="0.2">
      <c r="CU403" s="154"/>
    </row>
    <row r="404" spans="99:99" ht="14.25" customHeight="1" x14ac:dyDescent="0.2">
      <c r="CU404" s="154"/>
    </row>
    <row r="405" spans="99:99" ht="14.25" customHeight="1" x14ac:dyDescent="0.2">
      <c r="CU405" s="154"/>
    </row>
    <row r="406" spans="99:99" ht="14.25" customHeight="1" x14ac:dyDescent="0.2">
      <c r="CU406" s="154"/>
    </row>
    <row r="407" spans="99:99" ht="14.25" customHeight="1" x14ac:dyDescent="0.2">
      <c r="CU407" s="154"/>
    </row>
    <row r="408" spans="99:99" ht="14.25" customHeight="1" x14ac:dyDescent="0.2">
      <c r="CU408" s="154"/>
    </row>
    <row r="409" spans="99:99" ht="14.25" customHeight="1" x14ac:dyDescent="0.2">
      <c r="CU409" s="154"/>
    </row>
    <row r="410" spans="99:99" ht="14.25" customHeight="1" x14ac:dyDescent="0.2">
      <c r="CU410" s="154"/>
    </row>
    <row r="411" spans="99:99" ht="14.25" customHeight="1" x14ac:dyDescent="0.2">
      <c r="CU411" s="154"/>
    </row>
    <row r="412" spans="99:99" ht="14.25" customHeight="1" x14ac:dyDescent="0.2">
      <c r="CU412" s="154"/>
    </row>
    <row r="413" spans="99:99" ht="14.25" customHeight="1" x14ac:dyDescent="0.2">
      <c r="CU413" s="154"/>
    </row>
    <row r="414" spans="99:99" ht="14.25" customHeight="1" x14ac:dyDescent="0.2">
      <c r="CU414" s="154"/>
    </row>
    <row r="415" spans="99:99" ht="14.25" customHeight="1" x14ac:dyDescent="0.2">
      <c r="CU415" s="154"/>
    </row>
    <row r="416" spans="99:99" ht="14.25" customHeight="1" x14ac:dyDescent="0.2">
      <c r="CU416" s="154"/>
    </row>
    <row r="417" spans="99:99" ht="14.25" customHeight="1" x14ac:dyDescent="0.2">
      <c r="CU417" s="154"/>
    </row>
    <row r="418" spans="99:99" ht="14.25" customHeight="1" x14ac:dyDescent="0.2">
      <c r="CU418" s="154"/>
    </row>
    <row r="419" spans="99:99" ht="14.25" customHeight="1" x14ac:dyDescent="0.2">
      <c r="CU419" s="154"/>
    </row>
    <row r="420" spans="99:99" ht="14.25" customHeight="1" x14ac:dyDescent="0.2">
      <c r="CU420" s="154"/>
    </row>
    <row r="421" spans="99:99" ht="14.25" customHeight="1" x14ac:dyDescent="0.2">
      <c r="CU421" s="154"/>
    </row>
    <row r="422" spans="99:99" ht="14.25" customHeight="1" x14ac:dyDescent="0.2">
      <c r="CU422" s="154"/>
    </row>
    <row r="423" spans="99:99" ht="14.25" customHeight="1" x14ac:dyDescent="0.2">
      <c r="CU423" s="154"/>
    </row>
    <row r="424" spans="99:99" ht="14.25" customHeight="1" x14ac:dyDescent="0.2">
      <c r="CU424" s="154"/>
    </row>
    <row r="425" spans="99:99" ht="14.25" customHeight="1" x14ac:dyDescent="0.2">
      <c r="CU425" s="154"/>
    </row>
    <row r="426" spans="99:99" ht="14.25" customHeight="1" x14ac:dyDescent="0.2">
      <c r="CU426" s="154"/>
    </row>
    <row r="427" spans="99:99" ht="14.25" customHeight="1" x14ac:dyDescent="0.2">
      <c r="CU427" s="154"/>
    </row>
    <row r="428" spans="99:99" ht="14.25" customHeight="1" x14ac:dyDescent="0.2">
      <c r="CU428" s="154"/>
    </row>
    <row r="429" spans="99:99" ht="14.25" customHeight="1" x14ac:dyDescent="0.2">
      <c r="CU429" s="154"/>
    </row>
    <row r="430" spans="99:99" ht="14.25" customHeight="1" x14ac:dyDescent="0.2">
      <c r="CU430" s="154"/>
    </row>
    <row r="431" spans="99:99" ht="14.25" customHeight="1" x14ac:dyDescent="0.2">
      <c r="CU431" s="154"/>
    </row>
    <row r="432" spans="99:99" ht="14.25" customHeight="1" x14ac:dyDescent="0.2">
      <c r="CU432" s="154"/>
    </row>
    <row r="433" spans="99:99" ht="14.25" customHeight="1" x14ac:dyDescent="0.2">
      <c r="CU433" s="154"/>
    </row>
    <row r="434" spans="99:99" ht="14.25" customHeight="1" x14ac:dyDescent="0.2">
      <c r="CU434" s="154"/>
    </row>
    <row r="435" spans="99:99" ht="14.25" customHeight="1" x14ac:dyDescent="0.2">
      <c r="CU435" s="154"/>
    </row>
    <row r="436" spans="99:99" ht="14.25" customHeight="1" x14ac:dyDescent="0.2">
      <c r="CU436" s="154"/>
    </row>
    <row r="437" spans="99:99" ht="14.25" customHeight="1" x14ac:dyDescent="0.2">
      <c r="CU437" s="154"/>
    </row>
    <row r="438" spans="99:99" ht="14.25" customHeight="1" x14ac:dyDescent="0.2">
      <c r="CU438" s="154"/>
    </row>
    <row r="439" spans="99:99" ht="14.25" customHeight="1" x14ac:dyDescent="0.2">
      <c r="CU439" s="154"/>
    </row>
    <row r="440" spans="99:99" ht="14.25" customHeight="1" x14ac:dyDescent="0.2">
      <c r="CU440" s="154"/>
    </row>
    <row r="441" spans="99:99" ht="14.25" customHeight="1" x14ac:dyDescent="0.2">
      <c r="CU441" s="154"/>
    </row>
    <row r="442" spans="99:99" ht="14.25" customHeight="1" x14ac:dyDescent="0.2">
      <c r="CU442" s="154"/>
    </row>
    <row r="443" spans="99:99" ht="14.25" customHeight="1" x14ac:dyDescent="0.2">
      <c r="CU443" s="154"/>
    </row>
    <row r="444" spans="99:99" ht="14.25" customHeight="1" x14ac:dyDescent="0.2">
      <c r="CU444" s="154"/>
    </row>
    <row r="445" spans="99:99" ht="14.25" customHeight="1" x14ac:dyDescent="0.2">
      <c r="CU445" s="154"/>
    </row>
    <row r="446" spans="99:99" ht="14.25" customHeight="1" x14ac:dyDescent="0.2">
      <c r="CU446" s="154"/>
    </row>
    <row r="447" spans="99:99" ht="14.25" customHeight="1" x14ac:dyDescent="0.2">
      <c r="CU447" s="154"/>
    </row>
    <row r="448" spans="99:99" ht="14.25" customHeight="1" x14ac:dyDescent="0.2">
      <c r="CU448" s="154"/>
    </row>
    <row r="449" spans="99:99" ht="14.25" customHeight="1" x14ac:dyDescent="0.2">
      <c r="CU449" s="154"/>
    </row>
    <row r="450" spans="99:99" ht="14.25" customHeight="1" x14ac:dyDescent="0.2">
      <c r="CU450" s="154"/>
    </row>
    <row r="451" spans="99:99" ht="14.25" customHeight="1" x14ac:dyDescent="0.2">
      <c r="CU451" s="154"/>
    </row>
    <row r="452" spans="99:99" ht="14.25" customHeight="1" x14ac:dyDescent="0.2">
      <c r="CU452" s="154"/>
    </row>
    <row r="453" spans="99:99" ht="14.25" customHeight="1" x14ac:dyDescent="0.2">
      <c r="CU453" s="154"/>
    </row>
    <row r="454" spans="99:99" ht="14.25" customHeight="1" x14ac:dyDescent="0.2">
      <c r="CU454" s="154"/>
    </row>
    <row r="455" spans="99:99" ht="14.25" customHeight="1" x14ac:dyDescent="0.2">
      <c r="CU455" s="154"/>
    </row>
    <row r="456" spans="99:99" ht="14.25" customHeight="1" x14ac:dyDescent="0.2">
      <c r="CU456" s="154"/>
    </row>
    <row r="457" spans="99:99" ht="14.25" customHeight="1" x14ac:dyDescent="0.2">
      <c r="CU457" s="154"/>
    </row>
    <row r="458" spans="99:99" ht="14.25" customHeight="1" x14ac:dyDescent="0.2">
      <c r="CU458" s="154"/>
    </row>
    <row r="459" spans="99:99" ht="14.25" customHeight="1" x14ac:dyDescent="0.2">
      <c r="CU459" s="154"/>
    </row>
    <row r="460" spans="99:99" ht="14.25" customHeight="1" x14ac:dyDescent="0.2">
      <c r="CU460" s="154"/>
    </row>
    <row r="461" spans="99:99" ht="14.25" customHeight="1" x14ac:dyDescent="0.2">
      <c r="CU461" s="154"/>
    </row>
    <row r="462" spans="99:99" ht="14.25" customHeight="1" x14ac:dyDescent="0.2">
      <c r="CU462" s="154"/>
    </row>
    <row r="463" spans="99:99" ht="14.25" customHeight="1" x14ac:dyDescent="0.2">
      <c r="CU463" s="154"/>
    </row>
    <row r="464" spans="99:99" ht="14.25" customHeight="1" x14ac:dyDescent="0.2">
      <c r="CU464" s="154"/>
    </row>
    <row r="465" spans="99:99" ht="14.25" customHeight="1" x14ac:dyDescent="0.2">
      <c r="CU465" s="154"/>
    </row>
    <row r="466" spans="99:99" ht="14.25" customHeight="1" x14ac:dyDescent="0.2">
      <c r="CU466" s="154"/>
    </row>
    <row r="467" spans="99:99" ht="14.25" customHeight="1" x14ac:dyDescent="0.2">
      <c r="CU467" s="154"/>
    </row>
    <row r="468" spans="99:99" ht="14.25" customHeight="1" x14ac:dyDescent="0.2">
      <c r="CU468" s="154"/>
    </row>
    <row r="469" spans="99:99" ht="14.25" customHeight="1" x14ac:dyDescent="0.2">
      <c r="CU469" s="154"/>
    </row>
    <row r="470" spans="99:99" ht="14.25" customHeight="1" x14ac:dyDescent="0.2">
      <c r="CU470" s="154"/>
    </row>
    <row r="471" spans="99:99" ht="14.25" customHeight="1" x14ac:dyDescent="0.2">
      <c r="CU471" s="154"/>
    </row>
    <row r="472" spans="99:99" ht="14.25" customHeight="1" x14ac:dyDescent="0.2">
      <c r="CU472" s="154"/>
    </row>
    <row r="473" spans="99:99" ht="14.25" customHeight="1" x14ac:dyDescent="0.2">
      <c r="CU473" s="154"/>
    </row>
    <row r="474" spans="99:99" ht="14.25" customHeight="1" x14ac:dyDescent="0.2">
      <c r="CU474" s="154"/>
    </row>
    <row r="475" spans="99:99" ht="14.25" customHeight="1" x14ac:dyDescent="0.2">
      <c r="CU475" s="154"/>
    </row>
    <row r="476" spans="99:99" ht="14.25" customHeight="1" x14ac:dyDescent="0.2">
      <c r="CU476" s="154"/>
    </row>
    <row r="477" spans="99:99" ht="14.25" customHeight="1" x14ac:dyDescent="0.2">
      <c r="CU477" s="154"/>
    </row>
    <row r="478" spans="99:99" ht="14.25" customHeight="1" x14ac:dyDescent="0.2">
      <c r="CU478" s="154"/>
    </row>
    <row r="479" spans="99:99" ht="14.25" customHeight="1" x14ac:dyDescent="0.2">
      <c r="CU479" s="154"/>
    </row>
    <row r="480" spans="99:99" ht="14.25" customHeight="1" x14ac:dyDescent="0.2">
      <c r="CU480" s="154"/>
    </row>
    <row r="481" spans="99:99" ht="14.25" customHeight="1" x14ac:dyDescent="0.2">
      <c r="CU481" s="154"/>
    </row>
    <row r="482" spans="99:99" ht="14.25" customHeight="1" x14ac:dyDescent="0.2">
      <c r="CU482" s="154"/>
    </row>
    <row r="483" spans="99:99" ht="14.25" customHeight="1" x14ac:dyDescent="0.2">
      <c r="CU483" s="154"/>
    </row>
    <row r="484" spans="99:99" ht="14.25" customHeight="1" x14ac:dyDescent="0.2">
      <c r="CU484" s="154"/>
    </row>
    <row r="485" spans="99:99" ht="14.25" customHeight="1" x14ac:dyDescent="0.2">
      <c r="CU485" s="154"/>
    </row>
    <row r="486" spans="99:99" ht="14.25" customHeight="1" x14ac:dyDescent="0.2">
      <c r="CU486" s="154"/>
    </row>
    <row r="487" spans="99:99" ht="14.25" customHeight="1" x14ac:dyDescent="0.2">
      <c r="CU487" s="154"/>
    </row>
    <row r="488" spans="99:99" ht="14.25" customHeight="1" x14ac:dyDescent="0.2">
      <c r="CU488" s="154"/>
    </row>
    <row r="489" spans="99:99" ht="14.25" customHeight="1" x14ac:dyDescent="0.2">
      <c r="CU489" s="154"/>
    </row>
    <row r="490" spans="99:99" ht="14.25" customHeight="1" x14ac:dyDescent="0.2">
      <c r="CU490" s="154"/>
    </row>
    <row r="491" spans="99:99" ht="14.25" customHeight="1" x14ac:dyDescent="0.2">
      <c r="CU491" s="154"/>
    </row>
    <row r="492" spans="99:99" ht="14.25" customHeight="1" x14ac:dyDescent="0.2">
      <c r="CU492" s="154"/>
    </row>
    <row r="493" spans="99:99" ht="14.25" customHeight="1" x14ac:dyDescent="0.2">
      <c r="CU493" s="154"/>
    </row>
    <row r="494" spans="99:99" ht="14.25" customHeight="1" x14ac:dyDescent="0.2">
      <c r="CU494" s="154"/>
    </row>
    <row r="495" spans="99:99" ht="14.25" customHeight="1" x14ac:dyDescent="0.2">
      <c r="CU495" s="154"/>
    </row>
    <row r="496" spans="99:99" ht="14.25" customHeight="1" x14ac:dyDescent="0.2">
      <c r="CU496" s="154"/>
    </row>
    <row r="497" spans="99:99" ht="14.25" customHeight="1" x14ac:dyDescent="0.2">
      <c r="CU497" s="154"/>
    </row>
    <row r="498" spans="99:99" ht="14.25" customHeight="1" x14ac:dyDescent="0.2">
      <c r="CU498" s="154"/>
    </row>
    <row r="499" spans="99:99" ht="14.25" customHeight="1" x14ac:dyDescent="0.2">
      <c r="CU499" s="154"/>
    </row>
    <row r="500" spans="99:99" ht="14.25" customHeight="1" x14ac:dyDescent="0.2">
      <c r="CU500" s="154"/>
    </row>
    <row r="501" spans="99:99" ht="14.25" customHeight="1" x14ac:dyDescent="0.2">
      <c r="CU501" s="154"/>
    </row>
    <row r="502" spans="99:99" ht="14.25" customHeight="1" x14ac:dyDescent="0.2">
      <c r="CU502" s="154"/>
    </row>
    <row r="503" spans="99:99" ht="14.25" customHeight="1" x14ac:dyDescent="0.2">
      <c r="CU503" s="154"/>
    </row>
    <row r="504" spans="99:99" ht="14.25" customHeight="1" x14ac:dyDescent="0.2">
      <c r="CU504" s="154"/>
    </row>
    <row r="505" spans="99:99" ht="14.25" customHeight="1" x14ac:dyDescent="0.2">
      <c r="CU505" s="154"/>
    </row>
    <row r="506" spans="99:99" ht="14.25" customHeight="1" x14ac:dyDescent="0.2">
      <c r="CU506" s="154"/>
    </row>
    <row r="507" spans="99:99" ht="14.25" customHeight="1" x14ac:dyDescent="0.2">
      <c r="CU507" s="154"/>
    </row>
    <row r="508" spans="99:99" ht="14.25" customHeight="1" x14ac:dyDescent="0.2">
      <c r="CU508" s="154"/>
    </row>
    <row r="509" spans="99:99" ht="14.25" customHeight="1" x14ac:dyDescent="0.2">
      <c r="CU509" s="154"/>
    </row>
    <row r="510" spans="99:99" ht="14.25" customHeight="1" x14ac:dyDescent="0.2">
      <c r="CU510" s="154"/>
    </row>
    <row r="511" spans="99:99" ht="14.25" customHeight="1" x14ac:dyDescent="0.2">
      <c r="CU511" s="154"/>
    </row>
    <row r="512" spans="99:99" ht="14.25" customHeight="1" x14ac:dyDescent="0.2">
      <c r="CU512" s="154"/>
    </row>
    <row r="513" spans="99:99" ht="14.25" customHeight="1" x14ac:dyDescent="0.2">
      <c r="CU513" s="154"/>
    </row>
    <row r="514" spans="99:99" ht="14.25" customHeight="1" x14ac:dyDescent="0.2">
      <c r="CU514" s="154"/>
    </row>
    <row r="515" spans="99:99" ht="14.25" customHeight="1" x14ac:dyDescent="0.2">
      <c r="CU515" s="154"/>
    </row>
    <row r="516" spans="99:99" ht="14.25" customHeight="1" x14ac:dyDescent="0.2">
      <c r="CU516" s="154"/>
    </row>
    <row r="517" spans="99:99" ht="14.25" customHeight="1" x14ac:dyDescent="0.2">
      <c r="CU517" s="154"/>
    </row>
    <row r="518" spans="99:99" ht="14.25" customHeight="1" x14ac:dyDescent="0.2">
      <c r="CU518" s="154"/>
    </row>
    <row r="519" spans="99:99" ht="14.25" customHeight="1" x14ac:dyDescent="0.2">
      <c r="CU519" s="154"/>
    </row>
    <row r="520" spans="99:99" ht="14.25" customHeight="1" x14ac:dyDescent="0.2">
      <c r="CU520" s="154"/>
    </row>
    <row r="521" spans="99:99" ht="14.25" customHeight="1" x14ac:dyDescent="0.2">
      <c r="CU521" s="154"/>
    </row>
    <row r="522" spans="99:99" ht="14.25" customHeight="1" x14ac:dyDescent="0.2">
      <c r="CU522" s="154"/>
    </row>
    <row r="523" spans="99:99" ht="14.25" customHeight="1" x14ac:dyDescent="0.2">
      <c r="CU523" s="154"/>
    </row>
    <row r="524" spans="99:99" ht="14.25" customHeight="1" x14ac:dyDescent="0.2">
      <c r="CU524" s="154"/>
    </row>
    <row r="525" spans="99:99" ht="14.25" customHeight="1" x14ac:dyDescent="0.2">
      <c r="CU525" s="154"/>
    </row>
    <row r="526" spans="99:99" ht="14.25" customHeight="1" x14ac:dyDescent="0.2">
      <c r="CU526" s="154"/>
    </row>
    <row r="527" spans="99:99" ht="14.25" customHeight="1" x14ac:dyDescent="0.2">
      <c r="CU527" s="154"/>
    </row>
    <row r="528" spans="99:99" ht="14.25" customHeight="1" x14ac:dyDescent="0.2">
      <c r="CU528" s="154"/>
    </row>
    <row r="529" spans="99:99" ht="14.25" customHeight="1" x14ac:dyDescent="0.2">
      <c r="CU529" s="154"/>
    </row>
    <row r="530" spans="99:99" ht="14.25" customHeight="1" x14ac:dyDescent="0.2">
      <c r="CU530" s="154"/>
    </row>
    <row r="531" spans="99:99" ht="14.25" customHeight="1" x14ac:dyDescent="0.2">
      <c r="CU531" s="154"/>
    </row>
    <row r="532" spans="99:99" ht="14.25" customHeight="1" x14ac:dyDescent="0.2">
      <c r="CU532" s="154"/>
    </row>
    <row r="533" spans="99:99" ht="14.25" customHeight="1" x14ac:dyDescent="0.2">
      <c r="CU533" s="154"/>
    </row>
    <row r="534" spans="99:99" ht="14.25" customHeight="1" x14ac:dyDescent="0.2">
      <c r="CU534" s="154"/>
    </row>
    <row r="535" spans="99:99" ht="14.25" customHeight="1" x14ac:dyDescent="0.2">
      <c r="CU535" s="154"/>
    </row>
    <row r="536" spans="99:99" ht="14.25" customHeight="1" x14ac:dyDescent="0.2">
      <c r="CU536" s="154"/>
    </row>
    <row r="537" spans="99:99" ht="14.25" customHeight="1" x14ac:dyDescent="0.2">
      <c r="CU537" s="154"/>
    </row>
    <row r="538" spans="99:99" ht="14.25" customHeight="1" x14ac:dyDescent="0.2">
      <c r="CU538" s="154"/>
    </row>
    <row r="539" spans="99:99" ht="14.25" customHeight="1" x14ac:dyDescent="0.2">
      <c r="CU539" s="154"/>
    </row>
    <row r="540" spans="99:99" ht="14.25" customHeight="1" x14ac:dyDescent="0.2">
      <c r="CU540" s="154"/>
    </row>
    <row r="541" spans="99:99" ht="14.25" customHeight="1" x14ac:dyDescent="0.2">
      <c r="CU541" s="154"/>
    </row>
    <row r="542" spans="99:99" ht="14.25" customHeight="1" x14ac:dyDescent="0.2">
      <c r="CU542" s="154"/>
    </row>
    <row r="543" spans="99:99" ht="14.25" customHeight="1" x14ac:dyDescent="0.2">
      <c r="CU543" s="154"/>
    </row>
    <row r="544" spans="99:99" ht="14.25" customHeight="1" x14ac:dyDescent="0.2">
      <c r="CU544" s="154"/>
    </row>
    <row r="545" spans="99:99" ht="14.25" customHeight="1" x14ac:dyDescent="0.2">
      <c r="CU545" s="154"/>
    </row>
    <row r="546" spans="99:99" ht="14.25" customHeight="1" x14ac:dyDescent="0.2">
      <c r="CU546" s="154"/>
    </row>
    <row r="547" spans="99:99" ht="14.25" customHeight="1" x14ac:dyDescent="0.2">
      <c r="CU547" s="154"/>
    </row>
    <row r="548" spans="99:99" ht="14.25" customHeight="1" x14ac:dyDescent="0.2">
      <c r="CU548" s="154"/>
    </row>
    <row r="549" spans="99:99" ht="14.25" customHeight="1" x14ac:dyDescent="0.2">
      <c r="CU549" s="154"/>
    </row>
    <row r="550" spans="99:99" ht="14.25" customHeight="1" x14ac:dyDescent="0.2">
      <c r="CU550" s="154"/>
    </row>
    <row r="551" spans="99:99" ht="14.25" customHeight="1" x14ac:dyDescent="0.2">
      <c r="CU551" s="154"/>
    </row>
    <row r="552" spans="99:99" ht="14.25" customHeight="1" x14ac:dyDescent="0.2">
      <c r="CU552" s="154"/>
    </row>
    <row r="553" spans="99:99" ht="14.25" customHeight="1" x14ac:dyDescent="0.2">
      <c r="CU553" s="154"/>
    </row>
    <row r="554" spans="99:99" ht="14.25" customHeight="1" x14ac:dyDescent="0.2">
      <c r="CU554" s="154"/>
    </row>
    <row r="555" spans="99:99" ht="14.25" customHeight="1" x14ac:dyDescent="0.2">
      <c r="CU555" s="154"/>
    </row>
    <row r="556" spans="99:99" ht="14.25" customHeight="1" x14ac:dyDescent="0.2">
      <c r="CU556" s="154"/>
    </row>
    <row r="557" spans="99:99" ht="14.25" customHeight="1" x14ac:dyDescent="0.2">
      <c r="CU557" s="154"/>
    </row>
    <row r="558" spans="99:99" ht="14.25" customHeight="1" x14ac:dyDescent="0.2">
      <c r="CU558" s="154"/>
    </row>
    <row r="559" spans="99:99" ht="14.25" customHeight="1" x14ac:dyDescent="0.2">
      <c r="CU559" s="154"/>
    </row>
    <row r="560" spans="99:99" ht="14.25" customHeight="1" x14ac:dyDescent="0.2">
      <c r="CU560" s="154"/>
    </row>
    <row r="561" spans="99:99" ht="14.25" customHeight="1" x14ac:dyDescent="0.2">
      <c r="CU561" s="154"/>
    </row>
    <row r="562" spans="99:99" ht="14.25" customHeight="1" x14ac:dyDescent="0.2">
      <c r="CU562" s="154"/>
    </row>
    <row r="563" spans="99:99" ht="14.25" customHeight="1" x14ac:dyDescent="0.2">
      <c r="CU563" s="154"/>
    </row>
    <row r="564" spans="99:99" ht="14.25" customHeight="1" x14ac:dyDescent="0.2">
      <c r="CU564" s="154"/>
    </row>
    <row r="565" spans="99:99" ht="14.25" customHeight="1" x14ac:dyDescent="0.2">
      <c r="CU565" s="154"/>
    </row>
    <row r="566" spans="99:99" ht="14.25" customHeight="1" x14ac:dyDescent="0.2">
      <c r="CU566" s="154"/>
    </row>
    <row r="567" spans="99:99" ht="14.25" customHeight="1" x14ac:dyDescent="0.2">
      <c r="CU567" s="154"/>
    </row>
    <row r="568" spans="99:99" ht="14.25" customHeight="1" x14ac:dyDescent="0.2">
      <c r="CU568" s="154"/>
    </row>
    <row r="569" spans="99:99" ht="14.25" customHeight="1" x14ac:dyDescent="0.2">
      <c r="CU569" s="154"/>
    </row>
    <row r="570" spans="99:99" ht="14.25" customHeight="1" x14ac:dyDescent="0.2">
      <c r="CU570" s="154"/>
    </row>
    <row r="571" spans="99:99" ht="14.25" customHeight="1" x14ac:dyDescent="0.2">
      <c r="CU571" s="154"/>
    </row>
    <row r="572" spans="99:99" ht="14.25" customHeight="1" x14ac:dyDescent="0.2">
      <c r="CU572" s="154"/>
    </row>
    <row r="573" spans="99:99" ht="14.25" customHeight="1" x14ac:dyDescent="0.2">
      <c r="CU573" s="154"/>
    </row>
    <row r="574" spans="99:99" ht="14.25" customHeight="1" x14ac:dyDescent="0.2">
      <c r="CU574" s="154"/>
    </row>
    <row r="575" spans="99:99" ht="14.25" customHeight="1" x14ac:dyDescent="0.2">
      <c r="CU575" s="154"/>
    </row>
    <row r="576" spans="99:99" ht="14.25" customHeight="1" x14ac:dyDescent="0.2">
      <c r="CU576" s="154"/>
    </row>
    <row r="577" spans="99:99" ht="14.25" customHeight="1" x14ac:dyDescent="0.2">
      <c r="CU577" s="154"/>
    </row>
    <row r="578" spans="99:99" ht="14.25" customHeight="1" x14ac:dyDescent="0.2">
      <c r="CU578" s="154"/>
    </row>
    <row r="579" spans="99:99" ht="14.25" customHeight="1" x14ac:dyDescent="0.2">
      <c r="CU579" s="154"/>
    </row>
    <row r="580" spans="99:99" ht="14.25" customHeight="1" x14ac:dyDescent="0.2">
      <c r="CU580" s="154"/>
    </row>
    <row r="581" spans="99:99" ht="14.25" customHeight="1" x14ac:dyDescent="0.2">
      <c r="CU581" s="154"/>
    </row>
    <row r="582" spans="99:99" ht="14.25" customHeight="1" x14ac:dyDescent="0.2">
      <c r="CU582" s="154"/>
    </row>
    <row r="583" spans="99:99" ht="14.25" customHeight="1" x14ac:dyDescent="0.2">
      <c r="CU583" s="154"/>
    </row>
    <row r="584" spans="99:99" ht="14.25" customHeight="1" x14ac:dyDescent="0.2">
      <c r="CU584" s="154"/>
    </row>
    <row r="585" spans="99:99" ht="14.25" customHeight="1" x14ac:dyDescent="0.2">
      <c r="CU585" s="154"/>
    </row>
    <row r="586" spans="99:99" ht="14.25" customHeight="1" x14ac:dyDescent="0.2">
      <c r="CU586" s="154"/>
    </row>
    <row r="587" spans="99:99" ht="14.25" customHeight="1" x14ac:dyDescent="0.2">
      <c r="CU587" s="154"/>
    </row>
    <row r="588" spans="99:99" ht="14.25" customHeight="1" x14ac:dyDescent="0.2">
      <c r="CU588" s="154"/>
    </row>
    <row r="589" spans="99:99" ht="14.25" customHeight="1" x14ac:dyDescent="0.2">
      <c r="CU589" s="154"/>
    </row>
    <row r="590" spans="99:99" ht="14.25" customHeight="1" x14ac:dyDescent="0.2">
      <c r="CU590" s="154"/>
    </row>
    <row r="591" spans="99:99" ht="14.25" customHeight="1" x14ac:dyDescent="0.2">
      <c r="CU591" s="154"/>
    </row>
    <row r="592" spans="99:99" ht="14.25" customHeight="1" x14ac:dyDescent="0.2">
      <c r="CU592" s="154"/>
    </row>
    <row r="593" spans="99:99" ht="14.25" customHeight="1" x14ac:dyDescent="0.2">
      <c r="CU593" s="154"/>
    </row>
    <row r="594" spans="99:99" ht="14.25" customHeight="1" x14ac:dyDescent="0.2">
      <c r="CU594" s="154"/>
    </row>
    <row r="595" spans="99:99" ht="14.25" customHeight="1" x14ac:dyDescent="0.2">
      <c r="CU595" s="154"/>
    </row>
    <row r="596" spans="99:99" ht="14.25" customHeight="1" x14ac:dyDescent="0.2">
      <c r="CU596" s="154"/>
    </row>
    <row r="597" spans="99:99" ht="14.25" customHeight="1" x14ac:dyDescent="0.2">
      <c r="CU597" s="154"/>
    </row>
    <row r="598" spans="99:99" ht="14.25" customHeight="1" x14ac:dyDescent="0.2">
      <c r="CU598" s="154"/>
    </row>
    <row r="599" spans="99:99" ht="14.25" customHeight="1" x14ac:dyDescent="0.2">
      <c r="CU599" s="154"/>
    </row>
    <row r="600" spans="99:99" ht="14.25" customHeight="1" x14ac:dyDescent="0.2">
      <c r="CU600" s="154"/>
    </row>
    <row r="601" spans="99:99" ht="14.25" customHeight="1" x14ac:dyDescent="0.2">
      <c r="CU601" s="154"/>
    </row>
    <row r="602" spans="99:99" ht="14.25" customHeight="1" x14ac:dyDescent="0.2">
      <c r="CU602" s="154"/>
    </row>
    <row r="603" spans="99:99" ht="14.25" customHeight="1" x14ac:dyDescent="0.2">
      <c r="CU603" s="154"/>
    </row>
    <row r="604" spans="99:99" ht="14.25" customHeight="1" x14ac:dyDescent="0.2">
      <c r="CU604" s="154"/>
    </row>
    <row r="605" spans="99:99" ht="14.25" customHeight="1" x14ac:dyDescent="0.2">
      <c r="CU605" s="154"/>
    </row>
    <row r="606" spans="99:99" ht="14.25" customHeight="1" x14ac:dyDescent="0.2">
      <c r="CU606" s="154"/>
    </row>
    <row r="607" spans="99:99" ht="14.25" customHeight="1" x14ac:dyDescent="0.2">
      <c r="CU607" s="154"/>
    </row>
    <row r="608" spans="99:99" ht="14.25" customHeight="1" x14ac:dyDescent="0.2">
      <c r="CU608" s="154"/>
    </row>
    <row r="609" spans="99:99" ht="14.25" customHeight="1" x14ac:dyDescent="0.2">
      <c r="CU609" s="154"/>
    </row>
    <row r="610" spans="99:99" ht="14.25" customHeight="1" x14ac:dyDescent="0.2">
      <c r="CU610" s="154"/>
    </row>
    <row r="611" spans="99:99" ht="14.25" customHeight="1" x14ac:dyDescent="0.2">
      <c r="CU611" s="154"/>
    </row>
    <row r="612" spans="99:99" ht="14.25" customHeight="1" x14ac:dyDescent="0.2">
      <c r="CU612" s="154"/>
    </row>
    <row r="613" spans="99:99" ht="14.25" customHeight="1" x14ac:dyDescent="0.2">
      <c r="CU613" s="154"/>
    </row>
    <row r="614" spans="99:99" ht="14.25" customHeight="1" x14ac:dyDescent="0.2">
      <c r="CU614" s="154"/>
    </row>
    <row r="615" spans="99:99" ht="14.25" customHeight="1" x14ac:dyDescent="0.2">
      <c r="CU615" s="154"/>
    </row>
    <row r="616" spans="99:99" ht="14.25" customHeight="1" x14ac:dyDescent="0.2">
      <c r="CU616" s="154"/>
    </row>
    <row r="617" spans="99:99" ht="14.25" customHeight="1" x14ac:dyDescent="0.2">
      <c r="CU617" s="154"/>
    </row>
    <row r="618" spans="99:99" ht="14.25" customHeight="1" x14ac:dyDescent="0.2">
      <c r="CU618" s="154"/>
    </row>
    <row r="619" spans="99:99" ht="14.25" customHeight="1" x14ac:dyDescent="0.2">
      <c r="CU619" s="154"/>
    </row>
    <row r="620" spans="99:99" ht="14.25" customHeight="1" x14ac:dyDescent="0.2">
      <c r="CU620" s="154"/>
    </row>
    <row r="621" spans="99:99" ht="14.25" customHeight="1" x14ac:dyDescent="0.2">
      <c r="CU621" s="154"/>
    </row>
    <row r="622" spans="99:99" ht="14.25" customHeight="1" x14ac:dyDescent="0.2">
      <c r="CU622" s="154"/>
    </row>
    <row r="623" spans="99:99" ht="14.25" customHeight="1" x14ac:dyDescent="0.2">
      <c r="CU623" s="154"/>
    </row>
    <row r="624" spans="99:99" ht="14.25" customHeight="1" x14ac:dyDescent="0.2">
      <c r="CU624" s="154"/>
    </row>
    <row r="625" spans="99:99" ht="14.25" customHeight="1" x14ac:dyDescent="0.2">
      <c r="CU625" s="154"/>
    </row>
    <row r="626" spans="99:99" ht="14.25" customHeight="1" x14ac:dyDescent="0.2">
      <c r="CU626" s="154"/>
    </row>
    <row r="627" spans="99:99" ht="14.25" customHeight="1" x14ac:dyDescent="0.2">
      <c r="CU627" s="154"/>
    </row>
    <row r="628" spans="99:99" ht="14.25" customHeight="1" x14ac:dyDescent="0.2">
      <c r="CU628" s="154"/>
    </row>
    <row r="629" spans="99:99" ht="14.25" customHeight="1" x14ac:dyDescent="0.2">
      <c r="CU629" s="154"/>
    </row>
    <row r="630" spans="99:99" ht="14.25" customHeight="1" x14ac:dyDescent="0.2">
      <c r="CU630" s="154"/>
    </row>
    <row r="631" spans="99:99" ht="14.25" customHeight="1" x14ac:dyDescent="0.2">
      <c r="CU631" s="154"/>
    </row>
    <row r="632" spans="99:99" ht="14.25" customHeight="1" x14ac:dyDescent="0.2">
      <c r="CU632" s="154"/>
    </row>
    <row r="633" spans="99:99" ht="14.25" customHeight="1" x14ac:dyDescent="0.2">
      <c r="CU633" s="154"/>
    </row>
    <row r="634" spans="99:99" ht="14.25" customHeight="1" x14ac:dyDescent="0.2">
      <c r="CU634" s="154"/>
    </row>
    <row r="635" spans="99:99" ht="14.25" customHeight="1" x14ac:dyDescent="0.2">
      <c r="CU635" s="154"/>
    </row>
    <row r="636" spans="99:99" ht="14.25" customHeight="1" x14ac:dyDescent="0.2">
      <c r="CU636" s="154"/>
    </row>
    <row r="637" spans="99:99" ht="14.25" customHeight="1" x14ac:dyDescent="0.2">
      <c r="CU637" s="154"/>
    </row>
    <row r="638" spans="99:99" ht="14.25" customHeight="1" x14ac:dyDescent="0.2">
      <c r="CU638" s="154"/>
    </row>
    <row r="639" spans="99:99" ht="14.25" customHeight="1" x14ac:dyDescent="0.2">
      <c r="CU639" s="154"/>
    </row>
    <row r="640" spans="99:99" ht="14.25" customHeight="1" x14ac:dyDescent="0.2">
      <c r="CU640" s="154"/>
    </row>
    <row r="641" spans="99:99" ht="14.25" customHeight="1" x14ac:dyDescent="0.2">
      <c r="CU641" s="154"/>
    </row>
    <row r="642" spans="99:99" ht="14.25" customHeight="1" x14ac:dyDescent="0.2">
      <c r="CU642" s="154"/>
    </row>
    <row r="643" spans="99:99" ht="14.25" customHeight="1" x14ac:dyDescent="0.2">
      <c r="CU643" s="154"/>
    </row>
    <row r="644" spans="99:99" ht="14.25" customHeight="1" x14ac:dyDescent="0.2">
      <c r="CU644" s="154"/>
    </row>
    <row r="645" spans="99:99" ht="14.25" customHeight="1" x14ac:dyDescent="0.2">
      <c r="CU645" s="154"/>
    </row>
    <row r="646" spans="99:99" ht="14.25" customHeight="1" x14ac:dyDescent="0.2">
      <c r="CU646" s="154"/>
    </row>
    <row r="647" spans="99:99" ht="14.25" customHeight="1" x14ac:dyDescent="0.2">
      <c r="CU647" s="154"/>
    </row>
    <row r="648" spans="99:99" ht="14.25" customHeight="1" x14ac:dyDescent="0.2">
      <c r="CU648" s="154"/>
    </row>
    <row r="649" spans="99:99" ht="14.25" customHeight="1" x14ac:dyDescent="0.2">
      <c r="CU649" s="154"/>
    </row>
    <row r="650" spans="99:99" ht="14.25" customHeight="1" x14ac:dyDescent="0.2">
      <c r="CU650" s="154"/>
    </row>
    <row r="651" spans="99:99" ht="14.25" customHeight="1" x14ac:dyDescent="0.2">
      <c r="CU651" s="154"/>
    </row>
    <row r="652" spans="99:99" ht="14.25" customHeight="1" x14ac:dyDescent="0.2">
      <c r="CU652" s="154"/>
    </row>
    <row r="653" spans="99:99" ht="14.25" customHeight="1" x14ac:dyDescent="0.2">
      <c r="CU653" s="154"/>
    </row>
    <row r="654" spans="99:99" ht="14.25" customHeight="1" x14ac:dyDescent="0.2">
      <c r="CU654" s="154"/>
    </row>
    <row r="655" spans="99:99" ht="14.25" customHeight="1" x14ac:dyDescent="0.2">
      <c r="CU655" s="154"/>
    </row>
    <row r="656" spans="99:99" ht="14.25" customHeight="1" x14ac:dyDescent="0.2">
      <c r="CU656" s="154"/>
    </row>
    <row r="657" spans="99:99" ht="14.25" customHeight="1" x14ac:dyDescent="0.2">
      <c r="CU657" s="154"/>
    </row>
    <row r="658" spans="99:99" ht="14.25" customHeight="1" x14ac:dyDescent="0.2">
      <c r="CU658" s="154"/>
    </row>
    <row r="659" spans="99:99" ht="14.25" customHeight="1" x14ac:dyDescent="0.2">
      <c r="CU659" s="154"/>
    </row>
    <row r="660" spans="99:99" ht="14.25" customHeight="1" x14ac:dyDescent="0.2">
      <c r="CU660" s="154"/>
    </row>
    <row r="661" spans="99:99" ht="14.25" customHeight="1" x14ac:dyDescent="0.2">
      <c r="CU661" s="154"/>
    </row>
    <row r="662" spans="99:99" ht="14.25" customHeight="1" x14ac:dyDescent="0.2">
      <c r="CU662" s="154"/>
    </row>
    <row r="663" spans="99:99" ht="14.25" customHeight="1" x14ac:dyDescent="0.2">
      <c r="CU663" s="154"/>
    </row>
    <row r="664" spans="99:99" ht="14.25" customHeight="1" x14ac:dyDescent="0.2">
      <c r="CU664" s="154"/>
    </row>
    <row r="665" spans="99:99" ht="14.25" customHeight="1" x14ac:dyDescent="0.2">
      <c r="CU665" s="154"/>
    </row>
    <row r="666" spans="99:99" ht="14.25" customHeight="1" x14ac:dyDescent="0.2">
      <c r="CU666" s="154"/>
    </row>
    <row r="667" spans="99:99" ht="14.25" customHeight="1" x14ac:dyDescent="0.2">
      <c r="CU667" s="154"/>
    </row>
    <row r="668" spans="99:99" ht="14.25" customHeight="1" x14ac:dyDescent="0.2">
      <c r="CU668" s="154"/>
    </row>
    <row r="669" spans="99:99" ht="14.25" customHeight="1" x14ac:dyDescent="0.2">
      <c r="CU669" s="154"/>
    </row>
    <row r="670" spans="99:99" ht="14.25" customHeight="1" x14ac:dyDescent="0.2">
      <c r="CU670" s="154"/>
    </row>
    <row r="671" spans="99:99" ht="14.25" customHeight="1" x14ac:dyDescent="0.2">
      <c r="CU671" s="154"/>
    </row>
    <row r="672" spans="99:99" ht="14.25" customHeight="1" x14ac:dyDescent="0.2">
      <c r="CU672" s="154"/>
    </row>
    <row r="673" spans="99:99" ht="14.25" customHeight="1" x14ac:dyDescent="0.2">
      <c r="CU673" s="154"/>
    </row>
    <row r="674" spans="99:99" ht="14.25" customHeight="1" x14ac:dyDescent="0.2">
      <c r="CU674" s="154"/>
    </row>
    <row r="675" spans="99:99" ht="14.25" customHeight="1" x14ac:dyDescent="0.2">
      <c r="CU675" s="154"/>
    </row>
    <row r="676" spans="99:99" ht="14.25" customHeight="1" x14ac:dyDescent="0.2">
      <c r="CU676" s="154"/>
    </row>
    <row r="677" spans="99:99" ht="14.25" customHeight="1" x14ac:dyDescent="0.2">
      <c r="CU677" s="154"/>
    </row>
    <row r="678" spans="99:99" ht="14.25" customHeight="1" x14ac:dyDescent="0.2">
      <c r="CU678" s="154"/>
    </row>
    <row r="679" spans="99:99" ht="14.25" customHeight="1" x14ac:dyDescent="0.2">
      <c r="CU679" s="154"/>
    </row>
    <row r="680" spans="99:99" ht="14.25" customHeight="1" x14ac:dyDescent="0.2">
      <c r="CU680" s="154"/>
    </row>
    <row r="681" spans="99:99" ht="14.25" customHeight="1" x14ac:dyDescent="0.2">
      <c r="CU681" s="154"/>
    </row>
    <row r="682" spans="99:99" ht="14.25" customHeight="1" x14ac:dyDescent="0.2">
      <c r="CU682" s="154"/>
    </row>
    <row r="683" spans="99:99" ht="14.25" customHeight="1" x14ac:dyDescent="0.2">
      <c r="CU683" s="154"/>
    </row>
    <row r="684" spans="99:99" ht="14.25" customHeight="1" x14ac:dyDescent="0.2">
      <c r="CU684" s="154"/>
    </row>
    <row r="685" spans="99:99" ht="14.25" customHeight="1" x14ac:dyDescent="0.2">
      <c r="CU685" s="154"/>
    </row>
    <row r="686" spans="99:99" ht="14.25" customHeight="1" x14ac:dyDescent="0.2">
      <c r="CU686" s="154"/>
    </row>
    <row r="687" spans="99:99" ht="14.25" customHeight="1" x14ac:dyDescent="0.2">
      <c r="CU687" s="154"/>
    </row>
    <row r="688" spans="99:99" ht="14.25" customHeight="1" x14ac:dyDescent="0.2">
      <c r="CU688" s="154"/>
    </row>
    <row r="689" spans="99:99" ht="14.25" customHeight="1" x14ac:dyDescent="0.2">
      <c r="CU689" s="154"/>
    </row>
    <row r="690" spans="99:99" ht="14.25" customHeight="1" x14ac:dyDescent="0.2">
      <c r="CU690" s="154"/>
    </row>
    <row r="691" spans="99:99" ht="14.25" customHeight="1" x14ac:dyDescent="0.2">
      <c r="CU691" s="154"/>
    </row>
    <row r="692" spans="99:99" ht="14.25" customHeight="1" x14ac:dyDescent="0.2">
      <c r="CU692" s="154"/>
    </row>
    <row r="693" spans="99:99" ht="14.25" customHeight="1" x14ac:dyDescent="0.2">
      <c r="CU693" s="154"/>
    </row>
    <row r="694" spans="99:99" ht="14.25" customHeight="1" x14ac:dyDescent="0.2">
      <c r="CU694" s="154"/>
    </row>
    <row r="695" spans="99:99" ht="14.25" customHeight="1" x14ac:dyDescent="0.2">
      <c r="CU695" s="154"/>
    </row>
    <row r="696" spans="99:99" ht="14.25" customHeight="1" x14ac:dyDescent="0.2">
      <c r="CU696" s="154"/>
    </row>
    <row r="697" spans="99:99" ht="14.25" customHeight="1" x14ac:dyDescent="0.2">
      <c r="CU697" s="154"/>
    </row>
    <row r="698" spans="99:99" ht="14.25" customHeight="1" x14ac:dyDescent="0.2">
      <c r="CU698" s="154"/>
    </row>
    <row r="699" spans="99:99" ht="14.25" customHeight="1" x14ac:dyDescent="0.2">
      <c r="CU699" s="154"/>
    </row>
    <row r="700" spans="99:99" ht="14.25" customHeight="1" x14ac:dyDescent="0.2">
      <c r="CU700" s="154"/>
    </row>
    <row r="701" spans="99:99" ht="14.25" customHeight="1" x14ac:dyDescent="0.2">
      <c r="CU701" s="154"/>
    </row>
    <row r="702" spans="99:99" ht="14.25" customHeight="1" x14ac:dyDescent="0.2">
      <c r="CU702" s="154"/>
    </row>
    <row r="703" spans="99:99" ht="14.25" customHeight="1" x14ac:dyDescent="0.2">
      <c r="CU703" s="154"/>
    </row>
    <row r="704" spans="99:99" ht="14.25" customHeight="1" x14ac:dyDescent="0.2">
      <c r="CU704" s="154"/>
    </row>
    <row r="705" spans="99:99" ht="14.25" customHeight="1" x14ac:dyDescent="0.2">
      <c r="CU705" s="154"/>
    </row>
    <row r="706" spans="99:99" ht="14.25" customHeight="1" x14ac:dyDescent="0.2">
      <c r="CU706" s="154"/>
    </row>
    <row r="707" spans="99:99" ht="14.25" customHeight="1" x14ac:dyDescent="0.2">
      <c r="CU707" s="154"/>
    </row>
    <row r="708" spans="99:99" ht="14.25" customHeight="1" x14ac:dyDescent="0.2">
      <c r="CU708" s="154"/>
    </row>
    <row r="709" spans="99:99" ht="14.25" customHeight="1" x14ac:dyDescent="0.2">
      <c r="CU709" s="154"/>
    </row>
    <row r="710" spans="99:99" ht="14.25" customHeight="1" x14ac:dyDescent="0.2">
      <c r="CU710" s="154"/>
    </row>
    <row r="711" spans="99:99" ht="14.25" customHeight="1" x14ac:dyDescent="0.2">
      <c r="CU711" s="154"/>
    </row>
    <row r="712" spans="99:99" ht="14.25" customHeight="1" x14ac:dyDescent="0.2">
      <c r="CU712" s="154"/>
    </row>
    <row r="713" spans="99:99" ht="14.25" customHeight="1" x14ac:dyDescent="0.2">
      <c r="CU713" s="154"/>
    </row>
    <row r="714" spans="99:99" ht="14.25" customHeight="1" x14ac:dyDescent="0.2">
      <c r="CU714" s="154"/>
    </row>
    <row r="715" spans="99:99" ht="14.25" customHeight="1" x14ac:dyDescent="0.2">
      <c r="CU715" s="154"/>
    </row>
    <row r="716" spans="99:99" ht="14.25" customHeight="1" x14ac:dyDescent="0.2">
      <c r="CU716" s="154"/>
    </row>
    <row r="717" spans="99:99" ht="14.25" customHeight="1" x14ac:dyDescent="0.2">
      <c r="CU717" s="154"/>
    </row>
    <row r="718" spans="99:99" ht="14.25" customHeight="1" x14ac:dyDescent="0.2">
      <c r="CU718" s="154"/>
    </row>
    <row r="719" spans="99:99" ht="14.25" customHeight="1" x14ac:dyDescent="0.2">
      <c r="CU719" s="154"/>
    </row>
    <row r="720" spans="99:99" ht="14.25" customHeight="1" x14ac:dyDescent="0.2">
      <c r="CU720" s="154"/>
    </row>
    <row r="721" spans="99:99" ht="14.25" customHeight="1" x14ac:dyDescent="0.2">
      <c r="CU721" s="154"/>
    </row>
    <row r="722" spans="99:99" ht="14.25" customHeight="1" x14ac:dyDescent="0.2">
      <c r="CU722" s="154"/>
    </row>
    <row r="723" spans="99:99" ht="14.25" customHeight="1" x14ac:dyDescent="0.2">
      <c r="CU723" s="154"/>
    </row>
    <row r="724" spans="99:99" ht="14.25" customHeight="1" x14ac:dyDescent="0.2">
      <c r="CU724" s="154"/>
    </row>
    <row r="725" spans="99:99" ht="14.25" customHeight="1" x14ac:dyDescent="0.2">
      <c r="CU725" s="154"/>
    </row>
    <row r="726" spans="99:99" ht="14.25" customHeight="1" x14ac:dyDescent="0.2">
      <c r="CU726" s="154"/>
    </row>
    <row r="727" spans="99:99" ht="14.25" customHeight="1" x14ac:dyDescent="0.2">
      <c r="CU727" s="154"/>
    </row>
    <row r="728" spans="99:99" ht="14.25" customHeight="1" x14ac:dyDescent="0.2">
      <c r="CU728" s="154"/>
    </row>
    <row r="729" spans="99:99" ht="14.25" customHeight="1" x14ac:dyDescent="0.2">
      <c r="CU729" s="154"/>
    </row>
    <row r="730" spans="99:99" ht="14.25" customHeight="1" x14ac:dyDescent="0.2">
      <c r="CU730" s="154"/>
    </row>
    <row r="731" spans="99:99" ht="14.25" customHeight="1" x14ac:dyDescent="0.2">
      <c r="CU731" s="154"/>
    </row>
    <row r="732" spans="99:99" ht="14.25" customHeight="1" x14ac:dyDescent="0.2">
      <c r="CU732" s="154"/>
    </row>
    <row r="733" spans="99:99" ht="14.25" customHeight="1" x14ac:dyDescent="0.2">
      <c r="CU733" s="154"/>
    </row>
    <row r="734" spans="99:99" ht="14.25" customHeight="1" x14ac:dyDescent="0.2">
      <c r="CU734" s="154"/>
    </row>
    <row r="735" spans="99:99" ht="14.25" customHeight="1" x14ac:dyDescent="0.2">
      <c r="CU735" s="154"/>
    </row>
    <row r="736" spans="99:99" ht="14.25" customHeight="1" x14ac:dyDescent="0.2">
      <c r="CU736" s="154"/>
    </row>
    <row r="737" spans="99:99" ht="14.25" customHeight="1" x14ac:dyDescent="0.2">
      <c r="CU737" s="154"/>
    </row>
    <row r="738" spans="99:99" ht="14.25" customHeight="1" x14ac:dyDescent="0.2">
      <c r="CU738" s="154"/>
    </row>
    <row r="739" spans="99:99" ht="14.25" customHeight="1" x14ac:dyDescent="0.2">
      <c r="CU739" s="154"/>
    </row>
    <row r="740" spans="99:99" ht="14.25" customHeight="1" x14ac:dyDescent="0.2">
      <c r="CU740" s="154"/>
    </row>
    <row r="741" spans="99:99" ht="14.25" customHeight="1" x14ac:dyDescent="0.2">
      <c r="CU741" s="154"/>
    </row>
    <row r="742" spans="99:99" ht="14.25" customHeight="1" x14ac:dyDescent="0.2">
      <c r="CU742" s="154"/>
    </row>
    <row r="743" spans="99:99" ht="14.25" customHeight="1" x14ac:dyDescent="0.2">
      <c r="CU743" s="154"/>
    </row>
    <row r="744" spans="99:99" ht="14.25" customHeight="1" x14ac:dyDescent="0.2">
      <c r="CU744" s="154"/>
    </row>
    <row r="745" spans="99:99" ht="14.25" customHeight="1" x14ac:dyDescent="0.2">
      <c r="CU745" s="154"/>
    </row>
    <row r="746" spans="99:99" ht="14.25" customHeight="1" x14ac:dyDescent="0.2">
      <c r="CU746" s="154"/>
    </row>
    <row r="747" spans="99:99" ht="14.25" customHeight="1" x14ac:dyDescent="0.2">
      <c r="CU747" s="154"/>
    </row>
    <row r="748" spans="99:99" ht="14.25" customHeight="1" x14ac:dyDescent="0.2">
      <c r="CU748" s="154"/>
    </row>
    <row r="749" spans="99:99" ht="14.25" customHeight="1" x14ac:dyDescent="0.2">
      <c r="CU749" s="154"/>
    </row>
    <row r="750" spans="99:99" ht="14.25" customHeight="1" x14ac:dyDescent="0.2">
      <c r="CU750" s="154"/>
    </row>
    <row r="751" spans="99:99" ht="14.25" customHeight="1" x14ac:dyDescent="0.2">
      <c r="CU751" s="154"/>
    </row>
    <row r="752" spans="99:99" ht="14.25" customHeight="1" x14ac:dyDescent="0.2">
      <c r="CU752" s="154"/>
    </row>
    <row r="753" spans="99:99" ht="14.25" customHeight="1" x14ac:dyDescent="0.2">
      <c r="CU753" s="154"/>
    </row>
    <row r="754" spans="99:99" ht="14.25" customHeight="1" x14ac:dyDescent="0.2">
      <c r="CU754" s="154"/>
    </row>
    <row r="755" spans="99:99" ht="14.25" customHeight="1" x14ac:dyDescent="0.2">
      <c r="CU755" s="154"/>
    </row>
    <row r="756" spans="99:99" ht="14.25" customHeight="1" x14ac:dyDescent="0.2">
      <c r="CU756" s="154"/>
    </row>
    <row r="757" spans="99:99" ht="14.25" customHeight="1" x14ac:dyDescent="0.2">
      <c r="CU757" s="154"/>
    </row>
    <row r="758" spans="99:99" ht="14.25" customHeight="1" x14ac:dyDescent="0.2">
      <c r="CU758" s="154"/>
    </row>
    <row r="759" spans="99:99" ht="14.25" customHeight="1" x14ac:dyDescent="0.2">
      <c r="CU759" s="154"/>
    </row>
    <row r="760" spans="99:99" ht="14.25" customHeight="1" x14ac:dyDescent="0.2">
      <c r="CU760" s="154"/>
    </row>
    <row r="761" spans="99:99" ht="14.25" customHeight="1" x14ac:dyDescent="0.2">
      <c r="CU761" s="154"/>
    </row>
    <row r="762" spans="99:99" ht="14.25" customHeight="1" x14ac:dyDescent="0.2">
      <c r="CU762" s="154"/>
    </row>
    <row r="763" spans="99:99" ht="14.25" customHeight="1" x14ac:dyDescent="0.2">
      <c r="CU763" s="154"/>
    </row>
    <row r="764" spans="99:99" ht="14.25" customHeight="1" x14ac:dyDescent="0.2">
      <c r="CU764" s="154"/>
    </row>
    <row r="765" spans="99:99" ht="14.25" customHeight="1" x14ac:dyDescent="0.2">
      <c r="CU765" s="154"/>
    </row>
    <row r="766" spans="99:99" ht="14.25" customHeight="1" x14ac:dyDescent="0.2">
      <c r="CU766" s="154"/>
    </row>
    <row r="767" spans="99:99" ht="14.25" customHeight="1" x14ac:dyDescent="0.2">
      <c r="CU767" s="154"/>
    </row>
    <row r="768" spans="99:99" ht="14.25" customHeight="1" x14ac:dyDescent="0.2">
      <c r="CU768" s="154"/>
    </row>
    <row r="769" spans="99:99" ht="14.25" customHeight="1" x14ac:dyDescent="0.2">
      <c r="CU769" s="154"/>
    </row>
    <row r="770" spans="99:99" ht="14.25" customHeight="1" x14ac:dyDescent="0.2">
      <c r="CU770" s="154"/>
    </row>
    <row r="771" spans="99:99" ht="14.25" customHeight="1" x14ac:dyDescent="0.2">
      <c r="CU771" s="154"/>
    </row>
    <row r="772" spans="99:99" ht="14.25" customHeight="1" x14ac:dyDescent="0.2">
      <c r="CU772" s="154"/>
    </row>
    <row r="773" spans="99:99" ht="14.25" customHeight="1" x14ac:dyDescent="0.2">
      <c r="CU773" s="154"/>
    </row>
    <row r="774" spans="99:99" ht="14.25" customHeight="1" x14ac:dyDescent="0.2">
      <c r="CU774" s="154"/>
    </row>
    <row r="775" spans="99:99" ht="14.25" customHeight="1" x14ac:dyDescent="0.2">
      <c r="CU775" s="154"/>
    </row>
    <row r="776" spans="99:99" ht="14.25" customHeight="1" x14ac:dyDescent="0.2">
      <c r="CU776" s="154"/>
    </row>
    <row r="777" spans="99:99" ht="14.25" customHeight="1" x14ac:dyDescent="0.2">
      <c r="CU777" s="154"/>
    </row>
    <row r="778" spans="99:99" ht="14.25" customHeight="1" x14ac:dyDescent="0.2">
      <c r="CU778" s="154"/>
    </row>
    <row r="779" spans="99:99" ht="14.25" customHeight="1" x14ac:dyDescent="0.2">
      <c r="CU779" s="154"/>
    </row>
    <row r="780" spans="99:99" ht="14.25" customHeight="1" x14ac:dyDescent="0.2">
      <c r="CU780" s="154"/>
    </row>
    <row r="781" spans="99:99" ht="14.25" customHeight="1" x14ac:dyDescent="0.2">
      <c r="CU781" s="154"/>
    </row>
    <row r="782" spans="99:99" ht="14.25" customHeight="1" x14ac:dyDescent="0.2">
      <c r="CU782" s="154"/>
    </row>
    <row r="783" spans="99:99" ht="14.25" customHeight="1" x14ac:dyDescent="0.2">
      <c r="CU783" s="154"/>
    </row>
    <row r="784" spans="99:99" ht="14.25" customHeight="1" x14ac:dyDescent="0.2">
      <c r="CU784" s="154"/>
    </row>
    <row r="785" spans="99:99" ht="14.25" customHeight="1" x14ac:dyDescent="0.2">
      <c r="CU785" s="154"/>
    </row>
    <row r="786" spans="99:99" ht="14.25" customHeight="1" x14ac:dyDescent="0.2">
      <c r="CU786" s="154"/>
    </row>
    <row r="787" spans="99:99" ht="14.25" customHeight="1" x14ac:dyDescent="0.2">
      <c r="CU787" s="154"/>
    </row>
    <row r="788" spans="99:99" ht="14.25" customHeight="1" x14ac:dyDescent="0.2">
      <c r="CU788" s="154"/>
    </row>
    <row r="789" spans="99:99" ht="14.25" customHeight="1" x14ac:dyDescent="0.2">
      <c r="CU789" s="154"/>
    </row>
    <row r="790" spans="99:99" ht="14.25" customHeight="1" x14ac:dyDescent="0.2">
      <c r="CU790" s="154"/>
    </row>
    <row r="791" spans="99:99" ht="14.25" customHeight="1" x14ac:dyDescent="0.2">
      <c r="CU791" s="154"/>
    </row>
    <row r="792" spans="99:99" ht="14.25" customHeight="1" x14ac:dyDescent="0.2">
      <c r="CU792" s="154"/>
    </row>
    <row r="793" spans="99:99" ht="14.25" customHeight="1" x14ac:dyDescent="0.2">
      <c r="CU793" s="154"/>
    </row>
    <row r="794" spans="99:99" ht="14.25" customHeight="1" x14ac:dyDescent="0.2">
      <c r="CU794" s="154"/>
    </row>
    <row r="795" spans="99:99" ht="14.25" customHeight="1" x14ac:dyDescent="0.2">
      <c r="CU795" s="154"/>
    </row>
    <row r="796" spans="99:99" ht="14.25" customHeight="1" x14ac:dyDescent="0.2">
      <c r="CU796" s="154"/>
    </row>
    <row r="797" spans="99:99" ht="14.25" customHeight="1" x14ac:dyDescent="0.2">
      <c r="CU797" s="154"/>
    </row>
    <row r="798" spans="99:99" ht="14.25" customHeight="1" x14ac:dyDescent="0.2">
      <c r="CU798" s="154"/>
    </row>
    <row r="799" spans="99:99" ht="14.25" customHeight="1" x14ac:dyDescent="0.2">
      <c r="CU799" s="154"/>
    </row>
    <row r="800" spans="99:99" ht="14.25" customHeight="1" x14ac:dyDescent="0.2">
      <c r="CU800" s="154"/>
    </row>
    <row r="801" spans="99:99" ht="14.25" customHeight="1" x14ac:dyDescent="0.2">
      <c r="CU801" s="154"/>
    </row>
    <row r="802" spans="99:99" ht="14.25" customHeight="1" x14ac:dyDescent="0.2">
      <c r="CU802" s="154"/>
    </row>
    <row r="803" spans="99:99" ht="14.25" customHeight="1" x14ac:dyDescent="0.2">
      <c r="CU803" s="154"/>
    </row>
    <row r="804" spans="99:99" ht="14.25" customHeight="1" x14ac:dyDescent="0.2">
      <c r="CU804" s="154"/>
    </row>
    <row r="805" spans="99:99" ht="14.25" customHeight="1" x14ac:dyDescent="0.2">
      <c r="CU805" s="154"/>
    </row>
    <row r="806" spans="99:99" ht="14.25" customHeight="1" x14ac:dyDescent="0.2">
      <c r="CU806" s="154"/>
    </row>
    <row r="807" spans="99:99" ht="14.25" customHeight="1" x14ac:dyDescent="0.2">
      <c r="CU807" s="154"/>
    </row>
    <row r="808" spans="99:99" ht="14.25" customHeight="1" x14ac:dyDescent="0.2">
      <c r="CU808" s="154"/>
    </row>
    <row r="809" spans="99:99" ht="14.25" customHeight="1" x14ac:dyDescent="0.2">
      <c r="CU809" s="154"/>
    </row>
    <row r="810" spans="99:99" ht="14.25" customHeight="1" x14ac:dyDescent="0.2">
      <c r="CU810" s="154"/>
    </row>
    <row r="811" spans="99:99" ht="14.25" customHeight="1" x14ac:dyDescent="0.2">
      <c r="CU811" s="154"/>
    </row>
    <row r="812" spans="99:99" ht="14.25" customHeight="1" x14ac:dyDescent="0.2">
      <c r="CU812" s="154"/>
    </row>
    <row r="813" spans="99:99" ht="14.25" customHeight="1" x14ac:dyDescent="0.2">
      <c r="CU813" s="154"/>
    </row>
    <row r="814" spans="99:99" ht="14.25" customHeight="1" x14ac:dyDescent="0.2">
      <c r="CU814" s="154"/>
    </row>
    <row r="815" spans="99:99" ht="14.25" customHeight="1" x14ac:dyDescent="0.2">
      <c r="CU815" s="154"/>
    </row>
    <row r="816" spans="99:99" ht="14.25" customHeight="1" x14ac:dyDescent="0.2">
      <c r="CU816" s="154"/>
    </row>
    <row r="817" spans="99:99" ht="14.25" customHeight="1" x14ac:dyDescent="0.2">
      <c r="CU817" s="154"/>
    </row>
    <row r="818" spans="99:99" ht="14.25" customHeight="1" x14ac:dyDescent="0.2">
      <c r="CU818" s="154"/>
    </row>
    <row r="819" spans="99:99" ht="14.25" customHeight="1" x14ac:dyDescent="0.2">
      <c r="CU819" s="154"/>
    </row>
    <row r="820" spans="99:99" ht="14.25" customHeight="1" x14ac:dyDescent="0.2">
      <c r="CU820" s="154"/>
    </row>
    <row r="821" spans="99:99" ht="14.25" customHeight="1" x14ac:dyDescent="0.2">
      <c r="CU821" s="154"/>
    </row>
    <row r="822" spans="99:99" ht="14.25" customHeight="1" x14ac:dyDescent="0.2">
      <c r="CU822" s="154"/>
    </row>
    <row r="823" spans="99:99" ht="14.25" customHeight="1" x14ac:dyDescent="0.2">
      <c r="CU823" s="154"/>
    </row>
    <row r="824" spans="99:99" ht="14.25" customHeight="1" x14ac:dyDescent="0.2">
      <c r="CU824" s="154"/>
    </row>
    <row r="825" spans="99:99" ht="14.25" customHeight="1" x14ac:dyDescent="0.2">
      <c r="CU825" s="154"/>
    </row>
    <row r="826" spans="99:99" ht="14.25" customHeight="1" x14ac:dyDescent="0.2">
      <c r="CU826" s="154"/>
    </row>
    <row r="827" spans="99:99" ht="14.25" customHeight="1" x14ac:dyDescent="0.2">
      <c r="CU827" s="154"/>
    </row>
    <row r="828" spans="99:99" ht="14.25" customHeight="1" x14ac:dyDescent="0.2">
      <c r="CU828" s="154"/>
    </row>
    <row r="829" spans="99:99" ht="14.25" customHeight="1" x14ac:dyDescent="0.2">
      <c r="CU829" s="154"/>
    </row>
    <row r="830" spans="99:99" ht="14.25" customHeight="1" x14ac:dyDescent="0.2">
      <c r="CU830" s="154"/>
    </row>
    <row r="831" spans="99:99" ht="14.25" customHeight="1" x14ac:dyDescent="0.2">
      <c r="CU831" s="154"/>
    </row>
    <row r="832" spans="99:99" ht="14.25" customHeight="1" x14ac:dyDescent="0.2">
      <c r="CU832" s="154"/>
    </row>
    <row r="833" spans="99:99" ht="14.25" customHeight="1" x14ac:dyDescent="0.2">
      <c r="CU833" s="154"/>
    </row>
    <row r="834" spans="99:99" ht="14.25" customHeight="1" x14ac:dyDescent="0.2">
      <c r="CU834" s="154"/>
    </row>
    <row r="835" spans="99:99" ht="14.25" customHeight="1" x14ac:dyDescent="0.2">
      <c r="CU835" s="154"/>
    </row>
    <row r="836" spans="99:99" ht="14.25" customHeight="1" x14ac:dyDescent="0.2">
      <c r="CU836" s="154"/>
    </row>
    <row r="837" spans="99:99" ht="14.25" customHeight="1" x14ac:dyDescent="0.2">
      <c r="CU837" s="154"/>
    </row>
    <row r="838" spans="99:99" ht="14.25" customHeight="1" x14ac:dyDescent="0.2">
      <c r="CU838" s="154"/>
    </row>
    <row r="839" spans="99:99" ht="14.25" customHeight="1" x14ac:dyDescent="0.2">
      <c r="CU839" s="154"/>
    </row>
    <row r="840" spans="99:99" ht="14.25" customHeight="1" x14ac:dyDescent="0.2">
      <c r="CU840" s="154"/>
    </row>
    <row r="841" spans="99:99" ht="14.25" customHeight="1" x14ac:dyDescent="0.2">
      <c r="CU841" s="154"/>
    </row>
    <row r="842" spans="99:99" ht="14.25" customHeight="1" x14ac:dyDescent="0.2">
      <c r="CU842" s="154"/>
    </row>
    <row r="843" spans="99:99" ht="14.25" customHeight="1" x14ac:dyDescent="0.2">
      <c r="CU843" s="154"/>
    </row>
    <row r="844" spans="99:99" ht="14.25" customHeight="1" x14ac:dyDescent="0.2">
      <c r="CU844" s="154"/>
    </row>
    <row r="845" spans="99:99" ht="14.25" customHeight="1" x14ac:dyDescent="0.2">
      <c r="CU845" s="154"/>
    </row>
    <row r="846" spans="99:99" ht="14.25" customHeight="1" x14ac:dyDescent="0.2">
      <c r="CU846" s="154"/>
    </row>
    <row r="847" spans="99:99" ht="14.25" customHeight="1" x14ac:dyDescent="0.2">
      <c r="CU847" s="154"/>
    </row>
    <row r="848" spans="99:99" ht="14.25" customHeight="1" x14ac:dyDescent="0.2">
      <c r="CU848" s="154"/>
    </row>
    <row r="849" spans="99:99" ht="14.25" customHeight="1" x14ac:dyDescent="0.2">
      <c r="CU849" s="154"/>
    </row>
    <row r="850" spans="99:99" ht="14.25" customHeight="1" x14ac:dyDescent="0.2">
      <c r="CU850" s="154"/>
    </row>
    <row r="851" spans="99:99" ht="14.25" customHeight="1" x14ac:dyDescent="0.2">
      <c r="CU851" s="154"/>
    </row>
    <row r="852" spans="99:99" ht="14.25" customHeight="1" x14ac:dyDescent="0.2">
      <c r="CU852" s="154"/>
    </row>
    <row r="853" spans="99:99" ht="14.25" customHeight="1" x14ac:dyDescent="0.2">
      <c r="CU853" s="154"/>
    </row>
    <row r="854" spans="99:99" ht="14.25" customHeight="1" x14ac:dyDescent="0.2">
      <c r="CU854" s="154"/>
    </row>
    <row r="855" spans="99:99" ht="14.25" customHeight="1" x14ac:dyDescent="0.2">
      <c r="CU855" s="154"/>
    </row>
    <row r="856" spans="99:99" ht="14.25" customHeight="1" x14ac:dyDescent="0.2">
      <c r="CU856" s="154"/>
    </row>
    <row r="857" spans="99:99" ht="14.25" customHeight="1" x14ac:dyDescent="0.2">
      <c r="CU857" s="154"/>
    </row>
    <row r="858" spans="99:99" ht="14.25" customHeight="1" x14ac:dyDescent="0.2">
      <c r="CU858" s="154"/>
    </row>
    <row r="859" spans="99:99" ht="14.25" customHeight="1" x14ac:dyDescent="0.2">
      <c r="CU859" s="154"/>
    </row>
    <row r="860" spans="99:99" ht="14.25" customHeight="1" x14ac:dyDescent="0.2">
      <c r="CU860" s="154"/>
    </row>
    <row r="861" spans="99:99" ht="14.25" customHeight="1" x14ac:dyDescent="0.2">
      <c r="CU861" s="154"/>
    </row>
    <row r="862" spans="99:99" ht="14.25" customHeight="1" x14ac:dyDescent="0.2">
      <c r="CU862" s="154"/>
    </row>
    <row r="863" spans="99:99" ht="14.25" customHeight="1" x14ac:dyDescent="0.2">
      <c r="CU863" s="154"/>
    </row>
    <row r="864" spans="99:99" ht="14.25" customHeight="1" x14ac:dyDescent="0.2">
      <c r="CU864" s="154"/>
    </row>
    <row r="865" spans="99:99" ht="14.25" customHeight="1" x14ac:dyDescent="0.2">
      <c r="CU865" s="154"/>
    </row>
    <row r="866" spans="99:99" ht="14.25" customHeight="1" x14ac:dyDescent="0.2">
      <c r="CU866" s="154"/>
    </row>
    <row r="867" spans="99:99" ht="14.25" customHeight="1" x14ac:dyDescent="0.2">
      <c r="CU867" s="154"/>
    </row>
    <row r="868" spans="99:99" ht="14.25" customHeight="1" x14ac:dyDescent="0.2">
      <c r="CU868" s="154"/>
    </row>
    <row r="869" spans="99:99" ht="14.25" customHeight="1" x14ac:dyDescent="0.2">
      <c r="CU869" s="154"/>
    </row>
    <row r="870" spans="99:99" ht="14.25" customHeight="1" x14ac:dyDescent="0.2">
      <c r="CU870" s="154"/>
    </row>
    <row r="871" spans="99:99" ht="14.25" customHeight="1" x14ac:dyDescent="0.2">
      <c r="CU871" s="154"/>
    </row>
    <row r="872" spans="99:99" ht="14.25" customHeight="1" x14ac:dyDescent="0.2">
      <c r="CU872" s="154"/>
    </row>
    <row r="873" spans="99:99" ht="14.25" customHeight="1" x14ac:dyDescent="0.2">
      <c r="CU873" s="154"/>
    </row>
    <row r="874" spans="99:99" ht="14.25" customHeight="1" x14ac:dyDescent="0.2">
      <c r="CU874" s="154"/>
    </row>
    <row r="875" spans="99:99" ht="14.25" customHeight="1" x14ac:dyDescent="0.2">
      <c r="CU875" s="154"/>
    </row>
    <row r="876" spans="99:99" ht="14.25" customHeight="1" x14ac:dyDescent="0.2">
      <c r="CU876" s="154"/>
    </row>
    <row r="877" spans="99:99" ht="14.25" customHeight="1" x14ac:dyDescent="0.2">
      <c r="CU877" s="154"/>
    </row>
    <row r="878" spans="99:99" ht="14.25" customHeight="1" x14ac:dyDescent="0.2">
      <c r="CU878" s="154"/>
    </row>
    <row r="879" spans="99:99" ht="14.25" customHeight="1" x14ac:dyDescent="0.2">
      <c r="CU879" s="154"/>
    </row>
    <row r="880" spans="99:99" ht="14.25" customHeight="1" x14ac:dyDescent="0.2">
      <c r="CU880" s="154"/>
    </row>
    <row r="881" spans="99:99" ht="14.25" customHeight="1" x14ac:dyDescent="0.2">
      <c r="CU881" s="154"/>
    </row>
    <row r="882" spans="99:99" ht="14.25" customHeight="1" x14ac:dyDescent="0.2">
      <c r="CU882" s="154"/>
    </row>
    <row r="883" spans="99:99" ht="14.25" customHeight="1" x14ac:dyDescent="0.2">
      <c r="CU883" s="154"/>
    </row>
    <row r="884" spans="99:99" ht="14.25" customHeight="1" x14ac:dyDescent="0.2">
      <c r="CU884" s="154"/>
    </row>
    <row r="885" spans="99:99" ht="14.25" customHeight="1" x14ac:dyDescent="0.2">
      <c r="CU885" s="154"/>
    </row>
    <row r="886" spans="99:99" ht="14.25" customHeight="1" x14ac:dyDescent="0.2">
      <c r="CU886" s="154"/>
    </row>
    <row r="887" spans="99:99" ht="14.25" customHeight="1" x14ac:dyDescent="0.2">
      <c r="CU887" s="154"/>
    </row>
    <row r="888" spans="99:99" ht="14.25" customHeight="1" x14ac:dyDescent="0.2">
      <c r="CU888" s="154"/>
    </row>
    <row r="889" spans="99:99" ht="14.25" customHeight="1" x14ac:dyDescent="0.2">
      <c r="CU889" s="154"/>
    </row>
    <row r="890" spans="99:99" ht="14.25" customHeight="1" x14ac:dyDescent="0.2">
      <c r="CU890" s="154"/>
    </row>
    <row r="891" spans="99:99" ht="14.25" customHeight="1" x14ac:dyDescent="0.2">
      <c r="CU891" s="154"/>
    </row>
    <row r="892" spans="99:99" ht="14.25" customHeight="1" x14ac:dyDescent="0.2">
      <c r="CU892" s="154"/>
    </row>
    <row r="893" spans="99:99" ht="14.25" customHeight="1" x14ac:dyDescent="0.2">
      <c r="CU893" s="154"/>
    </row>
    <row r="894" spans="99:99" ht="14.25" customHeight="1" x14ac:dyDescent="0.2">
      <c r="CU894" s="154"/>
    </row>
    <row r="895" spans="99:99" ht="14.25" customHeight="1" x14ac:dyDescent="0.2">
      <c r="CU895" s="154"/>
    </row>
    <row r="896" spans="99:99" ht="14.25" customHeight="1" x14ac:dyDescent="0.2">
      <c r="CU896" s="154"/>
    </row>
    <row r="897" spans="99:99" ht="14.25" customHeight="1" x14ac:dyDescent="0.2">
      <c r="CU897" s="154"/>
    </row>
    <row r="898" spans="99:99" ht="14.25" customHeight="1" x14ac:dyDescent="0.2">
      <c r="CU898" s="154"/>
    </row>
    <row r="899" spans="99:99" ht="14.25" customHeight="1" x14ac:dyDescent="0.2">
      <c r="CU899" s="154"/>
    </row>
    <row r="900" spans="99:99" ht="14.25" customHeight="1" x14ac:dyDescent="0.2">
      <c r="CU900" s="154"/>
    </row>
    <row r="901" spans="99:99" ht="14.25" customHeight="1" x14ac:dyDescent="0.2">
      <c r="CU901" s="154"/>
    </row>
    <row r="902" spans="99:99" ht="14.25" customHeight="1" x14ac:dyDescent="0.2">
      <c r="CU902" s="154"/>
    </row>
    <row r="903" spans="99:99" ht="14.25" customHeight="1" x14ac:dyDescent="0.2">
      <c r="CU903" s="154"/>
    </row>
    <row r="904" spans="99:99" ht="14.25" customHeight="1" x14ac:dyDescent="0.2">
      <c r="CU904" s="154"/>
    </row>
    <row r="905" spans="99:99" ht="14.25" customHeight="1" x14ac:dyDescent="0.2">
      <c r="CU905" s="154"/>
    </row>
    <row r="906" spans="99:99" ht="14.25" customHeight="1" x14ac:dyDescent="0.2">
      <c r="CU906" s="154"/>
    </row>
    <row r="907" spans="99:99" ht="14.25" customHeight="1" x14ac:dyDescent="0.2">
      <c r="CU907" s="154"/>
    </row>
    <row r="908" spans="99:99" ht="14.25" customHeight="1" x14ac:dyDescent="0.2">
      <c r="CU908" s="154"/>
    </row>
    <row r="909" spans="99:99" ht="14.25" customHeight="1" x14ac:dyDescent="0.2">
      <c r="CU909" s="154"/>
    </row>
    <row r="910" spans="99:99" ht="14.25" customHeight="1" x14ac:dyDescent="0.2">
      <c r="CU910" s="154"/>
    </row>
    <row r="911" spans="99:99" ht="14.25" customHeight="1" x14ac:dyDescent="0.2">
      <c r="CU911" s="154"/>
    </row>
    <row r="912" spans="99:99" ht="14.25" customHeight="1" x14ac:dyDescent="0.2">
      <c r="CU912" s="154"/>
    </row>
    <row r="913" spans="99:99" ht="14.25" customHeight="1" x14ac:dyDescent="0.2">
      <c r="CU913" s="154"/>
    </row>
    <row r="914" spans="99:99" ht="14.25" customHeight="1" x14ac:dyDescent="0.2">
      <c r="CU914" s="154"/>
    </row>
    <row r="915" spans="99:99" ht="14.25" customHeight="1" x14ac:dyDescent="0.2">
      <c r="CU915" s="154"/>
    </row>
    <row r="916" spans="99:99" ht="14.25" customHeight="1" x14ac:dyDescent="0.2">
      <c r="CU916" s="154"/>
    </row>
    <row r="917" spans="99:99" ht="14.25" customHeight="1" x14ac:dyDescent="0.2">
      <c r="CU917" s="154"/>
    </row>
    <row r="918" spans="99:99" ht="14.25" customHeight="1" x14ac:dyDescent="0.2">
      <c r="CU918" s="154"/>
    </row>
    <row r="919" spans="99:99" ht="14.25" customHeight="1" x14ac:dyDescent="0.2">
      <c r="CU919" s="154"/>
    </row>
    <row r="920" spans="99:99" ht="14.25" customHeight="1" x14ac:dyDescent="0.2">
      <c r="CU920" s="154"/>
    </row>
    <row r="921" spans="99:99" ht="14.25" customHeight="1" x14ac:dyDescent="0.2">
      <c r="CU921" s="154"/>
    </row>
    <row r="922" spans="99:99" ht="14.25" customHeight="1" x14ac:dyDescent="0.2">
      <c r="CU922" s="154"/>
    </row>
    <row r="923" spans="99:99" ht="14.25" customHeight="1" x14ac:dyDescent="0.2">
      <c r="CU923" s="154"/>
    </row>
    <row r="924" spans="99:99" ht="14.25" customHeight="1" x14ac:dyDescent="0.2">
      <c r="CU924" s="154"/>
    </row>
    <row r="925" spans="99:99" ht="14.25" customHeight="1" x14ac:dyDescent="0.2">
      <c r="CU925" s="154"/>
    </row>
    <row r="926" spans="99:99" ht="14.25" customHeight="1" x14ac:dyDescent="0.2">
      <c r="CU926" s="154"/>
    </row>
    <row r="927" spans="99:99" ht="14.25" customHeight="1" x14ac:dyDescent="0.2">
      <c r="CU927" s="154"/>
    </row>
    <row r="928" spans="99:99" ht="14.25" customHeight="1" x14ac:dyDescent="0.2">
      <c r="CU928" s="154"/>
    </row>
    <row r="929" spans="99:99" ht="14.25" customHeight="1" x14ac:dyDescent="0.2">
      <c r="CU929" s="154"/>
    </row>
    <row r="930" spans="99:99" ht="14.25" customHeight="1" x14ac:dyDescent="0.2">
      <c r="CU930" s="154"/>
    </row>
    <row r="931" spans="99:99" ht="14.25" customHeight="1" x14ac:dyDescent="0.2">
      <c r="CU931" s="154"/>
    </row>
    <row r="932" spans="99:99" ht="14.25" customHeight="1" x14ac:dyDescent="0.2">
      <c r="CU932" s="154"/>
    </row>
    <row r="933" spans="99:99" ht="14.25" customHeight="1" x14ac:dyDescent="0.2">
      <c r="CU933" s="154"/>
    </row>
    <row r="934" spans="99:99" ht="14.25" customHeight="1" x14ac:dyDescent="0.2">
      <c r="CU934" s="154"/>
    </row>
    <row r="935" spans="99:99" ht="14.25" customHeight="1" x14ac:dyDescent="0.2">
      <c r="CU935" s="154"/>
    </row>
    <row r="936" spans="99:99" ht="14.25" customHeight="1" x14ac:dyDescent="0.2">
      <c r="CU936" s="154"/>
    </row>
    <row r="937" spans="99:99" ht="14.25" customHeight="1" x14ac:dyDescent="0.2">
      <c r="CU937" s="154"/>
    </row>
    <row r="938" spans="99:99" ht="14.25" customHeight="1" x14ac:dyDescent="0.2">
      <c r="CU938" s="154"/>
    </row>
    <row r="939" spans="99:99" ht="14.25" customHeight="1" x14ac:dyDescent="0.2">
      <c r="CU939" s="154"/>
    </row>
    <row r="940" spans="99:99" ht="14.25" customHeight="1" x14ac:dyDescent="0.2">
      <c r="CU940" s="154"/>
    </row>
    <row r="941" spans="99:99" ht="14.25" customHeight="1" x14ac:dyDescent="0.2">
      <c r="CU941" s="154"/>
    </row>
    <row r="942" spans="99:99" ht="14.25" customHeight="1" x14ac:dyDescent="0.2">
      <c r="CU942" s="154"/>
    </row>
    <row r="943" spans="99:99" ht="14.25" customHeight="1" x14ac:dyDescent="0.2">
      <c r="CU943" s="154"/>
    </row>
    <row r="944" spans="99:99" ht="14.25" customHeight="1" x14ac:dyDescent="0.2">
      <c r="CU944" s="154"/>
    </row>
    <row r="945" spans="99:99" ht="14.25" customHeight="1" x14ac:dyDescent="0.2">
      <c r="CU945" s="154"/>
    </row>
    <row r="946" spans="99:99" ht="14.25" customHeight="1" x14ac:dyDescent="0.2">
      <c r="CU946" s="154"/>
    </row>
    <row r="947" spans="99:99" ht="14.25" customHeight="1" x14ac:dyDescent="0.2">
      <c r="CU947" s="154"/>
    </row>
    <row r="948" spans="99:99" ht="14.25" customHeight="1" x14ac:dyDescent="0.2">
      <c r="CU948" s="154"/>
    </row>
    <row r="949" spans="99:99" ht="14.25" customHeight="1" x14ac:dyDescent="0.2">
      <c r="CU949" s="154"/>
    </row>
    <row r="950" spans="99:99" ht="14.25" customHeight="1" x14ac:dyDescent="0.2">
      <c r="CU950" s="154"/>
    </row>
    <row r="951" spans="99:99" ht="14.25" customHeight="1" x14ac:dyDescent="0.2">
      <c r="CU951" s="154"/>
    </row>
    <row r="952" spans="99:99" ht="14.25" customHeight="1" x14ac:dyDescent="0.2">
      <c r="CU952" s="154"/>
    </row>
    <row r="953" spans="99:99" ht="14.25" customHeight="1" x14ac:dyDescent="0.2">
      <c r="CU953" s="154"/>
    </row>
    <row r="954" spans="99:99" ht="14.25" customHeight="1" x14ac:dyDescent="0.2">
      <c r="CU954" s="154"/>
    </row>
    <row r="955" spans="99:99" ht="14.25" customHeight="1" x14ac:dyDescent="0.2">
      <c r="CU955" s="154"/>
    </row>
    <row r="956" spans="99:99" ht="14.25" customHeight="1" x14ac:dyDescent="0.2">
      <c r="CU956" s="154"/>
    </row>
    <row r="957" spans="99:99" ht="14.25" customHeight="1" x14ac:dyDescent="0.2">
      <c r="CU957" s="154"/>
    </row>
    <row r="958" spans="99:99" ht="14.25" customHeight="1" x14ac:dyDescent="0.2">
      <c r="CU958" s="154"/>
    </row>
    <row r="959" spans="99:99" ht="14.25" customHeight="1" x14ac:dyDescent="0.2">
      <c r="CU959" s="154"/>
    </row>
    <row r="960" spans="99:99" ht="14.25" customHeight="1" x14ac:dyDescent="0.2">
      <c r="CU960" s="154"/>
    </row>
    <row r="961" spans="99:99" ht="14.25" customHeight="1" x14ac:dyDescent="0.2">
      <c r="CU961" s="154"/>
    </row>
    <row r="962" spans="99:99" ht="14.25" customHeight="1" x14ac:dyDescent="0.2">
      <c r="CU962" s="154"/>
    </row>
    <row r="963" spans="99:99" ht="14.25" customHeight="1" x14ac:dyDescent="0.2">
      <c r="CU963" s="154"/>
    </row>
    <row r="964" spans="99:99" ht="14.25" customHeight="1" x14ac:dyDescent="0.2">
      <c r="CU964" s="154"/>
    </row>
    <row r="965" spans="99:99" ht="14.25" customHeight="1" x14ac:dyDescent="0.2">
      <c r="CU965" s="154"/>
    </row>
    <row r="966" spans="99:99" ht="14.25" customHeight="1" x14ac:dyDescent="0.2">
      <c r="CU966" s="154"/>
    </row>
    <row r="967" spans="99:99" ht="14.25" customHeight="1" x14ac:dyDescent="0.2">
      <c r="CU967" s="154"/>
    </row>
    <row r="968" spans="99:99" ht="14.25" customHeight="1" x14ac:dyDescent="0.2">
      <c r="CU968" s="154"/>
    </row>
    <row r="969" spans="99:99" ht="14.25" customHeight="1" x14ac:dyDescent="0.2">
      <c r="CU969" s="154"/>
    </row>
    <row r="970" spans="99:99" ht="14.25" customHeight="1" x14ac:dyDescent="0.2">
      <c r="CU970" s="154"/>
    </row>
    <row r="971" spans="99:99" ht="14.25" customHeight="1" x14ac:dyDescent="0.2">
      <c r="CU971" s="154"/>
    </row>
    <row r="972" spans="99:99" ht="14.25" customHeight="1" x14ac:dyDescent="0.2">
      <c r="CU972" s="154"/>
    </row>
    <row r="973" spans="99:99" ht="14.25" customHeight="1" x14ac:dyDescent="0.2">
      <c r="CU973" s="154"/>
    </row>
    <row r="974" spans="99:99" ht="14.25" customHeight="1" x14ac:dyDescent="0.2">
      <c r="CU974" s="154"/>
    </row>
    <row r="975" spans="99:99" ht="14.25" customHeight="1" x14ac:dyDescent="0.2">
      <c r="CU975" s="154"/>
    </row>
    <row r="976" spans="99:99" ht="14.25" customHeight="1" x14ac:dyDescent="0.2">
      <c r="CU976" s="154"/>
    </row>
    <row r="977" spans="99:99" ht="14.25" customHeight="1" x14ac:dyDescent="0.2">
      <c r="CU977" s="154"/>
    </row>
    <row r="978" spans="99:99" ht="14.25" customHeight="1" x14ac:dyDescent="0.2">
      <c r="CU978" s="154"/>
    </row>
    <row r="979" spans="99:99" ht="14.25" customHeight="1" x14ac:dyDescent="0.2">
      <c r="CU979" s="154"/>
    </row>
    <row r="980" spans="99:99" ht="14.25" customHeight="1" x14ac:dyDescent="0.2">
      <c r="CU980" s="154"/>
    </row>
    <row r="981" spans="99:99" ht="14.25" customHeight="1" x14ac:dyDescent="0.2">
      <c r="CU981" s="154"/>
    </row>
    <row r="982" spans="99:99" ht="14.25" customHeight="1" x14ac:dyDescent="0.2">
      <c r="CU982" s="154"/>
    </row>
    <row r="983" spans="99:99" ht="14.25" customHeight="1" x14ac:dyDescent="0.2">
      <c r="CU983" s="154"/>
    </row>
    <row r="984" spans="99:99" ht="14.25" customHeight="1" x14ac:dyDescent="0.2">
      <c r="CU984" s="154"/>
    </row>
    <row r="985" spans="99:99" ht="14.25" customHeight="1" x14ac:dyDescent="0.2">
      <c r="CU985" s="154"/>
    </row>
    <row r="986" spans="99:99" ht="14.25" customHeight="1" x14ac:dyDescent="0.2">
      <c r="CU986" s="154"/>
    </row>
    <row r="987" spans="99:99" ht="14.25" customHeight="1" x14ac:dyDescent="0.2">
      <c r="CU987" s="154"/>
    </row>
    <row r="988" spans="99:99" ht="14.25" customHeight="1" x14ac:dyDescent="0.2">
      <c r="CU988" s="154"/>
    </row>
    <row r="989" spans="99:99" ht="14.25" customHeight="1" x14ac:dyDescent="0.2">
      <c r="CU989" s="154"/>
    </row>
    <row r="990" spans="99:99" ht="14.25" customHeight="1" x14ac:dyDescent="0.2">
      <c r="CU990" s="154"/>
    </row>
    <row r="991" spans="99:99" ht="14.25" customHeight="1" x14ac:dyDescent="0.2">
      <c r="CU991" s="154"/>
    </row>
    <row r="992" spans="99:99" ht="14.25" customHeight="1" x14ac:dyDescent="0.2">
      <c r="CU992" s="154"/>
    </row>
    <row r="993" spans="99:99" ht="14.25" customHeight="1" x14ac:dyDescent="0.2">
      <c r="CU993" s="154"/>
    </row>
    <row r="994" spans="99:99" ht="14.25" customHeight="1" x14ac:dyDescent="0.2">
      <c r="CU994" s="154"/>
    </row>
    <row r="995" spans="99:99" ht="14.25" customHeight="1" x14ac:dyDescent="0.2">
      <c r="CU995" s="154"/>
    </row>
    <row r="996" spans="99:99" ht="14.25" customHeight="1" x14ac:dyDescent="0.2">
      <c r="CU996" s="154"/>
    </row>
    <row r="997" spans="99:99" ht="14.25" customHeight="1" x14ac:dyDescent="0.2">
      <c r="CU997" s="154"/>
    </row>
    <row r="998" spans="99:99" ht="14.25" customHeight="1" x14ac:dyDescent="0.2">
      <c r="CU998" s="154"/>
    </row>
    <row r="999" spans="99:99" ht="14.25" customHeight="1" x14ac:dyDescent="0.2">
      <c r="CU999" s="154"/>
    </row>
    <row r="1000" spans="99:99" ht="14.25" customHeight="1" x14ac:dyDescent="0.2">
      <c r="CU1000" s="154"/>
    </row>
  </sheetData>
  <mergeCells count="25">
    <mergeCell ref="BP2:BV2"/>
    <mergeCell ref="BW2:CC2"/>
    <mergeCell ref="CD2:CJ2"/>
    <mergeCell ref="B2:K2"/>
    <mergeCell ref="L2:R2"/>
    <mergeCell ref="S2:Y2"/>
    <mergeCell ref="Z2:AF2"/>
    <mergeCell ref="AG2:AM2"/>
    <mergeCell ref="AN2:AT2"/>
    <mergeCell ref="BW60:CC60"/>
    <mergeCell ref="CD60:CJ60"/>
    <mergeCell ref="CK60:CQ60"/>
    <mergeCell ref="CK2:CQ2"/>
    <mergeCell ref="L60:R60"/>
    <mergeCell ref="S60:Y60"/>
    <mergeCell ref="Z60:AF60"/>
    <mergeCell ref="AG60:AM60"/>
    <mergeCell ref="AN60:AT60"/>
    <mergeCell ref="AU60:BA60"/>
    <mergeCell ref="BB60:BH60"/>
    <mergeCell ref="BI60:BO60"/>
    <mergeCell ref="BP60:BV60"/>
    <mergeCell ref="AU2:BA2"/>
    <mergeCell ref="BB2:BH2"/>
    <mergeCell ref="BI2:BO2"/>
  </mergeCells>
  <printOptions horizontalCentered="1"/>
  <pageMargins left="9.8425196850393706E-2" right="9.8425196850393706E-2" top="0.59055118110236227" bottom="0.39370078740157483" header="0" footer="0"/>
  <pageSetup paperSize="9" scale="43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2F7E4-DBA3-4847-9E97-F3E8AC5A98BB}">
  <sheetPr>
    <pageSetUpPr fitToPage="1"/>
  </sheetPr>
  <dimension ref="A1:CU1000"/>
  <sheetViews>
    <sheetView zoomScale="70" zoomScaleNormal="70" workbookViewId="0">
      <pane xSplit="1" ySplit="3" topLeftCell="AQ4" activePane="bottomRight" state="frozen"/>
      <selection pane="topRight" activeCell="B1" sqref="B1"/>
      <selection pane="bottomLeft" activeCell="A4" sqref="A4"/>
      <selection pane="bottomRight" activeCell="AZ56" sqref="AZ56:AZ57"/>
    </sheetView>
  </sheetViews>
  <sheetFormatPr baseColWidth="10" defaultColWidth="14.5" defaultRowHeight="15" customHeight="1" x14ac:dyDescent="0.2"/>
  <cols>
    <col min="1" max="1" width="32.33203125" customWidth="1"/>
    <col min="2" max="79" width="11.5" customWidth="1"/>
    <col min="80" max="80" width="11.33203125" customWidth="1"/>
    <col min="81" max="96" width="11.5" customWidth="1"/>
    <col min="97" max="98" width="10.5" customWidth="1"/>
    <col min="99" max="99" width="2.6640625" customWidth="1"/>
  </cols>
  <sheetData>
    <row r="1" spans="1:99" ht="20" customHeight="1" thickBot="1" x14ac:dyDescent="0.25">
      <c r="A1" s="1" t="s">
        <v>139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45"/>
    </row>
    <row r="2" spans="1:99" ht="14.25" customHeight="1" thickBot="1" x14ac:dyDescent="0.25">
      <c r="A2" s="5"/>
      <c r="B2" s="245"/>
      <c r="C2" s="246"/>
      <c r="D2" s="246"/>
      <c r="E2" s="247"/>
      <c r="F2" s="247"/>
      <c r="G2" s="247"/>
      <c r="H2" s="247"/>
      <c r="I2" s="247"/>
      <c r="J2" s="247"/>
      <c r="K2" s="248"/>
      <c r="L2" s="245" t="s">
        <v>2</v>
      </c>
      <c r="M2" s="246"/>
      <c r="N2" s="246"/>
      <c r="O2" s="246"/>
      <c r="P2" s="246"/>
      <c r="Q2" s="247"/>
      <c r="R2" s="248"/>
      <c r="S2" s="245" t="s">
        <v>3</v>
      </c>
      <c r="T2" s="246"/>
      <c r="U2" s="246"/>
      <c r="V2" s="246"/>
      <c r="W2" s="246"/>
      <c r="X2" s="247"/>
      <c r="Y2" s="248"/>
      <c r="Z2" s="245" t="s">
        <v>4</v>
      </c>
      <c r="AA2" s="246"/>
      <c r="AB2" s="246"/>
      <c r="AC2" s="246"/>
      <c r="AD2" s="246"/>
      <c r="AE2" s="247"/>
      <c r="AF2" s="248"/>
      <c r="AG2" s="245" t="s">
        <v>5</v>
      </c>
      <c r="AH2" s="246"/>
      <c r="AI2" s="246"/>
      <c r="AJ2" s="246"/>
      <c r="AK2" s="246"/>
      <c r="AL2" s="247"/>
      <c r="AM2" s="248"/>
      <c r="AN2" s="245" t="s">
        <v>6</v>
      </c>
      <c r="AO2" s="246"/>
      <c r="AP2" s="246"/>
      <c r="AQ2" s="246"/>
      <c r="AR2" s="246"/>
      <c r="AS2" s="247"/>
      <c r="AT2" s="248"/>
      <c r="AU2" s="245" t="s">
        <v>7</v>
      </c>
      <c r="AV2" s="246"/>
      <c r="AW2" s="246"/>
      <c r="AX2" s="246"/>
      <c r="AY2" s="246"/>
      <c r="AZ2" s="247"/>
      <c r="BA2" s="248"/>
      <c r="BB2" s="245" t="s">
        <v>8</v>
      </c>
      <c r="BC2" s="246"/>
      <c r="BD2" s="246"/>
      <c r="BE2" s="246"/>
      <c r="BF2" s="246"/>
      <c r="BG2" s="247"/>
      <c r="BH2" s="248"/>
      <c r="BI2" s="245" t="s">
        <v>9</v>
      </c>
      <c r="BJ2" s="246"/>
      <c r="BK2" s="246"/>
      <c r="BL2" s="246"/>
      <c r="BM2" s="246"/>
      <c r="BN2" s="247"/>
      <c r="BO2" s="248"/>
      <c r="BP2" s="245" t="s">
        <v>10</v>
      </c>
      <c r="BQ2" s="246"/>
      <c r="BR2" s="246"/>
      <c r="BS2" s="246"/>
      <c r="BT2" s="246"/>
      <c r="BU2" s="247"/>
      <c r="BV2" s="248"/>
      <c r="BW2" s="245" t="s">
        <v>11</v>
      </c>
      <c r="BX2" s="246"/>
      <c r="BY2" s="246"/>
      <c r="BZ2" s="246"/>
      <c r="CA2" s="246"/>
      <c r="CB2" s="247"/>
      <c r="CC2" s="248"/>
      <c r="CD2" s="245" t="s">
        <v>12</v>
      </c>
      <c r="CE2" s="246"/>
      <c r="CF2" s="246"/>
      <c r="CG2" s="246"/>
      <c r="CH2" s="246"/>
      <c r="CI2" s="247"/>
      <c r="CJ2" s="248"/>
      <c r="CK2" s="245" t="s">
        <v>13</v>
      </c>
      <c r="CL2" s="246"/>
      <c r="CM2" s="246"/>
      <c r="CN2" s="246"/>
      <c r="CO2" s="246"/>
      <c r="CP2" s="247"/>
      <c r="CQ2" s="248"/>
    </row>
    <row r="3" spans="1:99" ht="45" customHeight="1" thickBot="1" x14ac:dyDescent="0.25">
      <c r="A3" s="5"/>
      <c r="B3" s="8" t="s">
        <v>14</v>
      </c>
      <c r="C3" s="9" t="s">
        <v>15</v>
      </c>
      <c r="D3" s="10" t="s">
        <v>16</v>
      </c>
      <c r="E3" s="8" t="s">
        <v>17</v>
      </c>
      <c r="F3" s="11" t="s">
        <v>18</v>
      </c>
      <c r="G3" s="12" t="s">
        <v>19</v>
      </c>
      <c r="H3" s="13" t="s">
        <v>20</v>
      </c>
      <c r="I3" s="14" t="s">
        <v>21</v>
      </c>
      <c r="J3" s="14" t="s">
        <v>22</v>
      </c>
      <c r="K3" s="15" t="s">
        <v>23</v>
      </c>
      <c r="L3" s="6" t="s">
        <v>24</v>
      </c>
      <c r="M3" s="14" t="s">
        <v>25</v>
      </c>
      <c r="N3" s="14" t="s">
        <v>26</v>
      </c>
      <c r="O3" s="14" t="s">
        <v>20</v>
      </c>
      <c r="P3" s="14" t="s">
        <v>21</v>
      </c>
      <c r="Q3" s="14" t="s">
        <v>22</v>
      </c>
      <c r="R3" s="15" t="s">
        <v>23</v>
      </c>
      <c r="S3" s="6" t="s">
        <v>24</v>
      </c>
      <c r="T3" s="14" t="s">
        <v>25</v>
      </c>
      <c r="U3" s="14" t="s">
        <v>26</v>
      </c>
      <c r="V3" s="14" t="s">
        <v>20</v>
      </c>
      <c r="W3" s="14" t="s">
        <v>21</v>
      </c>
      <c r="X3" s="14" t="s">
        <v>22</v>
      </c>
      <c r="Y3" s="15" t="s">
        <v>23</v>
      </c>
      <c r="Z3" s="6" t="s">
        <v>24</v>
      </c>
      <c r="AA3" s="14" t="s">
        <v>25</v>
      </c>
      <c r="AB3" s="14" t="s">
        <v>26</v>
      </c>
      <c r="AC3" s="14" t="s">
        <v>20</v>
      </c>
      <c r="AD3" s="14" t="s">
        <v>21</v>
      </c>
      <c r="AE3" s="14" t="s">
        <v>22</v>
      </c>
      <c r="AF3" s="15" t="s">
        <v>23</v>
      </c>
      <c r="AG3" s="6" t="s">
        <v>24</v>
      </c>
      <c r="AH3" s="14" t="s">
        <v>25</v>
      </c>
      <c r="AI3" s="14" t="s">
        <v>26</v>
      </c>
      <c r="AJ3" s="14" t="s">
        <v>20</v>
      </c>
      <c r="AK3" s="14" t="s">
        <v>21</v>
      </c>
      <c r="AL3" s="14" t="s">
        <v>22</v>
      </c>
      <c r="AM3" s="15" t="s">
        <v>23</v>
      </c>
      <c r="AN3" s="6" t="s">
        <v>24</v>
      </c>
      <c r="AO3" s="14" t="s">
        <v>25</v>
      </c>
      <c r="AP3" s="14" t="s">
        <v>26</v>
      </c>
      <c r="AQ3" s="14" t="s">
        <v>20</v>
      </c>
      <c r="AR3" s="14" t="s">
        <v>21</v>
      </c>
      <c r="AS3" s="14" t="s">
        <v>22</v>
      </c>
      <c r="AT3" s="15" t="s">
        <v>23</v>
      </c>
      <c r="AU3" s="6" t="s">
        <v>24</v>
      </c>
      <c r="AV3" s="14" t="s">
        <v>25</v>
      </c>
      <c r="AW3" s="14" t="s">
        <v>26</v>
      </c>
      <c r="AX3" s="14" t="s">
        <v>20</v>
      </c>
      <c r="AY3" s="14" t="s">
        <v>21</v>
      </c>
      <c r="AZ3" s="14" t="s">
        <v>22</v>
      </c>
      <c r="BA3" s="15" t="s">
        <v>23</v>
      </c>
      <c r="BB3" s="6" t="s">
        <v>24</v>
      </c>
      <c r="BC3" s="14" t="s">
        <v>25</v>
      </c>
      <c r="BD3" s="14" t="s">
        <v>26</v>
      </c>
      <c r="BE3" s="14" t="s">
        <v>20</v>
      </c>
      <c r="BF3" s="14" t="s">
        <v>21</v>
      </c>
      <c r="BG3" s="14" t="s">
        <v>22</v>
      </c>
      <c r="BH3" s="15" t="s">
        <v>23</v>
      </c>
      <c r="BI3" s="6" t="s">
        <v>24</v>
      </c>
      <c r="BJ3" s="14" t="s">
        <v>25</v>
      </c>
      <c r="BK3" s="14" t="s">
        <v>26</v>
      </c>
      <c r="BL3" s="14" t="s">
        <v>20</v>
      </c>
      <c r="BM3" s="14" t="s">
        <v>21</v>
      </c>
      <c r="BN3" s="14" t="s">
        <v>22</v>
      </c>
      <c r="BO3" s="15" t="s">
        <v>23</v>
      </c>
      <c r="BP3" s="6" t="s">
        <v>24</v>
      </c>
      <c r="BQ3" s="14" t="s">
        <v>25</v>
      </c>
      <c r="BR3" s="14" t="s">
        <v>26</v>
      </c>
      <c r="BS3" s="14" t="s">
        <v>20</v>
      </c>
      <c r="BT3" s="14" t="s">
        <v>21</v>
      </c>
      <c r="BU3" s="14" t="s">
        <v>22</v>
      </c>
      <c r="BV3" s="15" t="s">
        <v>23</v>
      </c>
      <c r="BW3" s="6" t="s">
        <v>24</v>
      </c>
      <c r="BX3" s="14" t="s">
        <v>25</v>
      </c>
      <c r="BY3" s="14" t="s">
        <v>26</v>
      </c>
      <c r="BZ3" s="14" t="s">
        <v>20</v>
      </c>
      <c r="CA3" s="14" t="s">
        <v>21</v>
      </c>
      <c r="CB3" s="14" t="s">
        <v>22</v>
      </c>
      <c r="CC3" s="15" t="s">
        <v>23</v>
      </c>
      <c r="CD3" s="6" t="s">
        <v>24</v>
      </c>
      <c r="CE3" s="14" t="s">
        <v>25</v>
      </c>
      <c r="CF3" s="14" t="s">
        <v>26</v>
      </c>
      <c r="CG3" s="14" t="s">
        <v>20</v>
      </c>
      <c r="CH3" s="14" t="s">
        <v>21</v>
      </c>
      <c r="CI3" s="14" t="s">
        <v>22</v>
      </c>
      <c r="CJ3" s="15" t="s">
        <v>23</v>
      </c>
      <c r="CK3" s="6" t="s">
        <v>24</v>
      </c>
      <c r="CL3" s="14" t="s">
        <v>25</v>
      </c>
      <c r="CM3" s="14" t="s">
        <v>26</v>
      </c>
      <c r="CN3" s="14" t="s">
        <v>20</v>
      </c>
      <c r="CO3" s="14" t="s">
        <v>21</v>
      </c>
      <c r="CP3" s="14" t="s">
        <v>22</v>
      </c>
      <c r="CQ3" s="15" t="s">
        <v>23</v>
      </c>
    </row>
    <row r="4" spans="1:99" s="26" customFormat="1" ht="14.25" customHeight="1" thickBot="1" x14ac:dyDescent="0.25">
      <c r="A4" s="16" t="s">
        <v>28</v>
      </c>
      <c r="B4" s="17">
        <f t="shared" ref="B4:D35" si="0">+L4+S4+Z4+AG4+AN4+AU4+BB4+BI4+BP4+BW4+CD4+CK4</f>
        <v>1199758.0178112001</v>
      </c>
      <c r="C4" s="18">
        <f t="shared" si="0"/>
        <v>1170723.8737801688</v>
      </c>
      <c r="D4" s="19">
        <f t="shared" si="0"/>
        <v>29034.144031031032</v>
      </c>
      <c r="E4" s="17">
        <f>+L4+S4+Z4+AG4</f>
        <v>422268.23155199992</v>
      </c>
      <c r="F4" s="20">
        <f>+M4+T4+AA4+AH4</f>
        <v>412049.34034844162</v>
      </c>
      <c r="G4" s="21">
        <f>+N4+U4+AB4+AI4</f>
        <v>10218.891203558398</v>
      </c>
      <c r="H4" s="18">
        <f t="shared" ref="H4:J35" si="1">+O4+V4+AC4+AJ4+AQ4+AX4+BE4+BL4+BS4+BZ4+CG4+CN4</f>
        <v>578621.59945799992</v>
      </c>
      <c r="I4" s="20">
        <f t="shared" si="1"/>
        <v>14349.910542000001</v>
      </c>
      <c r="J4" s="20">
        <f t="shared" si="1"/>
        <v>592971.51</v>
      </c>
      <c r="K4" s="25">
        <f t="shared" ref="K4:K54" si="2">IF(E4=0,"",(+J4/E4-1))</f>
        <v>0.40425318717583658</v>
      </c>
      <c r="L4" s="23">
        <f>'[1]STA MARIA'!$E4</f>
        <v>92558.307887999996</v>
      </c>
      <c r="M4" s="18">
        <f>L4-N4</f>
        <v>90318.396837110398</v>
      </c>
      <c r="N4" s="18">
        <f>+L4*2.42%</f>
        <v>2239.9110508895997</v>
      </c>
      <c r="O4" s="18">
        <f>+Q4-P4</f>
        <v>99783.024627999985</v>
      </c>
      <c r="P4" s="18">
        <f>+Q4*2.42%</f>
        <v>2474.6353719999997</v>
      </c>
      <c r="Q4" s="18">
        <f>131760.94-Q5-Q6-Q7-Q8-Q9</f>
        <v>102257.65999999999</v>
      </c>
      <c r="R4" s="18">
        <f t="shared" ref="R4:R54" si="3">IF(L4=0,"",(+Q4/L4-1))</f>
        <v>0.10479180457508663</v>
      </c>
      <c r="S4" s="18">
        <f>'[1]STA MARIA'!$F4</f>
        <v>144593.30788799998</v>
      </c>
      <c r="T4" s="18">
        <f>S4-U4</f>
        <v>141094.1498371104</v>
      </c>
      <c r="U4" s="18">
        <f>+S4*2.42%</f>
        <v>3499.1580508895995</v>
      </c>
      <c r="V4" s="18">
        <f>+X4-W4</f>
        <v>79414.712117999996</v>
      </c>
      <c r="W4" s="18">
        <f>+X4*2.42%</f>
        <v>1969.4978819999997</v>
      </c>
      <c r="X4" s="18">
        <f>113350.61-X5-X6-X7-X8-X9</f>
        <v>81384.209999999992</v>
      </c>
      <c r="Y4" s="18">
        <f t="shared" ref="Y4:Y54" si="4">IF(S4=0,"",(+X4/S4-1))</f>
        <v>-0.43715092220561758</v>
      </c>
      <c r="Z4" s="18">
        <f>'[1]STA MARIA'!$G4</f>
        <v>92558.307887999996</v>
      </c>
      <c r="AA4" s="18">
        <f>Z4-AB4</f>
        <v>90318.396837110398</v>
      </c>
      <c r="AB4" s="18">
        <f>+Z4*2.42%</f>
        <v>2239.9110508895997</v>
      </c>
      <c r="AC4" s="18">
        <f>+AE4-AD4</f>
        <v>112508.17872000001</v>
      </c>
      <c r="AD4" s="18">
        <f>+AE4*2.42%</f>
        <v>2790.2212800000002</v>
      </c>
      <c r="AE4" s="18">
        <f>143565.51-AE5-AE6-AE7-AE8-AE9</f>
        <v>115298.40000000001</v>
      </c>
      <c r="AF4" s="18">
        <f t="shared" ref="AF4:AF54" si="5">IF(Z4=0,"",(+AE4/Z4-1))</f>
        <v>0.24568396539310777</v>
      </c>
      <c r="AG4" s="18">
        <f>'[1]STA MARIA'!$H4</f>
        <v>92558.307887999996</v>
      </c>
      <c r="AH4" s="18">
        <f>AG4-AI4</f>
        <v>90318.396837110398</v>
      </c>
      <c r="AI4" s="18">
        <f>+AG4*2.42%</f>
        <v>2239.9110508895997</v>
      </c>
      <c r="AJ4" s="18">
        <f>+AL4-AK4</f>
        <v>82400.289314000009</v>
      </c>
      <c r="AK4" s="18">
        <f>+AL4*2.42%</f>
        <v>2043.5406860000001</v>
      </c>
      <c r="AL4" s="18">
        <f>111929.99-AL5-AL6-AL7-AL8-AL9</f>
        <v>84443.83</v>
      </c>
      <c r="AM4" s="18">
        <f t="shared" ref="AM4:AM54" si="6">IF(AG4=0,"",(+AL4/AG4-1))</f>
        <v>-8.7668822747050457E-2</v>
      </c>
      <c r="AN4" s="18">
        <f>'[1]STA MARIA'!$I4</f>
        <v>92558.307887999996</v>
      </c>
      <c r="AO4" s="18">
        <f>AN4-AP4</f>
        <v>90318.396837110398</v>
      </c>
      <c r="AP4" s="18">
        <f>+AN4*2.42%</f>
        <v>2239.9110508895997</v>
      </c>
      <c r="AQ4" s="18">
        <f>+AS4-AR4</f>
        <v>104430.623416</v>
      </c>
      <c r="AR4" s="18">
        <f>+AS4*2.42%</f>
        <v>2589.8965840000001</v>
      </c>
      <c r="AS4" s="20">
        <v>107020.52</v>
      </c>
      <c r="AT4" s="25">
        <f t="shared" ref="AT4:AT54" si="7">IF(AN4=0,"",(+AS4/AN4-1))</f>
        <v>0.15624974615460752</v>
      </c>
      <c r="AU4" s="23">
        <f>'[1]STA MARIA'!$J4</f>
        <v>92558.307887999996</v>
      </c>
      <c r="AV4" s="18">
        <f>AU4-AW4</f>
        <v>90318.396837110398</v>
      </c>
      <c r="AW4" s="18">
        <f>+AU4*2.42%</f>
        <v>2239.9110508895997</v>
      </c>
      <c r="AX4" s="18">
        <f>+AZ4-AY4</f>
        <v>100084.77126199999</v>
      </c>
      <c r="AY4" s="18">
        <f>+AZ4*2.42%</f>
        <v>2482.1187380000001</v>
      </c>
      <c r="AZ4" s="24">
        <v>102566.89</v>
      </c>
      <c r="BA4" s="25">
        <f t="shared" ref="BA4:BA54" si="8">IF(AU4=0,"",(+AZ4/AU4-1))</f>
        <v>0.10813272563399567</v>
      </c>
      <c r="BB4" s="23">
        <f>'[1]STA MARIA'!$K4</f>
        <v>92558.307887999996</v>
      </c>
      <c r="BC4" s="18">
        <f>BB4-BD4</f>
        <v>90318.396837110398</v>
      </c>
      <c r="BD4" s="18">
        <f>+BB4*2.42%</f>
        <v>2239.9110508895997</v>
      </c>
      <c r="BE4" s="18">
        <f>+BG4-BF4</f>
        <v>0</v>
      </c>
      <c r="BF4" s="18">
        <f>+BG4*2.42%</f>
        <v>0</v>
      </c>
      <c r="BG4" s="20"/>
      <c r="BH4" s="25">
        <f t="shared" ref="BH4:BH54" si="9">IF(BB4=0,"",(+BG4/BB4-1))</f>
        <v>-1</v>
      </c>
      <c r="BI4" s="23">
        <f>'[1]STA MARIA'!$L4</f>
        <v>99962.972519040006</v>
      </c>
      <c r="BJ4" s="18">
        <f>BI4-BK4</f>
        <v>97543.868584079231</v>
      </c>
      <c r="BK4" s="18">
        <f>+BI4*2.42%</f>
        <v>2419.1039349607681</v>
      </c>
      <c r="BL4" s="18">
        <f>+BN4-BM4</f>
        <v>0</v>
      </c>
      <c r="BM4" s="18">
        <f>+BN4*2.42%</f>
        <v>0</v>
      </c>
      <c r="BN4" s="20"/>
      <c r="BO4" s="25">
        <f t="shared" ref="BO4:BO54" si="10">IF(BI4=0,"",(+BN4/BI4-1))</f>
        <v>-1</v>
      </c>
      <c r="BP4" s="23">
        <f>'[1]STA MARIA'!$M4</f>
        <v>99962.972519040006</v>
      </c>
      <c r="BQ4" s="18">
        <f>BP4-BR4</f>
        <v>97543.868584079231</v>
      </c>
      <c r="BR4" s="18">
        <f>+BP4*2.42%</f>
        <v>2419.1039349607681</v>
      </c>
      <c r="BS4" s="18">
        <f>+BU4-BT4</f>
        <v>0</v>
      </c>
      <c r="BT4" s="18">
        <f>+BU4*2.42%</f>
        <v>0</v>
      </c>
      <c r="BU4" s="20"/>
      <c r="BV4" s="25">
        <f t="shared" ref="BV4:BV54" si="11">IF(BP4=0,"",(+BU4/BP4-1))</f>
        <v>-1</v>
      </c>
      <c r="BW4" s="23">
        <f>'[1]STA MARIA'!$N4</f>
        <v>99962.972519040006</v>
      </c>
      <c r="BX4" s="18">
        <f>BW4-BY4</f>
        <v>97543.868584079231</v>
      </c>
      <c r="BY4" s="18">
        <f>+BW4*2.42%</f>
        <v>2419.1039349607681</v>
      </c>
      <c r="BZ4" s="18">
        <f>+CB4-CA4</f>
        <v>0</v>
      </c>
      <c r="CA4" s="18">
        <f>+CB4*2.42%</f>
        <v>0</v>
      </c>
      <c r="CB4" s="20"/>
      <c r="CC4" s="25">
        <f t="shared" ref="CC4:CC54" si="12">IF(BW4=0,"",(+CB4/BW4-1))</f>
        <v>-1</v>
      </c>
      <c r="CD4" s="23">
        <f>'[1]STA MARIA'!$O4</f>
        <v>99962.972519040006</v>
      </c>
      <c r="CE4" s="18">
        <f>CD4-CF4</f>
        <v>97543.868584079231</v>
      </c>
      <c r="CF4" s="18">
        <f>+CD4*2.42%</f>
        <v>2419.1039349607681</v>
      </c>
      <c r="CG4" s="18">
        <f>+CI4-CH4</f>
        <v>0</v>
      </c>
      <c r="CH4" s="18">
        <f>+CI4*2.42%</f>
        <v>0</v>
      </c>
      <c r="CI4" s="20"/>
      <c r="CJ4" s="25">
        <f t="shared" ref="CJ4:CJ54" si="13">IF(CD4=0,"",(+CI4/CD4-1))</f>
        <v>-1</v>
      </c>
      <c r="CK4" s="23">
        <f>'[1]STA MARIA'!$P4</f>
        <v>99962.972519040006</v>
      </c>
      <c r="CL4" s="18">
        <f>CK4-CM4</f>
        <v>97543.868584079231</v>
      </c>
      <c r="CM4" s="18">
        <f>+CK4*2.42%</f>
        <v>2419.1039349607681</v>
      </c>
      <c r="CN4" s="18">
        <f>+CP4-CO4</f>
        <v>0</v>
      </c>
      <c r="CO4" s="18">
        <f>+CP4*2.42%</f>
        <v>0</v>
      </c>
      <c r="CP4" s="20"/>
      <c r="CQ4" s="25">
        <f t="shared" ref="CQ4:CQ54" si="14">IF(CK4=0,"",(+CP4/CK4-1))</f>
        <v>-1</v>
      </c>
    </row>
    <row r="5" spans="1:99" s="26" customFormat="1" ht="14.25" customHeight="1" thickBot="1" x14ac:dyDescent="0.25">
      <c r="A5" s="29" t="s">
        <v>29</v>
      </c>
      <c r="B5" s="30">
        <f t="shared" si="0"/>
        <v>80000</v>
      </c>
      <c r="C5" s="31">
        <f t="shared" si="0"/>
        <v>78064.000000000015</v>
      </c>
      <c r="D5" s="32">
        <f t="shared" si="0"/>
        <v>1935.9999999999998</v>
      </c>
      <c r="E5" s="30">
        <f t="shared" ref="E5:G36" si="15">+L5+S5+Z5+AG5</f>
        <v>26666.666666666668</v>
      </c>
      <c r="F5" s="33">
        <f t="shared" si="15"/>
        <v>26021.333333333336</v>
      </c>
      <c r="G5" s="34">
        <f t="shared" si="15"/>
        <v>645.33333333333337</v>
      </c>
      <c r="H5" s="31">
        <f t="shared" si="1"/>
        <v>33314.094982000002</v>
      </c>
      <c r="I5" s="33">
        <f t="shared" si="1"/>
        <v>826.19501799999989</v>
      </c>
      <c r="J5" s="33">
        <f t="shared" si="1"/>
        <v>34140.289999999994</v>
      </c>
      <c r="K5" s="37">
        <f t="shared" si="2"/>
        <v>0.28026087499999974</v>
      </c>
      <c r="L5" s="36">
        <f>'[1]STA MARIA'!$E5</f>
        <v>6666.666666666667</v>
      </c>
      <c r="M5" s="31">
        <f t="shared" ref="M5:M54" si="16">L5-N5</f>
        <v>6505.3333333333339</v>
      </c>
      <c r="N5" s="31">
        <f t="shared" ref="N5:N58" si="17">+L5*2.42%</f>
        <v>161.33333333333334</v>
      </c>
      <c r="O5" s="31">
        <f t="shared" ref="O5:O54" si="18">+Q5-P5</f>
        <v>5006.3028679999998</v>
      </c>
      <c r="P5" s="31">
        <f t="shared" ref="P5:P54" si="19">+Q5*2.42%</f>
        <v>124.157132</v>
      </c>
      <c r="Q5" s="31">
        <f>4297.7+832.76</f>
        <v>5130.46</v>
      </c>
      <c r="R5" s="31">
        <f t="shared" si="3"/>
        <v>-0.23043100000000005</v>
      </c>
      <c r="S5" s="31">
        <f>'[1]STA MARIA'!$F5</f>
        <v>6666.666666666667</v>
      </c>
      <c r="T5" s="31">
        <f t="shared" ref="T5:T54" si="20">S5-U5</f>
        <v>6505.3333333333339</v>
      </c>
      <c r="U5" s="31">
        <f t="shared" ref="U5:U58" si="21">+S5*2.42%</f>
        <v>161.33333333333334</v>
      </c>
      <c r="V5" s="31">
        <f t="shared" ref="V5:V54" si="22">+X5-W5</f>
        <v>3694.954522</v>
      </c>
      <c r="W5" s="31">
        <f t="shared" ref="W5:W54" si="23">+X5*2.42%</f>
        <v>91.635478000000006</v>
      </c>
      <c r="X5" s="31">
        <f>3786.59+0</f>
        <v>3786.59</v>
      </c>
      <c r="Y5" s="31">
        <f t="shared" si="4"/>
        <v>-0.43201149999999999</v>
      </c>
      <c r="Z5" s="31">
        <f>'[1]STA MARIA'!$G5</f>
        <v>6666.666666666667</v>
      </c>
      <c r="AA5" s="31">
        <f t="shared" ref="AA5:AA54" si="24">Z5-AB5</f>
        <v>6505.3333333333339</v>
      </c>
      <c r="AB5" s="31">
        <f t="shared" ref="AB5:AB58" si="25">+Z5*2.42%</f>
        <v>161.33333333333334</v>
      </c>
      <c r="AC5" s="31">
        <f t="shared" ref="AC5:AC54" si="26">+AE5-AD5</f>
        <v>7818.6267739999994</v>
      </c>
      <c r="AD5" s="31">
        <f t="shared" ref="AD5:AD54" si="27">+AE5*2.42%</f>
        <v>193.90322599999999</v>
      </c>
      <c r="AE5" s="31">
        <f>6666.94+1345.59</f>
        <v>8012.53</v>
      </c>
      <c r="AF5" s="31">
        <f t="shared" si="5"/>
        <v>0.20187949999999999</v>
      </c>
      <c r="AG5" s="31">
        <f>'[1]STA MARIA'!$H5</f>
        <v>6666.666666666667</v>
      </c>
      <c r="AH5" s="31">
        <f t="shared" ref="AH5:AH54" si="28">AG5-AI5</f>
        <v>6505.3333333333339</v>
      </c>
      <c r="AI5" s="31">
        <f t="shared" ref="AI5:AI58" si="29">+AG5*2.42%</f>
        <v>161.33333333333334</v>
      </c>
      <c r="AJ5" s="31">
        <f t="shared" ref="AJ5:AJ54" si="30">+AL5-AK5</f>
        <v>5934.0642339999995</v>
      </c>
      <c r="AK5" s="31">
        <f t="shared" ref="AK5:AK54" si="31">+AL5*2.42%</f>
        <v>147.16576599999999</v>
      </c>
      <c r="AL5" s="31">
        <f>6081.23</f>
        <v>6081.23</v>
      </c>
      <c r="AM5" s="31">
        <f t="shared" si="6"/>
        <v>-8.7815500000000157E-2</v>
      </c>
      <c r="AN5" s="31">
        <f>'[1]STA MARIA'!$I5</f>
        <v>6666.666666666667</v>
      </c>
      <c r="AO5" s="31">
        <f t="shared" ref="AO5:AO54" si="32">AN5-AP5</f>
        <v>6505.3333333333339</v>
      </c>
      <c r="AP5" s="31">
        <f t="shared" ref="AP5:AP58" si="33">+AN5*2.42%</f>
        <v>161.33333333333334</v>
      </c>
      <c r="AQ5" s="31">
        <f t="shared" ref="AQ5:AQ54" si="34">+AS5-AR5</f>
        <v>5430.073292</v>
      </c>
      <c r="AR5" s="31">
        <f t="shared" ref="AR5:AR54" si="35">+AS5*2.42%</f>
        <v>134.666708</v>
      </c>
      <c r="AS5" s="33">
        <v>5564.74</v>
      </c>
      <c r="AT5" s="37">
        <f t="shared" si="7"/>
        <v>-0.16528900000000002</v>
      </c>
      <c r="AU5" s="36">
        <f>'[1]STA MARIA'!$J5</f>
        <v>6666.666666666667</v>
      </c>
      <c r="AV5" s="31">
        <f t="shared" ref="AV5:AV54" si="36">AU5-AW5</f>
        <v>6505.3333333333339</v>
      </c>
      <c r="AW5" s="18">
        <f t="shared" ref="AW5:AW58" si="37">+AU5*2.42%</f>
        <v>161.33333333333334</v>
      </c>
      <c r="AX5" s="31">
        <f t="shared" ref="AX5:AX54" si="38">+AZ5-AY5</f>
        <v>5430.073292</v>
      </c>
      <c r="AY5" s="31">
        <f t="shared" ref="AY5:AY54" si="39">+AZ5*2.42%</f>
        <v>134.666708</v>
      </c>
      <c r="AZ5" s="27">
        <v>5564.74</v>
      </c>
      <c r="BA5" s="37">
        <f t="shared" si="8"/>
        <v>-0.16528900000000002</v>
      </c>
      <c r="BB5" s="36">
        <f>'[1]STA MARIA'!$K5</f>
        <v>6666.666666666667</v>
      </c>
      <c r="BC5" s="31">
        <f t="shared" ref="BC5:BC54" si="40">BB5-BD5</f>
        <v>6505.3333333333339</v>
      </c>
      <c r="BD5" s="18">
        <f t="shared" ref="BD5:BD58" si="41">+BB5*2.42%</f>
        <v>161.33333333333334</v>
      </c>
      <c r="BE5" s="31">
        <f t="shared" ref="BE5:BE54" si="42">+BG5-BF5</f>
        <v>0</v>
      </c>
      <c r="BF5" s="31">
        <f t="shared" ref="BF5:BF54" si="43">+BG5*2.42%</f>
        <v>0</v>
      </c>
      <c r="BG5" s="33"/>
      <c r="BH5" s="37">
        <f t="shared" si="9"/>
        <v>-1</v>
      </c>
      <c r="BI5" s="36">
        <f>'[1]STA MARIA'!$L5</f>
        <v>6666.666666666667</v>
      </c>
      <c r="BJ5" s="31">
        <f t="shared" ref="BJ5:BJ54" si="44">BI5-BK5</f>
        <v>6505.3333333333339</v>
      </c>
      <c r="BK5" s="18">
        <f t="shared" ref="BK5:BK58" si="45">+BI5*2.42%</f>
        <v>161.33333333333334</v>
      </c>
      <c r="BL5" s="31">
        <f t="shared" ref="BL5:BL54" si="46">+BN5-BM5</f>
        <v>0</v>
      </c>
      <c r="BM5" s="31">
        <f t="shared" ref="BM5:BM54" si="47">+BN5*2.42%</f>
        <v>0</v>
      </c>
      <c r="BN5" s="33"/>
      <c r="BO5" s="37">
        <f t="shared" si="10"/>
        <v>-1</v>
      </c>
      <c r="BP5" s="36">
        <f>'[1]STA MARIA'!$M5</f>
        <v>6666.666666666667</v>
      </c>
      <c r="BQ5" s="31">
        <f t="shared" ref="BQ5:BQ54" si="48">BP5-BR5</f>
        <v>6505.3333333333339</v>
      </c>
      <c r="BR5" s="18">
        <f t="shared" ref="BR5:BR58" si="49">+BP5*2.42%</f>
        <v>161.33333333333334</v>
      </c>
      <c r="BS5" s="31">
        <f t="shared" ref="BS5:BS54" si="50">+BU5-BT5</f>
        <v>0</v>
      </c>
      <c r="BT5" s="31">
        <f t="shared" ref="BT5:BT54" si="51">+BU5*2.42%</f>
        <v>0</v>
      </c>
      <c r="BU5" s="33"/>
      <c r="BV5" s="37">
        <f t="shared" si="11"/>
        <v>-1</v>
      </c>
      <c r="BW5" s="36">
        <f>'[1]STA MARIA'!$N5</f>
        <v>6666.666666666667</v>
      </c>
      <c r="BX5" s="31">
        <f t="shared" ref="BX5:BX54" si="52">BW5-BY5</f>
        <v>6505.3333333333339</v>
      </c>
      <c r="BY5" s="18">
        <f t="shared" ref="BY5:BY58" si="53">+BW5*2.42%</f>
        <v>161.33333333333334</v>
      </c>
      <c r="BZ5" s="31">
        <f t="shared" ref="BZ5:BZ54" si="54">+CB5-CA5</f>
        <v>0</v>
      </c>
      <c r="CA5" s="31">
        <f t="shared" ref="CA5:CA54" si="55">+CB5*2.42%</f>
        <v>0</v>
      </c>
      <c r="CB5" s="33"/>
      <c r="CC5" s="37">
        <f t="shared" si="12"/>
        <v>-1</v>
      </c>
      <c r="CD5" s="36">
        <f>'[1]STA MARIA'!$O5</f>
        <v>6666.666666666667</v>
      </c>
      <c r="CE5" s="31">
        <f t="shared" ref="CE5:CE54" si="56">CD5-CF5</f>
        <v>6505.3333333333339</v>
      </c>
      <c r="CF5" s="18">
        <f t="shared" ref="CF5:CF58" si="57">+CD5*2.42%</f>
        <v>161.33333333333334</v>
      </c>
      <c r="CG5" s="31">
        <f t="shared" ref="CG5:CG54" si="58">+CI5-CH5</f>
        <v>0</v>
      </c>
      <c r="CH5" s="31">
        <f t="shared" ref="CH5:CH54" si="59">+CI5*2.42%</f>
        <v>0</v>
      </c>
      <c r="CI5" s="33"/>
      <c r="CJ5" s="37">
        <f t="shared" si="13"/>
        <v>-1</v>
      </c>
      <c r="CK5" s="36">
        <f>'[1]STA MARIA'!$P5</f>
        <v>6666.666666666667</v>
      </c>
      <c r="CL5" s="31">
        <f t="shared" ref="CL5:CL54" si="60">CK5-CM5</f>
        <v>6505.3333333333339</v>
      </c>
      <c r="CM5" s="18">
        <f t="shared" ref="CM5:CM58" si="61">+CK5*2.42%</f>
        <v>161.33333333333334</v>
      </c>
      <c r="CN5" s="31">
        <f t="shared" ref="CN5:CN54" si="62">+CP5-CO5</f>
        <v>0</v>
      </c>
      <c r="CO5" s="31">
        <f t="shared" ref="CO5:CO54" si="63">+CP5*2.42%</f>
        <v>0</v>
      </c>
      <c r="CP5" s="33"/>
      <c r="CQ5" s="37">
        <f t="shared" si="14"/>
        <v>-1</v>
      </c>
    </row>
    <row r="6" spans="1:99" s="26" customFormat="1" ht="14.25" customHeight="1" thickBot="1" x14ac:dyDescent="0.25">
      <c r="A6" s="29" t="s">
        <v>30</v>
      </c>
      <c r="B6" s="30">
        <f t="shared" si="0"/>
        <v>146293.25713347201</v>
      </c>
      <c r="C6" s="31">
        <f t="shared" si="0"/>
        <v>142752.960310842</v>
      </c>
      <c r="D6" s="32">
        <f t="shared" si="0"/>
        <v>3540.2968226300231</v>
      </c>
      <c r="E6" s="30">
        <f t="shared" si="15"/>
        <v>47286.168967786667</v>
      </c>
      <c r="F6" s="33">
        <f t="shared" si="15"/>
        <v>46141.843678766229</v>
      </c>
      <c r="G6" s="34">
        <f t="shared" si="15"/>
        <v>1144.3252890204374</v>
      </c>
      <c r="H6" s="31">
        <f t="shared" si="1"/>
        <v>68464.557742000005</v>
      </c>
      <c r="I6" s="33">
        <f t="shared" si="1"/>
        <v>1697.932258</v>
      </c>
      <c r="J6" s="33">
        <f t="shared" si="1"/>
        <v>70162.490000000005</v>
      </c>
      <c r="K6" s="37">
        <f t="shared" si="2"/>
        <v>0.4837846146469944</v>
      </c>
      <c r="L6" s="36">
        <f>'[1]STA MARIA'!$E6</f>
        <v>11821.542241946667</v>
      </c>
      <c r="M6" s="31">
        <f t="shared" si="16"/>
        <v>11535.460919691557</v>
      </c>
      <c r="N6" s="31">
        <f t="shared" si="17"/>
        <v>286.08132225510934</v>
      </c>
      <c r="O6" s="31">
        <f t="shared" si="18"/>
        <v>10863.610674000001</v>
      </c>
      <c r="P6" s="31">
        <f t="shared" si="19"/>
        <v>269.41932600000001</v>
      </c>
      <c r="Q6" s="31">
        <v>11133.03</v>
      </c>
      <c r="R6" s="31">
        <f t="shared" si="3"/>
        <v>-5.8242167380124221E-2</v>
      </c>
      <c r="S6" s="31">
        <f>'[1]STA MARIA'!$F6</f>
        <v>11821.542241946667</v>
      </c>
      <c r="T6" s="31">
        <f t="shared" si="20"/>
        <v>11535.460919691557</v>
      </c>
      <c r="U6" s="31">
        <f t="shared" si="21"/>
        <v>286.08132225510934</v>
      </c>
      <c r="V6" s="31">
        <f t="shared" si="22"/>
        <v>10782.794918</v>
      </c>
      <c r="W6" s="31">
        <f t="shared" si="23"/>
        <v>267.41508199999998</v>
      </c>
      <c r="X6" s="31">
        <v>11050.21</v>
      </c>
      <c r="Y6" s="31">
        <f t="shared" si="4"/>
        <v>-6.5248021464553996E-2</v>
      </c>
      <c r="Z6" s="31">
        <f>'[1]STA MARIA'!$G6</f>
        <v>11821.542241946667</v>
      </c>
      <c r="AA6" s="31">
        <f t="shared" si="24"/>
        <v>11535.460919691557</v>
      </c>
      <c r="AB6" s="31">
        <f t="shared" si="25"/>
        <v>286.08132225510934</v>
      </c>
      <c r="AC6" s="31">
        <f t="shared" si="26"/>
        <v>12641.684160000001</v>
      </c>
      <c r="AD6" s="31">
        <f t="shared" si="27"/>
        <v>313.51584000000003</v>
      </c>
      <c r="AE6" s="31">
        <v>12955.2</v>
      </c>
      <c r="AF6" s="31">
        <f t="shared" si="5"/>
        <v>9.5897619350438834E-2</v>
      </c>
      <c r="AG6" s="31">
        <f>'[1]STA MARIA'!$H6</f>
        <v>11821.542241946667</v>
      </c>
      <c r="AH6" s="31">
        <f t="shared" si="28"/>
        <v>11535.460919691557</v>
      </c>
      <c r="AI6" s="31">
        <f t="shared" si="29"/>
        <v>286.08132225510934</v>
      </c>
      <c r="AJ6" s="31">
        <f t="shared" si="30"/>
        <v>10298.124816</v>
      </c>
      <c r="AK6" s="31">
        <f t="shared" si="31"/>
        <v>255.395184</v>
      </c>
      <c r="AL6" s="31">
        <f>10553.52</f>
        <v>10553.52</v>
      </c>
      <c r="AM6" s="31">
        <f t="shared" si="6"/>
        <v>-0.10726368996486024</v>
      </c>
      <c r="AN6" s="31">
        <f>'[1]STA MARIA'!$I6</f>
        <v>11821.542241946667</v>
      </c>
      <c r="AO6" s="31">
        <f t="shared" si="32"/>
        <v>11535.460919691557</v>
      </c>
      <c r="AP6" s="31">
        <f t="shared" si="33"/>
        <v>286.08132225510934</v>
      </c>
      <c r="AQ6" s="31">
        <f t="shared" si="34"/>
        <v>12577.847324</v>
      </c>
      <c r="AR6" s="31">
        <f t="shared" si="35"/>
        <v>311.93267600000001</v>
      </c>
      <c r="AS6" s="33">
        <v>12889.78</v>
      </c>
      <c r="AT6" s="37">
        <f t="shared" si="7"/>
        <v>9.0363654436125929E-2</v>
      </c>
      <c r="AU6" s="36">
        <f>'[1]STA MARIA'!$J6</f>
        <v>11821.542241946667</v>
      </c>
      <c r="AV6" s="31">
        <f t="shared" si="36"/>
        <v>11535.460919691557</v>
      </c>
      <c r="AW6" s="18">
        <f t="shared" si="37"/>
        <v>286.08132225510934</v>
      </c>
      <c r="AX6" s="31">
        <f t="shared" si="38"/>
        <v>11300.495849999999</v>
      </c>
      <c r="AY6" s="31">
        <f t="shared" si="39"/>
        <v>280.25414999999998</v>
      </c>
      <c r="AZ6" s="27">
        <v>11580.75</v>
      </c>
      <c r="BA6" s="37">
        <f t="shared" si="8"/>
        <v>-2.0368936389048908E-2</v>
      </c>
      <c r="BB6" s="36">
        <f>'[1]STA MARIA'!$K6</f>
        <v>11821.542241946667</v>
      </c>
      <c r="BC6" s="31">
        <f t="shared" si="40"/>
        <v>11535.460919691557</v>
      </c>
      <c r="BD6" s="18">
        <f t="shared" si="41"/>
        <v>286.08132225510934</v>
      </c>
      <c r="BE6" s="31">
        <f t="shared" si="42"/>
        <v>0</v>
      </c>
      <c r="BF6" s="31">
        <f t="shared" si="43"/>
        <v>0</v>
      </c>
      <c r="BG6" s="33"/>
      <c r="BH6" s="37">
        <f t="shared" si="9"/>
        <v>-1</v>
      </c>
      <c r="BI6" s="36">
        <f>'[1]STA MARIA'!$L6</f>
        <v>12708.492287969068</v>
      </c>
      <c r="BJ6" s="31">
        <f t="shared" si="44"/>
        <v>12400.946774600216</v>
      </c>
      <c r="BK6" s="18">
        <f t="shared" si="45"/>
        <v>307.5455133688514</v>
      </c>
      <c r="BL6" s="31">
        <f t="shared" si="46"/>
        <v>0</v>
      </c>
      <c r="BM6" s="31">
        <f t="shared" si="47"/>
        <v>0</v>
      </c>
      <c r="BN6" s="33"/>
      <c r="BO6" s="37">
        <f t="shared" si="10"/>
        <v>-1</v>
      </c>
      <c r="BP6" s="36">
        <f>'[1]STA MARIA'!$M6</f>
        <v>12708.492287969068</v>
      </c>
      <c r="BQ6" s="31">
        <f t="shared" si="48"/>
        <v>12400.946774600216</v>
      </c>
      <c r="BR6" s="18">
        <f t="shared" si="49"/>
        <v>307.5455133688514</v>
      </c>
      <c r="BS6" s="31">
        <f t="shared" si="50"/>
        <v>0</v>
      </c>
      <c r="BT6" s="31">
        <f t="shared" si="51"/>
        <v>0</v>
      </c>
      <c r="BU6" s="33"/>
      <c r="BV6" s="37">
        <f t="shared" si="11"/>
        <v>-1</v>
      </c>
      <c r="BW6" s="36">
        <f>'[1]STA MARIA'!$N6</f>
        <v>12708.492287969068</v>
      </c>
      <c r="BX6" s="31">
        <f t="shared" si="52"/>
        <v>12400.946774600216</v>
      </c>
      <c r="BY6" s="18">
        <f t="shared" si="53"/>
        <v>307.5455133688514</v>
      </c>
      <c r="BZ6" s="31">
        <f t="shared" si="54"/>
        <v>0</v>
      </c>
      <c r="CA6" s="31">
        <f t="shared" si="55"/>
        <v>0</v>
      </c>
      <c r="CB6" s="33"/>
      <c r="CC6" s="37">
        <f t="shared" si="12"/>
        <v>-1</v>
      </c>
      <c r="CD6" s="36">
        <f>'[1]STA MARIA'!$O6</f>
        <v>12708.492287969068</v>
      </c>
      <c r="CE6" s="31">
        <f t="shared" si="56"/>
        <v>12400.946774600216</v>
      </c>
      <c r="CF6" s="18">
        <f t="shared" si="57"/>
        <v>307.5455133688514</v>
      </c>
      <c r="CG6" s="31">
        <f t="shared" si="58"/>
        <v>0</v>
      </c>
      <c r="CH6" s="31">
        <f t="shared" si="59"/>
        <v>0</v>
      </c>
      <c r="CI6" s="33"/>
      <c r="CJ6" s="37">
        <f t="shared" si="13"/>
        <v>-1</v>
      </c>
      <c r="CK6" s="36">
        <f>'[1]STA MARIA'!$P6</f>
        <v>12708.492287969068</v>
      </c>
      <c r="CL6" s="31">
        <f t="shared" si="60"/>
        <v>12400.946774600216</v>
      </c>
      <c r="CM6" s="18">
        <f t="shared" si="61"/>
        <v>307.5455133688514</v>
      </c>
      <c r="CN6" s="31">
        <f t="shared" si="62"/>
        <v>0</v>
      </c>
      <c r="CO6" s="31">
        <f t="shared" si="63"/>
        <v>0</v>
      </c>
      <c r="CP6" s="33"/>
      <c r="CQ6" s="37">
        <f t="shared" si="14"/>
        <v>-1</v>
      </c>
    </row>
    <row r="7" spans="1:99" s="26" customFormat="1" ht="14.25" customHeight="1" thickBot="1" x14ac:dyDescent="0.25">
      <c r="A7" s="29" t="s">
        <v>31</v>
      </c>
      <c r="B7" s="30">
        <f t="shared" si="0"/>
        <v>113503.38915527999</v>
      </c>
      <c r="C7" s="31">
        <f t="shared" si="0"/>
        <v>110756.60713772224</v>
      </c>
      <c r="D7" s="32">
        <f t="shared" si="0"/>
        <v>2746.7820175577754</v>
      </c>
      <c r="E7" s="30">
        <f t="shared" si="15"/>
        <v>36687.544888799996</v>
      </c>
      <c r="F7" s="33">
        <f t="shared" si="15"/>
        <v>35799.706302491039</v>
      </c>
      <c r="G7" s="34">
        <f t="shared" si="15"/>
        <v>887.83858630895986</v>
      </c>
      <c r="H7" s="31">
        <f t="shared" si="1"/>
        <v>44294.830929999996</v>
      </c>
      <c r="I7" s="33">
        <f t="shared" si="1"/>
        <v>1098.5190700000001</v>
      </c>
      <c r="J7" s="33">
        <f t="shared" si="1"/>
        <v>45393.35</v>
      </c>
      <c r="K7" s="37">
        <f t="shared" si="2"/>
        <v>0.23729593074672373</v>
      </c>
      <c r="L7" s="36">
        <f>'[1]STA MARIA'!$E7</f>
        <v>9171.8862221999989</v>
      </c>
      <c r="M7" s="31">
        <f t="shared" si="16"/>
        <v>8949.9265756227596</v>
      </c>
      <c r="N7" s="31">
        <f t="shared" si="17"/>
        <v>221.95964657723997</v>
      </c>
      <c r="O7" s="31">
        <f t="shared" si="18"/>
        <v>7279.7900140000002</v>
      </c>
      <c r="P7" s="31">
        <f t="shared" si="19"/>
        <v>180.539986</v>
      </c>
      <c r="Q7" s="31">
        <v>7460.33</v>
      </c>
      <c r="R7" s="31">
        <f t="shared" si="3"/>
        <v>-0.18660896796313065</v>
      </c>
      <c r="S7" s="31">
        <f>'[1]STA MARIA'!$F7</f>
        <v>9171.8862221999989</v>
      </c>
      <c r="T7" s="31">
        <f t="shared" si="20"/>
        <v>8949.9265756227596</v>
      </c>
      <c r="U7" s="31">
        <f t="shared" si="21"/>
        <v>221.95964657723997</v>
      </c>
      <c r="V7" s="31">
        <f t="shared" si="22"/>
        <v>6948.8864760000006</v>
      </c>
      <c r="W7" s="31">
        <f t="shared" si="23"/>
        <v>172.33352400000001</v>
      </c>
      <c r="X7" s="31">
        <f>7121.22</f>
        <v>7121.22</v>
      </c>
      <c r="Y7" s="31">
        <f t="shared" si="4"/>
        <v>-0.22358173362819134</v>
      </c>
      <c r="Z7" s="31">
        <f>'[1]STA MARIA'!$G7</f>
        <v>9171.8862221999989</v>
      </c>
      <c r="AA7" s="31">
        <f t="shared" si="24"/>
        <v>8949.9265756227596</v>
      </c>
      <c r="AB7" s="31">
        <f t="shared" si="25"/>
        <v>221.95964657723997</v>
      </c>
      <c r="AC7" s="31">
        <f t="shared" si="26"/>
        <v>7122.7350040000001</v>
      </c>
      <c r="AD7" s="31">
        <f t="shared" si="27"/>
        <v>176.64499599999999</v>
      </c>
      <c r="AE7" s="31">
        <v>7299.38</v>
      </c>
      <c r="AF7" s="31">
        <f t="shared" si="5"/>
        <v>-0.20415715773574583</v>
      </c>
      <c r="AG7" s="31">
        <f>'[1]STA MARIA'!$H7</f>
        <v>9171.8862221999989</v>
      </c>
      <c r="AH7" s="31">
        <f t="shared" si="28"/>
        <v>8949.9265756227596</v>
      </c>
      <c r="AI7" s="31">
        <f t="shared" si="29"/>
        <v>221.95964657723997</v>
      </c>
      <c r="AJ7" s="31">
        <f t="shared" si="30"/>
        <v>6837.5574539999998</v>
      </c>
      <c r="AK7" s="31">
        <f t="shared" si="31"/>
        <v>169.57254599999999</v>
      </c>
      <c r="AL7" s="31">
        <f>7007.13</f>
        <v>7007.13</v>
      </c>
      <c r="AM7" s="31">
        <f t="shared" si="6"/>
        <v>-0.23602083254808992</v>
      </c>
      <c r="AN7" s="31">
        <f>'[1]STA MARIA'!$I7</f>
        <v>9171.8862221999989</v>
      </c>
      <c r="AO7" s="31">
        <f t="shared" si="32"/>
        <v>8949.9265756227596</v>
      </c>
      <c r="AP7" s="31">
        <f t="shared" si="33"/>
        <v>221.95964657723997</v>
      </c>
      <c r="AQ7" s="31">
        <f t="shared" si="34"/>
        <v>8340.787112</v>
      </c>
      <c r="AR7" s="31">
        <f t="shared" si="35"/>
        <v>206.85288799999998</v>
      </c>
      <c r="AS7" s="33">
        <v>8547.64</v>
      </c>
      <c r="AT7" s="37">
        <f t="shared" si="7"/>
        <v>-6.8060833625372408E-2</v>
      </c>
      <c r="AU7" s="36">
        <f>'[1]STA MARIA'!$J7</f>
        <v>9171.8862221999989</v>
      </c>
      <c r="AV7" s="31">
        <f t="shared" si="36"/>
        <v>8949.9265756227596</v>
      </c>
      <c r="AW7" s="18">
        <f t="shared" si="37"/>
        <v>221.95964657723997</v>
      </c>
      <c r="AX7" s="31">
        <f t="shared" si="38"/>
        <v>7765.0748699999995</v>
      </c>
      <c r="AY7" s="31">
        <f t="shared" si="39"/>
        <v>192.57512999999997</v>
      </c>
      <c r="AZ7" s="27">
        <v>7957.65</v>
      </c>
      <c r="BA7" s="37">
        <f t="shared" si="8"/>
        <v>-0.13238675151257473</v>
      </c>
      <c r="BB7" s="36">
        <f>'[1]STA MARIA'!$K7</f>
        <v>9171.8862221999989</v>
      </c>
      <c r="BC7" s="31">
        <f t="shared" si="40"/>
        <v>8949.9265756227596</v>
      </c>
      <c r="BD7" s="18">
        <f t="shared" si="41"/>
        <v>221.95964657723997</v>
      </c>
      <c r="BE7" s="31">
        <f t="shared" si="42"/>
        <v>0</v>
      </c>
      <c r="BF7" s="31">
        <f t="shared" si="43"/>
        <v>0</v>
      </c>
      <c r="BG7" s="33"/>
      <c r="BH7" s="37">
        <f t="shared" si="9"/>
        <v>-1</v>
      </c>
      <c r="BI7" s="36">
        <f>'[1]STA MARIA'!$L7</f>
        <v>9860.0371199759993</v>
      </c>
      <c r="BJ7" s="31">
        <f t="shared" si="44"/>
        <v>9621.4242216725797</v>
      </c>
      <c r="BK7" s="18">
        <f t="shared" si="45"/>
        <v>238.61289830341917</v>
      </c>
      <c r="BL7" s="31">
        <f t="shared" si="46"/>
        <v>0</v>
      </c>
      <c r="BM7" s="31">
        <f t="shared" si="47"/>
        <v>0</v>
      </c>
      <c r="BN7" s="33"/>
      <c r="BO7" s="37">
        <f t="shared" si="10"/>
        <v>-1</v>
      </c>
      <c r="BP7" s="36">
        <f>'[1]STA MARIA'!$M7</f>
        <v>9860.0371199759993</v>
      </c>
      <c r="BQ7" s="31">
        <f t="shared" si="48"/>
        <v>9621.4242216725797</v>
      </c>
      <c r="BR7" s="18">
        <f t="shared" si="49"/>
        <v>238.61289830341917</v>
      </c>
      <c r="BS7" s="31">
        <f t="shared" si="50"/>
        <v>0</v>
      </c>
      <c r="BT7" s="31">
        <f t="shared" si="51"/>
        <v>0</v>
      </c>
      <c r="BU7" s="33"/>
      <c r="BV7" s="37">
        <f t="shared" si="11"/>
        <v>-1</v>
      </c>
      <c r="BW7" s="36">
        <f>'[1]STA MARIA'!$N7</f>
        <v>9860.0371199759993</v>
      </c>
      <c r="BX7" s="31">
        <f t="shared" si="52"/>
        <v>9621.4242216725797</v>
      </c>
      <c r="BY7" s="18">
        <f t="shared" si="53"/>
        <v>238.61289830341917</v>
      </c>
      <c r="BZ7" s="31">
        <f t="shared" si="54"/>
        <v>0</v>
      </c>
      <c r="CA7" s="31">
        <f t="shared" si="55"/>
        <v>0</v>
      </c>
      <c r="CB7" s="33"/>
      <c r="CC7" s="37">
        <f t="shared" si="12"/>
        <v>-1</v>
      </c>
      <c r="CD7" s="36">
        <f>'[1]STA MARIA'!$O7</f>
        <v>9860.0371199759993</v>
      </c>
      <c r="CE7" s="31">
        <f t="shared" si="56"/>
        <v>9621.4242216725797</v>
      </c>
      <c r="CF7" s="18">
        <f t="shared" si="57"/>
        <v>238.61289830341917</v>
      </c>
      <c r="CG7" s="31">
        <f t="shared" si="58"/>
        <v>0</v>
      </c>
      <c r="CH7" s="31">
        <f t="shared" si="59"/>
        <v>0</v>
      </c>
      <c r="CI7" s="33"/>
      <c r="CJ7" s="37">
        <f t="shared" si="13"/>
        <v>-1</v>
      </c>
      <c r="CK7" s="36">
        <f>'[1]STA MARIA'!$P7</f>
        <v>9860.0371199759993</v>
      </c>
      <c r="CL7" s="31">
        <f t="shared" si="60"/>
        <v>9621.4242216725797</v>
      </c>
      <c r="CM7" s="18">
        <f t="shared" si="61"/>
        <v>238.61289830341917</v>
      </c>
      <c r="CN7" s="31">
        <f t="shared" si="62"/>
        <v>0</v>
      </c>
      <c r="CO7" s="31">
        <f t="shared" si="63"/>
        <v>0</v>
      </c>
      <c r="CP7" s="33"/>
      <c r="CQ7" s="37">
        <f t="shared" si="14"/>
        <v>-1</v>
      </c>
    </row>
    <row r="8" spans="1:99" s="26" customFormat="1" ht="14.25" customHeight="1" thickBot="1" x14ac:dyDescent="0.25">
      <c r="A8" s="38" t="s">
        <v>32</v>
      </c>
      <c r="B8" s="30">
        <f t="shared" si="0"/>
        <v>102185.64256599134</v>
      </c>
      <c r="C8" s="31">
        <f t="shared" si="0"/>
        <v>99712.750015894344</v>
      </c>
      <c r="D8" s="32">
        <f t="shared" si="0"/>
        <v>2472.8925500969904</v>
      </c>
      <c r="E8" s="30">
        <f t="shared" si="15"/>
        <v>0</v>
      </c>
      <c r="F8" s="33">
        <f t="shared" si="15"/>
        <v>0</v>
      </c>
      <c r="G8" s="34">
        <f t="shared" si="15"/>
        <v>0</v>
      </c>
      <c r="H8" s="31">
        <f t="shared" si="1"/>
        <v>1298.4677860000002</v>
      </c>
      <c r="I8" s="33">
        <f t="shared" si="1"/>
        <v>32.202213999999998</v>
      </c>
      <c r="J8" s="33">
        <f t="shared" si="1"/>
        <v>1330.67</v>
      </c>
      <c r="K8" s="37" t="str">
        <f t="shared" si="2"/>
        <v/>
      </c>
      <c r="L8" s="36">
        <f>'[1]STA MARIA'!$E8</f>
        <v>0</v>
      </c>
      <c r="M8" s="31">
        <f t="shared" si="16"/>
        <v>0</v>
      </c>
      <c r="N8" s="31">
        <f t="shared" si="17"/>
        <v>0</v>
      </c>
      <c r="O8" s="31">
        <f t="shared" si="18"/>
        <v>0</v>
      </c>
      <c r="P8" s="31">
        <f t="shared" si="19"/>
        <v>0</v>
      </c>
      <c r="Q8" s="31"/>
      <c r="R8" s="31" t="str">
        <f t="shared" si="3"/>
        <v/>
      </c>
      <c r="S8" s="31">
        <f>'[1]STA MARIA'!$F8</f>
        <v>0</v>
      </c>
      <c r="T8" s="31">
        <f t="shared" si="20"/>
        <v>0</v>
      </c>
      <c r="U8" s="31">
        <f t="shared" si="21"/>
        <v>0</v>
      </c>
      <c r="V8" s="31">
        <f t="shared" si="22"/>
        <v>0</v>
      </c>
      <c r="W8" s="31">
        <f t="shared" si="23"/>
        <v>0</v>
      </c>
      <c r="X8" s="31"/>
      <c r="Y8" s="31" t="str">
        <f t="shared" si="4"/>
        <v/>
      </c>
      <c r="Z8" s="31">
        <f>'[1]STA MARIA'!$G8</f>
        <v>0</v>
      </c>
      <c r="AA8" s="31">
        <f t="shared" si="24"/>
        <v>0</v>
      </c>
      <c r="AB8" s="31">
        <f t="shared" si="25"/>
        <v>0</v>
      </c>
      <c r="AC8" s="31">
        <f t="shared" si="26"/>
        <v>0</v>
      </c>
      <c r="AD8" s="31">
        <f t="shared" si="27"/>
        <v>0</v>
      </c>
      <c r="AE8" s="31"/>
      <c r="AF8" s="31" t="str">
        <f t="shared" si="5"/>
        <v/>
      </c>
      <c r="AG8" s="31">
        <f>'[1]STA MARIA'!$H8</f>
        <v>0</v>
      </c>
      <c r="AH8" s="31">
        <f t="shared" si="28"/>
        <v>0</v>
      </c>
      <c r="AI8" s="31">
        <f t="shared" si="29"/>
        <v>0</v>
      </c>
      <c r="AJ8" s="31">
        <f t="shared" si="30"/>
        <v>0</v>
      </c>
      <c r="AK8" s="31">
        <f t="shared" si="31"/>
        <v>0</v>
      </c>
      <c r="AL8" s="31"/>
      <c r="AM8" s="31" t="str">
        <f t="shared" si="6"/>
        <v/>
      </c>
      <c r="AN8" s="31">
        <f>'[1]STA MARIA'!$I8</f>
        <v>0</v>
      </c>
      <c r="AO8" s="31">
        <f t="shared" si="32"/>
        <v>0</v>
      </c>
      <c r="AP8" s="31">
        <f t="shared" si="33"/>
        <v>0</v>
      </c>
      <c r="AQ8" s="31">
        <f t="shared" si="34"/>
        <v>1298.4677860000002</v>
      </c>
      <c r="AR8" s="31">
        <f t="shared" si="35"/>
        <v>32.202213999999998</v>
      </c>
      <c r="AS8" s="33">
        <v>1330.67</v>
      </c>
      <c r="AT8" s="37" t="str">
        <f t="shared" si="7"/>
        <v/>
      </c>
      <c r="AU8" s="36">
        <f>'[1]STA MARIA'!$J8</f>
        <v>0</v>
      </c>
      <c r="AV8" s="31">
        <f t="shared" si="36"/>
        <v>0</v>
      </c>
      <c r="AW8" s="18">
        <f t="shared" si="37"/>
        <v>0</v>
      </c>
      <c r="AX8" s="31">
        <f t="shared" si="38"/>
        <v>0</v>
      </c>
      <c r="AY8" s="31">
        <f t="shared" si="39"/>
        <v>0</v>
      </c>
      <c r="AZ8" s="27"/>
      <c r="BA8" s="37" t="str">
        <f t="shared" si="8"/>
        <v/>
      </c>
      <c r="BB8" s="36">
        <f>'[1]STA MARIA'!$K8</f>
        <v>102185.64256599134</v>
      </c>
      <c r="BC8" s="31">
        <f t="shared" si="40"/>
        <v>99712.750015894344</v>
      </c>
      <c r="BD8" s="18">
        <f t="shared" si="41"/>
        <v>2472.8925500969904</v>
      </c>
      <c r="BE8" s="31">
        <f t="shared" si="42"/>
        <v>0</v>
      </c>
      <c r="BF8" s="31">
        <f t="shared" si="43"/>
        <v>0</v>
      </c>
      <c r="BG8" s="33"/>
      <c r="BH8" s="37">
        <f t="shared" si="9"/>
        <v>-1</v>
      </c>
      <c r="BI8" s="36">
        <f>'[1]STA MARIA'!$L8</f>
        <v>0</v>
      </c>
      <c r="BJ8" s="31">
        <f t="shared" si="44"/>
        <v>0</v>
      </c>
      <c r="BK8" s="18">
        <f t="shared" si="45"/>
        <v>0</v>
      </c>
      <c r="BL8" s="31">
        <f t="shared" si="46"/>
        <v>0</v>
      </c>
      <c r="BM8" s="31">
        <f t="shared" si="47"/>
        <v>0</v>
      </c>
      <c r="BN8" s="33"/>
      <c r="BO8" s="37" t="str">
        <f t="shared" si="10"/>
        <v/>
      </c>
      <c r="BP8" s="36">
        <f>'[1]STA MARIA'!$M8</f>
        <v>0</v>
      </c>
      <c r="BQ8" s="31">
        <f t="shared" si="48"/>
        <v>0</v>
      </c>
      <c r="BR8" s="18">
        <f t="shared" si="49"/>
        <v>0</v>
      </c>
      <c r="BS8" s="31">
        <f t="shared" si="50"/>
        <v>0</v>
      </c>
      <c r="BT8" s="31">
        <f t="shared" si="51"/>
        <v>0</v>
      </c>
      <c r="BU8" s="33"/>
      <c r="BV8" s="37" t="str">
        <f t="shared" si="11"/>
        <v/>
      </c>
      <c r="BW8" s="36">
        <f>'[1]STA MARIA'!$N8</f>
        <v>0</v>
      </c>
      <c r="BX8" s="31">
        <f t="shared" si="52"/>
        <v>0</v>
      </c>
      <c r="BY8" s="18">
        <f t="shared" si="53"/>
        <v>0</v>
      </c>
      <c r="BZ8" s="31">
        <f t="shared" si="54"/>
        <v>0</v>
      </c>
      <c r="CA8" s="31">
        <f t="shared" si="55"/>
        <v>0</v>
      </c>
      <c r="CB8" s="33"/>
      <c r="CC8" s="37" t="str">
        <f t="shared" si="12"/>
        <v/>
      </c>
      <c r="CD8" s="36">
        <f>'[1]STA MARIA'!$O8</f>
        <v>0</v>
      </c>
      <c r="CE8" s="31">
        <f t="shared" si="56"/>
        <v>0</v>
      </c>
      <c r="CF8" s="18">
        <f t="shared" si="57"/>
        <v>0</v>
      </c>
      <c r="CG8" s="31">
        <f t="shared" si="58"/>
        <v>0</v>
      </c>
      <c r="CH8" s="31">
        <f t="shared" si="59"/>
        <v>0</v>
      </c>
      <c r="CI8" s="33"/>
      <c r="CJ8" s="37" t="str">
        <f t="shared" si="13"/>
        <v/>
      </c>
      <c r="CK8" s="36">
        <f>'[1]STA MARIA'!$P8</f>
        <v>0</v>
      </c>
      <c r="CL8" s="31">
        <f t="shared" si="60"/>
        <v>0</v>
      </c>
      <c r="CM8" s="18">
        <f t="shared" si="61"/>
        <v>0</v>
      </c>
      <c r="CN8" s="31">
        <f t="shared" si="62"/>
        <v>0</v>
      </c>
      <c r="CO8" s="31">
        <f t="shared" si="63"/>
        <v>0</v>
      </c>
      <c r="CP8" s="33"/>
      <c r="CQ8" s="37" t="str">
        <f t="shared" si="14"/>
        <v/>
      </c>
    </row>
    <row r="9" spans="1:99" s="26" customFormat="1" ht="14.25" customHeight="1" thickBot="1" x14ac:dyDescent="0.25">
      <c r="A9" s="38" t="s">
        <v>33</v>
      </c>
      <c r="B9" s="30">
        <f t="shared" si="0"/>
        <v>71155.341037696009</v>
      </c>
      <c r="C9" s="31">
        <f t="shared" si="0"/>
        <v>69433.381784583762</v>
      </c>
      <c r="D9" s="32">
        <f t="shared" si="0"/>
        <v>1721.9592531122437</v>
      </c>
      <c r="E9" s="30">
        <f t="shared" si="15"/>
        <v>22999.443345493335</v>
      </c>
      <c r="F9" s="33">
        <f t="shared" si="15"/>
        <v>22442.856816532396</v>
      </c>
      <c r="G9" s="34">
        <f t="shared" si="15"/>
        <v>556.58652896093872</v>
      </c>
      <c r="H9" s="31">
        <f t="shared" si="1"/>
        <v>19157.022696</v>
      </c>
      <c r="I9" s="33">
        <f t="shared" si="1"/>
        <v>475.09730400000001</v>
      </c>
      <c r="J9" s="33">
        <f t="shared" si="1"/>
        <v>19632.12</v>
      </c>
      <c r="K9" s="37">
        <f t="shared" si="2"/>
        <v>-0.14640890629003644</v>
      </c>
      <c r="L9" s="36">
        <f>'[1]STA MARIA'!$E9</f>
        <v>5749.8608363733338</v>
      </c>
      <c r="M9" s="31">
        <f t="shared" si="16"/>
        <v>5610.714204133099</v>
      </c>
      <c r="N9" s="31">
        <f t="shared" si="17"/>
        <v>139.14663224023468</v>
      </c>
      <c r="O9" s="31">
        <f t="shared" si="18"/>
        <v>5639.597068</v>
      </c>
      <c r="P9" s="31">
        <f t="shared" si="19"/>
        <v>139.862932</v>
      </c>
      <c r="Q9" s="31">
        <f>5779.46</f>
        <v>5779.46</v>
      </c>
      <c r="R9" s="31">
        <f t="shared" si="3"/>
        <v>5.1478052198103974E-3</v>
      </c>
      <c r="S9" s="31">
        <f>'[1]STA MARIA'!$F9</f>
        <v>5749.8608363733338</v>
      </c>
      <c r="T9" s="31">
        <f t="shared" si="20"/>
        <v>5610.714204133099</v>
      </c>
      <c r="U9" s="31">
        <f t="shared" si="21"/>
        <v>139.14663224023468</v>
      </c>
      <c r="V9" s="31">
        <f t="shared" si="22"/>
        <v>9766.1772039999996</v>
      </c>
      <c r="W9" s="31">
        <f t="shared" si="23"/>
        <v>242.20279599999998</v>
      </c>
      <c r="X9" s="31">
        <f>10008.38</f>
        <v>10008.379999999999</v>
      </c>
      <c r="Y9" s="31">
        <f t="shared" si="4"/>
        <v>0.74062995345687055</v>
      </c>
      <c r="Z9" s="31">
        <f>'[1]STA MARIA'!$G9</f>
        <v>5749.8608363733338</v>
      </c>
      <c r="AA9" s="31">
        <f t="shared" si="24"/>
        <v>5610.714204133099</v>
      </c>
      <c r="AB9" s="31">
        <f t="shared" si="25"/>
        <v>139.14663224023468</v>
      </c>
      <c r="AC9" s="31">
        <f t="shared" si="26"/>
        <v>0</v>
      </c>
      <c r="AD9" s="31">
        <f t="shared" si="27"/>
        <v>0</v>
      </c>
      <c r="AE9" s="31"/>
      <c r="AF9" s="31">
        <f t="shared" si="5"/>
        <v>-1</v>
      </c>
      <c r="AG9" s="31">
        <f>'[1]STA MARIA'!$H9</f>
        <v>5749.8608363733338</v>
      </c>
      <c r="AH9" s="31">
        <f t="shared" si="28"/>
        <v>5610.714204133099</v>
      </c>
      <c r="AI9" s="31">
        <f t="shared" si="29"/>
        <v>139.14663224023468</v>
      </c>
      <c r="AJ9" s="31">
        <f t="shared" si="30"/>
        <v>3751.2484240000003</v>
      </c>
      <c r="AK9" s="31">
        <f t="shared" si="31"/>
        <v>93.031576000000001</v>
      </c>
      <c r="AL9" s="31">
        <f>3844.28</f>
        <v>3844.28</v>
      </c>
      <c r="AM9" s="31">
        <f t="shared" si="6"/>
        <v>-0.33141338383682684</v>
      </c>
      <c r="AN9" s="31">
        <f>'[1]STA MARIA'!$I9</f>
        <v>5749.8608363733338</v>
      </c>
      <c r="AO9" s="31">
        <f t="shared" si="32"/>
        <v>5610.714204133099</v>
      </c>
      <c r="AP9" s="31">
        <f t="shared" si="33"/>
        <v>139.14663224023468</v>
      </c>
      <c r="AQ9" s="31">
        <f t="shared" si="34"/>
        <v>0</v>
      </c>
      <c r="AR9" s="31">
        <f t="shared" si="35"/>
        <v>0</v>
      </c>
      <c r="AS9" s="33"/>
      <c r="AT9" s="37">
        <f t="shared" si="7"/>
        <v>-1</v>
      </c>
      <c r="AU9" s="36">
        <f>'[1]STA MARIA'!$J9</f>
        <v>5749.8608363733338</v>
      </c>
      <c r="AV9" s="31">
        <f t="shared" si="36"/>
        <v>5610.714204133099</v>
      </c>
      <c r="AW9" s="18">
        <f t="shared" si="37"/>
        <v>139.14663224023468</v>
      </c>
      <c r="AX9" s="31">
        <f t="shared" si="38"/>
        <v>0</v>
      </c>
      <c r="AY9" s="31">
        <f t="shared" si="39"/>
        <v>0</v>
      </c>
      <c r="AZ9" s="27"/>
      <c r="BA9" s="37">
        <f t="shared" si="8"/>
        <v>-1</v>
      </c>
      <c r="BB9" s="36">
        <f>'[1]STA MARIA'!$K9</f>
        <v>5749.8608363733338</v>
      </c>
      <c r="BC9" s="31">
        <f t="shared" si="40"/>
        <v>5610.714204133099</v>
      </c>
      <c r="BD9" s="18">
        <f t="shared" si="41"/>
        <v>139.14663224023468</v>
      </c>
      <c r="BE9" s="31">
        <f t="shared" si="42"/>
        <v>0</v>
      </c>
      <c r="BF9" s="31">
        <f t="shared" si="43"/>
        <v>0</v>
      </c>
      <c r="BG9" s="33"/>
      <c r="BH9" s="37">
        <f t="shared" si="9"/>
        <v>-1</v>
      </c>
      <c r="BI9" s="36">
        <f>'[1]STA MARIA'!$L9</f>
        <v>6181.263036616534</v>
      </c>
      <c r="BJ9" s="31">
        <f t="shared" si="44"/>
        <v>6031.676471130414</v>
      </c>
      <c r="BK9" s="18">
        <f t="shared" si="45"/>
        <v>149.58656548612012</v>
      </c>
      <c r="BL9" s="31">
        <f t="shared" si="46"/>
        <v>0</v>
      </c>
      <c r="BM9" s="31">
        <f t="shared" si="47"/>
        <v>0</v>
      </c>
      <c r="BN9" s="33"/>
      <c r="BO9" s="37">
        <f t="shared" si="10"/>
        <v>-1</v>
      </c>
      <c r="BP9" s="36">
        <f>'[1]STA MARIA'!$M9</f>
        <v>6181.263036616534</v>
      </c>
      <c r="BQ9" s="31">
        <f t="shared" si="48"/>
        <v>6031.676471130414</v>
      </c>
      <c r="BR9" s="18">
        <f t="shared" si="49"/>
        <v>149.58656548612012</v>
      </c>
      <c r="BS9" s="31">
        <f t="shared" si="50"/>
        <v>0</v>
      </c>
      <c r="BT9" s="31">
        <f t="shared" si="51"/>
        <v>0</v>
      </c>
      <c r="BU9" s="33"/>
      <c r="BV9" s="37">
        <f t="shared" si="11"/>
        <v>-1</v>
      </c>
      <c r="BW9" s="36">
        <f>'[1]STA MARIA'!$N9</f>
        <v>6181.263036616534</v>
      </c>
      <c r="BX9" s="31">
        <f t="shared" si="52"/>
        <v>6031.676471130414</v>
      </c>
      <c r="BY9" s="18">
        <f t="shared" si="53"/>
        <v>149.58656548612012</v>
      </c>
      <c r="BZ9" s="31">
        <f t="shared" si="54"/>
        <v>0</v>
      </c>
      <c r="CA9" s="31">
        <f t="shared" si="55"/>
        <v>0</v>
      </c>
      <c r="CB9" s="33"/>
      <c r="CC9" s="37">
        <f t="shared" si="12"/>
        <v>-1</v>
      </c>
      <c r="CD9" s="36">
        <f>'[1]STA MARIA'!$O9</f>
        <v>6181.263036616534</v>
      </c>
      <c r="CE9" s="31">
        <f t="shared" si="56"/>
        <v>6031.676471130414</v>
      </c>
      <c r="CF9" s="18">
        <f t="shared" si="57"/>
        <v>149.58656548612012</v>
      </c>
      <c r="CG9" s="31">
        <f t="shared" si="58"/>
        <v>0</v>
      </c>
      <c r="CH9" s="31">
        <f t="shared" si="59"/>
        <v>0</v>
      </c>
      <c r="CI9" s="33"/>
      <c r="CJ9" s="37">
        <f t="shared" si="13"/>
        <v>-1</v>
      </c>
      <c r="CK9" s="36">
        <f>'[1]STA MARIA'!$P9</f>
        <v>6181.263036616534</v>
      </c>
      <c r="CL9" s="31">
        <f t="shared" si="60"/>
        <v>6031.676471130414</v>
      </c>
      <c r="CM9" s="18">
        <f t="shared" si="61"/>
        <v>149.58656548612012</v>
      </c>
      <c r="CN9" s="31">
        <f t="shared" si="62"/>
        <v>0</v>
      </c>
      <c r="CO9" s="31">
        <f t="shared" si="63"/>
        <v>0</v>
      </c>
      <c r="CP9" s="33"/>
      <c r="CQ9" s="37">
        <f t="shared" si="14"/>
        <v>-1</v>
      </c>
    </row>
    <row r="10" spans="1:99" s="26" customFormat="1" ht="14.25" customHeight="1" thickBot="1" x14ac:dyDescent="0.25">
      <c r="A10" s="38" t="s">
        <v>34</v>
      </c>
      <c r="B10" s="30">
        <f t="shared" si="0"/>
        <v>120000</v>
      </c>
      <c r="C10" s="31">
        <f t="shared" si="0"/>
        <v>117096</v>
      </c>
      <c r="D10" s="32">
        <f t="shared" si="0"/>
        <v>2904</v>
      </c>
      <c r="E10" s="30">
        <f t="shared" si="15"/>
        <v>40000</v>
      </c>
      <c r="F10" s="33">
        <f t="shared" si="15"/>
        <v>39032</v>
      </c>
      <c r="G10" s="34">
        <f t="shared" si="15"/>
        <v>968</v>
      </c>
      <c r="H10" s="31">
        <f t="shared" si="1"/>
        <v>73086.980890000006</v>
      </c>
      <c r="I10" s="33">
        <f t="shared" si="1"/>
        <v>1812.5691099999999</v>
      </c>
      <c r="J10" s="33">
        <f t="shared" si="1"/>
        <v>74899.55</v>
      </c>
      <c r="K10" s="37">
        <f t="shared" si="2"/>
        <v>0.87248875000000004</v>
      </c>
      <c r="L10" s="36">
        <f>'[1]STA MARIA'!$E10</f>
        <v>10000</v>
      </c>
      <c r="M10" s="31">
        <f t="shared" si="16"/>
        <v>9758</v>
      </c>
      <c r="N10" s="31">
        <f t="shared" si="17"/>
        <v>242</v>
      </c>
      <c r="O10" s="31">
        <f t="shared" si="18"/>
        <v>10009.317289999999</v>
      </c>
      <c r="P10" s="31">
        <f t="shared" si="19"/>
        <v>248.23270999999997</v>
      </c>
      <c r="Q10" s="31">
        <f>1800+8457.55</f>
        <v>10257.549999999999</v>
      </c>
      <c r="R10" s="31">
        <f t="shared" si="3"/>
        <v>2.5754999999999972E-2</v>
      </c>
      <c r="S10" s="31">
        <f>'[1]STA MARIA'!$F10</f>
        <v>10000</v>
      </c>
      <c r="T10" s="31">
        <f t="shared" si="20"/>
        <v>9758</v>
      </c>
      <c r="U10" s="31">
        <f t="shared" si="21"/>
        <v>242</v>
      </c>
      <c r="V10" s="31">
        <f t="shared" si="22"/>
        <v>8386.6204379999999</v>
      </c>
      <c r="W10" s="31">
        <f t="shared" si="23"/>
        <v>207.98956200000001</v>
      </c>
      <c r="X10" s="31">
        <f>8594.61</f>
        <v>8594.61</v>
      </c>
      <c r="Y10" s="31">
        <f t="shared" si="4"/>
        <v>-0.14053899999999997</v>
      </c>
      <c r="Z10" s="31">
        <f>'[1]STA MARIA'!$G10</f>
        <v>10000</v>
      </c>
      <c r="AA10" s="31">
        <f t="shared" si="24"/>
        <v>9758</v>
      </c>
      <c r="AB10" s="31">
        <f t="shared" si="25"/>
        <v>242</v>
      </c>
      <c r="AC10" s="31">
        <f t="shared" si="26"/>
        <v>8044.0268160000005</v>
      </c>
      <c r="AD10" s="31">
        <f t="shared" si="27"/>
        <v>199.49318400000001</v>
      </c>
      <c r="AE10" s="31">
        <f>450+7793.52</f>
        <v>8243.52</v>
      </c>
      <c r="AF10" s="31">
        <f t="shared" si="5"/>
        <v>-0.17564799999999992</v>
      </c>
      <c r="AG10" s="31">
        <f>'[1]STA MARIA'!$H10</f>
        <v>10000</v>
      </c>
      <c r="AH10" s="31">
        <f t="shared" si="28"/>
        <v>9758</v>
      </c>
      <c r="AI10" s="31">
        <f t="shared" si="29"/>
        <v>242</v>
      </c>
      <c r="AJ10" s="31">
        <f t="shared" si="30"/>
        <v>17545.245046000004</v>
      </c>
      <c r="AK10" s="31">
        <f t="shared" si="31"/>
        <v>435.12495400000006</v>
      </c>
      <c r="AL10" s="31">
        <f>4200+1200+400+12180.37</f>
        <v>17980.370000000003</v>
      </c>
      <c r="AM10" s="31">
        <f t="shared" si="6"/>
        <v>0.79803700000000033</v>
      </c>
      <c r="AN10" s="31">
        <f>'[1]STA MARIA'!$I10</f>
        <v>10000</v>
      </c>
      <c r="AO10" s="31">
        <f t="shared" si="32"/>
        <v>9758</v>
      </c>
      <c r="AP10" s="31">
        <f t="shared" si="33"/>
        <v>242</v>
      </c>
      <c r="AQ10" s="31">
        <f t="shared" si="34"/>
        <v>12843.635727999999</v>
      </c>
      <c r="AR10" s="31">
        <f t="shared" si="35"/>
        <v>318.524272</v>
      </c>
      <c r="AS10" s="33">
        <v>13162.16</v>
      </c>
      <c r="AT10" s="37">
        <f t="shared" si="7"/>
        <v>0.31621600000000005</v>
      </c>
      <c r="AU10" s="36">
        <f>'[1]STA MARIA'!$J10</f>
        <v>10000</v>
      </c>
      <c r="AV10" s="31">
        <f t="shared" si="36"/>
        <v>9758</v>
      </c>
      <c r="AW10" s="18">
        <f t="shared" si="37"/>
        <v>242</v>
      </c>
      <c r="AX10" s="31">
        <f t="shared" si="38"/>
        <v>16258.135571999999</v>
      </c>
      <c r="AY10" s="31">
        <f t="shared" si="39"/>
        <v>403.20442800000001</v>
      </c>
      <c r="AZ10" s="27">
        <v>16661.34</v>
      </c>
      <c r="BA10" s="37">
        <f t="shared" si="8"/>
        <v>0.666134</v>
      </c>
      <c r="BB10" s="36">
        <f>'[1]STA MARIA'!$K10</f>
        <v>10000</v>
      </c>
      <c r="BC10" s="31">
        <f t="shared" si="40"/>
        <v>9758</v>
      </c>
      <c r="BD10" s="18">
        <f t="shared" si="41"/>
        <v>242</v>
      </c>
      <c r="BE10" s="31">
        <f t="shared" si="42"/>
        <v>0</v>
      </c>
      <c r="BF10" s="31">
        <f t="shared" si="43"/>
        <v>0</v>
      </c>
      <c r="BG10" s="33"/>
      <c r="BH10" s="37">
        <f t="shared" si="9"/>
        <v>-1</v>
      </c>
      <c r="BI10" s="36">
        <f>'[1]STA MARIA'!$L10</f>
        <v>10000</v>
      </c>
      <c r="BJ10" s="31">
        <f t="shared" si="44"/>
        <v>9758</v>
      </c>
      <c r="BK10" s="18">
        <f t="shared" si="45"/>
        <v>242</v>
      </c>
      <c r="BL10" s="31">
        <f t="shared" si="46"/>
        <v>0</v>
      </c>
      <c r="BM10" s="31">
        <f t="shared" si="47"/>
        <v>0</v>
      </c>
      <c r="BN10" s="33"/>
      <c r="BO10" s="37">
        <f t="shared" si="10"/>
        <v>-1</v>
      </c>
      <c r="BP10" s="36">
        <f>'[1]STA MARIA'!$M10</f>
        <v>10000</v>
      </c>
      <c r="BQ10" s="31">
        <f t="shared" si="48"/>
        <v>9758</v>
      </c>
      <c r="BR10" s="18">
        <f t="shared" si="49"/>
        <v>242</v>
      </c>
      <c r="BS10" s="31">
        <f t="shared" si="50"/>
        <v>0</v>
      </c>
      <c r="BT10" s="31">
        <f t="shared" si="51"/>
        <v>0</v>
      </c>
      <c r="BU10" s="33"/>
      <c r="BV10" s="37">
        <f t="shared" si="11"/>
        <v>-1</v>
      </c>
      <c r="BW10" s="36">
        <f>'[1]STA MARIA'!$N10</f>
        <v>10000</v>
      </c>
      <c r="BX10" s="31">
        <f t="shared" si="52"/>
        <v>9758</v>
      </c>
      <c r="BY10" s="18">
        <f t="shared" si="53"/>
        <v>242</v>
      </c>
      <c r="BZ10" s="31">
        <f t="shared" si="54"/>
        <v>0</v>
      </c>
      <c r="CA10" s="31">
        <f t="shared" si="55"/>
        <v>0</v>
      </c>
      <c r="CB10" s="33"/>
      <c r="CC10" s="37">
        <f t="shared" si="12"/>
        <v>-1</v>
      </c>
      <c r="CD10" s="36">
        <f>'[1]STA MARIA'!$O10</f>
        <v>10000</v>
      </c>
      <c r="CE10" s="31">
        <f t="shared" si="56"/>
        <v>9758</v>
      </c>
      <c r="CF10" s="18">
        <f t="shared" si="57"/>
        <v>242</v>
      </c>
      <c r="CG10" s="31">
        <f t="shared" si="58"/>
        <v>0</v>
      </c>
      <c r="CH10" s="31">
        <f t="shared" si="59"/>
        <v>0</v>
      </c>
      <c r="CI10" s="33"/>
      <c r="CJ10" s="37">
        <f t="shared" si="13"/>
        <v>-1</v>
      </c>
      <c r="CK10" s="36">
        <f>'[1]STA MARIA'!$P10</f>
        <v>10000</v>
      </c>
      <c r="CL10" s="31">
        <f t="shared" si="60"/>
        <v>9758</v>
      </c>
      <c r="CM10" s="18">
        <f t="shared" si="61"/>
        <v>242</v>
      </c>
      <c r="CN10" s="31">
        <f t="shared" si="62"/>
        <v>0</v>
      </c>
      <c r="CO10" s="31">
        <f t="shared" si="63"/>
        <v>0</v>
      </c>
      <c r="CP10" s="33"/>
      <c r="CQ10" s="37">
        <f t="shared" si="14"/>
        <v>-1</v>
      </c>
    </row>
    <row r="11" spans="1:99" s="26" customFormat="1" ht="14.25" customHeight="1" thickBot="1" x14ac:dyDescent="0.25">
      <c r="A11" s="38" t="s">
        <v>35</v>
      </c>
      <c r="B11" s="30">
        <f t="shared" si="0"/>
        <v>0</v>
      </c>
      <c r="C11" s="31">
        <f t="shared" si="0"/>
        <v>0</v>
      </c>
      <c r="D11" s="32">
        <f t="shared" si="0"/>
        <v>0</v>
      </c>
      <c r="E11" s="30">
        <f t="shared" si="15"/>
        <v>0</v>
      </c>
      <c r="F11" s="33">
        <f t="shared" si="15"/>
        <v>0</v>
      </c>
      <c r="G11" s="34">
        <f t="shared" si="15"/>
        <v>0</v>
      </c>
      <c r="H11" s="31">
        <f t="shared" si="1"/>
        <v>64562.821442</v>
      </c>
      <c r="I11" s="33">
        <f t="shared" si="1"/>
        <v>1601.1685579999998</v>
      </c>
      <c r="J11" s="33">
        <f t="shared" si="1"/>
        <v>66163.990000000005</v>
      </c>
      <c r="K11" s="37" t="str">
        <f t="shared" si="2"/>
        <v/>
      </c>
      <c r="L11" s="36">
        <f>'[1]STA MARIA'!$E11</f>
        <v>0</v>
      </c>
      <c r="M11" s="31">
        <f t="shared" si="16"/>
        <v>0</v>
      </c>
      <c r="N11" s="31">
        <f t="shared" si="17"/>
        <v>0</v>
      </c>
      <c r="O11" s="31">
        <f t="shared" si="18"/>
        <v>0</v>
      </c>
      <c r="P11" s="31">
        <f t="shared" si="19"/>
        <v>0</v>
      </c>
      <c r="Q11" s="31"/>
      <c r="R11" s="31" t="str">
        <f t="shared" si="3"/>
        <v/>
      </c>
      <c r="S11" s="31">
        <f>'[1]STA MARIA'!$F11</f>
        <v>0</v>
      </c>
      <c r="T11" s="31">
        <f t="shared" si="20"/>
        <v>0</v>
      </c>
      <c r="U11" s="31">
        <f t="shared" si="21"/>
        <v>0</v>
      </c>
      <c r="V11" s="31">
        <f t="shared" si="22"/>
        <v>20120.137296000001</v>
      </c>
      <c r="W11" s="31">
        <f t="shared" si="23"/>
        <v>498.98270399999996</v>
      </c>
      <c r="X11" s="31">
        <f>20619.12</f>
        <v>20619.12</v>
      </c>
      <c r="Y11" s="31" t="str">
        <f t="shared" si="4"/>
        <v/>
      </c>
      <c r="Z11" s="31">
        <f>'[1]STA MARIA'!$G11</f>
        <v>0</v>
      </c>
      <c r="AA11" s="31">
        <f t="shared" si="24"/>
        <v>0</v>
      </c>
      <c r="AB11" s="31">
        <f t="shared" si="25"/>
        <v>0</v>
      </c>
      <c r="AC11" s="31">
        <f t="shared" si="26"/>
        <v>39006.463314000001</v>
      </c>
      <c r="AD11" s="31">
        <f t="shared" si="27"/>
        <v>967.36668599999996</v>
      </c>
      <c r="AE11" s="31">
        <f>39973.83</f>
        <v>39973.83</v>
      </c>
      <c r="AF11" s="31" t="str">
        <f t="shared" si="5"/>
        <v/>
      </c>
      <c r="AG11" s="31">
        <f>'[1]STA MARIA'!$H11</f>
        <v>0</v>
      </c>
      <c r="AH11" s="31">
        <f t="shared" si="28"/>
        <v>0</v>
      </c>
      <c r="AI11" s="31">
        <f t="shared" si="29"/>
        <v>0</v>
      </c>
      <c r="AJ11" s="31">
        <f t="shared" si="30"/>
        <v>2924.2774400000003</v>
      </c>
      <c r="AK11" s="31">
        <f t="shared" si="31"/>
        <v>72.522559999999999</v>
      </c>
      <c r="AL11" s="31">
        <f>176.77+2820.03</f>
        <v>2996.8</v>
      </c>
      <c r="AM11" s="31" t="str">
        <f t="shared" si="6"/>
        <v/>
      </c>
      <c r="AN11" s="31">
        <f>'[1]STA MARIA'!$I11</f>
        <v>0</v>
      </c>
      <c r="AO11" s="31">
        <f t="shared" si="32"/>
        <v>0</v>
      </c>
      <c r="AP11" s="31">
        <f t="shared" si="33"/>
        <v>0</v>
      </c>
      <c r="AQ11" s="31">
        <f t="shared" si="34"/>
        <v>0</v>
      </c>
      <c r="AR11" s="31">
        <f t="shared" si="35"/>
        <v>0</v>
      </c>
      <c r="AS11" s="33"/>
      <c r="AT11" s="37" t="str">
        <f t="shared" si="7"/>
        <v/>
      </c>
      <c r="AU11" s="36">
        <f>'[1]STA MARIA'!$J11</f>
        <v>0</v>
      </c>
      <c r="AV11" s="31">
        <f t="shared" si="36"/>
        <v>0</v>
      </c>
      <c r="AW11" s="18">
        <f t="shared" si="37"/>
        <v>0</v>
      </c>
      <c r="AX11" s="31">
        <f t="shared" si="38"/>
        <v>2511.9433919999997</v>
      </c>
      <c r="AY11" s="31">
        <f t="shared" si="39"/>
        <v>62.296607999999992</v>
      </c>
      <c r="AZ11" s="33">
        <v>2574.2399999999998</v>
      </c>
      <c r="BA11" s="37" t="str">
        <f t="shared" si="8"/>
        <v/>
      </c>
      <c r="BB11" s="36">
        <f>'[1]STA MARIA'!$K11</f>
        <v>0</v>
      </c>
      <c r="BC11" s="31">
        <f t="shared" si="40"/>
        <v>0</v>
      </c>
      <c r="BD11" s="18">
        <f t="shared" si="41"/>
        <v>0</v>
      </c>
      <c r="BE11" s="31">
        <f t="shared" si="42"/>
        <v>0</v>
      </c>
      <c r="BF11" s="31">
        <f t="shared" si="43"/>
        <v>0</v>
      </c>
      <c r="BG11" s="33"/>
      <c r="BH11" s="37" t="str">
        <f t="shared" si="9"/>
        <v/>
      </c>
      <c r="BI11" s="36">
        <f>'[1]STA MARIA'!$L11</f>
        <v>0</v>
      </c>
      <c r="BJ11" s="31">
        <f t="shared" si="44"/>
        <v>0</v>
      </c>
      <c r="BK11" s="18">
        <f t="shared" si="45"/>
        <v>0</v>
      </c>
      <c r="BL11" s="31">
        <f t="shared" si="46"/>
        <v>0</v>
      </c>
      <c r="BM11" s="31">
        <f t="shared" si="47"/>
        <v>0</v>
      </c>
      <c r="BN11" s="33"/>
      <c r="BO11" s="37" t="str">
        <f t="shared" si="10"/>
        <v/>
      </c>
      <c r="BP11" s="36">
        <f>'[1]STA MARIA'!$M11</f>
        <v>0</v>
      </c>
      <c r="BQ11" s="31">
        <f t="shared" si="48"/>
        <v>0</v>
      </c>
      <c r="BR11" s="18">
        <f t="shared" si="49"/>
        <v>0</v>
      </c>
      <c r="BS11" s="31">
        <f t="shared" si="50"/>
        <v>0</v>
      </c>
      <c r="BT11" s="31">
        <f t="shared" si="51"/>
        <v>0</v>
      </c>
      <c r="BU11" s="33"/>
      <c r="BV11" s="37" t="str">
        <f t="shared" si="11"/>
        <v/>
      </c>
      <c r="BW11" s="36">
        <f>'[1]STA MARIA'!$N11</f>
        <v>0</v>
      </c>
      <c r="BX11" s="31">
        <f t="shared" si="52"/>
        <v>0</v>
      </c>
      <c r="BY11" s="18">
        <f t="shared" si="53"/>
        <v>0</v>
      </c>
      <c r="BZ11" s="31">
        <f t="shared" si="54"/>
        <v>0</v>
      </c>
      <c r="CA11" s="31">
        <f t="shared" si="55"/>
        <v>0</v>
      </c>
      <c r="CB11" s="33"/>
      <c r="CC11" s="37" t="str">
        <f t="shared" si="12"/>
        <v/>
      </c>
      <c r="CD11" s="36">
        <f>'[1]STA MARIA'!$O11</f>
        <v>0</v>
      </c>
      <c r="CE11" s="31">
        <f t="shared" si="56"/>
        <v>0</v>
      </c>
      <c r="CF11" s="18">
        <f t="shared" si="57"/>
        <v>0</v>
      </c>
      <c r="CG11" s="31">
        <f t="shared" si="58"/>
        <v>0</v>
      </c>
      <c r="CH11" s="31">
        <f t="shared" si="59"/>
        <v>0</v>
      </c>
      <c r="CI11" s="33"/>
      <c r="CJ11" s="37" t="str">
        <f t="shared" si="13"/>
        <v/>
      </c>
      <c r="CK11" s="36">
        <f>'[1]STA MARIA'!$P11</f>
        <v>0</v>
      </c>
      <c r="CL11" s="31">
        <f t="shared" si="60"/>
        <v>0</v>
      </c>
      <c r="CM11" s="18">
        <f t="shared" si="61"/>
        <v>0</v>
      </c>
      <c r="CN11" s="31">
        <f t="shared" si="62"/>
        <v>0</v>
      </c>
      <c r="CO11" s="31">
        <f t="shared" si="63"/>
        <v>0</v>
      </c>
      <c r="CP11" s="33"/>
      <c r="CQ11" s="37" t="str">
        <f t="shared" si="14"/>
        <v/>
      </c>
    </row>
    <row r="12" spans="1:99" s="26" customFormat="1" ht="14.25" customHeight="1" thickBot="1" x14ac:dyDescent="0.25">
      <c r="A12" s="29" t="s">
        <v>36</v>
      </c>
      <c r="B12" s="30">
        <f t="shared" si="0"/>
        <v>37260</v>
      </c>
      <c r="C12" s="31">
        <f t="shared" si="0"/>
        <v>36358.307999999997</v>
      </c>
      <c r="D12" s="32">
        <f t="shared" si="0"/>
        <v>901.69199999999967</v>
      </c>
      <c r="E12" s="30">
        <f t="shared" si="15"/>
        <v>12420</v>
      </c>
      <c r="F12" s="33">
        <f t="shared" si="15"/>
        <v>12119.436</v>
      </c>
      <c r="G12" s="34">
        <f t="shared" si="15"/>
        <v>300.56399999999996</v>
      </c>
      <c r="H12" s="31">
        <f t="shared" si="1"/>
        <v>15301.256334</v>
      </c>
      <c r="I12" s="33">
        <f t="shared" si="1"/>
        <v>379.47366599999998</v>
      </c>
      <c r="J12" s="33">
        <f t="shared" si="1"/>
        <v>15680.73</v>
      </c>
      <c r="K12" s="37">
        <f t="shared" si="2"/>
        <v>0.26253864734299515</v>
      </c>
      <c r="L12" s="36">
        <f>'[1]STA MARIA'!$E12</f>
        <v>3105</v>
      </c>
      <c r="M12" s="31">
        <f t="shared" si="16"/>
        <v>3029.8589999999999</v>
      </c>
      <c r="N12" s="31">
        <f t="shared" si="17"/>
        <v>75.140999999999991</v>
      </c>
      <c r="O12" s="31">
        <f t="shared" si="18"/>
        <v>2824.8434200000002</v>
      </c>
      <c r="P12" s="31">
        <f t="shared" si="19"/>
        <v>70.056579999999997</v>
      </c>
      <c r="Q12" s="31">
        <f>2894.9</f>
        <v>2894.9</v>
      </c>
      <c r="R12" s="31">
        <f t="shared" si="3"/>
        <v>-6.766505636070852E-2</v>
      </c>
      <c r="S12" s="31">
        <f>'[1]STA MARIA'!$F12</f>
        <v>3105</v>
      </c>
      <c r="T12" s="31">
        <f t="shared" si="20"/>
        <v>3029.8589999999999</v>
      </c>
      <c r="U12" s="31">
        <f t="shared" si="21"/>
        <v>75.140999999999991</v>
      </c>
      <c r="V12" s="31">
        <f t="shared" si="22"/>
        <v>0</v>
      </c>
      <c r="W12" s="31">
        <f t="shared" si="23"/>
        <v>0</v>
      </c>
      <c r="X12" s="31"/>
      <c r="Y12" s="31">
        <f t="shared" si="4"/>
        <v>-1</v>
      </c>
      <c r="Z12" s="31">
        <f>'[1]STA MARIA'!$G12</f>
        <v>3105</v>
      </c>
      <c r="AA12" s="31">
        <f t="shared" si="24"/>
        <v>3029.8589999999999</v>
      </c>
      <c r="AB12" s="31">
        <f t="shared" si="25"/>
        <v>75.140999999999991</v>
      </c>
      <c r="AC12" s="31">
        <f t="shared" si="26"/>
        <v>3027.66345</v>
      </c>
      <c r="AD12" s="31">
        <f t="shared" si="27"/>
        <v>75.086550000000003</v>
      </c>
      <c r="AE12" s="31">
        <f>3102.75</f>
        <v>3102.75</v>
      </c>
      <c r="AF12" s="31">
        <f t="shared" si="5"/>
        <v>-7.246376811593791E-4</v>
      </c>
      <c r="AG12" s="31">
        <f>'[1]STA MARIA'!$H12</f>
        <v>3105</v>
      </c>
      <c r="AH12" s="31">
        <f t="shared" si="28"/>
        <v>3029.8589999999999</v>
      </c>
      <c r="AI12" s="31">
        <f t="shared" si="29"/>
        <v>75.140999999999991</v>
      </c>
      <c r="AJ12" s="31">
        <f t="shared" si="30"/>
        <v>3393.422564</v>
      </c>
      <c r="AK12" s="31">
        <f t="shared" si="31"/>
        <v>84.15743599999999</v>
      </c>
      <c r="AL12" s="31">
        <f>374.83+3102.75</f>
        <v>3477.58</v>
      </c>
      <c r="AM12" s="31">
        <f t="shared" si="6"/>
        <v>0.11999355877616735</v>
      </c>
      <c r="AN12" s="31">
        <f>'[1]STA MARIA'!$I12</f>
        <v>3105</v>
      </c>
      <c r="AO12" s="31">
        <f t="shared" si="32"/>
        <v>3029.8589999999999</v>
      </c>
      <c r="AP12" s="31">
        <f t="shared" si="33"/>
        <v>75.140999999999991</v>
      </c>
      <c r="AQ12" s="31">
        <f t="shared" si="34"/>
        <v>3027.66345</v>
      </c>
      <c r="AR12" s="31">
        <f t="shared" si="35"/>
        <v>75.086550000000003</v>
      </c>
      <c r="AS12" s="33">
        <v>3102.75</v>
      </c>
      <c r="AT12" s="37">
        <f t="shared" si="7"/>
        <v>-7.246376811593791E-4</v>
      </c>
      <c r="AU12" s="36">
        <f>'[1]STA MARIA'!$J12</f>
        <v>3105</v>
      </c>
      <c r="AV12" s="31">
        <f t="shared" si="36"/>
        <v>3029.8589999999999</v>
      </c>
      <c r="AW12" s="18">
        <f t="shared" si="37"/>
        <v>75.140999999999991</v>
      </c>
      <c r="AX12" s="31">
        <f t="shared" si="38"/>
        <v>3027.66345</v>
      </c>
      <c r="AY12" s="31">
        <f t="shared" si="39"/>
        <v>75.086550000000003</v>
      </c>
      <c r="AZ12" s="33">
        <v>3102.75</v>
      </c>
      <c r="BA12" s="37">
        <f t="shared" si="8"/>
        <v>-7.246376811593791E-4</v>
      </c>
      <c r="BB12" s="36">
        <f>'[1]STA MARIA'!$K12</f>
        <v>3105</v>
      </c>
      <c r="BC12" s="31">
        <f t="shared" si="40"/>
        <v>3029.8589999999999</v>
      </c>
      <c r="BD12" s="18">
        <f t="shared" si="41"/>
        <v>75.140999999999991</v>
      </c>
      <c r="BE12" s="31">
        <f t="shared" si="42"/>
        <v>0</v>
      </c>
      <c r="BF12" s="31">
        <f t="shared" si="43"/>
        <v>0</v>
      </c>
      <c r="BG12" s="33"/>
      <c r="BH12" s="37">
        <f t="shared" si="9"/>
        <v>-1</v>
      </c>
      <c r="BI12" s="36">
        <f>'[1]STA MARIA'!$L12</f>
        <v>3105</v>
      </c>
      <c r="BJ12" s="31">
        <f t="shared" si="44"/>
        <v>3029.8589999999999</v>
      </c>
      <c r="BK12" s="18">
        <f t="shared" si="45"/>
        <v>75.140999999999991</v>
      </c>
      <c r="BL12" s="31">
        <f t="shared" si="46"/>
        <v>0</v>
      </c>
      <c r="BM12" s="31">
        <f t="shared" si="47"/>
        <v>0</v>
      </c>
      <c r="BN12" s="33"/>
      <c r="BO12" s="37">
        <f t="shared" si="10"/>
        <v>-1</v>
      </c>
      <c r="BP12" s="36">
        <f>'[1]STA MARIA'!$M12</f>
        <v>3105</v>
      </c>
      <c r="BQ12" s="31">
        <f t="shared" si="48"/>
        <v>3029.8589999999999</v>
      </c>
      <c r="BR12" s="18">
        <f t="shared" si="49"/>
        <v>75.140999999999991</v>
      </c>
      <c r="BS12" s="31">
        <f t="shared" si="50"/>
        <v>0</v>
      </c>
      <c r="BT12" s="31">
        <f t="shared" si="51"/>
        <v>0</v>
      </c>
      <c r="BU12" s="33"/>
      <c r="BV12" s="37">
        <f t="shared" si="11"/>
        <v>-1</v>
      </c>
      <c r="BW12" s="36">
        <f>'[1]STA MARIA'!$N12</f>
        <v>3105</v>
      </c>
      <c r="BX12" s="31">
        <f t="shared" si="52"/>
        <v>3029.8589999999999</v>
      </c>
      <c r="BY12" s="18">
        <f t="shared" si="53"/>
        <v>75.140999999999991</v>
      </c>
      <c r="BZ12" s="31">
        <f t="shared" si="54"/>
        <v>0</v>
      </c>
      <c r="CA12" s="31">
        <f t="shared" si="55"/>
        <v>0</v>
      </c>
      <c r="CB12" s="33"/>
      <c r="CC12" s="37">
        <f t="shared" si="12"/>
        <v>-1</v>
      </c>
      <c r="CD12" s="36">
        <f>'[1]STA MARIA'!$O12</f>
        <v>3105</v>
      </c>
      <c r="CE12" s="31">
        <f t="shared" si="56"/>
        <v>3029.8589999999999</v>
      </c>
      <c r="CF12" s="18">
        <f t="shared" si="57"/>
        <v>75.140999999999991</v>
      </c>
      <c r="CG12" s="31">
        <f t="shared" si="58"/>
        <v>0</v>
      </c>
      <c r="CH12" s="31">
        <f t="shared" si="59"/>
        <v>0</v>
      </c>
      <c r="CI12" s="33"/>
      <c r="CJ12" s="37">
        <f t="shared" si="13"/>
        <v>-1</v>
      </c>
      <c r="CK12" s="36">
        <f>'[1]STA MARIA'!$P12</f>
        <v>3105</v>
      </c>
      <c r="CL12" s="31">
        <f t="shared" si="60"/>
        <v>3029.8589999999999</v>
      </c>
      <c r="CM12" s="18">
        <f t="shared" si="61"/>
        <v>75.140999999999991</v>
      </c>
      <c r="CN12" s="31">
        <f t="shared" si="62"/>
        <v>0</v>
      </c>
      <c r="CO12" s="31">
        <f t="shared" si="63"/>
        <v>0</v>
      </c>
      <c r="CP12" s="33"/>
      <c r="CQ12" s="37">
        <f t="shared" si="14"/>
        <v>-1</v>
      </c>
    </row>
    <row r="13" spans="1:99" s="26" customFormat="1" ht="16" customHeight="1" thickBot="1" x14ac:dyDescent="0.25">
      <c r="A13" s="38" t="s">
        <v>37</v>
      </c>
      <c r="B13" s="30">
        <f t="shared" si="0"/>
        <v>24000</v>
      </c>
      <c r="C13" s="31">
        <f t="shared" si="0"/>
        <v>23419.199999999997</v>
      </c>
      <c r="D13" s="32">
        <f t="shared" si="0"/>
        <v>580.79999999999984</v>
      </c>
      <c r="E13" s="30">
        <f t="shared" si="15"/>
        <v>8000</v>
      </c>
      <c r="F13" s="33">
        <f t="shared" si="15"/>
        <v>7806.4</v>
      </c>
      <c r="G13" s="34">
        <f t="shared" si="15"/>
        <v>193.6</v>
      </c>
      <c r="H13" s="31">
        <f t="shared" si="1"/>
        <v>11709.599999999999</v>
      </c>
      <c r="I13" s="33">
        <f t="shared" si="1"/>
        <v>290.39999999999998</v>
      </c>
      <c r="J13" s="33">
        <f t="shared" si="1"/>
        <v>12000</v>
      </c>
      <c r="K13" s="37">
        <f t="shared" si="2"/>
        <v>0.5</v>
      </c>
      <c r="L13" s="36">
        <f>'[1]STA MARIA'!$E13</f>
        <v>2000</v>
      </c>
      <c r="M13" s="31">
        <f t="shared" si="16"/>
        <v>1951.6</v>
      </c>
      <c r="N13" s="31">
        <f t="shared" si="17"/>
        <v>48.4</v>
      </c>
      <c r="O13" s="31">
        <f t="shared" si="18"/>
        <v>0</v>
      </c>
      <c r="P13" s="31">
        <f t="shared" si="19"/>
        <v>0</v>
      </c>
      <c r="Q13" s="31"/>
      <c r="R13" s="31">
        <f t="shared" si="3"/>
        <v>-1</v>
      </c>
      <c r="S13" s="31">
        <f>'[1]STA MARIA'!$F13</f>
        <v>2000</v>
      </c>
      <c r="T13" s="31">
        <f t="shared" si="20"/>
        <v>1951.6</v>
      </c>
      <c r="U13" s="31">
        <f t="shared" si="21"/>
        <v>48.4</v>
      </c>
      <c r="V13" s="31">
        <f t="shared" si="22"/>
        <v>3756.83</v>
      </c>
      <c r="W13" s="31">
        <f t="shared" si="23"/>
        <v>93.17</v>
      </c>
      <c r="X13" s="31">
        <f>3850</f>
        <v>3850</v>
      </c>
      <c r="Y13" s="31">
        <f t="shared" si="4"/>
        <v>0.92500000000000004</v>
      </c>
      <c r="Z13" s="31">
        <f>'[1]STA MARIA'!$G13</f>
        <v>2000</v>
      </c>
      <c r="AA13" s="31">
        <f t="shared" si="24"/>
        <v>1951.6</v>
      </c>
      <c r="AB13" s="31">
        <f t="shared" si="25"/>
        <v>48.4</v>
      </c>
      <c r="AC13" s="31">
        <f t="shared" si="26"/>
        <v>3756.83</v>
      </c>
      <c r="AD13" s="31">
        <f t="shared" si="27"/>
        <v>93.17</v>
      </c>
      <c r="AE13" s="31">
        <f>3850</f>
        <v>3850</v>
      </c>
      <c r="AF13" s="31">
        <f t="shared" si="5"/>
        <v>0.92500000000000004</v>
      </c>
      <c r="AG13" s="31">
        <f>'[1]STA MARIA'!$H13</f>
        <v>2000</v>
      </c>
      <c r="AH13" s="31">
        <f t="shared" si="28"/>
        <v>1951.6</v>
      </c>
      <c r="AI13" s="31">
        <f t="shared" si="29"/>
        <v>48.4</v>
      </c>
      <c r="AJ13" s="31">
        <f t="shared" si="30"/>
        <v>4195.9399999999996</v>
      </c>
      <c r="AK13" s="31">
        <f t="shared" si="31"/>
        <v>104.06</v>
      </c>
      <c r="AL13" s="31">
        <f>4300</f>
        <v>4300</v>
      </c>
      <c r="AM13" s="31">
        <f t="shared" si="6"/>
        <v>1.1499999999999999</v>
      </c>
      <c r="AN13" s="31">
        <f>'[1]STA MARIA'!$I13</f>
        <v>2000</v>
      </c>
      <c r="AO13" s="31">
        <f t="shared" si="32"/>
        <v>1951.6</v>
      </c>
      <c r="AP13" s="31">
        <f t="shared" si="33"/>
        <v>48.4</v>
      </c>
      <c r="AQ13" s="31">
        <f t="shared" si="34"/>
        <v>0</v>
      </c>
      <c r="AR13" s="31">
        <f t="shared" si="35"/>
        <v>0</v>
      </c>
      <c r="AS13" s="33"/>
      <c r="AT13" s="37">
        <f t="shared" si="7"/>
        <v>-1</v>
      </c>
      <c r="AU13" s="36">
        <f>'[1]STA MARIA'!$J13</f>
        <v>2000</v>
      </c>
      <c r="AV13" s="31">
        <f t="shared" si="36"/>
        <v>1951.6</v>
      </c>
      <c r="AW13" s="18">
        <f t="shared" si="37"/>
        <v>48.4</v>
      </c>
      <c r="AX13" s="31">
        <f t="shared" si="38"/>
        <v>0</v>
      </c>
      <c r="AY13" s="31">
        <f t="shared" si="39"/>
        <v>0</v>
      </c>
      <c r="AZ13" s="33"/>
      <c r="BA13" s="37">
        <f t="shared" si="8"/>
        <v>-1</v>
      </c>
      <c r="BB13" s="36">
        <f>'[1]STA MARIA'!$K13</f>
        <v>2000</v>
      </c>
      <c r="BC13" s="31">
        <f t="shared" si="40"/>
        <v>1951.6</v>
      </c>
      <c r="BD13" s="18">
        <f t="shared" si="41"/>
        <v>48.4</v>
      </c>
      <c r="BE13" s="31">
        <f t="shared" si="42"/>
        <v>0</v>
      </c>
      <c r="BF13" s="31">
        <f t="shared" si="43"/>
        <v>0</v>
      </c>
      <c r="BG13" s="33"/>
      <c r="BH13" s="37">
        <f t="shared" si="9"/>
        <v>-1</v>
      </c>
      <c r="BI13" s="36">
        <f>'[1]STA MARIA'!$L13</f>
        <v>2000</v>
      </c>
      <c r="BJ13" s="31">
        <f t="shared" si="44"/>
        <v>1951.6</v>
      </c>
      <c r="BK13" s="18">
        <f t="shared" si="45"/>
        <v>48.4</v>
      </c>
      <c r="BL13" s="31">
        <f t="shared" si="46"/>
        <v>0</v>
      </c>
      <c r="BM13" s="31">
        <f t="shared" si="47"/>
        <v>0</v>
      </c>
      <c r="BN13" s="33"/>
      <c r="BO13" s="37">
        <f t="shared" si="10"/>
        <v>-1</v>
      </c>
      <c r="BP13" s="36">
        <f>'[1]STA MARIA'!$M13</f>
        <v>2000</v>
      </c>
      <c r="BQ13" s="31">
        <f t="shared" si="48"/>
        <v>1951.6</v>
      </c>
      <c r="BR13" s="18">
        <f t="shared" si="49"/>
        <v>48.4</v>
      </c>
      <c r="BS13" s="31">
        <f t="shared" si="50"/>
        <v>0</v>
      </c>
      <c r="BT13" s="31">
        <f t="shared" si="51"/>
        <v>0</v>
      </c>
      <c r="BU13" s="33"/>
      <c r="BV13" s="37">
        <f t="shared" si="11"/>
        <v>-1</v>
      </c>
      <c r="BW13" s="36">
        <f>'[1]STA MARIA'!$N13</f>
        <v>2000</v>
      </c>
      <c r="BX13" s="31">
        <f t="shared" si="52"/>
        <v>1951.6</v>
      </c>
      <c r="BY13" s="18">
        <f t="shared" si="53"/>
        <v>48.4</v>
      </c>
      <c r="BZ13" s="31">
        <f t="shared" si="54"/>
        <v>0</v>
      </c>
      <c r="CA13" s="31">
        <f t="shared" si="55"/>
        <v>0</v>
      </c>
      <c r="CB13" s="33"/>
      <c r="CC13" s="37">
        <f t="shared" si="12"/>
        <v>-1</v>
      </c>
      <c r="CD13" s="36">
        <f>'[1]STA MARIA'!$O13</f>
        <v>2000</v>
      </c>
      <c r="CE13" s="31">
        <f t="shared" si="56"/>
        <v>1951.6</v>
      </c>
      <c r="CF13" s="18">
        <f t="shared" si="57"/>
        <v>48.4</v>
      </c>
      <c r="CG13" s="31">
        <f t="shared" si="58"/>
        <v>0</v>
      </c>
      <c r="CH13" s="31">
        <f t="shared" si="59"/>
        <v>0</v>
      </c>
      <c r="CI13" s="33"/>
      <c r="CJ13" s="37">
        <f t="shared" si="13"/>
        <v>-1</v>
      </c>
      <c r="CK13" s="36">
        <f>'[1]STA MARIA'!$P13</f>
        <v>2000</v>
      </c>
      <c r="CL13" s="31">
        <f t="shared" si="60"/>
        <v>1951.6</v>
      </c>
      <c r="CM13" s="18">
        <f t="shared" si="61"/>
        <v>48.4</v>
      </c>
      <c r="CN13" s="31">
        <f t="shared" si="62"/>
        <v>0</v>
      </c>
      <c r="CO13" s="31">
        <f t="shared" si="63"/>
        <v>0</v>
      </c>
      <c r="CP13" s="33"/>
      <c r="CQ13" s="37">
        <f t="shared" si="14"/>
        <v>-1</v>
      </c>
    </row>
    <row r="14" spans="1:99" s="26" customFormat="1" ht="16" customHeight="1" thickBot="1" x14ac:dyDescent="0.25">
      <c r="A14" s="39" t="s">
        <v>38</v>
      </c>
      <c r="B14" s="30">
        <f t="shared" si="0"/>
        <v>58412.75999999998</v>
      </c>
      <c r="C14" s="31">
        <f t="shared" si="0"/>
        <v>56999.171208000014</v>
      </c>
      <c r="D14" s="32">
        <f t="shared" si="0"/>
        <v>1413.5887920000002</v>
      </c>
      <c r="E14" s="30">
        <f t="shared" si="15"/>
        <v>19470.919999999998</v>
      </c>
      <c r="F14" s="33">
        <f t="shared" si="15"/>
        <v>18999.723736</v>
      </c>
      <c r="G14" s="34">
        <f t="shared" si="15"/>
        <v>471.19626399999993</v>
      </c>
      <c r="H14" s="31">
        <f t="shared" si="1"/>
        <v>32892.110271999998</v>
      </c>
      <c r="I14" s="33">
        <f t="shared" si="1"/>
        <v>815.72972800000002</v>
      </c>
      <c r="J14" s="33">
        <f t="shared" si="1"/>
        <v>33707.840000000004</v>
      </c>
      <c r="K14" s="37">
        <f t="shared" si="2"/>
        <v>0.73118887037695224</v>
      </c>
      <c r="L14" s="36">
        <f>'[1]STA MARIA'!$E14</f>
        <v>4867.7299999999996</v>
      </c>
      <c r="M14" s="31">
        <f t="shared" si="16"/>
        <v>4749.930934</v>
      </c>
      <c r="N14" s="31">
        <f t="shared" si="17"/>
        <v>117.79906599999998</v>
      </c>
      <c r="O14" s="31">
        <f t="shared" si="18"/>
        <v>3734.0548279999998</v>
      </c>
      <c r="P14" s="31">
        <f t="shared" si="19"/>
        <v>92.605171999999996</v>
      </c>
      <c r="Q14" s="31">
        <f>3826.66</f>
        <v>3826.66</v>
      </c>
      <c r="R14" s="31">
        <f t="shared" si="3"/>
        <v>-0.21387176363520566</v>
      </c>
      <c r="S14" s="31">
        <f>'[1]STA MARIA'!$F14</f>
        <v>4867.7299999999996</v>
      </c>
      <c r="T14" s="31">
        <f t="shared" si="20"/>
        <v>4749.930934</v>
      </c>
      <c r="U14" s="31">
        <f t="shared" si="21"/>
        <v>117.79906599999998</v>
      </c>
      <c r="V14" s="31">
        <f t="shared" si="22"/>
        <v>4412.3334080000004</v>
      </c>
      <c r="W14" s="31">
        <f t="shared" si="23"/>
        <v>109.426592</v>
      </c>
      <c r="X14" s="31">
        <f>4521.76</f>
        <v>4521.76</v>
      </c>
      <c r="Y14" s="31">
        <f t="shared" si="4"/>
        <v>-7.1074196802205392E-2</v>
      </c>
      <c r="Z14" s="31">
        <f>'[1]STA MARIA'!$G14</f>
        <v>4867.7299999999996</v>
      </c>
      <c r="AA14" s="31">
        <f t="shared" si="24"/>
        <v>4749.930934</v>
      </c>
      <c r="AB14" s="31">
        <f t="shared" si="25"/>
        <v>117.79906599999998</v>
      </c>
      <c r="AC14" s="31">
        <f t="shared" si="26"/>
        <v>11694.738566</v>
      </c>
      <c r="AD14" s="31">
        <f t="shared" si="27"/>
        <v>290.03143399999999</v>
      </c>
      <c r="AE14" s="31">
        <f>11984.77</f>
        <v>11984.77</v>
      </c>
      <c r="AF14" s="31">
        <f t="shared" si="5"/>
        <v>1.4620860236701709</v>
      </c>
      <c r="AG14" s="31">
        <f>'[1]STA MARIA'!$H14</f>
        <v>4867.7299999999996</v>
      </c>
      <c r="AH14" s="31">
        <f t="shared" si="28"/>
        <v>4749.930934</v>
      </c>
      <c r="AI14" s="31">
        <f t="shared" si="29"/>
        <v>117.79906599999998</v>
      </c>
      <c r="AJ14" s="31">
        <f t="shared" si="30"/>
        <v>4070.5984900000003</v>
      </c>
      <c r="AK14" s="31">
        <f t="shared" si="31"/>
        <v>100.95151</v>
      </c>
      <c r="AL14" s="31">
        <v>4171.55</v>
      </c>
      <c r="AM14" s="31">
        <f t="shared" si="6"/>
        <v>-0.14301943616429003</v>
      </c>
      <c r="AN14" s="31">
        <f>'[1]STA MARIA'!$I14</f>
        <v>4867.7299999999996</v>
      </c>
      <c r="AO14" s="31">
        <f t="shared" si="32"/>
        <v>4749.930934</v>
      </c>
      <c r="AP14" s="31">
        <f t="shared" si="33"/>
        <v>117.79906599999998</v>
      </c>
      <c r="AQ14" s="31">
        <f t="shared" si="34"/>
        <v>4358.4594900000002</v>
      </c>
      <c r="AR14" s="31">
        <f t="shared" si="35"/>
        <v>108.09050999999999</v>
      </c>
      <c r="AS14" s="33">
        <v>4466.55</v>
      </c>
      <c r="AT14" s="37">
        <f t="shared" si="7"/>
        <v>-8.2416239191573815E-2</v>
      </c>
      <c r="AU14" s="36">
        <f>'[1]STA MARIA'!$J14</f>
        <v>4867.7299999999996</v>
      </c>
      <c r="AV14" s="31">
        <f t="shared" si="36"/>
        <v>4749.930934</v>
      </c>
      <c r="AW14" s="18">
        <f t="shared" si="37"/>
        <v>117.79906599999998</v>
      </c>
      <c r="AX14" s="31">
        <f t="shared" si="38"/>
        <v>4621.9254900000005</v>
      </c>
      <c r="AY14" s="31">
        <f t="shared" si="39"/>
        <v>114.62451</v>
      </c>
      <c r="AZ14" s="33">
        <v>4736.55</v>
      </c>
      <c r="BA14" s="37">
        <f t="shared" si="8"/>
        <v>-2.6948906369087755E-2</v>
      </c>
      <c r="BB14" s="36">
        <f>'[1]STA MARIA'!$K14</f>
        <v>4867.7299999999996</v>
      </c>
      <c r="BC14" s="31">
        <f t="shared" si="40"/>
        <v>4749.930934</v>
      </c>
      <c r="BD14" s="18">
        <f t="shared" si="41"/>
        <v>117.79906599999998</v>
      </c>
      <c r="BE14" s="31">
        <f t="shared" si="42"/>
        <v>0</v>
      </c>
      <c r="BF14" s="31">
        <f t="shared" si="43"/>
        <v>0</v>
      </c>
      <c r="BG14" s="33"/>
      <c r="BH14" s="37">
        <f t="shared" si="9"/>
        <v>-1</v>
      </c>
      <c r="BI14" s="36">
        <f>'[1]STA MARIA'!$L14</f>
        <v>4867.7299999999996</v>
      </c>
      <c r="BJ14" s="31">
        <f t="shared" si="44"/>
        <v>4749.930934</v>
      </c>
      <c r="BK14" s="18">
        <f t="shared" si="45"/>
        <v>117.79906599999998</v>
      </c>
      <c r="BL14" s="31">
        <f t="shared" si="46"/>
        <v>0</v>
      </c>
      <c r="BM14" s="31">
        <f t="shared" si="47"/>
        <v>0</v>
      </c>
      <c r="BN14" s="33"/>
      <c r="BO14" s="37">
        <f t="shared" si="10"/>
        <v>-1</v>
      </c>
      <c r="BP14" s="36">
        <f>'[1]STA MARIA'!$M14</f>
        <v>4867.7299999999996</v>
      </c>
      <c r="BQ14" s="31">
        <f t="shared" si="48"/>
        <v>4749.930934</v>
      </c>
      <c r="BR14" s="18">
        <f t="shared" si="49"/>
        <v>117.79906599999998</v>
      </c>
      <c r="BS14" s="31">
        <f t="shared" si="50"/>
        <v>0</v>
      </c>
      <c r="BT14" s="31">
        <f t="shared" si="51"/>
        <v>0</v>
      </c>
      <c r="BU14" s="33"/>
      <c r="BV14" s="37">
        <f t="shared" si="11"/>
        <v>-1</v>
      </c>
      <c r="BW14" s="36">
        <f>'[1]STA MARIA'!$N14</f>
        <v>4867.7299999999996</v>
      </c>
      <c r="BX14" s="31">
        <f t="shared" si="52"/>
        <v>4749.930934</v>
      </c>
      <c r="BY14" s="18">
        <f t="shared" si="53"/>
        <v>117.79906599999998</v>
      </c>
      <c r="BZ14" s="31">
        <f t="shared" si="54"/>
        <v>0</v>
      </c>
      <c r="CA14" s="31">
        <f t="shared" si="55"/>
        <v>0</v>
      </c>
      <c r="CB14" s="33"/>
      <c r="CC14" s="37">
        <f t="shared" si="12"/>
        <v>-1</v>
      </c>
      <c r="CD14" s="36">
        <f>'[1]STA MARIA'!$O14</f>
        <v>4867.7299999999996</v>
      </c>
      <c r="CE14" s="31">
        <f t="shared" si="56"/>
        <v>4749.930934</v>
      </c>
      <c r="CF14" s="18">
        <f t="shared" si="57"/>
        <v>117.79906599999998</v>
      </c>
      <c r="CG14" s="31">
        <f t="shared" si="58"/>
        <v>0</v>
      </c>
      <c r="CH14" s="31">
        <f t="shared" si="59"/>
        <v>0</v>
      </c>
      <c r="CI14" s="33"/>
      <c r="CJ14" s="37">
        <f t="shared" si="13"/>
        <v>-1</v>
      </c>
      <c r="CK14" s="36">
        <f>'[1]STA MARIA'!$P14</f>
        <v>4867.7299999999996</v>
      </c>
      <c r="CL14" s="31">
        <f t="shared" si="60"/>
        <v>4749.930934</v>
      </c>
      <c r="CM14" s="18">
        <f t="shared" si="61"/>
        <v>117.79906599999998</v>
      </c>
      <c r="CN14" s="31">
        <f t="shared" si="62"/>
        <v>0</v>
      </c>
      <c r="CO14" s="31">
        <f t="shared" si="63"/>
        <v>0</v>
      </c>
      <c r="CP14" s="33"/>
      <c r="CQ14" s="37">
        <f t="shared" si="14"/>
        <v>-1</v>
      </c>
    </row>
    <row r="15" spans="1:99" s="26" customFormat="1" ht="16" customHeight="1" thickBot="1" x14ac:dyDescent="0.25">
      <c r="A15" s="38" t="s">
        <v>39</v>
      </c>
      <c r="B15" s="30">
        <f t="shared" si="0"/>
        <v>149693.69999999995</v>
      </c>
      <c r="C15" s="31">
        <f t="shared" si="0"/>
        <v>146071.11245999997</v>
      </c>
      <c r="D15" s="32">
        <f t="shared" si="0"/>
        <v>3622.5875400000004</v>
      </c>
      <c r="E15" s="30">
        <f t="shared" si="15"/>
        <v>49575.599999999991</v>
      </c>
      <c r="F15" s="33">
        <f t="shared" si="15"/>
        <v>48375.87047999999</v>
      </c>
      <c r="G15" s="34">
        <f t="shared" si="15"/>
        <v>1199.7295199999999</v>
      </c>
      <c r="H15" s="31">
        <f t="shared" si="1"/>
        <v>85614.184194000016</v>
      </c>
      <c r="I15" s="33">
        <f t="shared" si="1"/>
        <v>2123.2458060000004</v>
      </c>
      <c r="J15" s="33">
        <f t="shared" si="1"/>
        <v>87737.430000000008</v>
      </c>
      <c r="K15" s="37">
        <f t="shared" si="2"/>
        <v>0.76977041125069645</v>
      </c>
      <c r="L15" s="36">
        <f>'[1]STA MARIA'!$E15</f>
        <v>12393.899999999998</v>
      </c>
      <c r="M15" s="40">
        <f t="shared" si="16"/>
        <v>12093.967619999998</v>
      </c>
      <c r="N15" s="40">
        <f t="shared" si="17"/>
        <v>299.93237999999997</v>
      </c>
      <c r="O15" s="40">
        <f t="shared" si="18"/>
        <v>10838.444792000002</v>
      </c>
      <c r="P15" s="40">
        <f t="shared" si="19"/>
        <v>268.79520800000006</v>
      </c>
      <c r="Q15" s="40">
        <f>851.15+18331.87-(13.07+8062.71)</f>
        <v>11107.240000000002</v>
      </c>
      <c r="R15" s="40">
        <f t="shared" si="3"/>
        <v>-0.10381397300284789</v>
      </c>
      <c r="S15" s="40">
        <f>'[1]STA MARIA'!$F15</f>
        <v>12393.899999999998</v>
      </c>
      <c r="T15" s="40">
        <f t="shared" si="20"/>
        <v>12093.967619999998</v>
      </c>
      <c r="U15" s="40">
        <f t="shared" si="21"/>
        <v>299.93237999999997</v>
      </c>
      <c r="V15" s="40">
        <f t="shared" si="22"/>
        <v>10797.910060000011</v>
      </c>
      <c r="W15" s="40">
        <f t="shared" si="23"/>
        <v>267.78994000000029</v>
      </c>
      <c r="X15" s="40">
        <f>861.03+108133.91-(29321.87+68607.37)</f>
        <v>11065.700000000012</v>
      </c>
      <c r="Y15" s="40">
        <f t="shared" si="4"/>
        <v>-0.10716562179781874</v>
      </c>
      <c r="Z15" s="40">
        <f>'[1]STA MARIA'!$G15</f>
        <v>12393.899999999998</v>
      </c>
      <c r="AA15" s="40">
        <f t="shared" si="24"/>
        <v>12093.967619999998</v>
      </c>
      <c r="AB15" s="40">
        <f t="shared" si="25"/>
        <v>299.93237999999997</v>
      </c>
      <c r="AC15" s="40">
        <f t="shared" si="26"/>
        <v>16176.090308000003</v>
      </c>
      <c r="AD15" s="40">
        <f t="shared" si="27"/>
        <v>401.16969200000005</v>
      </c>
      <c r="AE15" s="40">
        <f>851.15+15726.11</f>
        <v>16577.260000000002</v>
      </c>
      <c r="AF15" s="40">
        <f t="shared" si="5"/>
        <v>0.33753378678220769</v>
      </c>
      <c r="AG15" s="40">
        <f>'[1]STA MARIA'!$H15</f>
        <v>12393.899999999998</v>
      </c>
      <c r="AH15" s="40">
        <f t="shared" si="28"/>
        <v>12093.967619999998</v>
      </c>
      <c r="AI15" s="40">
        <f t="shared" si="29"/>
        <v>299.93237999999997</v>
      </c>
      <c r="AJ15" s="40">
        <f t="shared" si="30"/>
        <v>19092.707717999998</v>
      </c>
      <c r="AK15" s="40">
        <f t="shared" si="31"/>
        <v>473.50228199999998</v>
      </c>
      <c r="AL15" s="40">
        <f>857.45+18708.76</f>
        <v>19566.21</v>
      </c>
      <c r="AM15" s="40">
        <f t="shared" si="6"/>
        <v>0.5786967782538186</v>
      </c>
      <c r="AN15" s="40">
        <f>'[1]STA MARIA'!$I15</f>
        <v>12393.899999999998</v>
      </c>
      <c r="AO15" s="40">
        <f t="shared" si="32"/>
        <v>12093.967619999998</v>
      </c>
      <c r="AP15" s="40">
        <f t="shared" si="33"/>
        <v>299.93237999999997</v>
      </c>
      <c r="AQ15" s="40">
        <f t="shared" si="34"/>
        <v>15822.206679999999</v>
      </c>
      <c r="AR15" s="40">
        <f t="shared" si="35"/>
        <v>392.39331999999996</v>
      </c>
      <c r="AS15" s="115">
        <v>16214.599999999999</v>
      </c>
      <c r="AT15" s="37">
        <f t="shared" si="7"/>
        <v>0.30827261798142636</v>
      </c>
      <c r="AU15" s="36">
        <f>'[1]STA MARIA'!$J15</f>
        <v>12393.899999999998</v>
      </c>
      <c r="AV15" s="40">
        <f t="shared" si="36"/>
        <v>12093.967619999998</v>
      </c>
      <c r="AW15" s="18">
        <f t="shared" si="37"/>
        <v>299.93237999999997</v>
      </c>
      <c r="AX15" s="40">
        <f t="shared" si="38"/>
        <v>12886.824636000003</v>
      </c>
      <c r="AY15" s="40">
        <f t="shared" si="39"/>
        <v>319.59536400000007</v>
      </c>
      <c r="AZ15" s="115">
        <v>13206.420000000004</v>
      </c>
      <c r="BA15" s="37">
        <f t="shared" si="8"/>
        <v>6.555805678600013E-2</v>
      </c>
      <c r="BB15" s="36">
        <f>'[1]STA MARIA'!$K15</f>
        <v>13360.799999999997</v>
      </c>
      <c r="BC15" s="40">
        <f t="shared" si="40"/>
        <v>13037.468639999997</v>
      </c>
      <c r="BD15" s="18">
        <f t="shared" si="41"/>
        <v>323.3313599999999</v>
      </c>
      <c r="BE15" s="40">
        <f t="shared" si="42"/>
        <v>0</v>
      </c>
      <c r="BF15" s="40">
        <f t="shared" si="43"/>
        <v>0</v>
      </c>
      <c r="BG15" s="115"/>
      <c r="BH15" s="37">
        <f t="shared" si="9"/>
        <v>-1</v>
      </c>
      <c r="BI15" s="36">
        <f>'[1]STA MARIA'!$L15</f>
        <v>12393.899999999998</v>
      </c>
      <c r="BJ15" s="40">
        <f t="shared" si="44"/>
        <v>12093.967619999998</v>
      </c>
      <c r="BK15" s="18">
        <f t="shared" si="45"/>
        <v>299.93237999999997</v>
      </c>
      <c r="BL15" s="40">
        <f t="shared" si="46"/>
        <v>0</v>
      </c>
      <c r="BM15" s="40">
        <f t="shared" si="47"/>
        <v>0</v>
      </c>
      <c r="BN15" s="115"/>
      <c r="BO15" s="37">
        <f t="shared" si="10"/>
        <v>-1</v>
      </c>
      <c r="BP15" s="36">
        <f>'[1]STA MARIA'!$M15</f>
        <v>12393.899999999998</v>
      </c>
      <c r="BQ15" s="40">
        <f t="shared" si="48"/>
        <v>12093.967619999998</v>
      </c>
      <c r="BR15" s="18">
        <f t="shared" si="49"/>
        <v>299.93237999999997</v>
      </c>
      <c r="BS15" s="40">
        <f t="shared" si="50"/>
        <v>0</v>
      </c>
      <c r="BT15" s="40">
        <f t="shared" si="51"/>
        <v>0</v>
      </c>
      <c r="BU15" s="115"/>
      <c r="BV15" s="37">
        <f t="shared" si="11"/>
        <v>-1</v>
      </c>
      <c r="BW15" s="36">
        <f>'[1]STA MARIA'!$N15</f>
        <v>12393.899999999998</v>
      </c>
      <c r="BX15" s="40">
        <f t="shared" si="52"/>
        <v>12093.967619999998</v>
      </c>
      <c r="BY15" s="18">
        <f t="shared" si="53"/>
        <v>299.93237999999997</v>
      </c>
      <c r="BZ15" s="40">
        <f t="shared" si="54"/>
        <v>0</v>
      </c>
      <c r="CA15" s="40">
        <f t="shared" si="55"/>
        <v>0</v>
      </c>
      <c r="CB15" s="115"/>
      <c r="CC15" s="37">
        <f t="shared" si="12"/>
        <v>-1</v>
      </c>
      <c r="CD15" s="36">
        <f>'[1]STA MARIA'!$O15</f>
        <v>12393.899999999998</v>
      </c>
      <c r="CE15" s="40">
        <f t="shared" si="56"/>
        <v>12093.967619999998</v>
      </c>
      <c r="CF15" s="18">
        <f t="shared" si="57"/>
        <v>299.93237999999997</v>
      </c>
      <c r="CG15" s="40">
        <f t="shared" si="58"/>
        <v>0</v>
      </c>
      <c r="CH15" s="40">
        <f t="shared" si="59"/>
        <v>0</v>
      </c>
      <c r="CI15" s="115"/>
      <c r="CJ15" s="37">
        <f t="shared" si="13"/>
        <v>-1</v>
      </c>
      <c r="CK15" s="36">
        <f>'[1]STA MARIA'!$P15</f>
        <v>12393.899999999998</v>
      </c>
      <c r="CL15" s="40">
        <f t="shared" si="60"/>
        <v>12093.967619999998</v>
      </c>
      <c r="CM15" s="18">
        <f t="shared" si="61"/>
        <v>299.93237999999997</v>
      </c>
      <c r="CN15" s="40">
        <f t="shared" si="62"/>
        <v>0</v>
      </c>
      <c r="CO15" s="40">
        <f t="shared" si="63"/>
        <v>0</v>
      </c>
      <c r="CP15" s="115"/>
      <c r="CQ15" s="37">
        <f t="shared" si="14"/>
        <v>-1</v>
      </c>
    </row>
    <row r="16" spans="1:99" s="26" customFormat="1" ht="16" customHeight="1" thickBot="1" x14ac:dyDescent="0.25">
      <c r="A16" s="29" t="s">
        <v>40</v>
      </c>
      <c r="B16" s="30">
        <f t="shared" si="0"/>
        <v>199999.99999999997</v>
      </c>
      <c r="C16" s="31">
        <f t="shared" si="0"/>
        <v>195160.00000000003</v>
      </c>
      <c r="D16" s="32">
        <f t="shared" si="0"/>
        <v>4840.0000000000009</v>
      </c>
      <c r="E16" s="30">
        <f t="shared" si="15"/>
        <v>66666.666666666672</v>
      </c>
      <c r="F16" s="33">
        <f t="shared" si="15"/>
        <v>65053.333333333336</v>
      </c>
      <c r="G16" s="34">
        <f t="shared" si="15"/>
        <v>1613.3333333333335</v>
      </c>
      <c r="H16" s="31">
        <f t="shared" si="1"/>
        <v>107233.872382</v>
      </c>
      <c r="I16" s="33">
        <f t="shared" si="1"/>
        <v>2659.4176179999995</v>
      </c>
      <c r="J16" s="33">
        <f t="shared" si="1"/>
        <v>109893.29</v>
      </c>
      <c r="K16" s="37">
        <f t="shared" si="2"/>
        <v>0.64839934999999982</v>
      </c>
      <c r="L16" s="36">
        <f>'[1]STA MARIA'!$E16</f>
        <v>16666.666666666668</v>
      </c>
      <c r="M16" s="31">
        <f t="shared" si="16"/>
        <v>16263.333333333334</v>
      </c>
      <c r="N16" s="31">
        <f t="shared" si="17"/>
        <v>403.33333333333337</v>
      </c>
      <c r="O16" s="31">
        <f t="shared" si="18"/>
        <v>22083.085849999999</v>
      </c>
      <c r="P16" s="31">
        <f t="shared" si="19"/>
        <v>547.66414999999995</v>
      </c>
      <c r="Q16" s="31">
        <f>22630.75</f>
        <v>22630.75</v>
      </c>
      <c r="R16" s="31">
        <f t="shared" si="3"/>
        <v>0.35784499999999997</v>
      </c>
      <c r="S16" s="31">
        <f>'[1]STA MARIA'!$F16</f>
        <v>16666.666666666668</v>
      </c>
      <c r="T16" s="31">
        <f t="shared" si="20"/>
        <v>16263.333333333334</v>
      </c>
      <c r="U16" s="31">
        <f t="shared" si="21"/>
        <v>403.33333333333337</v>
      </c>
      <c r="V16" s="31">
        <f t="shared" si="22"/>
        <v>2707.074118</v>
      </c>
      <c r="W16" s="31">
        <f t="shared" si="23"/>
        <v>67.135881999999995</v>
      </c>
      <c r="X16" s="31">
        <f>2774.21</f>
        <v>2774.21</v>
      </c>
      <c r="Y16" s="31">
        <f t="shared" si="4"/>
        <v>-0.83354740000000005</v>
      </c>
      <c r="Z16" s="31">
        <f>'[1]STA MARIA'!$G16</f>
        <v>16666.666666666668</v>
      </c>
      <c r="AA16" s="31">
        <f t="shared" si="24"/>
        <v>16263.333333333334</v>
      </c>
      <c r="AB16" s="31">
        <f t="shared" si="25"/>
        <v>403.33333333333337</v>
      </c>
      <c r="AC16" s="31">
        <f t="shared" si="26"/>
        <v>28390.461889999999</v>
      </c>
      <c r="AD16" s="31">
        <f t="shared" si="27"/>
        <v>704.08810999999992</v>
      </c>
      <c r="AE16" s="31">
        <f>29094.55</f>
        <v>29094.55</v>
      </c>
      <c r="AF16" s="31">
        <f t="shared" si="5"/>
        <v>0.74567299999999981</v>
      </c>
      <c r="AG16" s="31">
        <f>'[1]STA MARIA'!$H16</f>
        <v>16666.666666666668</v>
      </c>
      <c r="AH16" s="31">
        <f t="shared" si="28"/>
        <v>16263.333333333334</v>
      </c>
      <c r="AI16" s="31">
        <f t="shared" si="29"/>
        <v>403.33333333333337</v>
      </c>
      <c r="AJ16" s="31">
        <f t="shared" si="30"/>
        <v>19775.875056000001</v>
      </c>
      <c r="AK16" s="31">
        <f t="shared" si="31"/>
        <v>490.44494399999996</v>
      </c>
      <c r="AL16" s="31">
        <f>20266.32</f>
        <v>20266.32</v>
      </c>
      <c r="AM16" s="31">
        <f t="shared" si="6"/>
        <v>0.21597919999999982</v>
      </c>
      <c r="AN16" s="31">
        <f>'[1]STA MARIA'!$I16</f>
        <v>16666.666666666668</v>
      </c>
      <c r="AO16" s="31">
        <f t="shared" si="32"/>
        <v>16263.333333333334</v>
      </c>
      <c r="AP16" s="31">
        <f t="shared" si="33"/>
        <v>403.33333333333337</v>
      </c>
      <c r="AQ16" s="31">
        <f t="shared" si="34"/>
        <v>19439.994938</v>
      </c>
      <c r="AR16" s="31">
        <f t="shared" si="35"/>
        <v>482.11506200000002</v>
      </c>
      <c r="AS16" s="33">
        <v>19922.11</v>
      </c>
      <c r="AT16" s="37">
        <f t="shared" si="7"/>
        <v>0.19532660000000002</v>
      </c>
      <c r="AU16" s="36">
        <f>'[1]STA MARIA'!$J16</f>
        <v>16666.666666666668</v>
      </c>
      <c r="AV16" s="31">
        <f t="shared" si="36"/>
        <v>16263.333333333334</v>
      </c>
      <c r="AW16" s="18">
        <f t="shared" si="37"/>
        <v>403.33333333333337</v>
      </c>
      <c r="AX16" s="31">
        <f t="shared" si="38"/>
        <v>14837.38053</v>
      </c>
      <c r="AY16" s="31">
        <f t="shared" si="39"/>
        <v>367.96947</v>
      </c>
      <c r="AZ16" s="33">
        <v>15205.35</v>
      </c>
      <c r="BA16" s="37">
        <f t="shared" si="8"/>
        <v>-8.7679000000000062E-2</v>
      </c>
      <c r="BB16" s="36">
        <f>'[1]STA MARIA'!$K16</f>
        <v>16666.666666666668</v>
      </c>
      <c r="BC16" s="31">
        <f t="shared" si="40"/>
        <v>16263.333333333334</v>
      </c>
      <c r="BD16" s="18">
        <f t="shared" si="41"/>
        <v>403.33333333333337</v>
      </c>
      <c r="BE16" s="31">
        <f t="shared" si="42"/>
        <v>0</v>
      </c>
      <c r="BF16" s="31">
        <f t="shared" si="43"/>
        <v>0</v>
      </c>
      <c r="BG16" s="33"/>
      <c r="BH16" s="37">
        <f t="shared" si="9"/>
        <v>-1</v>
      </c>
      <c r="BI16" s="36">
        <f>'[1]STA MARIA'!$L16</f>
        <v>16666.666666666668</v>
      </c>
      <c r="BJ16" s="31">
        <f t="shared" si="44"/>
        <v>16263.333333333334</v>
      </c>
      <c r="BK16" s="18">
        <f t="shared" si="45"/>
        <v>403.33333333333337</v>
      </c>
      <c r="BL16" s="31">
        <f t="shared" si="46"/>
        <v>0</v>
      </c>
      <c r="BM16" s="31">
        <f t="shared" si="47"/>
        <v>0</v>
      </c>
      <c r="BN16" s="33"/>
      <c r="BO16" s="37">
        <f t="shared" si="10"/>
        <v>-1</v>
      </c>
      <c r="BP16" s="36">
        <f>'[1]STA MARIA'!$M16</f>
        <v>16666.666666666668</v>
      </c>
      <c r="BQ16" s="31">
        <f t="shared" si="48"/>
        <v>16263.333333333334</v>
      </c>
      <c r="BR16" s="18">
        <f t="shared" si="49"/>
        <v>403.33333333333337</v>
      </c>
      <c r="BS16" s="31">
        <f t="shared" si="50"/>
        <v>0</v>
      </c>
      <c r="BT16" s="31">
        <f t="shared" si="51"/>
        <v>0</v>
      </c>
      <c r="BU16" s="33"/>
      <c r="BV16" s="37">
        <f t="shared" si="11"/>
        <v>-1</v>
      </c>
      <c r="BW16" s="36">
        <f>'[1]STA MARIA'!$N16</f>
        <v>16666.666666666668</v>
      </c>
      <c r="BX16" s="31">
        <f t="shared" si="52"/>
        <v>16263.333333333334</v>
      </c>
      <c r="BY16" s="18">
        <f t="shared" si="53"/>
        <v>403.33333333333337</v>
      </c>
      <c r="BZ16" s="31">
        <f t="shared" si="54"/>
        <v>0</v>
      </c>
      <c r="CA16" s="31">
        <f t="shared" si="55"/>
        <v>0</v>
      </c>
      <c r="CB16" s="33"/>
      <c r="CC16" s="37">
        <f t="shared" si="12"/>
        <v>-1</v>
      </c>
      <c r="CD16" s="36">
        <f>'[1]STA MARIA'!$O16</f>
        <v>16666.666666666668</v>
      </c>
      <c r="CE16" s="31">
        <f t="shared" si="56"/>
        <v>16263.333333333334</v>
      </c>
      <c r="CF16" s="18">
        <f t="shared" si="57"/>
        <v>403.33333333333337</v>
      </c>
      <c r="CG16" s="31">
        <f t="shared" si="58"/>
        <v>0</v>
      </c>
      <c r="CH16" s="31">
        <f t="shared" si="59"/>
        <v>0</v>
      </c>
      <c r="CI16" s="33"/>
      <c r="CJ16" s="37">
        <f t="shared" si="13"/>
        <v>-1</v>
      </c>
      <c r="CK16" s="36">
        <f>'[1]STA MARIA'!$P16</f>
        <v>16666.666666666668</v>
      </c>
      <c r="CL16" s="31">
        <f t="shared" si="60"/>
        <v>16263.333333333334</v>
      </c>
      <c r="CM16" s="18">
        <f t="shared" si="61"/>
        <v>403.33333333333337</v>
      </c>
      <c r="CN16" s="31">
        <f t="shared" si="62"/>
        <v>0</v>
      </c>
      <c r="CO16" s="31">
        <f t="shared" si="63"/>
        <v>0</v>
      </c>
      <c r="CP16" s="33"/>
      <c r="CQ16" s="37">
        <f t="shared" si="14"/>
        <v>-1</v>
      </c>
    </row>
    <row r="17" spans="1:95" s="26" customFormat="1" ht="16" customHeight="1" thickBot="1" x14ac:dyDescent="0.25">
      <c r="A17" s="38" t="s">
        <v>41</v>
      </c>
      <c r="B17" s="30">
        <f t="shared" si="0"/>
        <v>642232.80000000016</v>
      </c>
      <c r="C17" s="31">
        <f t="shared" si="0"/>
        <v>626690.76623999991</v>
      </c>
      <c r="D17" s="32">
        <f t="shared" si="0"/>
        <v>15542.033760000004</v>
      </c>
      <c r="E17" s="30">
        <f t="shared" si="15"/>
        <v>214077.6</v>
      </c>
      <c r="F17" s="33">
        <f t="shared" si="15"/>
        <v>208896.92208000002</v>
      </c>
      <c r="G17" s="34">
        <f t="shared" si="15"/>
        <v>5180.6779200000001</v>
      </c>
      <c r="H17" s="31">
        <f t="shared" si="1"/>
        <v>418489.55052799999</v>
      </c>
      <c r="I17" s="33">
        <f t="shared" si="1"/>
        <v>10378.609471999998</v>
      </c>
      <c r="J17" s="33">
        <f t="shared" si="1"/>
        <v>428868.16</v>
      </c>
      <c r="K17" s="37">
        <f t="shared" si="2"/>
        <v>1.0033303811328227</v>
      </c>
      <c r="L17" s="36">
        <f>'[1]STA MARIA'!$E17</f>
        <v>53519.4</v>
      </c>
      <c r="M17" s="31">
        <f t="shared" si="16"/>
        <v>52224.230520000005</v>
      </c>
      <c r="N17" s="31">
        <f t="shared" si="17"/>
        <v>1295.16948</v>
      </c>
      <c r="O17" s="31">
        <f t="shared" si="18"/>
        <v>45137.795276000004</v>
      </c>
      <c r="P17" s="31">
        <f t="shared" si="19"/>
        <v>1119.424724</v>
      </c>
      <c r="Q17" s="31">
        <v>46257.22</v>
      </c>
      <c r="R17" s="31">
        <f t="shared" si="3"/>
        <v>-0.13569247786783856</v>
      </c>
      <c r="S17" s="31">
        <f>'[1]STA MARIA'!$F17</f>
        <v>53519.4</v>
      </c>
      <c r="T17" s="31">
        <f t="shared" si="20"/>
        <v>52224.230520000005</v>
      </c>
      <c r="U17" s="31">
        <f t="shared" si="21"/>
        <v>1295.16948</v>
      </c>
      <c r="V17" s="31">
        <f t="shared" si="22"/>
        <v>37583.581028000001</v>
      </c>
      <c r="W17" s="31">
        <f t="shared" si="23"/>
        <v>932.07897200000002</v>
      </c>
      <c r="X17" s="31">
        <f>38515.66</f>
        <v>38515.660000000003</v>
      </c>
      <c r="Y17" s="31">
        <f t="shared" si="4"/>
        <v>-0.28034208156294727</v>
      </c>
      <c r="Z17" s="31">
        <f>'[1]STA MARIA'!$G17</f>
        <v>53519.4</v>
      </c>
      <c r="AA17" s="31">
        <f t="shared" si="24"/>
        <v>52224.230520000005</v>
      </c>
      <c r="AB17" s="31">
        <f t="shared" si="25"/>
        <v>1295.16948</v>
      </c>
      <c r="AC17" s="31">
        <f t="shared" si="26"/>
        <v>70808.722081999993</v>
      </c>
      <c r="AD17" s="31">
        <f t="shared" si="27"/>
        <v>1756.0679179999997</v>
      </c>
      <c r="AE17" s="31">
        <v>72564.789999999994</v>
      </c>
      <c r="AF17" s="31">
        <f t="shared" si="5"/>
        <v>0.35585955746888032</v>
      </c>
      <c r="AG17" s="31">
        <f>'[1]STA MARIA'!$H17</f>
        <v>53519.4</v>
      </c>
      <c r="AH17" s="31">
        <f t="shared" si="28"/>
        <v>52224.230520000005</v>
      </c>
      <c r="AI17" s="31">
        <f t="shared" si="29"/>
        <v>1295.16948</v>
      </c>
      <c r="AJ17" s="31">
        <f t="shared" si="30"/>
        <v>84957.275633999991</v>
      </c>
      <c r="AK17" s="31">
        <f t="shared" si="31"/>
        <v>2106.9543659999999</v>
      </c>
      <c r="AL17" s="31">
        <f>87064.23</f>
        <v>87064.23</v>
      </c>
      <c r="AM17" s="31">
        <f t="shared" si="6"/>
        <v>0.62677888765569101</v>
      </c>
      <c r="AN17" s="31">
        <f>'[1]STA MARIA'!$I17</f>
        <v>53519.4</v>
      </c>
      <c r="AO17" s="31">
        <f t="shared" si="32"/>
        <v>52224.230520000005</v>
      </c>
      <c r="AP17" s="31">
        <f t="shared" si="33"/>
        <v>1295.16948</v>
      </c>
      <c r="AQ17" s="31">
        <f t="shared" si="34"/>
        <v>102633.502314</v>
      </c>
      <c r="AR17" s="31">
        <f t="shared" si="35"/>
        <v>2545.3276860000001</v>
      </c>
      <c r="AS17" s="33">
        <v>105178.83</v>
      </c>
      <c r="AT17" s="37">
        <f t="shared" si="7"/>
        <v>0.96524680769963789</v>
      </c>
      <c r="AU17" s="36">
        <f>'[1]STA MARIA'!$J17</f>
        <v>53519.4</v>
      </c>
      <c r="AV17" s="31">
        <f t="shared" si="36"/>
        <v>52224.230520000005</v>
      </c>
      <c r="AW17" s="18">
        <f t="shared" si="37"/>
        <v>1295.16948</v>
      </c>
      <c r="AX17" s="31">
        <f t="shared" si="38"/>
        <v>77368.674193999992</v>
      </c>
      <c r="AY17" s="31">
        <f t="shared" si="39"/>
        <v>1918.7558059999997</v>
      </c>
      <c r="AZ17" s="27">
        <v>79287.429999999993</v>
      </c>
      <c r="BA17" s="37">
        <f t="shared" si="8"/>
        <v>0.48147083113786748</v>
      </c>
      <c r="BB17" s="36">
        <f>'[1]STA MARIA'!$K17</f>
        <v>53519.4</v>
      </c>
      <c r="BC17" s="31">
        <f t="shared" si="40"/>
        <v>52224.230520000005</v>
      </c>
      <c r="BD17" s="18">
        <f t="shared" si="41"/>
        <v>1295.16948</v>
      </c>
      <c r="BE17" s="31">
        <f t="shared" si="42"/>
        <v>0</v>
      </c>
      <c r="BF17" s="31">
        <f t="shared" si="43"/>
        <v>0</v>
      </c>
      <c r="BG17" s="33"/>
      <c r="BH17" s="37">
        <f t="shared" si="9"/>
        <v>-1</v>
      </c>
      <c r="BI17" s="36">
        <f>'[1]STA MARIA'!$L17</f>
        <v>53519.4</v>
      </c>
      <c r="BJ17" s="31">
        <f t="shared" si="44"/>
        <v>52224.230520000005</v>
      </c>
      <c r="BK17" s="18">
        <f t="shared" si="45"/>
        <v>1295.16948</v>
      </c>
      <c r="BL17" s="31">
        <f t="shared" si="46"/>
        <v>0</v>
      </c>
      <c r="BM17" s="31">
        <f t="shared" si="47"/>
        <v>0</v>
      </c>
      <c r="BN17" s="33"/>
      <c r="BO17" s="37">
        <f t="shared" si="10"/>
        <v>-1</v>
      </c>
      <c r="BP17" s="36">
        <f>'[1]STA MARIA'!$M17</f>
        <v>53519.4</v>
      </c>
      <c r="BQ17" s="31">
        <f t="shared" si="48"/>
        <v>52224.230520000005</v>
      </c>
      <c r="BR17" s="18">
        <f t="shared" si="49"/>
        <v>1295.16948</v>
      </c>
      <c r="BS17" s="31">
        <f t="shared" si="50"/>
        <v>0</v>
      </c>
      <c r="BT17" s="31">
        <f t="shared" si="51"/>
        <v>0</v>
      </c>
      <c r="BU17" s="33"/>
      <c r="BV17" s="37">
        <f t="shared" si="11"/>
        <v>-1</v>
      </c>
      <c r="BW17" s="36">
        <f>'[1]STA MARIA'!$N17</f>
        <v>53519.4</v>
      </c>
      <c r="BX17" s="31">
        <f t="shared" si="52"/>
        <v>52224.230520000005</v>
      </c>
      <c r="BY17" s="18">
        <f t="shared" si="53"/>
        <v>1295.16948</v>
      </c>
      <c r="BZ17" s="31">
        <f t="shared" si="54"/>
        <v>0</v>
      </c>
      <c r="CA17" s="31">
        <f t="shared" si="55"/>
        <v>0</v>
      </c>
      <c r="CB17" s="33"/>
      <c r="CC17" s="37">
        <f t="shared" si="12"/>
        <v>-1</v>
      </c>
      <c r="CD17" s="36">
        <f>'[1]STA MARIA'!$O17</f>
        <v>53519.4</v>
      </c>
      <c r="CE17" s="31">
        <f t="shared" si="56"/>
        <v>52224.230520000005</v>
      </c>
      <c r="CF17" s="18">
        <f t="shared" si="57"/>
        <v>1295.16948</v>
      </c>
      <c r="CG17" s="31">
        <f t="shared" si="58"/>
        <v>0</v>
      </c>
      <c r="CH17" s="31">
        <f t="shared" si="59"/>
        <v>0</v>
      </c>
      <c r="CI17" s="33"/>
      <c r="CJ17" s="37">
        <f t="shared" si="13"/>
        <v>-1</v>
      </c>
      <c r="CK17" s="36">
        <f>'[1]STA MARIA'!$P17</f>
        <v>53519.4</v>
      </c>
      <c r="CL17" s="31">
        <f t="shared" si="60"/>
        <v>52224.230520000005</v>
      </c>
      <c r="CM17" s="18">
        <f t="shared" si="61"/>
        <v>1295.16948</v>
      </c>
      <c r="CN17" s="31">
        <f t="shared" si="62"/>
        <v>0</v>
      </c>
      <c r="CO17" s="31">
        <f t="shared" si="63"/>
        <v>0</v>
      </c>
      <c r="CP17" s="33"/>
      <c r="CQ17" s="37">
        <f t="shared" si="14"/>
        <v>-1</v>
      </c>
    </row>
    <row r="18" spans="1:95" s="26" customFormat="1" ht="16" customHeight="1" thickBot="1" x14ac:dyDescent="0.25">
      <c r="A18" s="38" t="s">
        <v>42</v>
      </c>
      <c r="B18" s="30">
        <f t="shared" si="0"/>
        <v>128734.32</v>
      </c>
      <c r="C18" s="31">
        <f t="shared" si="0"/>
        <v>125618.949456</v>
      </c>
      <c r="D18" s="32">
        <f t="shared" si="0"/>
        <v>3115.3705439999999</v>
      </c>
      <c r="E18" s="30">
        <f t="shared" si="15"/>
        <v>42911.44</v>
      </c>
      <c r="F18" s="33">
        <f t="shared" si="15"/>
        <v>41872.983152000001</v>
      </c>
      <c r="G18" s="34">
        <f t="shared" si="15"/>
        <v>1038.456848</v>
      </c>
      <c r="H18" s="31">
        <f t="shared" si="1"/>
        <v>71995.802297999995</v>
      </c>
      <c r="I18" s="33">
        <f t="shared" si="1"/>
        <v>1785.5077020000001</v>
      </c>
      <c r="J18" s="33">
        <f t="shared" si="1"/>
        <v>73781.31</v>
      </c>
      <c r="K18" s="37">
        <f t="shared" si="2"/>
        <v>0.71938555312988783</v>
      </c>
      <c r="L18" s="36">
        <f>'[1]STA MARIA'!$E18</f>
        <v>10727.86</v>
      </c>
      <c r="M18" s="31">
        <f t="shared" si="16"/>
        <v>10468.245788</v>
      </c>
      <c r="N18" s="31">
        <f t="shared" si="17"/>
        <v>259.61421200000001</v>
      </c>
      <c r="O18" s="31">
        <f t="shared" si="18"/>
        <v>9868.1190299999998</v>
      </c>
      <c r="P18" s="31">
        <f t="shared" si="19"/>
        <v>244.73097000000001</v>
      </c>
      <c r="Q18" s="31">
        <v>10112.85</v>
      </c>
      <c r="R18" s="31">
        <f t="shared" si="3"/>
        <v>-5.7328302196337444E-2</v>
      </c>
      <c r="S18" s="31">
        <f>'[1]STA MARIA'!$F18</f>
        <v>10727.86</v>
      </c>
      <c r="T18" s="31">
        <f t="shared" si="20"/>
        <v>10468.245788</v>
      </c>
      <c r="U18" s="31">
        <f t="shared" si="21"/>
        <v>259.61421200000001</v>
      </c>
      <c r="V18" s="31">
        <f t="shared" si="22"/>
        <v>2856.8984500000001</v>
      </c>
      <c r="W18" s="31">
        <f t="shared" si="23"/>
        <v>70.851550000000003</v>
      </c>
      <c r="X18" s="31">
        <v>2927.75</v>
      </c>
      <c r="Y18" s="31">
        <f t="shared" si="4"/>
        <v>-0.72708909325811488</v>
      </c>
      <c r="Z18" s="31">
        <f>'[1]STA MARIA'!$G18</f>
        <v>10727.86</v>
      </c>
      <c r="AA18" s="31">
        <f t="shared" si="24"/>
        <v>10468.245788</v>
      </c>
      <c r="AB18" s="31">
        <f t="shared" si="25"/>
        <v>259.61421200000001</v>
      </c>
      <c r="AC18" s="31">
        <f t="shared" si="26"/>
        <v>30880.635183999999</v>
      </c>
      <c r="AD18" s="31">
        <f t="shared" si="27"/>
        <v>765.84481599999992</v>
      </c>
      <c r="AE18" s="31">
        <v>31646.48</v>
      </c>
      <c r="AF18" s="31">
        <f t="shared" si="5"/>
        <v>1.9499340968282581</v>
      </c>
      <c r="AG18" s="31">
        <f>'[1]STA MARIA'!$H18</f>
        <v>10727.86</v>
      </c>
      <c r="AH18" s="31">
        <f t="shared" si="28"/>
        <v>10468.245788</v>
      </c>
      <c r="AI18" s="31">
        <f t="shared" si="29"/>
        <v>259.61421200000001</v>
      </c>
      <c r="AJ18" s="31">
        <f t="shared" si="30"/>
        <v>0</v>
      </c>
      <c r="AK18" s="31">
        <f t="shared" si="31"/>
        <v>0</v>
      </c>
      <c r="AL18" s="31"/>
      <c r="AM18" s="31">
        <f t="shared" si="6"/>
        <v>-1</v>
      </c>
      <c r="AN18" s="31">
        <f>'[1]STA MARIA'!$I18</f>
        <v>10727.86</v>
      </c>
      <c r="AO18" s="31">
        <f t="shared" si="32"/>
        <v>10468.245788</v>
      </c>
      <c r="AP18" s="31">
        <f t="shared" si="33"/>
        <v>259.61421200000001</v>
      </c>
      <c r="AQ18" s="31">
        <f t="shared" si="34"/>
        <v>18924.879876000003</v>
      </c>
      <c r="AR18" s="31">
        <f t="shared" si="35"/>
        <v>469.340124</v>
      </c>
      <c r="AS18" s="33">
        <v>19394.22</v>
      </c>
      <c r="AT18" s="37">
        <f t="shared" si="7"/>
        <v>0.80783679130786568</v>
      </c>
      <c r="AU18" s="36">
        <f>'[1]STA MARIA'!$J18</f>
        <v>10727.86</v>
      </c>
      <c r="AV18" s="31">
        <f t="shared" si="36"/>
        <v>10468.245788</v>
      </c>
      <c r="AW18" s="18">
        <f t="shared" si="37"/>
        <v>259.61421200000001</v>
      </c>
      <c r="AX18" s="31">
        <f t="shared" si="38"/>
        <v>9465.2697580000004</v>
      </c>
      <c r="AY18" s="31">
        <f t="shared" si="39"/>
        <v>234.74024199999999</v>
      </c>
      <c r="AZ18" s="27">
        <v>9700.01</v>
      </c>
      <c r="BA18" s="37">
        <f t="shared" si="8"/>
        <v>-9.5811280162119927E-2</v>
      </c>
      <c r="BB18" s="36">
        <f>'[1]STA MARIA'!$K18</f>
        <v>10727.86</v>
      </c>
      <c r="BC18" s="31">
        <f t="shared" si="40"/>
        <v>10468.245788</v>
      </c>
      <c r="BD18" s="18">
        <f t="shared" si="41"/>
        <v>259.61421200000001</v>
      </c>
      <c r="BE18" s="31">
        <f t="shared" si="42"/>
        <v>0</v>
      </c>
      <c r="BF18" s="31">
        <f t="shared" si="43"/>
        <v>0</v>
      </c>
      <c r="BG18" s="33"/>
      <c r="BH18" s="37">
        <f t="shared" si="9"/>
        <v>-1</v>
      </c>
      <c r="BI18" s="36">
        <f>'[1]STA MARIA'!$L18</f>
        <v>10727.86</v>
      </c>
      <c r="BJ18" s="31">
        <f t="shared" si="44"/>
        <v>10468.245788</v>
      </c>
      <c r="BK18" s="18">
        <f t="shared" si="45"/>
        <v>259.61421200000001</v>
      </c>
      <c r="BL18" s="31">
        <f t="shared" si="46"/>
        <v>0</v>
      </c>
      <c r="BM18" s="31">
        <f t="shared" si="47"/>
        <v>0</v>
      </c>
      <c r="BN18" s="33"/>
      <c r="BO18" s="37">
        <f t="shared" si="10"/>
        <v>-1</v>
      </c>
      <c r="BP18" s="36">
        <f>'[1]STA MARIA'!$M18</f>
        <v>10727.86</v>
      </c>
      <c r="BQ18" s="31">
        <f t="shared" si="48"/>
        <v>10468.245788</v>
      </c>
      <c r="BR18" s="18">
        <f t="shared" si="49"/>
        <v>259.61421200000001</v>
      </c>
      <c r="BS18" s="31">
        <f t="shared" si="50"/>
        <v>0</v>
      </c>
      <c r="BT18" s="31">
        <f t="shared" si="51"/>
        <v>0</v>
      </c>
      <c r="BU18" s="33"/>
      <c r="BV18" s="37">
        <f t="shared" si="11"/>
        <v>-1</v>
      </c>
      <c r="BW18" s="36">
        <f>'[1]STA MARIA'!$N18</f>
        <v>10727.86</v>
      </c>
      <c r="BX18" s="31">
        <f t="shared" si="52"/>
        <v>10468.245788</v>
      </c>
      <c r="BY18" s="18">
        <f t="shared" si="53"/>
        <v>259.61421200000001</v>
      </c>
      <c r="BZ18" s="31">
        <f t="shared" si="54"/>
        <v>0</v>
      </c>
      <c r="CA18" s="31">
        <f t="shared" si="55"/>
        <v>0</v>
      </c>
      <c r="CB18" s="33"/>
      <c r="CC18" s="37">
        <f t="shared" si="12"/>
        <v>-1</v>
      </c>
      <c r="CD18" s="36">
        <f>'[1]STA MARIA'!$O18</f>
        <v>10727.86</v>
      </c>
      <c r="CE18" s="31">
        <f t="shared" si="56"/>
        <v>10468.245788</v>
      </c>
      <c r="CF18" s="18">
        <f t="shared" si="57"/>
        <v>259.61421200000001</v>
      </c>
      <c r="CG18" s="31">
        <f t="shared" si="58"/>
        <v>0</v>
      </c>
      <c r="CH18" s="31">
        <f t="shared" si="59"/>
        <v>0</v>
      </c>
      <c r="CI18" s="33"/>
      <c r="CJ18" s="37">
        <f t="shared" si="13"/>
        <v>-1</v>
      </c>
      <c r="CK18" s="36">
        <f>'[1]STA MARIA'!$P18</f>
        <v>10727.86</v>
      </c>
      <c r="CL18" s="31">
        <f t="shared" si="60"/>
        <v>10468.245788</v>
      </c>
      <c r="CM18" s="18">
        <f t="shared" si="61"/>
        <v>259.61421200000001</v>
      </c>
      <c r="CN18" s="31">
        <f t="shared" si="62"/>
        <v>0</v>
      </c>
      <c r="CO18" s="31">
        <f t="shared" si="63"/>
        <v>0</v>
      </c>
      <c r="CP18" s="33"/>
      <c r="CQ18" s="37">
        <f t="shared" si="14"/>
        <v>-1</v>
      </c>
    </row>
    <row r="19" spans="1:95" s="26" customFormat="1" ht="16" customHeight="1" thickBot="1" x14ac:dyDescent="0.25">
      <c r="A19" s="38" t="s">
        <v>43</v>
      </c>
      <c r="B19" s="30">
        <f t="shared" si="0"/>
        <v>35000.000000000007</v>
      </c>
      <c r="C19" s="31">
        <f t="shared" si="0"/>
        <v>34152.999999999993</v>
      </c>
      <c r="D19" s="32">
        <f t="shared" si="0"/>
        <v>847.00000000000011</v>
      </c>
      <c r="E19" s="30">
        <f t="shared" si="15"/>
        <v>11666.666666666666</v>
      </c>
      <c r="F19" s="33">
        <f t="shared" si="15"/>
        <v>11384.333333333332</v>
      </c>
      <c r="G19" s="34">
        <f t="shared" si="15"/>
        <v>282.33333333333331</v>
      </c>
      <c r="H19" s="31">
        <f t="shared" si="1"/>
        <v>23834.724913999999</v>
      </c>
      <c r="I19" s="33">
        <f t="shared" si="1"/>
        <v>591.10508599999991</v>
      </c>
      <c r="J19" s="33">
        <f t="shared" si="1"/>
        <v>24425.829999999998</v>
      </c>
      <c r="K19" s="37">
        <f t="shared" si="2"/>
        <v>1.0936425714285716</v>
      </c>
      <c r="L19" s="36">
        <f>'[1]STA MARIA'!$E19</f>
        <v>2916.6666666666665</v>
      </c>
      <c r="M19" s="31">
        <f t="shared" si="16"/>
        <v>2846.083333333333</v>
      </c>
      <c r="N19" s="31">
        <f t="shared" si="17"/>
        <v>70.583333333333329</v>
      </c>
      <c r="O19" s="31">
        <f t="shared" si="18"/>
        <v>3770.9107939999999</v>
      </c>
      <c r="P19" s="31">
        <f t="shared" si="19"/>
        <v>93.519205999999997</v>
      </c>
      <c r="Q19" s="31">
        <v>3864.43</v>
      </c>
      <c r="R19" s="31">
        <f t="shared" si="3"/>
        <v>0.32494742857142866</v>
      </c>
      <c r="S19" s="31">
        <f>'[1]STA MARIA'!$F19</f>
        <v>2916.6666666666665</v>
      </c>
      <c r="T19" s="31">
        <f t="shared" si="20"/>
        <v>2846.083333333333</v>
      </c>
      <c r="U19" s="31">
        <f t="shared" si="21"/>
        <v>70.583333333333329</v>
      </c>
      <c r="V19" s="31">
        <f t="shared" si="22"/>
        <v>2013.3388660000001</v>
      </c>
      <c r="W19" s="31">
        <f t="shared" si="23"/>
        <v>49.931134</v>
      </c>
      <c r="X19" s="31">
        <v>2063.27</v>
      </c>
      <c r="Y19" s="31">
        <f t="shared" si="4"/>
        <v>-0.29259314285714277</v>
      </c>
      <c r="Z19" s="31">
        <f>'[1]STA MARIA'!$G19</f>
        <v>2916.6666666666665</v>
      </c>
      <c r="AA19" s="31">
        <f t="shared" si="24"/>
        <v>2846.083333333333</v>
      </c>
      <c r="AB19" s="31">
        <f t="shared" si="25"/>
        <v>70.583333333333329</v>
      </c>
      <c r="AC19" s="31">
        <f t="shared" si="26"/>
        <v>6992.1241739999996</v>
      </c>
      <c r="AD19" s="31">
        <f t="shared" si="27"/>
        <v>173.40582599999999</v>
      </c>
      <c r="AE19" s="31">
        <v>7165.53</v>
      </c>
      <c r="AF19" s="31">
        <f t="shared" si="5"/>
        <v>1.456753142857143</v>
      </c>
      <c r="AG19" s="31">
        <f>'[1]STA MARIA'!$H19</f>
        <v>2916.6666666666665</v>
      </c>
      <c r="AH19" s="31">
        <f t="shared" si="28"/>
        <v>2846.083333333333</v>
      </c>
      <c r="AI19" s="31">
        <f t="shared" si="29"/>
        <v>70.583333333333329</v>
      </c>
      <c r="AJ19" s="31">
        <f t="shared" si="30"/>
        <v>3583.3327599999998</v>
      </c>
      <c r="AK19" s="31">
        <f t="shared" si="31"/>
        <v>88.867239999999995</v>
      </c>
      <c r="AL19" s="31">
        <v>3672.2</v>
      </c>
      <c r="AM19" s="31">
        <f t="shared" si="6"/>
        <v>0.25903999999999994</v>
      </c>
      <c r="AN19" s="31">
        <f>'[1]STA MARIA'!$I19</f>
        <v>2916.6666666666665</v>
      </c>
      <c r="AO19" s="31">
        <f t="shared" si="32"/>
        <v>2846.083333333333</v>
      </c>
      <c r="AP19" s="31">
        <f t="shared" si="33"/>
        <v>70.583333333333329</v>
      </c>
      <c r="AQ19" s="31">
        <f t="shared" si="34"/>
        <v>4464.4020959999998</v>
      </c>
      <c r="AR19" s="31">
        <f t="shared" si="35"/>
        <v>110.71790399999999</v>
      </c>
      <c r="AS19" s="33">
        <v>4575.12</v>
      </c>
      <c r="AT19" s="37">
        <f t="shared" si="7"/>
        <v>0.56861257142857147</v>
      </c>
      <c r="AU19" s="36">
        <f>'[1]STA MARIA'!$J19</f>
        <v>2916.6666666666665</v>
      </c>
      <c r="AV19" s="31">
        <f t="shared" si="36"/>
        <v>2846.083333333333</v>
      </c>
      <c r="AW19" s="18">
        <f t="shared" si="37"/>
        <v>70.583333333333329</v>
      </c>
      <c r="AX19" s="31">
        <f t="shared" si="38"/>
        <v>3010.6162240000003</v>
      </c>
      <c r="AY19" s="31">
        <f t="shared" si="39"/>
        <v>74.663775999999999</v>
      </c>
      <c r="AZ19" s="27">
        <v>3085.28</v>
      </c>
      <c r="BA19" s="37">
        <f t="shared" si="8"/>
        <v>5.7810285714285925E-2</v>
      </c>
      <c r="BB19" s="36">
        <f>'[1]STA MARIA'!$K19</f>
        <v>2916.6666666666665</v>
      </c>
      <c r="BC19" s="31">
        <f t="shared" si="40"/>
        <v>2846.083333333333</v>
      </c>
      <c r="BD19" s="18">
        <f t="shared" si="41"/>
        <v>70.583333333333329</v>
      </c>
      <c r="BE19" s="31">
        <f t="shared" si="42"/>
        <v>0</v>
      </c>
      <c r="BF19" s="31">
        <f t="shared" si="43"/>
        <v>0</v>
      </c>
      <c r="BG19" s="33"/>
      <c r="BH19" s="37">
        <f t="shared" si="9"/>
        <v>-1</v>
      </c>
      <c r="BI19" s="36">
        <f>'[1]STA MARIA'!$L19</f>
        <v>2916.6666666666665</v>
      </c>
      <c r="BJ19" s="31">
        <f t="shared" si="44"/>
        <v>2846.083333333333</v>
      </c>
      <c r="BK19" s="18">
        <f t="shared" si="45"/>
        <v>70.583333333333329</v>
      </c>
      <c r="BL19" s="31">
        <f t="shared" si="46"/>
        <v>0</v>
      </c>
      <c r="BM19" s="31">
        <f t="shared" si="47"/>
        <v>0</v>
      </c>
      <c r="BN19" s="33"/>
      <c r="BO19" s="37">
        <f t="shared" si="10"/>
        <v>-1</v>
      </c>
      <c r="BP19" s="36">
        <f>'[1]STA MARIA'!$M19</f>
        <v>2916.6666666666665</v>
      </c>
      <c r="BQ19" s="31">
        <f t="shared" si="48"/>
        <v>2846.083333333333</v>
      </c>
      <c r="BR19" s="18">
        <f t="shared" si="49"/>
        <v>70.583333333333329</v>
      </c>
      <c r="BS19" s="31">
        <f t="shared" si="50"/>
        <v>0</v>
      </c>
      <c r="BT19" s="31">
        <f t="shared" si="51"/>
        <v>0</v>
      </c>
      <c r="BU19" s="33"/>
      <c r="BV19" s="37">
        <f t="shared" si="11"/>
        <v>-1</v>
      </c>
      <c r="BW19" s="36">
        <f>'[1]STA MARIA'!$N19</f>
        <v>2916.6666666666665</v>
      </c>
      <c r="BX19" s="31">
        <f t="shared" si="52"/>
        <v>2846.083333333333</v>
      </c>
      <c r="BY19" s="18">
        <f t="shared" si="53"/>
        <v>70.583333333333329</v>
      </c>
      <c r="BZ19" s="31">
        <f t="shared" si="54"/>
        <v>0</v>
      </c>
      <c r="CA19" s="31">
        <f t="shared" si="55"/>
        <v>0</v>
      </c>
      <c r="CB19" s="33"/>
      <c r="CC19" s="37">
        <f t="shared" si="12"/>
        <v>-1</v>
      </c>
      <c r="CD19" s="36">
        <f>'[1]STA MARIA'!$O19</f>
        <v>2916.6666666666665</v>
      </c>
      <c r="CE19" s="31">
        <f t="shared" si="56"/>
        <v>2846.083333333333</v>
      </c>
      <c r="CF19" s="18">
        <f t="shared" si="57"/>
        <v>70.583333333333329</v>
      </c>
      <c r="CG19" s="31">
        <f t="shared" si="58"/>
        <v>0</v>
      </c>
      <c r="CH19" s="31">
        <f t="shared" si="59"/>
        <v>0</v>
      </c>
      <c r="CI19" s="33"/>
      <c r="CJ19" s="37">
        <f t="shared" si="13"/>
        <v>-1</v>
      </c>
      <c r="CK19" s="36">
        <f>'[1]STA MARIA'!$P19</f>
        <v>2916.6666666666665</v>
      </c>
      <c r="CL19" s="31">
        <f t="shared" si="60"/>
        <v>2846.083333333333</v>
      </c>
      <c r="CM19" s="18">
        <f t="shared" si="61"/>
        <v>70.583333333333329</v>
      </c>
      <c r="CN19" s="31">
        <f t="shared" si="62"/>
        <v>0</v>
      </c>
      <c r="CO19" s="31">
        <f t="shared" si="63"/>
        <v>0</v>
      </c>
      <c r="CP19" s="33"/>
      <c r="CQ19" s="37">
        <f t="shared" si="14"/>
        <v>-1</v>
      </c>
    </row>
    <row r="20" spans="1:95" s="26" customFormat="1" ht="16" customHeight="1" thickBot="1" x14ac:dyDescent="0.25">
      <c r="A20" s="29" t="s">
        <v>44</v>
      </c>
      <c r="B20" s="30">
        <f t="shared" si="0"/>
        <v>1141125.9660114285</v>
      </c>
      <c r="C20" s="31">
        <f t="shared" si="0"/>
        <v>1113510.7176339515</v>
      </c>
      <c r="D20" s="32">
        <f t="shared" si="0"/>
        <v>27615.248377476557</v>
      </c>
      <c r="E20" s="30">
        <f t="shared" si="15"/>
        <v>542194.61516571406</v>
      </c>
      <c r="F20" s="33">
        <f t="shared" si="15"/>
        <v>529073.50547870377</v>
      </c>
      <c r="G20" s="34">
        <f t="shared" si="15"/>
        <v>13121.109687010279</v>
      </c>
      <c r="H20" s="31">
        <f t="shared" si="1"/>
        <v>436725.05697799998</v>
      </c>
      <c r="I20" s="33">
        <f t="shared" si="1"/>
        <v>10830.853021999999</v>
      </c>
      <c r="J20" s="33">
        <f t="shared" si="1"/>
        <v>447555.91</v>
      </c>
      <c r="K20" s="37">
        <f t="shared" si="2"/>
        <v>-0.17454748261708408</v>
      </c>
      <c r="L20" s="36">
        <f>'[1]STA MARIA'!$E20</f>
        <v>0</v>
      </c>
      <c r="M20" s="31">
        <f t="shared" si="16"/>
        <v>0</v>
      </c>
      <c r="N20" s="31">
        <f t="shared" si="17"/>
        <v>0</v>
      </c>
      <c r="O20" s="31">
        <f t="shared" si="18"/>
        <v>275.91720800000002</v>
      </c>
      <c r="P20" s="31">
        <f t="shared" si="19"/>
        <v>6.8427919999999993</v>
      </c>
      <c r="Q20" s="31">
        <v>282.76</v>
      </c>
      <c r="R20" s="31" t="str">
        <f t="shared" si="3"/>
        <v/>
      </c>
      <c r="S20" s="31">
        <f>'[1]STA MARIA'!$F20</f>
        <v>0</v>
      </c>
      <c r="T20" s="31">
        <f t="shared" si="20"/>
        <v>0</v>
      </c>
      <c r="U20" s="31">
        <f t="shared" si="21"/>
        <v>0</v>
      </c>
      <c r="V20" s="31">
        <f t="shared" si="22"/>
        <v>0</v>
      </c>
      <c r="W20" s="31">
        <f t="shared" si="23"/>
        <v>0</v>
      </c>
      <c r="X20" s="31"/>
      <c r="Y20" s="31" t="str">
        <f t="shared" si="4"/>
        <v/>
      </c>
      <c r="Z20" s="31">
        <f>'[1]STA MARIA'!$G20</f>
        <v>542194.61516571406</v>
      </c>
      <c r="AA20" s="31">
        <f t="shared" si="24"/>
        <v>529073.50547870377</v>
      </c>
      <c r="AB20" s="31">
        <f t="shared" si="25"/>
        <v>13121.109687010279</v>
      </c>
      <c r="AC20" s="31">
        <f t="shared" si="26"/>
        <v>116446.27332800001</v>
      </c>
      <c r="AD20" s="31">
        <f t="shared" si="27"/>
        <v>2887.8866720000001</v>
      </c>
      <c r="AE20" s="31">
        <v>119334.16</v>
      </c>
      <c r="AF20" s="31">
        <f t="shared" si="5"/>
        <v>-0.77990530215146603</v>
      </c>
      <c r="AG20" s="31">
        <f>'[1]STA MARIA'!$H20</f>
        <v>0</v>
      </c>
      <c r="AH20" s="31">
        <f t="shared" si="28"/>
        <v>0</v>
      </c>
      <c r="AI20" s="31">
        <f t="shared" si="29"/>
        <v>0</v>
      </c>
      <c r="AJ20" s="31">
        <f t="shared" si="30"/>
        <v>120465.68135</v>
      </c>
      <c r="AK20" s="31">
        <f t="shared" si="31"/>
        <v>2987.5686499999997</v>
      </c>
      <c r="AL20" s="31">
        <f>123453.25</f>
        <v>123453.25</v>
      </c>
      <c r="AM20" s="31" t="str">
        <f t="shared" si="6"/>
        <v/>
      </c>
      <c r="AN20" s="31">
        <f>'[1]STA MARIA'!$I20</f>
        <v>12202.96696</v>
      </c>
      <c r="AO20" s="31">
        <f t="shared" si="32"/>
        <v>11907.655159567999</v>
      </c>
      <c r="AP20" s="31">
        <f t="shared" si="33"/>
        <v>295.31180043199998</v>
      </c>
      <c r="AQ20" s="31">
        <f t="shared" si="34"/>
        <v>170973.245478</v>
      </c>
      <c r="AR20" s="31">
        <f t="shared" si="35"/>
        <v>4240.164522</v>
      </c>
      <c r="AS20" s="33">
        <v>175213.41</v>
      </c>
      <c r="AT20" s="37">
        <f t="shared" si="7"/>
        <v>13.358263082603644</v>
      </c>
      <c r="AU20" s="36">
        <f>'[1]STA MARIA'!$J20</f>
        <v>12202.96696</v>
      </c>
      <c r="AV20" s="31">
        <f t="shared" si="36"/>
        <v>11907.655159567999</v>
      </c>
      <c r="AW20" s="18">
        <f t="shared" si="37"/>
        <v>295.31180043199998</v>
      </c>
      <c r="AX20" s="31">
        <f t="shared" si="38"/>
        <v>28563.939614000003</v>
      </c>
      <c r="AY20" s="31">
        <f t="shared" si="39"/>
        <v>708.39038600000003</v>
      </c>
      <c r="AZ20" s="27">
        <v>29272.33</v>
      </c>
      <c r="BA20" s="37">
        <f t="shared" si="8"/>
        <v>1.3987879419776781</v>
      </c>
      <c r="BB20" s="36">
        <f>'[1]STA MARIA'!$K20</f>
        <v>252046.96695999999</v>
      </c>
      <c r="BC20" s="31">
        <f t="shared" si="40"/>
        <v>245947.43035956798</v>
      </c>
      <c r="BD20" s="18">
        <f t="shared" si="41"/>
        <v>6099.5366004319994</v>
      </c>
      <c r="BE20" s="31">
        <f t="shared" si="42"/>
        <v>0</v>
      </c>
      <c r="BF20" s="31">
        <f t="shared" si="43"/>
        <v>0</v>
      </c>
      <c r="BG20" s="33"/>
      <c r="BH20" s="37">
        <f t="shared" si="9"/>
        <v>-1</v>
      </c>
      <c r="BI20" s="36">
        <f>'[1]STA MARIA'!$L20</f>
        <v>33822.582125714202</v>
      </c>
      <c r="BJ20" s="31">
        <f t="shared" si="44"/>
        <v>33004.075638271919</v>
      </c>
      <c r="BK20" s="18">
        <f t="shared" si="45"/>
        <v>818.50648744228363</v>
      </c>
      <c r="BL20" s="31">
        <f t="shared" si="46"/>
        <v>0</v>
      </c>
      <c r="BM20" s="31">
        <f t="shared" si="47"/>
        <v>0</v>
      </c>
      <c r="BN20" s="33"/>
      <c r="BO20" s="37">
        <f t="shared" si="10"/>
        <v>-1</v>
      </c>
      <c r="BP20" s="36">
        <f>'[1]STA MARIA'!$M20</f>
        <v>252046.96695999999</v>
      </c>
      <c r="BQ20" s="31">
        <f t="shared" si="48"/>
        <v>245947.43035956798</v>
      </c>
      <c r="BR20" s="18">
        <f t="shared" si="49"/>
        <v>6099.5366004319994</v>
      </c>
      <c r="BS20" s="31">
        <f t="shared" si="50"/>
        <v>0</v>
      </c>
      <c r="BT20" s="31">
        <f t="shared" si="51"/>
        <v>0</v>
      </c>
      <c r="BU20" s="33"/>
      <c r="BV20" s="37">
        <f t="shared" si="11"/>
        <v>-1</v>
      </c>
      <c r="BW20" s="36">
        <f>'[1]STA MARIA'!$N20</f>
        <v>12202.96696</v>
      </c>
      <c r="BX20" s="31">
        <f t="shared" si="52"/>
        <v>11907.655159567999</v>
      </c>
      <c r="BY20" s="18">
        <f t="shared" si="53"/>
        <v>295.31180043199998</v>
      </c>
      <c r="BZ20" s="31">
        <f t="shared" si="54"/>
        <v>0</v>
      </c>
      <c r="CA20" s="31">
        <f t="shared" si="55"/>
        <v>0</v>
      </c>
      <c r="CB20" s="33"/>
      <c r="CC20" s="37">
        <f t="shared" si="12"/>
        <v>-1</v>
      </c>
      <c r="CD20" s="36">
        <f>'[1]STA MARIA'!$O20</f>
        <v>12202.96696</v>
      </c>
      <c r="CE20" s="31">
        <f t="shared" si="56"/>
        <v>11907.655159567999</v>
      </c>
      <c r="CF20" s="18">
        <f t="shared" si="57"/>
        <v>295.31180043199998</v>
      </c>
      <c r="CG20" s="31">
        <f t="shared" si="58"/>
        <v>0</v>
      </c>
      <c r="CH20" s="31">
        <f t="shared" si="59"/>
        <v>0</v>
      </c>
      <c r="CI20" s="33"/>
      <c r="CJ20" s="37">
        <f t="shared" si="13"/>
        <v>-1</v>
      </c>
      <c r="CK20" s="36">
        <f>'[1]STA MARIA'!$P20</f>
        <v>12202.96696</v>
      </c>
      <c r="CL20" s="31">
        <f t="shared" si="60"/>
        <v>11907.655159567999</v>
      </c>
      <c r="CM20" s="18">
        <f t="shared" si="61"/>
        <v>295.31180043199998</v>
      </c>
      <c r="CN20" s="31">
        <f t="shared" si="62"/>
        <v>0</v>
      </c>
      <c r="CO20" s="31">
        <f t="shared" si="63"/>
        <v>0</v>
      </c>
      <c r="CP20" s="33"/>
      <c r="CQ20" s="37">
        <f t="shared" si="14"/>
        <v>-1</v>
      </c>
    </row>
    <row r="21" spans="1:95" s="26" customFormat="1" ht="16" customHeight="1" thickBot="1" x14ac:dyDescent="0.25">
      <c r="A21" s="38" t="s">
        <v>45</v>
      </c>
      <c r="B21" s="30">
        <f t="shared" si="0"/>
        <v>53003.49</v>
      </c>
      <c r="C21" s="31">
        <f t="shared" si="0"/>
        <v>51720.805541999995</v>
      </c>
      <c r="D21" s="32">
        <f t="shared" si="0"/>
        <v>1282.6844579999999</v>
      </c>
      <c r="E21" s="30">
        <f t="shared" si="15"/>
        <v>53003.49</v>
      </c>
      <c r="F21" s="33">
        <f t="shared" si="15"/>
        <v>51720.805541999995</v>
      </c>
      <c r="G21" s="34">
        <f t="shared" si="15"/>
        <v>1282.6844579999999</v>
      </c>
      <c r="H21" s="31">
        <f t="shared" si="1"/>
        <v>26771.072999999997</v>
      </c>
      <c r="I21" s="33">
        <f t="shared" si="1"/>
        <v>663.92700000000002</v>
      </c>
      <c r="J21" s="33">
        <f t="shared" si="1"/>
        <v>27435</v>
      </c>
      <c r="K21" s="37">
        <f t="shared" si="2"/>
        <v>-0.48239257452669626</v>
      </c>
      <c r="L21" s="36">
        <f>'[1]STA MARIA'!$E21</f>
        <v>53003.49</v>
      </c>
      <c r="M21" s="31">
        <f t="shared" si="16"/>
        <v>51720.805541999995</v>
      </c>
      <c r="N21" s="31">
        <f t="shared" si="17"/>
        <v>1282.6844579999999</v>
      </c>
      <c r="O21" s="31">
        <f t="shared" si="18"/>
        <v>0</v>
      </c>
      <c r="P21" s="31">
        <f t="shared" si="19"/>
        <v>0</v>
      </c>
      <c r="Q21" s="31"/>
      <c r="R21" s="31">
        <f t="shared" si="3"/>
        <v>-1</v>
      </c>
      <c r="S21" s="31">
        <f>'[1]STA MARIA'!$F21</f>
        <v>0</v>
      </c>
      <c r="T21" s="31">
        <f t="shared" si="20"/>
        <v>0</v>
      </c>
      <c r="U21" s="31">
        <f t="shared" si="21"/>
        <v>0</v>
      </c>
      <c r="V21" s="31">
        <f t="shared" si="22"/>
        <v>11419.299499999999</v>
      </c>
      <c r="W21" s="31">
        <f t="shared" si="23"/>
        <v>283.20049999999998</v>
      </c>
      <c r="X21" s="31">
        <f>11702.5</f>
        <v>11702.5</v>
      </c>
      <c r="Y21" s="31" t="str">
        <f t="shared" si="4"/>
        <v/>
      </c>
      <c r="Z21" s="31">
        <f>'[1]STA MARIA'!$G21</f>
        <v>0</v>
      </c>
      <c r="AA21" s="31">
        <f t="shared" si="24"/>
        <v>0</v>
      </c>
      <c r="AB21" s="31">
        <f t="shared" si="25"/>
        <v>0</v>
      </c>
      <c r="AC21" s="31">
        <f t="shared" si="26"/>
        <v>11196.582908</v>
      </c>
      <c r="AD21" s="31">
        <f t="shared" si="27"/>
        <v>277.67709200000002</v>
      </c>
      <c r="AE21" s="31">
        <v>11474.26</v>
      </c>
      <c r="AF21" s="31" t="str">
        <f t="shared" si="5"/>
        <v/>
      </c>
      <c r="AG21" s="31">
        <f>'[1]STA MARIA'!$H21</f>
        <v>0</v>
      </c>
      <c r="AH21" s="31">
        <f t="shared" si="28"/>
        <v>0</v>
      </c>
      <c r="AI21" s="31">
        <f t="shared" si="29"/>
        <v>0</v>
      </c>
      <c r="AJ21" s="31">
        <f t="shared" si="30"/>
        <v>0</v>
      </c>
      <c r="AK21" s="31">
        <f t="shared" si="31"/>
        <v>0</v>
      </c>
      <c r="AL21" s="31"/>
      <c r="AM21" s="31" t="str">
        <f t="shared" si="6"/>
        <v/>
      </c>
      <c r="AN21" s="31">
        <f>'[1]STA MARIA'!$I21</f>
        <v>0</v>
      </c>
      <c r="AO21" s="31">
        <f t="shared" si="32"/>
        <v>0</v>
      </c>
      <c r="AP21" s="31">
        <f t="shared" si="33"/>
        <v>0</v>
      </c>
      <c r="AQ21" s="31">
        <f t="shared" si="34"/>
        <v>4155.1905919999999</v>
      </c>
      <c r="AR21" s="31">
        <f t="shared" si="35"/>
        <v>103.04940799999999</v>
      </c>
      <c r="AS21" s="33">
        <v>4258.24</v>
      </c>
      <c r="AT21" s="37" t="str">
        <f t="shared" si="7"/>
        <v/>
      </c>
      <c r="AU21" s="36">
        <f>'[1]STA MARIA'!$J21</f>
        <v>0</v>
      </c>
      <c r="AV21" s="31">
        <f t="shared" si="36"/>
        <v>0</v>
      </c>
      <c r="AW21" s="18">
        <f t="shared" si="37"/>
        <v>0</v>
      </c>
      <c r="AX21" s="31">
        <f t="shared" si="38"/>
        <v>0</v>
      </c>
      <c r="AY21" s="31">
        <f t="shared" si="39"/>
        <v>0</v>
      </c>
      <c r="AZ21" s="27"/>
      <c r="BA21" s="37" t="str">
        <f t="shared" si="8"/>
        <v/>
      </c>
      <c r="BB21" s="36">
        <f>'[1]STA MARIA'!$K21</f>
        <v>0</v>
      </c>
      <c r="BC21" s="31">
        <f t="shared" si="40"/>
        <v>0</v>
      </c>
      <c r="BD21" s="18">
        <f t="shared" si="41"/>
        <v>0</v>
      </c>
      <c r="BE21" s="31">
        <f t="shared" si="42"/>
        <v>0</v>
      </c>
      <c r="BF21" s="31">
        <f t="shared" si="43"/>
        <v>0</v>
      </c>
      <c r="BG21" s="33"/>
      <c r="BH21" s="37" t="str">
        <f t="shared" si="9"/>
        <v/>
      </c>
      <c r="BI21" s="36">
        <f>'[1]STA MARIA'!$L21</f>
        <v>0</v>
      </c>
      <c r="BJ21" s="31">
        <f t="shared" si="44"/>
        <v>0</v>
      </c>
      <c r="BK21" s="18">
        <f t="shared" si="45"/>
        <v>0</v>
      </c>
      <c r="BL21" s="31">
        <f t="shared" si="46"/>
        <v>0</v>
      </c>
      <c r="BM21" s="31">
        <f t="shared" si="47"/>
        <v>0</v>
      </c>
      <c r="BN21" s="33"/>
      <c r="BO21" s="37" t="str">
        <f t="shared" si="10"/>
        <v/>
      </c>
      <c r="BP21" s="36">
        <f>'[1]STA MARIA'!$M21</f>
        <v>0</v>
      </c>
      <c r="BQ21" s="31">
        <f t="shared" si="48"/>
        <v>0</v>
      </c>
      <c r="BR21" s="18">
        <f t="shared" si="49"/>
        <v>0</v>
      </c>
      <c r="BS21" s="31">
        <f t="shared" si="50"/>
        <v>0</v>
      </c>
      <c r="BT21" s="31">
        <f t="shared" si="51"/>
        <v>0</v>
      </c>
      <c r="BU21" s="33"/>
      <c r="BV21" s="37" t="str">
        <f t="shared" si="11"/>
        <v/>
      </c>
      <c r="BW21" s="36">
        <f>'[1]STA MARIA'!$N21</f>
        <v>0</v>
      </c>
      <c r="BX21" s="31">
        <f t="shared" si="52"/>
        <v>0</v>
      </c>
      <c r="BY21" s="18">
        <f t="shared" si="53"/>
        <v>0</v>
      </c>
      <c r="BZ21" s="31">
        <f t="shared" si="54"/>
        <v>0</v>
      </c>
      <c r="CA21" s="31">
        <f t="shared" si="55"/>
        <v>0</v>
      </c>
      <c r="CB21" s="33"/>
      <c r="CC21" s="37" t="str">
        <f t="shared" si="12"/>
        <v/>
      </c>
      <c r="CD21" s="36">
        <f>'[1]STA MARIA'!$O21</f>
        <v>0</v>
      </c>
      <c r="CE21" s="31">
        <f t="shared" si="56"/>
        <v>0</v>
      </c>
      <c r="CF21" s="18">
        <f t="shared" si="57"/>
        <v>0</v>
      </c>
      <c r="CG21" s="31">
        <f t="shared" si="58"/>
        <v>0</v>
      </c>
      <c r="CH21" s="31">
        <f t="shared" si="59"/>
        <v>0</v>
      </c>
      <c r="CI21" s="33"/>
      <c r="CJ21" s="37" t="str">
        <f t="shared" si="13"/>
        <v/>
      </c>
      <c r="CK21" s="36">
        <f>'[1]STA MARIA'!$P21</f>
        <v>0</v>
      </c>
      <c r="CL21" s="31">
        <f t="shared" si="60"/>
        <v>0</v>
      </c>
      <c r="CM21" s="18">
        <f t="shared" si="61"/>
        <v>0</v>
      </c>
      <c r="CN21" s="31">
        <f t="shared" si="62"/>
        <v>0</v>
      </c>
      <c r="CO21" s="31">
        <f t="shared" si="63"/>
        <v>0</v>
      </c>
      <c r="CP21" s="33"/>
      <c r="CQ21" s="37" t="str">
        <f t="shared" si="14"/>
        <v/>
      </c>
    </row>
    <row r="22" spans="1:95" s="26" customFormat="1" ht="16" customHeight="1" thickBot="1" x14ac:dyDescent="0.25">
      <c r="A22" s="38" t="s">
        <v>46</v>
      </c>
      <c r="B22" s="30">
        <f t="shared" si="0"/>
        <v>277731.73600000009</v>
      </c>
      <c r="C22" s="31">
        <f t="shared" si="0"/>
        <v>271010.62798880012</v>
      </c>
      <c r="D22" s="32">
        <f t="shared" si="0"/>
        <v>6721.1080111999991</v>
      </c>
      <c r="E22" s="30">
        <f t="shared" si="15"/>
        <v>92577.245333333354</v>
      </c>
      <c r="F22" s="33">
        <f t="shared" si="15"/>
        <v>90336.875996266681</v>
      </c>
      <c r="G22" s="34">
        <f t="shared" si="15"/>
        <v>2240.369337066667</v>
      </c>
      <c r="H22" s="31">
        <f t="shared" si="1"/>
        <v>139071.006242</v>
      </c>
      <c r="I22" s="33">
        <f t="shared" si="1"/>
        <v>3448.9837579999994</v>
      </c>
      <c r="J22" s="33">
        <f t="shared" si="1"/>
        <v>142519.99000000002</v>
      </c>
      <c r="K22" s="37">
        <f t="shared" si="2"/>
        <v>0.53947105994397404</v>
      </c>
      <c r="L22" s="36">
        <f>'[1]STA MARIA'!$E22</f>
        <v>23144.311333333339</v>
      </c>
      <c r="M22" s="31">
        <f t="shared" si="16"/>
        <v>22584.21899906667</v>
      </c>
      <c r="N22" s="31">
        <f t="shared" si="17"/>
        <v>560.09233426666674</v>
      </c>
      <c r="O22" s="31">
        <f t="shared" si="18"/>
        <v>55963.349750000001</v>
      </c>
      <c r="P22" s="31">
        <f t="shared" si="19"/>
        <v>1387.9002499999999</v>
      </c>
      <c r="Q22" s="31">
        <f>23421.25+33930</f>
        <v>57351.25</v>
      </c>
      <c r="R22" s="31">
        <f t="shared" si="3"/>
        <v>1.4779847269596869</v>
      </c>
      <c r="S22" s="31">
        <f>'[1]STA MARIA'!$F22</f>
        <v>23144.311333333339</v>
      </c>
      <c r="T22" s="31">
        <f t="shared" si="20"/>
        <v>22584.21899906667</v>
      </c>
      <c r="U22" s="31">
        <f t="shared" si="21"/>
        <v>560.09233426666674</v>
      </c>
      <c r="V22" s="31">
        <f t="shared" si="22"/>
        <v>37552.550587999998</v>
      </c>
      <c r="W22" s="31">
        <f t="shared" si="23"/>
        <v>931.30941199999995</v>
      </c>
      <c r="X22" s="31">
        <f>29383.86+9100</f>
        <v>38483.86</v>
      </c>
      <c r="Y22" s="31">
        <f t="shared" si="4"/>
        <v>0.66277835817797892</v>
      </c>
      <c r="Z22" s="31">
        <f>'[1]STA MARIA'!$G22</f>
        <v>23144.311333333339</v>
      </c>
      <c r="AA22" s="31">
        <f t="shared" si="24"/>
        <v>22584.21899906667</v>
      </c>
      <c r="AB22" s="31">
        <f t="shared" si="25"/>
        <v>560.09233426666674</v>
      </c>
      <c r="AC22" s="31">
        <f t="shared" si="26"/>
        <v>11180.404144</v>
      </c>
      <c r="AD22" s="31">
        <f t="shared" si="27"/>
        <v>277.27585599999998</v>
      </c>
      <c r="AE22" s="31">
        <f>11457.68</f>
        <v>11457.68</v>
      </c>
      <c r="AF22" s="31">
        <f t="shared" si="5"/>
        <v>-0.50494616862942887</v>
      </c>
      <c r="AG22" s="31">
        <f>'[1]STA MARIA'!$H22</f>
        <v>23144.311333333339</v>
      </c>
      <c r="AH22" s="31">
        <f t="shared" si="28"/>
        <v>22584.21899906667</v>
      </c>
      <c r="AI22" s="31">
        <f t="shared" si="29"/>
        <v>560.09233426666674</v>
      </c>
      <c r="AJ22" s="31">
        <f t="shared" si="30"/>
        <v>7662.9866739999998</v>
      </c>
      <c r="AK22" s="31">
        <f t="shared" si="31"/>
        <v>190.04332599999998</v>
      </c>
      <c r="AL22" s="31">
        <f>7853.03</f>
        <v>7853.03</v>
      </c>
      <c r="AM22" s="31">
        <f t="shared" si="6"/>
        <v>-0.66069286370643665</v>
      </c>
      <c r="AN22" s="31">
        <f>'[1]STA MARIA'!$I22</f>
        <v>23144.311333333339</v>
      </c>
      <c r="AO22" s="31">
        <f t="shared" si="32"/>
        <v>22584.21899906667</v>
      </c>
      <c r="AP22" s="31">
        <f t="shared" si="33"/>
        <v>560.09233426666674</v>
      </c>
      <c r="AQ22" s="31">
        <f t="shared" si="34"/>
        <v>17291.488256000001</v>
      </c>
      <c r="AR22" s="31">
        <f t="shared" si="35"/>
        <v>428.83174399999996</v>
      </c>
      <c r="AS22" s="33">
        <v>17720.32</v>
      </c>
      <c r="AT22" s="37">
        <f t="shared" si="7"/>
        <v>-0.23435527007975798</v>
      </c>
      <c r="AU22" s="36">
        <f>'[1]STA MARIA'!$J22</f>
        <v>23144.311333333339</v>
      </c>
      <c r="AV22" s="31">
        <f t="shared" si="36"/>
        <v>22584.21899906667</v>
      </c>
      <c r="AW22" s="18">
        <f t="shared" si="37"/>
        <v>560.09233426666674</v>
      </c>
      <c r="AX22" s="31">
        <f t="shared" si="38"/>
        <v>9420.2268299999996</v>
      </c>
      <c r="AY22" s="31">
        <f t="shared" si="39"/>
        <v>233.62317000000002</v>
      </c>
      <c r="AZ22" s="27">
        <v>9653.85</v>
      </c>
      <c r="BA22" s="37">
        <f t="shared" si="8"/>
        <v>-0.58288454294614722</v>
      </c>
      <c r="BB22" s="36">
        <f>'[1]STA MARIA'!$K22</f>
        <v>23144.311333333339</v>
      </c>
      <c r="BC22" s="31">
        <f t="shared" si="40"/>
        <v>22584.21899906667</v>
      </c>
      <c r="BD22" s="18">
        <f t="shared" si="41"/>
        <v>560.09233426666674</v>
      </c>
      <c r="BE22" s="31">
        <f t="shared" si="42"/>
        <v>0</v>
      </c>
      <c r="BF22" s="31">
        <f t="shared" si="43"/>
        <v>0</v>
      </c>
      <c r="BG22" s="33"/>
      <c r="BH22" s="37">
        <f t="shared" si="9"/>
        <v>-1</v>
      </c>
      <c r="BI22" s="36">
        <f>'[1]STA MARIA'!$L22</f>
        <v>23144.311333333339</v>
      </c>
      <c r="BJ22" s="31">
        <f t="shared" si="44"/>
        <v>22584.21899906667</v>
      </c>
      <c r="BK22" s="18">
        <f t="shared" si="45"/>
        <v>560.09233426666674</v>
      </c>
      <c r="BL22" s="31">
        <f t="shared" si="46"/>
        <v>0</v>
      </c>
      <c r="BM22" s="31">
        <f t="shared" si="47"/>
        <v>0</v>
      </c>
      <c r="BN22" s="33"/>
      <c r="BO22" s="37">
        <f t="shared" si="10"/>
        <v>-1</v>
      </c>
      <c r="BP22" s="36">
        <f>'[1]STA MARIA'!$M22</f>
        <v>23144.311333333339</v>
      </c>
      <c r="BQ22" s="31">
        <f t="shared" si="48"/>
        <v>22584.21899906667</v>
      </c>
      <c r="BR22" s="18">
        <f t="shared" si="49"/>
        <v>560.09233426666674</v>
      </c>
      <c r="BS22" s="31">
        <f t="shared" si="50"/>
        <v>0</v>
      </c>
      <c r="BT22" s="31">
        <f t="shared" si="51"/>
        <v>0</v>
      </c>
      <c r="BU22" s="33"/>
      <c r="BV22" s="37">
        <f t="shared" si="11"/>
        <v>-1</v>
      </c>
      <c r="BW22" s="36">
        <f>'[1]STA MARIA'!$N22</f>
        <v>23144.311333333339</v>
      </c>
      <c r="BX22" s="31">
        <f t="shared" si="52"/>
        <v>22584.21899906667</v>
      </c>
      <c r="BY22" s="18">
        <f t="shared" si="53"/>
        <v>560.09233426666674</v>
      </c>
      <c r="BZ22" s="31">
        <f t="shared" si="54"/>
        <v>0</v>
      </c>
      <c r="CA22" s="31">
        <f t="shared" si="55"/>
        <v>0</v>
      </c>
      <c r="CB22" s="33"/>
      <c r="CC22" s="37">
        <f t="shared" si="12"/>
        <v>-1</v>
      </c>
      <c r="CD22" s="36">
        <f>'[1]STA MARIA'!$O22</f>
        <v>23144.311333333339</v>
      </c>
      <c r="CE22" s="31">
        <f t="shared" si="56"/>
        <v>22584.21899906667</v>
      </c>
      <c r="CF22" s="18">
        <f t="shared" si="57"/>
        <v>560.09233426666674</v>
      </c>
      <c r="CG22" s="31">
        <f t="shared" si="58"/>
        <v>0</v>
      </c>
      <c r="CH22" s="31">
        <f t="shared" si="59"/>
        <v>0</v>
      </c>
      <c r="CI22" s="33"/>
      <c r="CJ22" s="37">
        <f t="shared" si="13"/>
        <v>-1</v>
      </c>
      <c r="CK22" s="36">
        <f>'[1]STA MARIA'!$P22</f>
        <v>23144.311333333339</v>
      </c>
      <c r="CL22" s="31">
        <f t="shared" si="60"/>
        <v>22584.21899906667</v>
      </c>
      <c r="CM22" s="18">
        <f t="shared" si="61"/>
        <v>560.09233426666674</v>
      </c>
      <c r="CN22" s="31">
        <f t="shared" si="62"/>
        <v>0</v>
      </c>
      <c r="CO22" s="31">
        <f t="shared" si="63"/>
        <v>0</v>
      </c>
      <c r="CP22" s="33"/>
      <c r="CQ22" s="37">
        <f t="shared" si="14"/>
        <v>-1</v>
      </c>
    </row>
    <row r="23" spans="1:95" s="26" customFormat="1" ht="16" customHeight="1" thickBot="1" x14ac:dyDescent="0.25">
      <c r="A23" s="29" t="s">
        <v>47</v>
      </c>
      <c r="B23" s="30">
        <f t="shared" si="0"/>
        <v>0</v>
      </c>
      <c r="C23" s="31">
        <f t="shared" si="0"/>
        <v>0</v>
      </c>
      <c r="D23" s="32">
        <f t="shared" si="0"/>
        <v>0</v>
      </c>
      <c r="E23" s="30">
        <f t="shared" si="15"/>
        <v>0</v>
      </c>
      <c r="F23" s="33">
        <f t="shared" si="15"/>
        <v>0</v>
      </c>
      <c r="G23" s="34">
        <f t="shared" si="15"/>
        <v>0</v>
      </c>
      <c r="H23" s="31">
        <f t="shared" si="1"/>
        <v>0</v>
      </c>
      <c r="I23" s="33">
        <f t="shared" si="1"/>
        <v>0</v>
      </c>
      <c r="J23" s="33">
        <f t="shared" si="1"/>
        <v>0</v>
      </c>
      <c r="K23" s="37" t="str">
        <f t="shared" si="2"/>
        <v/>
      </c>
      <c r="L23" s="36">
        <f>'[1]STA MARIA'!$E23</f>
        <v>0</v>
      </c>
      <c r="M23" s="31">
        <f t="shared" si="16"/>
        <v>0</v>
      </c>
      <c r="N23" s="31">
        <f t="shared" si="17"/>
        <v>0</v>
      </c>
      <c r="O23" s="31">
        <f t="shared" si="18"/>
        <v>0</v>
      </c>
      <c r="P23" s="31">
        <f t="shared" si="19"/>
        <v>0</v>
      </c>
      <c r="Q23" s="31"/>
      <c r="R23" s="31" t="str">
        <f t="shared" si="3"/>
        <v/>
      </c>
      <c r="S23" s="31">
        <f>'[1]STA MARIA'!$F23</f>
        <v>0</v>
      </c>
      <c r="T23" s="31">
        <f t="shared" si="20"/>
        <v>0</v>
      </c>
      <c r="U23" s="31">
        <f t="shared" si="21"/>
        <v>0</v>
      </c>
      <c r="V23" s="31">
        <f t="shared" si="22"/>
        <v>0</v>
      </c>
      <c r="W23" s="31">
        <f t="shared" si="23"/>
        <v>0</v>
      </c>
      <c r="X23" s="31"/>
      <c r="Y23" s="31" t="str">
        <f t="shared" si="4"/>
        <v/>
      </c>
      <c r="Z23" s="31">
        <f>'[1]STA MARIA'!$G23</f>
        <v>0</v>
      </c>
      <c r="AA23" s="31">
        <f t="shared" si="24"/>
        <v>0</v>
      </c>
      <c r="AB23" s="31">
        <f t="shared" si="25"/>
        <v>0</v>
      </c>
      <c r="AC23" s="31">
        <f t="shared" si="26"/>
        <v>0</v>
      </c>
      <c r="AD23" s="31">
        <f t="shared" si="27"/>
        <v>0</v>
      </c>
      <c r="AE23" s="31"/>
      <c r="AF23" s="31" t="str">
        <f t="shared" si="5"/>
        <v/>
      </c>
      <c r="AG23" s="31">
        <f>'[1]STA MARIA'!$H23</f>
        <v>0</v>
      </c>
      <c r="AH23" s="31">
        <f t="shared" si="28"/>
        <v>0</v>
      </c>
      <c r="AI23" s="31">
        <f t="shared" si="29"/>
        <v>0</v>
      </c>
      <c r="AJ23" s="31">
        <f t="shared" si="30"/>
        <v>0</v>
      </c>
      <c r="AK23" s="31">
        <f t="shared" si="31"/>
        <v>0</v>
      </c>
      <c r="AL23" s="31"/>
      <c r="AM23" s="31" t="str">
        <f t="shared" si="6"/>
        <v/>
      </c>
      <c r="AN23" s="31">
        <f>'[1]STA MARIA'!$I23</f>
        <v>0</v>
      </c>
      <c r="AO23" s="31">
        <f t="shared" si="32"/>
        <v>0</v>
      </c>
      <c r="AP23" s="31">
        <f t="shared" si="33"/>
        <v>0</v>
      </c>
      <c r="AQ23" s="31">
        <f t="shared" si="34"/>
        <v>0</v>
      </c>
      <c r="AR23" s="31">
        <f t="shared" si="35"/>
        <v>0</v>
      </c>
      <c r="AS23" s="33"/>
      <c r="AT23" s="37" t="str">
        <f t="shared" si="7"/>
        <v/>
      </c>
      <c r="AU23" s="36">
        <f>'[1]STA MARIA'!$J23</f>
        <v>0</v>
      </c>
      <c r="AV23" s="31">
        <f t="shared" si="36"/>
        <v>0</v>
      </c>
      <c r="AW23" s="18">
        <f t="shared" si="37"/>
        <v>0</v>
      </c>
      <c r="AX23" s="31">
        <f t="shared" si="38"/>
        <v>0</v>
      </c>
      <c r="AY23" s="31">
        <f t="shared" si="39"/>
        <v>0</v>
      </c>
      <c r="AZ23" s="27"/>
      <c r="BA23" s="37" t="str">
        <f t="shared" si="8"/>
        <v/>
      </c>
      <c r="BB23" s="36">
        <f>'[1]STA MARIA'!$K23</f>
        <v>0</v>
      </c>
      <c r="BC23" s="31">
        <f t="shared" si="40"/>
        <v>0</v>
      </c>
      <c r="BD23" s="18">
        <f t="shared" si="41"/>
        <v>0</v>
      </c>
      <c r="BE23" s="31">
        <f t="shared" si="42"/>
        <v>0</v>
      </c>
      <c r="BF23" s="31">
        <f t="shared" si="43"/>
        <v>0</v>
      </c>
      <c r="BG23" s="33"/>
      <c r="BH23" s="37" t="str">
        <f t="shared" si="9"/>
        <v/>
      </c>
      <c r="BI23" s="36">
        <f>'[1]STA MARIA'!$L23</f>
        <v>0</v>
      </c>
      <c r="BJ23" s="31">
        <f t="shared" si="44"/>
        <v>0</v>
      </c>
      <c r="BK23" s="18">
        <f t="shared" si="45"/>
        <v>0</v>
      </c>
      <c r="BL23" s="31">
        <f t="shared" si="46"/>
        <v>0</v>
      </c>
      <c r="BM23" s="31">
        <f t="shared" si="47"/>
        <v>0</v>
      </c>
      <c r="BN23" s="33"/>
      <c r="BO23" s="37" t="str">
        <f t="shared" si="10"/>
        <v/>
      </c>
      <c r="BP23" s="36">
        <f>'[1]STA MARIA'!$M23</f>
        <v>0</v>
      </c>
      <c r="BQ23" s="31">
        <f t="shared" si="48"/>
        <v>0</v>
      </c>
      <c r="BR23" s="18">
        <f t="shared" si="49"/>
        <v>0</v>
      </c>
      <c r="BS23" s="31">
        <f t="shared" si="50"/>
        <v>0</v>
      </c>
      <c r="BT23" s="31">
        <f t="shared" si="51"/>
        <v>0</v>
      </c>
      <c r="BU23" s="33"/>
      <c r="BV23" s="37" t="str">
        <f t="shared" si="11"/>
        <v/>
      </c>
      <c r="BW23" s="36">
        <f>'[1]STA MARIA'!$N23</f>
        <v>0</v>
      </c>
      <c r="BX23" s="31">
        <f t="shared" si="52"/>
        <v>0</v>
      </c>
      <c r="BY23" s="18">
        <f t="shared" si="53"/>
        <v>0</v>
      </c>
      <c r="BZ23" s="31">
        <f t="shared" si="54"/>
        <v>0</v>
      </c>
      <c r="CA23" s="31">
        <f t="shared" si="55"/>
        <v>0</v>
      </c>
      <c r="CB23" s="33"/>
      <c r="CC23" s="37" t="str">
        <f t="shared" si="12"/>
        <v/>
      </c>
      <c r="CD23" s="36">
        <f>'[1]STA MARIA'!$O23</f>
        <v>0</v>
      </c>
      <c r="CE23" s="31">
        <f t="shared" si="56"/>
        <v>0</v>
      </c>
      <c r="CF23" s="18">
        <f t="shared" si="57"/>
        <v>0</v>
      </c>
      <c r="CG23" s="31">
        <f t="shared" si="58"/>
        <v>0</v>
      </c>
      <c r="CH23" s="31">
        <f t="shared" si="59"/>
        <v>0</v>
      </c>
      <c r="CI23" s="33"/>
      <c r="CJ23" s="37" t="str">
        <f t="shared" si="13"/>
        <v/>
      </c>
      <c r="CK23" s="36">
        <f>'[1]STA MARIA'!$P23</f>
        <v>0</v>
      </c>
      <c r="CL23" s="31">
        <f t="shared" si="60"/>
        <v>0</v>
      </c>
      <c r="CM23" s="18">
        <f t="shared" si="61"/>
        <v>0</v>
      </c>
      <c r="CN23" s="31">
        <f t="shared" si="62"/>
        <v>0</v>
      </c>
      <c r="CO23" s="31">
        <f t="shared" si="63"/>
        <v>0</v>
      </c>
      <c r="CP23" s="33"/>
      <c r="CQ23" s="37" t="str">
        <f t="shared" si="14"/>
        <v/>
      </c>
    </row>
    <row r="24" spans="1:95" s="26" customFormat="1" ht="16" customHeight="1" thickBot="1" x14ac:dyDescent="0.25">
      <c r="A24" s="29" t="s">
        <v>48</v>
      </c>
      <c r="B24" s="30">
        <f t="shared" si="0"/>
        <v>274581.99974916398</v>
      </c>
      <c r="C24" s="31">
        <f t="shared" si="0"/>
        <v>267937.11535523419</v>
      </c>
      <c r="D24" s="32">
        <f t="shared" si="0"/>
        <v>6644.8843939297694</v>
      </c>
      <c r="E24" s="30">
        <f t="shared" si="15"/>
        <v>92945.042314681341</v>
      </c>
      <c r="F24" s="33">
        <f t="shared" si="15"/>
        <v>90695.772290666049</v>
      </c>
      <c r="G24" s="34">
        <f t="shared" si="15"/>
        <v>2249.2700240152885</v>
      </c>
      <c r="H24" s="31">
        <f t="shared" si="1"/>
        <v>42485.414747999996</v>
      </c>
      <c r="I24" s="33">
        <f t="shared" si="1"/>
        <v>1053.6452519999998</v>
      </c>
      <c r="J24" s="33">
        <f t="shared" si="1"/>
        <v>43539.06</v>
      </c>
      <c r="K24" s="37">
        <f t="shared" si="2"/>
        <v>-0.5315612439812436</v>
      </c>
      <c r="L24" s="36">
        <f>'[1]STA MARIA'!$E24</f>
        <v>23236.260578670335</v>
      </c>
      <c r="M24" s="31">
        <f t="shared" si="16"/>
        <v>22673.943072666512</v>
      </c>
      <c r="N24" s="31">
        <f t="shared" si="17"/>
        <v>562.31750600382213</v>
      </c>
      <c r="O24" s="31">
        <f t="shared" si="18"/>
        <v>5010.3329220000005</v>
      </c>
      <c r="P24" s="31">
        <f t="shared" si="19"/>
        <v>124.25707799999999</v>
      </c>
      <c r="Q24" s="31">
        <f>5134.59</f>
        <v>5134.59</v>
      </c>
      <c r="R24" s="31">
        <f t="shared" si="3"/>
        <v>-0.77902683684339102</v>
      </c>
      <c r="S24" s="31">
        <f>'[1]STA MARIA'!$F24</f>
        <v>23236.260578670335</v>
      </c>
      <c r="T24" s="31">
        <f t="shared" si="20"/>
        <v>22673.943072666512</v>
      </c>
      <c r="U24" s="31">
        <f t="shared" si="21"/>
        <v>562.31750600382213</v>
      </c>
      <c r="V24" s="31">
        <f t="shared" si="22"/>
        <v>2642.0955960000001</v>
      </c>
      <c r="W24" s="31">
        <f t="shared" si="23"/>
        <v>65.52440399999999</v>
      </c>
      <c r="X24" s="31">
        <f>2707.62</f>
        <v>2707.62</v>
      </c>
      <c r="Y24" s="31">
        <f t="shared" si="4"/>
        <v>-0.88347436581575212</v>
      </c>
      <c r="Z24" s="31">
        <f>'[1]STA MARIA'!$G24</f>
        <v>23236.260578670335</v>
      </c>
      <c r="AA24" s="31">
        <f t="shared" si="24"/>
        <v>22673.943072666512</v>
      </c>
      <c r="AB24" s="31">
        <f t="shared" si="25"/>
        <v>562.31750600382213</v>
      </c>
      <c r="AC24" s="31">
        <f t="shared" si="26"/>
        <v>6289.577448</v>
      </c>
      <c r="AD24" s="31">
        <f t="shared" si="27"/>
        <v>155.982552</v>
      </c>
      <c r="AE24" s="31">
        <v>6445.56</v>
      </c>
      <c r="AF24" s="31">
        <f t="shared" si="5"/>
        <v>-0.72260768990012592</v>
      </c>
      <c r="AG24" s="31">
        <f>'[1]STA MARIA'!$H24</f>
        <v>23236.260578670335</v>
      </c>
      <c r="AH24" s="31">
        <f t="shared" si="28"/>
        <v>22673.943072666512</v>
      </c>
      <c r="AI24" s="31">
        <f t="shared" si="29"/>
        <v>562.31750600382213</v>
      </c>
      <c r="AJ24" s="31">
        <f t="shared" si="30"/>
        <v>9400.0277699999988</v>
      </c>
      <c r="AK24" s="31">
        <f t="shared" si="31"/>
        <v>233.12222999999997</v>
      </c>
      <c r="AL24" s="31">
        <f>9633.15</f>
        <v>9633.15</v>
      </c>
      <c r="AM24" s="31">
        <f t="shared" si="6"/>
        <v>-0.58542597818675157</v>
      </c>
      <c r="AN24" s="31">
        <f>'[1]STA MARIA'!$I24</f>
        <v>23236.260578670335</v>
      </c>
      <c r="AO24" s="31">
        <f t="shared" si="32"/>
        <v>22673.943072666512</v>
      </c>
      <c r="AP24" s="31">
        <f t="shared" si="33"/>
        <v>562.31750600382213</v>
      </c>
      <c r="AQ24" s="31">
        <f t="shared" si="34"/>
        <v>7244.0367019999994</v>
      </c>
      <c r="AR24" s="31">
        <f t="shared" si="35"/>
        <v>179.65329799999998</v>
      </c>
      <c r="AS24" s="33">
        <v>7423.69</v>
      </c>
      <c r="AT24" s="37">
        <f t="shared" si="7"/>
        <v>-0.68051270664374641</v>
      </c>
      <c r="AU24" s="36">
        <f>'[1]STA MARIA'!$J24</f>
        <v>23236.260578670335</v>
      </c>
      <c r="AV24" s="31">
        <f t="shared" si="36"/>
        <v>22673.943072666512</v>
      </c>
      <c r="AW24" s="18">
        <f t="shared" si="37"/>
        <v>562.31750600382213</v>
      </c>
      <c r="AX24" s="31">
        <f t="shared" si="38"/>
        <v>11899.34431</v>
      </c>
      <c r="AY24" s="31">
        <f t="shared" si="39"/>
        <v>295.10568999999998</v>
      </c>
      <c r="AZ24" s="27">
        <v>12194.45</v>
      </c>
      <c r="BA24" s="37">
        <f t="shared" si="8"/>
        <v>-0.47519739853520737</v>
      </c>
      <c r="BB24" s="36">
        <f>'[1]STA MARIA'!$K24</f>
        <v>18983.133383790337</v>
      </c>
      <c r="BC24" s="31">
        <f t="shared" si="40"/>
        <v>18523.741555902612</v>
      </c>
      <c r="BD24" s="18">
        <f t="shared" si="41"/>
        <v>459.39182788772615</v>
      </c>
      <c r="BE24" s="31">
        <f t="shared" si="42"/>
        <v>0</v>
      </c>
      <c r="BF24" s="31">
        <f t="shared" si="43"/>
        <v>0</v>
      </c>
      <c r="BG24" s="33"/>
      <c r="BH24" s="37">
        <f t="shared" si="9"/>
        <v>-1</v>
      </c>
      <c r="BI24" s="36">
        <f>'[1]STA MARIA'!$L24</f>
        <v>23236.260578670335</v>
      </c>
      <c r="BJ24" s="31">
        <f t="shared" si="44"/>
        <v>22673.943072666512</v>
      </c>
      <c r="BK24" s="18">
        <f t="shared" si="45"/>
        <v>562.31750600382213</v>
      </c>
      <c r="BL24" s="31">
        <f t="shared" si="46"/>
        <v>0</v>
      </c>
      <c r="BM24" s="31">
        <f t="shared" si="47"/>
        <v>0</v>
      </c>
      <c r="BN24" s="33"/>
      <c r="BO24" s="37">
        <f t="shared" si="10"/>
        <v>-1</v>
      </c>
      <c r="BP24" s="36">
        <f>'[1]STA MARIA'!$M24</f>
        <v>23236.260578670335</v>
      </c>
      <c r="BQ24" s="31">
        <f t="shared" si="48"/>
        <v>22673.943072666512</v>
      </c>
      <c r="BR24" s="18">
        <f t="shared" si="49"/>
        <v>562.31750600382213</v>
      </c>
      <c r="BS24" s="31">
        <f t="shared" si="50"/>
        <v>0</v>
      </c>
      <c r="BT24" s="31">
        <f t="shared" si="51"/>
        <v>0</v>
      </c>
      <c r="BU24" s="33"/>
      <c r="BV24" s="37">
        <f t="shared" si="11"/>
        <v>-1</v>
      </c>
      <c r="BW24" s="36">
        <f>'[1]STA MARIA'!$N24</f>
        <v>23236.260578670335</v>
      </c>
      <c r="BX24" s="31">
        <f t="shared" si="52"/>
        <v>22673.943072666512</v>
      </c>
      <c r="BY24" s="18">
        <f t="shared" si="53"/>
        <v>562.31750600382213</v>
      </c>
      <c r="BZ24" s="31">
        <f t="shared" si="54"/>
        <v>0</v>
      </c>
      <c r="CA24" s="31">
        <f t="shared" si="55"/>
        <v>0</v>
      </c>
      <c r="CB24" s="33"/>
      <c r="CC24" s="37">
        <f t="shared" si="12"/>
        <v>-1</v>
      </c>
      <c r="CD24" s="36">
        <f>'[1]STA MARIA'!$O24</f>
        <v>23236.260578670335</v>
      </c>
      <c r="CE24" s="31">
        <f t="shared" si="56"/>
        <v>22673.943072666512</v>
      </c>
      <c r="CF24" s="18">
        <f t="shared" si="57"/>
        <v>562.31750600382213</v>
      </c>
      <c r="CG24" s="31">
        <f t="shared" si="58"/>
        <v>0</v>
      </c>
      <c r="CH24" s="31">
        <f t="shared" si="59"/>
        <v>0</v>
      </c>
      <c r="CI24" s="33"/>
      <c r="CJ24" s="37">
        <f t="shared" si="13"/>
        <v>-1</v>
      </c>
      <c r="CK24" s="36">
        <f>'[1]STA MARIA'!$P24</f>
        <v>23236.260578670335</v>
      </c>
      <c r="CL24" s="31">
        <f t="shared" si="60"/>
        <v>22673.943072666512</v>
      </c>
      <c r="CM24" s="18">
        <f t="shared" si="61"/>
        <v>562.31750600382213</v>
      </c>
      <c r="CN24" s="31">
        <f t="shared" si="62"/>
        <v>0</v>
      </c>
      <c r="CO24" s="31">
        <f t="shared" si="63"/>
        <v>0</v>
      </c>
      <c r="CP24" s="33"/>
      <c r="CQ24" s="37">
        <f t="shared" si="14"/>
        <v>-1</v>
      </c>
    </row>
    <row r="25" spans="1:95" s="26" customFormat="1" ht="16" customHeight="1" thickBot="1" x14ac:dyDescent="0.25">
      <c r="A25" s="29" t="s">
        <v>49</v>
      </c>
      <c r="B25" s="30">
        <f t="shared" si="0"/>
        <v>559399.17784200003</v>
      </c>
      <c r="C25" s="31">
        <f t="shared" si="0"/>
        <v>545861.71773822349</v>
      </c>
      <c r="D25" s="32">
        <f t="shared" si="0"/>
        <v>13537.460103776397</v>
      </c>
      <c r="E25" s="30">
        <f t="shared" si="15"/>
        <v>184922.71779600001</v>
      </c>
      <c r="F25" s="33">
        <f t="shared" si="15"/>
        <v>180447.58802533679</v>
      </c>
      <c r="G25" s="34">
        <f t="shared" si="15"/>
        <v>4475.1297706631995</v>
      </c>
      <c r="H25" s="31">
        <f t="shared" si="1"/>
        <v>642671.51114600012</v>
      </c>
      <c r="I25" s="33">
        <f t="shared" si="1"/>
        <v>15938.358854</v>
      </c>
      <c r="J25" s="33">
        <f t="shared" si="1"/>
        <v>658609.87</v>
      </c>
      <c r="K25" s="37">
        <f t="shared" si="2"/>
        <v>2.561541155406089</v>
      </c>
      <c r="L25" s="36">
        <f>'[1]STA MARIA'!$E25</f>
        <v>0</v>
      </c>
      <c r="M25" s="31">
        <f t="shared" si="16"/>
        <v>0</v>
      </c>
      <c r="N25" s="31">
        <f t="shared" si="17"/>
        <v>0</v>
      </c>
      <c r="O25" s="31">
        <f t="shared" si="18"/>
        <v>11399.295599999999</v>
      </c>
      <c r="P25" s="31">
        <f t="shared" si="19"/>
        <v>282.70439999999996</v>
      </c>
      <c r="Q25" s="31">
        <f>11682</f>
        <v>11682</v>
      </c>
      <c r="R25" s="31" t="str">
        <f t="shared" si="3"/>
        <v/>
      </c>
      <c r="S25" s="31">
        <f>'[1]STA MARIA'!$F25</f>
        <v>0</v>
      </c>
      <c r="T25" s="31">
        <f t="shared" si="20"/>
        <v>0</v>
      </c>
      <c r="U25" s="31">
        <f t="shared" si="21"/>
        <v>0</v>
      </c>
      <c r="V25" s="31">
        <f t="shared" si="22"/>
        <v>15644.962367999999</v>
      </c>
      <c r="W25" s="31">
        <f t="shared" si="23"/>
        <v>387.99763199999995</v>
      </c>
      <c r="X25" s="31">
        <f>16032.96</f>
        <v>16032.96</v>
      </c>
      <c r="Y25" s="31" t="str">
        <f t="shared" si="4"/>
        <v/>
      </c>
      <c r="Z25" s="31">
        <f>'[1]STA MARIA'!$G25</f>
        <v>79862.475630000001</v>
      </c>
      <c r="AA25" s="31">
        <f t="shared" si="24"/>
        <v>77929.803719753996</v>
      </c>
      <c r="AB25" s="31">
        <f t="shared" si="25"/>
        <v>1932.6719102459999</v>
      </c>
      <c r="AC25" s="31">
        <f t="shared" si="26"/>
        <v>45650.753819999998</v>
      </c>
      <c r="AD25" s="31">
        <f t="shared" si="27"/>
        <v>1132.14618</v>
      </c>
      <c r="AE25" s="31">
        <v>46782.9</v>
      </c>
      <c r="AF25" s="31">
        <f t="shared" si="5"/>
        <v>-0.4142067393860478</v>
      </c>
      <c r="AG25" s="31">
        <f>'[1]STA MARIA'!$H25</f>
        <v>105060.242166</v>
      </c>
      <c r="AH25" s="31">
        <f t="shared" si="28"/>
        <v>102517.7843055828</v>
      </c>
      <c r="AI25" s="31">
        <f t="shared" si="29"/>
        <v>2542.4578604171998</v>
      </c>
      <c r="AJ25" s="31">
        <f t="shared" si="30"/>
        <v>195475.39807600001</v>
      </c>
      <c r="AK25" s="31">
        <f t="shared" si="31"/>
        <v>4847.8219239999999</v>
      </c>
      <c r="AL25" s="31">
        <f>200323.22</f>
        <v>200323.22</v>
      </c>
      <c r="AM25" s="31">
        <f t="shared" si="6"/>
        <v>0.90674622359503165</v>
      </c>
      <c r="AN25" s="31">
        <f>'[1]STA MARIA'!$I25</f>
        <v>105060.242166</v>
      </c>
      <c r="AO25" s="31">
        <f t="shared" si="32"/>
        <v>102517.7843055828</v>
      </c>
      <c r="AP25" s="31">
        <f t="shared" si="33"/>
        <v>2542.4578604171998</v>
      </c>
      <c r="AQ25" s="31">
        <f t="shared" si="34"/>
        <v>130296.63215800001</v>
      </c>
      <c r="AR25" s="31">
        <f t="shared" si="35"/>
        <v>3231.3778420000003</v>
      </c>
      <c r="AS25" s="33">
        <v>133528.01</v>
      </c>
      <c r="AT25" s="37">
        <f t="shared" si="7"/>
        <v>0.27096613568641548</v>
      </c>
      <c r="AU25" s="36">
        <f>'[1]STA MARIA'!$J25</f>
        <v>109551.353418</v>
      </c>
      <c r="AV25" s="31">
        <f t="shared" si="36"/>
        <v>106900.21066528439</v>
      </c>
      <c r="AW25" s="18">
        <f t="shared" si="37"/>
        <v>2651.1427527155997</v>
      </c>
      <c r="AX25" s="31">
        <f t="shared" si="38"/>
        <v>244204.469124</v>
      </c>
      <c r="AY25" s="31">
        <f t="shared" si="39"/>
        <v>6056.3108759999996</v>
      </c>
      <c r="AZ25" s="27">
        <v>250260.78</v>
      </c>
      <c r="BA25" s="37">
        <f t="shared" si="8"/>
        <v>1.2844152280356997</v>
      </c>
      <c r="BB25" s="36">
        <f>'[1]STA MARIA'!$K25</f>
        <v>35453.496017999998</v>
      </c>
      <c r="BC25" s="31">
        <f t="shared" si="40"/>
        <v>34595.521414364397</v>
      </c>
      <c r="BD25" s="18">
        <f t="shared" si="41"/>
        <v>857.97460363559992</v>
      </c>
      <c r="BE25" s="31">
        <f t="shared" si="42"/>
        <v>0</v>
      </c>
      <c r="BF25" s="31">
        <f t="shared" si="43"/>
        <v>0</v>
      </c>
      <c r="BG25" s="33"/>
      <c r="BH25" s="37">
        <f t="shared" si="9"/>
        <v>-1</v>
      </c>
      <c r="BI25" s="36">
        <f>'[1]STA MARIA'!$L25</f>
        <v>35453.496017999998</v>
      </c>
      <c r="BJ25" s="31">
        <f t="shared" si="44"/>
        <v>34595.521414364397</v>
      </c>
      <c r="BK25" s="18">
        <f t="shared" si="45"/>
        <v>857.97460363559992</v>
      </c>
      <c r="BL25" s="31">
        <f t="shared" si="46"/>
        <v>0</v>
      </c>
      <c r="BM25" s="31">
        <f t="shared" si="47"/>
        <v>0</v>
      </c>
      <c r="BN25" s="33"/>
      <c r="BO25" s="37">
        <f t="shared" si="10"/>
        <v>-1</v>
      </c>
      <c r="BP25" s="36">
        <f>'[1]STA MARIA'!$M25</f>
        <v>35453.496017999998</v>
      </c>
      <c r="BQ25" s="31">
        <f t="shared" si="48"/>
        <v>34595.521414364397</v>
      </c>
      <c r="BR25" s="18">
        <f t="shared" si="49"/>
        <v>857.97460363559992</v>
      </c>
      <c r="BS25" s="31">
        <f t="shared" si="50"/>
        <v>0</v>
      </c>
      <c r="BT25" s="31">
        <f t="shared" si="51"/>
        <v>0</v>
      </c>
      <c r="BU25" s="33"/>
      <c r="BV25" s="37">
        <f t="shared" si="11"/>
        <v>-1</v>
      </c>
      <c r="BW25" s="36">
        <f>'[1]STA MARIA'!$N25</f>
        <v>25637.122823999998</v>
      </c>
      <c r="BX25" s="31">
        <f t="shared" si="52"/>
        <v>25016.7044516592</v>
      </c>
      <c r="BY25" s="18">
        <f t="shared" si="53"/>
        <v>620.41837234079992</v>
      </c>
      <c r="BZ25" s="31">
        <f t="shared" si="54"/>
        <v>0</v>
      </c>
      <c r="CA25" s="31">
        <f t="shared" si="55"/>
        <v>0</v>
      </c>
      <c r="CB25" s="33"/>
      <c r="CC25" s="37">
        <f t="shared" si="12"/>
        <v>-1</v>
      </c>
      <c r="CD25" s="36">
        <f>'[1]STA MARIA'!$O25</f>
        <v>13933.626791999999</v>
      </c>
      <c r="CE25" s="31">
        <f t="shared" si="56"/>
        <v>13596.433023633599</v>
      </c>
      <c r="CF25" s="18">
        <f t="shared" si="57"/>
        <v>337.19376836639998</v>
      </c>
      <c r="CG25" s="31">
        <f t="shared" si="58"/>
        <v>0</v>
      </c>
      <c r="CH25" s="31">
        <f t="shared" si="59"/>
        <v>0</v>
      </c>
      <c r="CI25" s="33"/>
      <c r="CJ25" s="37">
        <f t="shared" si="13"/>
        <v>-1</v>
      </c>
      <c r="CK25" s="36">
        <f>'[1]STA MARIA'!$P25</f>
        <v>13933.626791999999</v>
      </c>
      <c r="CL25" s="31">
        <f t="shared" si="60"/>
        <v>13596.433023633599</v>
      </c>
      <c r="CM25" s="18">
        <f t="shared" si="61"/>
        <v>337.19376836639998</v>
      </c>
      <c r="CN25" s="31">
        <f t="shared" si="62"/>
        <v>0</v>
      </c>
      <c r="CO25" s="31">
        <f t="shared" si="63"/>
        <v>0</v>
      </c>
      <c r="CP25" s="33"/>
      <c r="CQ25" s="37">
        <f t="shared" si="14"/>
        <v>-1</v>
      </c>
    </row>
    <row r="26" spans="1:95" s="26" customFormat="1" ht="16" customHeight="1" thickBot="1" x14ac:dyDescent="0.25">
      <c r="A26" s="29" t="s">
        <v>50</v>
      </c>
      <c r="B26" s="30">
        <f t="shared" si="0"/>
        <v>3208236.6718706815</v>
      </c>
      <c r="C26" s="31">
        <f t="shared" si="0"/>
        <v>3130597.3444114109</v>
      </c>
      <c r="D26" s="32">
        <f t="shared" si="0"/>
        <v>77639.327459270484</v>
      </c>
      <c r="E26" s="30">
        <f t="shared" si="15"/>
        <v>876390.87149669544</v>
      </c>
      <c r="F26" s="33">
        <f t="shared" si="15"/>
        <v>855182.21240647545</v>
      </c>
      <c r="G26" s="34">
        <f t="shared" si="15"/>
        <v>21208.65909022003</v>
      </c>
      <c r="H26" s="31">
        <f t="shared" si="1"/>
        <v>1577860.2276359999</v>
      </c>
      <c r="I26" s="33">
        <f t="shared" si="1"/>
        <v>39131.192363999995</v>
      </c>
      <c r="J26" s="33">
        <f t="shared" si="1"/>
        <v>1616991.42</v>
      </c>
      <c r="K26" s="37">
        <f t="shared" si="2"/>
        <v>0.84505735122333148</v>
      </c>
      <c r="L26" s="36">
        <f>'[1]STA MARIA'!$E26</f>
        <v>92394.492887725864</v>
      </c>
      <c r="M26" s="31">
        <f t="shared" si="16"/>
        <v>90158.546159842896</v>
      </c>
      <c r="N26" s="31">
        <f t="shared" si="17"/>
        <v>2235.9467278829657</v>
      </c>
      <c r="O26" s="31">
        <f t="shared" si="18"/>
        <v>169017.71300400002</v>
      </c>
      <c r="P26" s="31">
        <f t="shared" si="19"/>
        <v>4191.6669959999999</v>
      </c>
      <c r="Q26" s="31">
        <f>173209.38</f>
        <v>173209.38</v>
      </c>
      <c r="R26" s="31">
        <f t="shared" si="3"/>
        <v>0.87467212153517848</v>
      </c>
      <c r="S26" s="31">
        <f>'[1]STA MARIA'!$F26</f>
        <v>191221.79595972586</v>
      </c>
      <c r="T26" s="31">
        <f t="shared" si="20"/>
        <v>186594.2284975005</v>
      </c>
      <c r="U26" s="31">
        <f t="shared" si="21"/>
        <v>4627.5674622253655</v>
      </c>
      <c r="V26" s="31">
        <f t="shared" si="22"/>
        <v>255054.74061200002</v>
      </c>
      <c r="W26" s="31">
        <f t="shared" si="23"/>
        <v>6325.3993879999998</v>
      </c>
      <c r="X26" s="31">
        <f>392+260988.14</f>
        <v>261380.14</v>
      </c>
      <c r="Y26" s="31">
        <f t="shared" si="4"/>
        <v>0.36689512138590374</v>
      </c>
      <c r="Z26" s="31">
        <f>'[1]STA MARIA'!$G26</f>
        <v>296387.29132462188</v>
      </c>
      <c r="AA26" s="31">
        <f t="shared" si="24"/>
        <v>289214.71887456602</v>
      </c>
      <c r="AB26" s="31">
        <f t="shared" si="25"/>
        <v>7172.572450055849</v>
      </c>
      <c r="AC26" s="31">
        <f t="shared" si="26"/>
        <v>291640.24412599998</v>
      </c>
      <c r="AD26" s="31">
        <f t="shared" si="27"/>
        <v>7232.7258739999988</v>
      </c>
      <c r="AE26" s="31">
        <f>392+298480.97</f>
        <v>298872.96999999997</v>
      </c>
      <c r="AF26" s="31">
        <f t="shared" si="5"/>
        <v>8.3865899386881271E-3</v>
      </c>
      <c r="AG26" s="31">
        <f>'[1]STA MARIA'!$H26</f>
        <v>296387.29132462188</v>
      </c>
      <c r="AH26" s="31">
        <f t="shared" si="28"/>
        <v>289214.71887456602</v>
      </c>
      <c r="AI26" s="31">
        <f t="shared" si="29"/>
        <v>7172.572450055849</v>
      </c>
      <c r="AJ26" s="31">
        <f t="shared" si="30"/>
        <v>394776.215134</v>
      </c>
      <c r="AK26" s="31">
        <f t="shared" si="31"/>
        <v>9790.5148659999995</v>
      </c>
      <c r="AL26" s="31">
        <f>404566.73</f>
        <v>404566.73</v>
      </c>
      <c r="AM26" s="31">
        <f t="shared" si="6"/>
        <v>0.36499351302108707</v>
      </c>
      <c r="AN26" s="31">
        <f>'[1]STA MARIA'!$I26</f>
        <v>332585.59287972585</v>
      </c>
      <c r="AO26" s="31">
        <f t="shared" si="32"/>
        <v>324537.02153203648</v>
      </c>
      <c r="AP26" s="31">
        <f t="shared" si="33"/>
        <v>8048.5713476893652</v>
      </c>
      <c r="AQ26" s="31">
        <f t="shared" si="34"/>
        <v>273446.73610799998</v>
      </c>
      <c r="AR26" s="31">
        <f t="shared" si="35"/>
        <v>6781.5238920000002</v>
      </c>
      <c r="AS26" s="33">
        <v>280228.26</v>
      </c>
      <c r="AT26" s="37">
        <f t="shared" si="7"/>
        <v>-0.15742513807163028</v>
      </c>
      <c r="AU26" s="36">
        <f>'[1]STA MARIA'!$J26</f>
        <v>256525.24768862186</v>
      </c>
      <c r="AV26" s="31">
        <f t="shared" si="36"/>
        <v>250317.33669455722</v>
      </c>
      <c r="AW26" s="18">
        <f t="shared" si="37"/>
        <v>6207.9109940646485</v>
      </c>
      <c r="AX26" s="31">
        <f t="shared" si="38"/>
        <v>193924.578652</v>
      </c>
      <c r="AY26" s="31">
        <f t="shared" si="39"/>
        <v>4809.3613480000004</v>
      </c>
      <c r="AZ26" s="27">
        <v>198733.94</v>
      </c>
      <c r="BA26" s="37">
        <f t="shared" si="8"/>
        <v>-0.22528506729587372</v>
      </c>
      <c r="BB26" s="36">
        <f>'[1]STA MARIA'!$K26</f>
        <v>220326.94613351789</v>
      </c>
      <c r="BC26" s="31">
        <f t="shared" si="40"/>
        <v>214995.03403708676</v>
      </c>
      <c r="BD26" s="18">
        <f t="shared" si="41"/>
        <v>5331.9120964311333</v>
      </c>
      <c r="BE26" s="31">
        <f t="shared" si="42"/>
        <v>0</v>
      </c>
      <c r="BF26" s="31">
        <f t="shared" si="43"/>
        <v>0</v>
      </c>
      <c r="BG26" s="33"/>
      <c r="BH26" s="37">
        <f t="shared" si="9"/>
        <v>-1</v>
      </c>
      <c r="BI26" s="36">
        <f>'[1]STA MARIA'!$L26</f>
        <v>296387.29132462188</v>
      </c>
      <c r="BJ26" s="31">
        <f t="shared" si="44"/>
        <v>289214.71887456602</v>
      </c>
      <c r="BK26" s="18">
        <f t="shared" si="45"/>
        <v>7172.572450055849</v>
      </c>
      <c r="BL26" s="31">
        <f t="shared" si="46"/>
        <v>0</v>
      </c>
      <c r="BM26" s="31">
        <f t="shared" si="47"/>
        <v>0</v>
      </c>
      <c r="BN26" s="33"/>
      <c r="BO26" s="37">
        <f t="shared" si="10"/>
        <v>-1</v>
      </c>
      <c r="BP26" s="36">
        <f>'[1]STA MARIA'!$M26</f>
        <v>372550.08069432259</v>
      </c>
      <c r="BQ26" s="31">
        <f t="shared" si="48"/>
        <v>363534.36874151998</v>
      </c>
      <c r="BR26" s="18">
        <f t="shared" si="49"/>
        <v>9015.7119528026069</v>
      </c>
      <c r="BS26" s="31">
        <f t="shared" si="50"/>
        <v>0</v>
      </c>
      <c r="BT26" s="31">
        <f t="shared" si="51"/>
        <v>0</v>
      </c>
      <c r="BU26" s="33"/>
      <c r="BV26" s="37">
        <f t="shared" si="11"/>
        <v>-1</v>
      </c>
      <c r="BW26" s="36">
        <f>'[1]STA MARIA'!$N26</f>
        <v>257089.37914942662</v>
      </c>
      <c r="BX26" s="31">
        <f t="shared" si="52"/>
        <v>250867.81617401048</v>
      </c>
      <c r="BY26" s="18">
        <f t="shared" si="53"/>
        <v>6221.5629754161237</v>
      </c>
      <c r="BZ26" s="31">
        <f t="shared" si="54"/>
        <v>0</v>
      </c>
      <c r="CA26" s="31">
        <f t="shared" si="55"/>
        <v>0</v>
      </c>
      <c r="CB26" s="33"/>
      <c r="CC26" s="37">
        <f t="shared" si="12"/>
        <v>-1</v>
      </c>
      <c r="CD26" s="36">
        <f>'[1]STA MARIA'!$O26</f>
        <v>350773.37893432262</v>
      </c>
      <c r="CE26" s="31">
        <f t="shared" si="56"/>
        <v>342284.66316411202</v>
      </c>
      <c r="CF26" s="18">
        <f t="shared" si="57"/>
        <v>8488.7157702106069</v>
      </c>
      <c r="CG26" s="31">
        <f t="shared" si="58"/>
        <v>0</v>
      </c>
      <c r="CH26" s="31">
        <f t="shared" si="59"/>
        <v>0</v>
      </c>
      <c r="CI26" s="33"/>
      <c r="CJ26" s="37">
        <f t="shared" si="13"/>
        <v>-1</v>
      </c>
      <c r="CK26" s="36">
        <f>'[1]STA MARIA'!$P26</f>
        <v>245607.88356942663</v>
      </c>
      <c r="CL26" s="31">
        <f t="shared" si="60"/>
        <v>239664.1727870465</v>
      </c>
      <c r="CM26" s="18">
        <f t="shared" si="61"/>
        <v>5943.7107823801243</v>
      </c>
      <c r="CN26" s="31">
        <f t="shared" si="62"/>
        <v>0</v>
      </c>
      <c r="CO26" s="31">
        <f t="shared" si="63"/>
        <v>0</v>
      </c>
      <c r="CP26" s="33"/>
      <c r="CQ26" s="37">
        <f t="shared" si="14"/>
        <v>-1</v>
      </c>
    </row>
    <row r="27" spans="1:95" s="26" customFormat="1" ht="16" customHeight="1" thickBot="1" x14ac:dyDescent="0.25">
      <c r="A27" s="29" t="s">
        <v>51</v>
      </c>
      <c r="B27" s="30">
        <f t="shared" si="0"/>
        <v>185864.23252800002</v>
      </c>
      <c r="C27" s="31">
        <f t="shared" si="0"/>
        <v>181366.31810082245</v>
      </c>
      <c r="D27" s="32">
        <f t="shared" si="0"/>
        <v>4497.9144271776013</v>
      </c>
      <c r="E27" s="30">
        <f t="shared" si="15"/>
        <v>60707.522197999991</v>
      </c>
      <c r="F27" s="33">
        <f t="shared" si="15"/>
        <v>59238.400160808407</v>
      </c>
      <c r="G27" s="34">
        <f t="shared" si="15"/>
        <v>1469.1220371915999</v>
      </c>
      <c r="H27" s="31">
        <f t="shared" si="1"/>
        <v>119379.53788600001</v>
      </c>
      <c r="I27" s="33">
        <f t="shared" si="1"/>
        <v>2960.632114</v>
      </c>
      <c r="J27" s="33">
        <f t="shared" si="1"/>
        <v>122340.17</v>
      </c>
      <c r="K27" s="37">
        <f t="shared" si="2"/>
        <v>1.0152390605069117</v>
      </c>
      <c r="L27" s="36">
        <f>'[1]STA MARIA'!$E27</f>
        <v>5380.1206039999997</v>
      </c>
      <c r="M27" s="31">
        <f t="shared" si="16"/>
        <v>5249.9216853831995</v>
      </c>
      <c r="N27" s="31">
        <f t="shared" si="17"/>
        <v>130.1989186168</v>
      </c>
      <c r="O27" s="31">
        <f t="shared" si="18"/>
        <v>20396.005714000003</v>
      </c>
      <c r="P27" s="31">
        <f t="shared" si="19"/>
        <v>505.82428600000003</v>
      </c>
      <c r="Q27" s="31">
        <f>20901.83</f>
        <v>20901.830000000002</v>
      </c>
      <c r="R27" s="31">
        <f t="shared" si="3"/>
        <v>2.8850114223201535</v>
      </c>
      <c r="S27" s="31">
        <f>'[1]STA MARIA'!$F27</f>
        <v>19422.604132</v>
      </c>
      <c r="T27" s="31">
        <f t="shared" si="20"/>
        <v>18952.577112005602</v>
      </c>
      <c r="U27" s="31">
        <f t="shared" si="21"/>
        <v>470.02701999440001</v>
      </c>
      <c r="V27" s="31">
        <f t="shared" si="22"/>
        <v>18799.021192</v>
      </c>
      <c r="W27" s="31">
        <f t="shared" si="23"/>
        <v>466.21880800000002</v>
      </c>
      <c r="X27" s="31">
        <v>19265.240000000002</v>
      </c>
      <c r="Y27" s="31">
        <f t="shared" si="4"/>
        <v>-8.1021129262852654E-3</v>
      </c>
      <c r="Z27" s="31">
        <f>'[1]STA MARIA'!$G27</f>
        <v>19422.604132</v>
      </c>
      <c r="AA27" s="31">
        <f t="shared" si="24"/>
        <v>18952.577112005602</v>
      </c>
      <c r="AB27" s="31">
        <f t="shared" si="25"/>
        <v>470.02701999440001</v>
      </c>
      <c r="AC27" s="31">
        <f t="shared" si="26"/>
        <v>23278.899476000002</v>
      </c>
      <c r="AD27" s="31">
        <f t="shared" si="27"/>
        <v>577.32052399999998</v>
      </c>
      <c r="AE27" s="31">
        <v>23856.22</v>
      </c>
      <c r="AF27" s="31">
        <f t="shared" si="5"/>
        <v>0.22827092792852288</v>
      </c>
      <c r="AG27" s="31">
        <f>'[1]STA MARIA'!$H27</f>
        <v>16482.193329999998</v>
      </c>
      <c r="AH27" s="31">
        <f t="shared" si="28"/>
        <v>16083.324251413998</v>
      </c>
      <c r="AI27" s="31">
        <f t="shared" si="29"/>
        <v>398.86907858599994</v>
      </c>
      <c r="AJ27" s="31">
        <f t="shared" si="30"/>
        <v>15571.308983999999</v>
      </c>
      <c r="AK27" s="31">
        <f t="shared" si="31"/>
        <v>386.17101599999995</v>
      </c>
      <c r="AL27" s="31">
        <f>15957.48</f>
        <v>15957.48</v>
      </c>
      <c r="AM27" s="31">
        <f t="shared" si="6"/>
        <v>-3.1835164137102079E-2</v>
      </c>
      <c r="AN27" s="31">
        <f>'[1]STA MARIA'!$I27</f>
        <v>6456.3921300000002</v>
      </c>
      <c r="AO27" s="31">
        <f t="shared" si="32"/>
        <v>6300.1474404540004</v>
      </c>
      <c r="AP27" s="31">
        <f t="shared" si="33"/>
        <v>156.24468954599999</v>
      </c>
      <c r="AQ27" s="31">
        <f t="shared" si="34"/>
        <v>8860.7031100000004</v>
      </c>
      <c r="AR27" s="31">
        <f t="shared" si="35"/>
        <v>219.74689000000001</v>
      </c>
      <c r="AS27" s="33">
        <v>9080.4500000000007</v>
      </c>
      <c r="AT27" s="37">
        <f t="shared" si="7"/>
        <v>0.40642789613213903</v>
      </c>
      <c r="AU27" s="36">
        <f>'[1]STA MARIA'!$J27</f>
        <v>21862.313934000002</v>
      </c>
      <c r="AV27" s="31">
        <f t="shared" si="36"/>
        <v>21333.245936797201</v>
      </c>
      <c r="AW27" s="18">
        <f t="shared" si="37"/>
        <v>529.06799720280003</v>
      </c>
      <c r="AX27" s="31">
        <f t="shared" si="38"/>
        <v>32473.599409999999</v>
      </c>
      <c r="AY27" s="31">
        <f t="shared" si="39"/>
        <v>805.3505899999999</v>
      </c>
      <c r="AZ27" s="27">
        <v>33278.949999999997</v>
      </c>
      <c r="BA27" s="37">
        <f t="shared" si="8"/>
        <v>0.52220620838515108</v>
      </c>
      <c r="BB27" s="36">
        <f>'[1]STA MARIA'!$K27</f>
        <v>11836.512734</v>
      </c>
      <c r="BC27" s="31">
        <f t="shared" si="40"/>
        <v>11550.069125837201</v>
      </c>
      <c r="BD27" s="18">
        <f t="shared" si="41"/>
        <v>286.44360816279999</v>
      </c>
      <c r="BE27" s="31">
        <f t="shared" si="42"/>
        <v>0</v>
      </c>
      <c r="BF27" s="31">
        <f t="shared" si="43"/>
        <v>0</v>
      </c>
      <c r="BG27" s="33"/>
      <c r="BH27" s="37">
        <f t="shared" si="9"/>
        <v>-1</v>
      </c>
      <c r="BI27" s="36">
        <f>'[1]STA MARIA'!$L27</f>
        <v>21862.313934000002</v>
      </c>
      <c r="BJ27" s="31">
        <f t="shared" si="44"/>
        <v>21333.245936797201</v>
      </c>
      <c r="BK27" s="18">
        <f t="shared" si="45"/>
        <v>529.06799720280003</v>
      </c>
      <c r="BL27" s="31">
        <f t="shared" si="46"/>
        <v>0</v>
      </c>
      <c r="BM27" s="31">
        <f t="shared" si="47"/>
        <v>0</v>
      </c>
      <c r="BN27" s="33"/>
      <c r="BO27" s="37">
        <f t="shared" si="10"/>
        <v>-1</v>
      </c>
      <c r="BP27" s="36">
        <f>'[1]STA MARIA'!$M27</f>
        <v>21862.313934000002</v>
      </c>
      <c r="BQ27" s="31">
        <f t="shared" si="48"/>
        <v>21333.245936797201</v>
      </c>
      <c r="BR27" s="18">
        <f t="shared" si="49"/>
        <v>529.06799720280003</v>
      </c>
      <c r="BS27" s="31">
        <f t="shared" si="50"/>
        <v>0</v>
      </c>
      <c r="BT27" s="31">
        <f t="shared" si="51"/>
        <v>0</v>
      </c>
      <c r="BU27" s="33"/>
      <c r="BV27" s="37">
        <f t="shared" si="11"/>
        <v>-1</v>
      </c>
      <c r="BW27" s="36">
        <f>'[1]STA MARIA'!$N27</f>
        <v>17345.701624000001</v>
      </c>
      <c r="BX27" s="31">
        <f t="shared" si="52"/>
        <v>16925.935644699202</v>
      </c>
      <c r="BY27" s="18">
        <f t="shared" si="53"/>
        <v>419.76597930080004</v>
      </c>
      <c r="BZ27" s="31">
        <f t="shared" si="54"/>
        <v>0</v>
      </c>
      <c r="CA27" s="31">
        <f t="shared" si="55"/>
        <v>0</v>
      </c>
      <c r="CB27" s="33"/>
      <c r="CC27" s="37">
        <f t="shared" si="12"/>
        <v>-1</v>
      </c>
      <c r="CD27" s="36">
        <f>'[1]STA MARIA'!$O27</f>
        <v>11965.58102</v>
      </c>
      <c r="CE27" s="31">
        <f t="shared" si="56"/>
        <v>11676.013959316</v>
      </c>
      <c r="CF27" s="18">
        <f t="shared" si="57"/>
        <v>289.56706068399996</v>
      </c>
      <c r="CG27" s="31">
        <f t="shared" si="58"/>
        <v>0</v>
      </c>
      <c r="CH27" s="31">
        <f t="shared" si="59"/>
        <v>0</v>
      </c>
      <c r="CI27" s="33"/>
      <c r="CJ27" s="37">
        <f t="shared" si="13"/>
        <v>-1</v>
      </c>
      <c r="CK27" s="36">
        <f>'[1]STA MARIA'!$P27</f>
        <v>11965.58102</v>
      </c>
      <c r="CL27" s="31">
        <f t="shared" si="60"/>
        <v>11676.013959316</v>
      </c>
      <c r="CM27" s="18">
        <f t="shared" si="61"/>
        <v>289.56706068399996</v>
      </c>
      <c r="CN27" s="31">
        <f t="shared" si="62"/>
        <v>0</v>
      </c>
      <c r="CO27" s="31">
        <f t="shared" si="63"/>
        <v>0</v>
      </c>
      <c r="CP27" s="33"/>
      <c r="CQ27" s="37">
        <f t="shared" si="14"/>
        <v>-1</v>
      </c>
    </row>
    <row r="28" spans="1:95" s="26" customFormat="1" ht="16" customHeight="1" thickBot="1" x14ac:dyDescent="0.25">
      <c r="A28" s="29" t="s">
        <v>52</v>
      </c>
      <c r="B28" s="30">
        <f t="shared" si="0"/>
        <v>184719.30914</v>
      </c>
      <c r="C28" s="31">
        <f t="shared" si="0"/>
        <v>180249.10185881201</v>
      </c>
      <c r="D28" s="32">
        <f t="shared" si="0"/>
        <v>4470.2072811880007</v>
      </c>
      <c r="E28" s="30">
        <f t="shared" si="15"/>
        <v>63889.15307</v>
      </c>
      <c r="F28" s="33">
        <f t="shared" si="15"/>
        <v>62343.035565705999</v>
      </c>
      <c r="G28" s="34">
        <f t="shared" si="15"/>
        <v>1546.1175042939999</v>
      </c>
      <c r="H28" s="31">
        <f t="shared" si="1"/>
        <v>95508.122891999999</v>
      </c>
      <c r="I28" s="33">
        <f t="shared" si="1"/>
        <v>2368.6171079999999</v>
      </c>
      <c r="J28" s="33">
        <f t="shared" si="1"/>
        <v>97876.739999999991</v>
      </c>
      <c r="K28" s="37">
        <f t="shared" si="2"/>
        <v>0.53197742178177831</v>
      </c>
      <c r="L28" s="36">
        <f>'[1]STA MARIA'!$E28</f>
        <v>13601.98446</v>
      </c>
      <c r="M28" s="31">
        <f t="shared" si="16"/>
        <v>13272.816436068</v>
      </c>
      <c r="N28" s="31">
        <f t="shared" si="17"/>
        <v>329.16802393199998</v>
      </c>
      <c r="O28" s="31">
        <f t="shared" si="18"/>
        <v>11290.591480000001</v>
      </c>
      <c r="P28" s="31">
        <f t="shared" si="19"/>
        <v>280.00851999999998</v>
      </c>
      <c r="Q28" s="31">
        <f>11570.6</f>
        <v>11570.6</v>
      </c>
      <c r="R28" s="31">
        <f t="shared" si="3"/>
        <v>-0.14934471260232562</v>
      </c>
      <c r="S28" s="31">
        <f>'[1]STA MARIA'!$F28</f>
        <v>13601.98446</v>
      </c>
      <c r="T28" s="31">
        <f t="shared" si="20"/>
        <v>13272.816436068</v>
      </c>
      <c r="U28" s="31">
        <f t="shared" si="21"/>
        <v>329.16802393199998</v>
      </c>
      <c r="V28" s="31">
        <f t="shared" si="22"/>
        <v>15348.465538</v>
      </c>
      <c r="W28" s="31">
        <f t="shared" si="23"/>
        <v>380.64446199999998</v>
      </c>
      <c r="X28" s="31">
        <f>15729.11</f>
        <v>15729.11</v>
      </c>
      <c r="Y28" s="31">
        <f t="shared" si="4"/>
        <v>0.15638347082775605</v>
      </c>
      <c r="Z28" s="31">
        <f>'[1]STA MARIA'!$G28</f>
        <v>18135.97928</v>
      </c>
      <c r="AA28" s="31">
        <f t="shared" si="24"/>
        <v>17697.088581423999</v>
      </c>
      <c r="AB28" s="31">
        <f t="shared" si="25"/>
        <v>438.89069857599998</v>
      </c>
      <c r="AC28" s="31">
        <f t="shared" si="26"/>
        <v>11790.357207999999</v>
      </c>
      <c r="AD28" s="31">
        <f t="shared" si="27"/>
        <v>292.40279199999998</v>
      </c>
      <c r="AE28" s="31">
        <v>12082.76</v>
      </c>
      <c r="AF28" s="31">
        <f t="shared" si="5"/>
        <v>-0.33376853747706747</v>
      </c>
      <c r="AG28" s="31">
        <f>'[1]STA MARIA'!$H28</f>
        <v>18549.204870000001</v>
      </c>
      <c r="AH28" s="31">
        <f t="shared" si="28"/>
        <v>18100.314112146003</v>
      </c>
      <c r="AI28" s="31">
        <f t="shared" si="29"/>
        <v>448.89075785400001</v>
      </c>
      <c r="AJ28" s="31">
        <f t="shared" si="30"/>
        <v>20005.578376000001</v>
      </c>
      <c r="AK28" s="31">
        <f t="shared" si="31"/>
        <v>496.14162400000004</v>
      </c>
      <c r="AL28" s="31">
        <f>20501.72</f>
        <v>20501.72</v>
      </c>
      <c r="AM28" s="31">
        <f t="shared" si="6"/>
        <v>0.10526139226365672</v>
      </c>
      <c r="AN28" s="31">
        <f>'[1]STA MARIA'!$I28</f>
        <v>15868.98187</v>
      </c>
      <c r="AO28" s="31">
        <f t="shared" si="32"/>
        <v>15484.952508745999</v>
      </c>
      <c r="AP28" s="31">
        <f t="shared" si="33"/>
        <v>384.02936125399998</v>
      </c>
      <c r="AQ28" s="31">
        <f t="shared" si="34"/>
        <v>12306.69202</v>
      </c>
      <c r="AR28" s="31">
        <f t="shared" si="35"/>
        <v>305.20797999999996</v>
      </c>
      <c r="AS28" s="33">
        <v>12611.9</v>
      </c>
      <c r="AT28" s="37">
        <f t="shared" si="7"/>
        <v>-0.20524832006755578</v>
      </c>
      <c r="AU28" s="36">
        <f>'[1]STA MARIA'!$J28</f>
        <v>14015.21005</v>
      </c>
      <c r="AV28" s="31">
        <f t="shared" si="36"/>
        <v>13676.041966790001</v>
      </c>
      <c r="AW28" s="18">
        <f t="shared" si="37"/>
        <v>339.16808320999996</v>
      </c>
      <c r="AX28" s="31">
        <f t="shared" si="38"/>
        <v>24766.438270000002</v>
      </c>
      <c r="AY28" s="31">
        <f t="shared" si="39"/>
        <v>614.21172999999999</v>
      </c>
      <c r="AZ28" s="27">
        <v>25380.65</v>
      </c>
      <c r="BA28" s="37">
        <f t="shared" si="8"/>
        <v>0.81093611222758688</v>
      </c>
      <c r="BB28" s="36">
        <f>'[1]STA MARIA'!$K28</f>
        <v>11334.98705</v>
      </c>
      <c r="BC28" s="31">
        <f t="shared" si="40"/>
        <v>11060.68036339</v>
      </c>
      <c r="BD28" s="18">
        <f t="shared" si="41"/>
        <v>274.30668660999999</v>
      </c>
      <c r="BE28" s="31">
        <f t="shared" si="42"/>
        <v>0</v>
      </c>
      <c r="BF28" s="31">
        <f t="shared" si="43"/>
        <v>0</v>
      </c>
      <c r="BG28" s="33"/>
      <c r="BH28" s="37">
        <f t="shared" si="9"/>
        <v>-1</v>
      </c>
      <c r="BI28" s="36">
        <f>'[1]STA MARIA'!$L28</f>
        <v>18549.204870000001</v>
      </c>
      <c r="BJ28" s="31">
        <f t="shared" si="44"/>
        <v>18100.314112146003</v>
      </c>
      <c r="BK28" s="18">
        <f t="shared" si="45"/>
        <v>448.89075785400001</v>
      </c>
      <c r="BL28" s="31">
        <f t="shared" si="46"/>
        <v>0</v>
      </c>
      <c r="BM28" s="31">
        <f t="shared" si="47"/>
        <v>0</v>
      </c>
      <c r="BN28" s="33"/>
      <c r="BO28" s="37">
        <f t="shared" si="10"/>
        <v>-1</v>
      </c>
      <c r="BP28" s="36">
        <f>'[1]STA MARIA'!$M28</f>
        <v>18549.204870000001</v>
      </c>
      <c r="BQ28" s="31">
        <f t="shared" si="48"/>
        <v>18100.314112146003</v>
      </c>
      <c r="BR28" s="18">
        <f t="shared" si="49"/>
        <v>448.89075785400001</v>
      </c>
      <c r="BS28" s="31">
        <f t="shared" si="50"/>
        <v>0</v>
      </c>
      <c r="BT28" s="31">
        <f t="shared" si="51"/>
        <v>0</v>
      </c>
      <c r="BU28" s="33"/>
      <c r="BV28" s="37">
        <f t="shared" si="11"/>
        <v>-1</v>
      </c>
      <c r="BW28" s="36">
        <f>'[1]STA MARIA'!$N28</f>
        <v>17193.519</v>
      </c>
      <c r="BX28" s="31">
        <f t="shared" si="52"/>
        <v>16777.4358402</v>
      </c>
      <c r="BY28" s="18">
        <f t="shared" si="53"/>
        <v>416.08315979999998</v>
      </c>
      <c r="BZ28" s="31">
        <f t="shared" si="54"/>
        <v>0</v>
      </c>
      <c r="CA28" s="31">
        <f t="shared" si="55"/>
        <v>0</v>
      </c>
      <c r="CB28" s="33"/>
      <c r="CC28" s="37">
        <f t="shared" si="12"/>
        <v>-1</v>
      </c>
      <c r="CD28" s="36">
        <f>'[1]STA MARIA'!$O28</f>
        <v>12659.52418</v>
      </c>
      <c r="CE28" s="31">
        <f t="shared" si="56"/>
        <v>12353.163694844001</v>
      </c>
      <c r="CF28" s="18">
        <f t="shared" si="57"/>
        <v>306.36048515599998</v>
      </c>
      <c r="CG28" s="31">
        <f t="shared" si="58"/>
        <v>0</v>
      </c>
      <c r="CH28" s="31">
        <f t="shared" si="59"/>
        <v>0</v>
      </c>
      <c r="CI28" s="33"/>
      <c r="CJ28" s="37">
        <f t="shared" si="13"/>
        <v>-1</v>
      </c>
      <c r="CK28" s="36">
        <f>'[1]STA MARIA'!$P28</f>
        <v>12659.52418</v>
      </c>
      <c r="CL28" s="31">
        <f t="shared" si="60"/>
        <v>12353.163694844001</v>
      </c>
      <c r="CM28" s="18">
        <f t="shared" si="61"/>
        <v>306.36048515599998</v>
      </c>
      <c r="CN28" s="31">
        <f t="shared" si="62"/>
        <v>0</v>
      </c>
      <c r="CO28" s="31">
        <f t="shared" si="63"/>
        <v>0</v>
      </c>
      <c r="CP28" s="33"/>
      <c r="CQ28" s="37">
        <f t="shared" si="14"/>
        <v>-1</v>
      </c>
    </row>
    <row r="29" spans="1:95" s="26" customFormat="1" ht="16" customHeight="1" thickBot="1" x14ac:dyDescent="0.25">
      <c r="A29" s="29" t="s">
        <v>53</v>
      </c>
      <c r="B29" s="30">
        <f t="shared" si="0"/>
        <v>354628.37799999944</v>
      </c>
      <c r="C29" s="31">
        <f t="shared" si="0"/>
        <v>346046.3712523994</v>
      </c>
      <c r="D29" s="32">
        <f t="shared" si="0"/>
        <v>8582.006747599984</v>
      </c>
      <c r="E29" s="30">
        <f t="shared" si="15"/>
        <v>118209.45933333313</v>
      </c>
      <c r="F29" s="33">
        <f t="shared" si="15"/>
        <v>115348.79041746649</v>
      </c>
      <c r="G29" s="34">
        <f t="shared" si="15"/>
        <v>2860.6689158666618</v>
      </c>
      <c r="H29" s="31">
        <f t="shared" si="1"/>
        <v>0</v>
      </c>
      <c r="I29" s="33">
        <f t="shared" si="1"/>
        <v>0</v>
      </c>
      <c r="J29" s="33">
        <f t="shared" si="1"/>
        <v>0</v>
      </c>
      <c r="K29" s="37">
        <f t="shared" si="2"/>
        <v>-1</v>
      </c>
      <c r="L29" s="36">
        <f>'[1]STA MARIA'!$E29</f>
        <v>21116.833333333332</v>
      </c>
      <c r="M29" s="31">
        <f t="shared" si="16"/>
        <v>20605.805966666667</v>
      </c>
      <c r="N29" s="31">
        <f t="shared" si="17"/>
        <v>511.02736666666664</v>
      </c>
      <c r="O29" s="31">
        <f t="shared" si="18"/>
        <v>0</v>
      </c>
      <c r="P29" s="31">
        <f t="shared" si="19"/>
        <v>0</v>
      </c>
      <c r="Q29" s="31"/>
      <c r="R29" s="31">
        <f t="shared" si="3"/>
        <v>-1</v>
      </c>
      <c r="S29" s="31">
        <f>'[1]STA MARIA'!$F29</f>
        <v>37987.896333333236</v>
      </c>
      <c r="T29" s="31">
        <f t="shared" si="20"/>
        <v>37068.58924206657</v>
      </c>
      <c r="U29" s="31">
        <f t="shared" si="21"/>
        <v>919.30709126666432</v>
      </c>
      <c r="V29" s="31">
        <f t="shared" si="22"/>
        <v>0</v>
      </c>
      <c r="W29" s="31">
        <f t="shared" si="23"/>
        <v>0</v>
      </c>
      <c r="X29" s="31"/>
      <c r="Y29" s="31">
        <f t="shared" si="4"/>
        <v>-1</v>
      </c>
      <c r="Z29" s="31">
        <f>'[1]STA MARIA'!$G29</f>
        <v>21116.833333333332</v>
      </c>
      <c r="AA29" s="31">
        <f t="shared" si="24"/>
        <v>20605.805966666667</v>
      </c>
      <c r="AB29" s="31">
        <f t="shared" si="25"/>
        <v>511.02736666666664</v>
      </c>
      <c r="AC29" s="31">
        <f t="shared" si="26"/>
        <v>0</v>
      </c>
      <c r="AD29" s="31">
        <f t="shared" si="27"/>
        <v>0</v>
      </c>
      <c r="AE29" s="31"/>
      <c r="AF29" s="31">
        <f t="shared" si="5"/>
        <v>-1</v>
      </c>
      <c r="AG29" s="31">
        <f>'[1]STA MARIA'!$H29</f>
        <v>37987.896333333236</v>
      </c>
      <c r="AH29" s="31">
        <f t="shared" si="28"/>
        <v>37068.58924206657</v>
      </c>
      <c r="AI29" s="31">
        <f t="shared" si="29"/>
        <v>919.30709126666432</v>
      </c>
      <c r="AJ29" s="31">
        <f t="shared" si="30"/>
        <v>0</v>
      </c>
      <c r="AK29" s="31">
        <f t="shared" si="31"/>
        <v>0</v>
      </c>
      <c r="AL29" s="31"/>
      <c r="AM29" s="31">
        <f t="shared" si="6"/>
        <v>-1</v>
      </c>
      <c r="AN29" s="31">
        <f>'[1]STA MARIA'!$I29</f>
        <v>21116.833333333332</v>
      </c>
      <c r="AO29" s="31">
        <f t="shared" si="32"/>
        <v>20605.805966666667</v>
      </c>
      <c r="AP29" s="31">
        <f t="shared" si="33"/>
        <v>511.02736666666664</v>
      </c>
      <c r="AQ29" s="31">
        <f t="shared" si="34"/>
        <v>0</v>
      </c>
      <c r="AR29" s="31">
        <f t="shared" si="35"/>
        <v>0</v>
      </c>
      <c r="AS29" s="33"/>
      <c r="AT29" s="37">
        <f t="shared" si="7"/>
        <v>-1</v>
      </c>
      <c r="AU29" s="36">
        <f>'[1]STA MARIA'!$J29</f>
        <v>37987.896333333236</v>
      </c>
      <c r="AV29" s="31">
        <f t="shared" si="36"/>
        <v>37068.58924206657</v>
      </c>
      <c r="AW29" s="18">
        <f t="shared" si="37"/>
        <v>919.30709126666432</v>
      </c>
      <c r="AX29" s="31">
        <f t="shared" si="38"/>
        <v>0</v>
      </c>
      <c r="AY29" s="31">
        <f t="shared" si="39"/>
        <v>0</v>
      </c>
      <c r="AZ29" s="27"/>
      <c r="BA29" s="37">
        <f t="shared" si="8"/>
        <v>-1</v>
      </c>
      <c r="BB29" s="36">
        <f>'[1]STA MARIA'!$K29</f>
        <v>21116.833333333332</v>
      </c>
      <c r="BC29" s="31">
        <f t="shared" si="40"/>
        <v>20605.805966666667</v>
      </c>
      <c r="BD29" s="18">
        <f t="shared" si="41"/>
        <v>511.02736666666664</v>
      </c>
      <c r="BE29" s="31">
        <f t="shared" si="42"/>
        <v>0</v>
      </c>
      <c r="BF29" s="31">
        <f t="shared" si="43"/>
        <v>0</v>
      </c>
      <c r="BG29" s="33"/>
      <c r="BH29" s="37">
        <f t="shared" si="9"/>
        <v>-1</v>
      </c>
      <c r="BI29" s="36">
        <f>'[1]STA MARIA'!$L29</f>
        <v>37987.896333333236</v>
      </c>
      <c r="BJ29" s="31">
        <f t="shared" si="44"/>
        <v>37068.58924206657</v>
      </c>
      <c r="BK29" s="18">
        <f t="shared" si="45"/>
        <v>919.30709126666432</v>
      </c>
      <c r="BL29" s="31">
        <f t="shared" si="46"/>
        <v>0</v>
      </c>
      <c r="BM29" s="31">
        <f t="shared" si="47"/>
        <v>0</v>
      </c>
      <c r="BN29" s="33"/>
      <c r="BO29" s="37">
        <f t="shared" si="10"/>
        <v>-1</v>
      </c>
      <c r="BP29" s="36">
        <f>'[1]STA MARIA'!$M29</f>
        <v>21116.833333333332</v>
      </c>
      <c r="BQ29" s="31">
        <f t="shared" si="48"/>
        <v>20605.805966666667</v>
      </c>
      <c r="BR29" s="18">
        <f t="shared" si="49"/>
        <v>511.02736666666664</v>
      </c>
      <c r="BS29" s="31">
        <f t="shared" si="50"/>
        <v>0</v>
      </c>
      <c r="BT29" s="31">
        <f t="shared" si="51"/>
        <v>0</v>
      </c>
      <c r="BU29" s="33"/>
      <c r="BV29" s="37">
        <f t="shared" si="11"/>
        <v>-1</v>
      </c>
      <c r="BW29" s="36">
        <f>'[1]STA MARIA'!$N29</f>
        <v>37987.896333333236</v>
      </c>
      <c r="BX29" s="31">
        <f t="shared" si="52"/>
        <v>37068.58924206657</v>
      </c>
      <c r="BY29" s="18">
        <f t="shared" si="53"/>
        <v>919.30709126666432</v>
      </c>
      <c r="BZ29" s="31">
        <f t="shared" si="54"/>
        <v>0</v>
      </c>
      <c r="CA29" s="31">
        <f t="shared" si="55"/>
        <v>0</v>
      </c>
      <c r="CB29" s="33"/>
      <c r="CC29" s="37">
        <f t="shared" si="12"/>
        <v>-1</v>
      </c>
      <c r="CD29" s="36">
        <f>'[1]STA MARIA'!$O29</f>
        <v>21116.833333333332</v>
      </c>
      <c r="CE29" s="31">
        <f t="shared" si="56"/>
        <v>20605.805966666667</v>
      </c>
      <c r="CF29" s="18">
        <f t="shared" si="57"/>
        <v>511.02736666666664</v>
      </c>
      <c r="CG29" s="31">
        <f t="shared" si="58"/>
        <v>0</v>
      </c>
      <c r="CH29" s="31">
        <f t="shared" si="59"/>
        <v>0</v>
      </c>
      <c r="CI29" s="33"/>
      <c r="CJ29" s="37">
        <f t="shared" si="13"/>
        <v>-1</v>
      </c>
      <c r="CK29" s="36">
        <f>'[1]STA MARIA'!$P29</f>
        <v>37987.896333333236</v>
      </c>
      <c r="CL29" s="31">
        <f t="shared" si="60"/>
        <v>37068.58924206657</v>
      </c>
      <c r="CM29" s="18">
        <f t="shared" si="61"/>
        <v>919.30709126666432</v>
      </c>
      <c r="CN29" s="31">
        <f t="shared" si="62"/>
        <v>0</v>
      </c>
      <c r="CO29" s="31">
        <f t="shared" si="63"/>
        <v>0</v>
      </c>
      <c r="CP29" s="33"/>
      <c r="CQ29" s="37">
        <f t="shared" si="14"/>
        <v>-1</v>
      </c>
    </row>
    <row r="30" spans="1:95" s="26" customFormat="1" ht="16" customHeight="1" thickBot="1" x14ac:dyDescent="0.25">
      <c r="A30" s="29" t="s">
        <v>54</v>
      </c>
      <c r="B30" s="30">
        <f t="shared" si="0"/>
        <v>99999.999999999985</v>
      </c>
      <c r="C30" s="31">
        <f t="shared" si="0"/>
        <v>97580.000000000015</v>
      </c>
      <c r="D30" s="32">
        <f t="shared" si="0"/>
        <v>2420.0000000000005</v>
      </c>
      <c r="E30" s="30">
        <f t="shared" si="15"/>
        <v>33333.333333333336</v>
      </c>
      <c r="F30" s="33">
        <f t="shared" si="15"/>
        <v>32526.666666666668</v>
      </c>
      <c r="G30" s="34">
        <f t="shared" si="15"/>
        <v>806.66666666666674</v>
      </c>
      <c r="H30" s="31">
        <f t="shared" si="1"/>
        <v>999.2192</v>
      </c>
      <c r="I30" s="33">
        <f t="shared" si="1"/>
        <v>24.780799999999999</v>
      </c>
      <c r="J30" s="33">
        <f t="shared" si="1"/>
        <v>1024</v>
      </c>
      <c r="K30" s="37">
        <f t="shared" si="2"/>
        <v>-0.96928000000000003</v>
      </c>
      <c r="L30" s="36">
        <f>'[1]STA MARIA'!$E30</f>
        <v>8333.3333333333339</v>
      </c>
      <c r="M30" s="31">
        <f t="shared" si="16"/>
        <v>8131.666666666667</v>
      </c>
      <c r="N30" s="31">
        <f t="shared" si="17"/>
        <v>201.66666666666669</v>
      </c>
      <c r="O30" s="31">
        <f t="shared" si="18"/>
        <v>0</v>
      </c>
      <c r="P30" s="31">
        <f t="shared" si="19"/>
        <v>0</v>
      </c>
      <c r="Q30" s="31"/>
      <c r="R30" s="31">
        <f t="shared" si="3"/>
        <v>-1</v>
      </c>
      <c r="S30" s="31">
        <f>'[1]STA MARIA'!$F30</f>
        <v>8333.3333333333339</v>
      </c>
      <c r="T30" s="31">
        <f t="shared" si="20"/>
        <v>8131.666666666667</v>
      </c>
      <c r="U30" s="31">
        <f t="shared" si="21"/>
        <v>201.66666666666669</v>
      </c>
      <c r="V30" s="31">
        <f t="shared" si="22"/>
        <v>999.2192</v>
      </c>
      <c r="W30" s="31">
        <f t="shared" si="23"/>
        <v>24.780799999999999</v>
      </c>
      <c r="X30" s="31">
        <f>1024</f>
        <v>1024</v>
      </c>
      <c r="Y30" s="31">
        <f t="shared" si="4"/>
        <v>-0.87712000000000001</v>
      </c>
      <c r="Z30" s="31">
        <f>'[1]STA MARIA'!$G30</f>
        <v>8333.3333333333339</v>
      </c>
      <c r="AA30" s="31">
        <f t="shared" si="24"/>
        <v>8131.666666666667</v>
      </c>
      <c r="AB30" s="31">
        <f t="shared" si="25"/>
        <v>201.66666666666669</v>
      </c>
      <c r="AC30" s="31">
        <f t="shared" si="26"/>
        <v>0</v>
      </c>
      <c r="AD30" s="31">
        <f t="shared" si="27"/>
        <v>0</v>
      </c>
      <c r="AE30" s="31"/>
      <c r="AF30" s="31">
        <f t="shared" si="5"/>
        <v>-1</v>
      </c>
      <c r="AG30" s="31">
        <f>'[1]STA MARIA'!$H30</f>
        <v>8333.3333333333339</v>
      </c>
      <c r="AH30" s="31">
        <f t="shared" si="28"/>
        <v>8131.666666666667</v>
      </c>
      <c r="AI30" s="31">
        <f t="shared" si="29"/>
        <v>201.66666666666669</v>
      </c>
      <c r="AJ30" s="31">
        <f t="shared" si="30"/>
        <v>0</v>
      </c>
      <c r="AK30" s="31">
        <f t="shared" si="31"/>
        <v>0</v>
      </c>
      <c r="AL30" s="31"/>
      <c r="AM30" s="31">
        <f t="shared" si="6"/>
        <v>-1</v>
      </c>
      <c r="AN30" s="31">
        <f>'[1]STA MARIA'!$I30</f>
        <v>8333.3333333333339</v>
      </c>
      <c r="AO30" s="31">
        <f t="shared" si="32"/>
        <v>8131.666666666667</v>
      </c>
      <c r="AP30" s="31">
        <f t="shared" si="33"/>
        <v>201.66666666666669</v>
      </c>
      <c r="AQ30" s="31">
        <f t="shared" si="34"/>
        <v>0</v>
      </c>
      <c r="AR30" s="31">
        <f t="shared" si="35"/>
        <v>0</v>
      </c>
      <c r="AS30" s="33"/>
      <c r="AT30" s="37">
        <f t="shared" si="7"/>
        <v>-1</v>
      </c>
      <c r="AU30" s="36">
        <f>'[1]STA MARIA'!$J30</f>
        <v>8333.3333333333339</v>
      </c>
      <c r="AV30" s="31">
        <f t="shared" si="36"/>
        <v>8131.666666666667</v>
      </c>
      <c r="AW30" s="18">
        <f t="shared" si="37"/>
        <v>201.66666666666669</v>
      </c>
      <c r="AX30" s="31">
        <f t="shared" si="38"/>
        <v>0</v>
      </c>
      <c r="AY30" s="31">
        <f t="shared" si="39"/>
        <v>0</v>
      </c>
      <c r="AZ30" s="27"/>
      <c r="BA30" s="37">
        <f t="shared" si="8"/>
        <v>-1</v>
      </c>
      <c r="BB30" s="36">
        <f>'[1]STA MARIA'!$K30</f>
        <v>8333.3333333333339</v>
      </c>
      <c r="BC30" s="31">
        <f t="shared" si="40"/>
        <v>8131.666666666667</v>
      </c>
      <c r="BD30" s="18">
        <f t="shared" si="41"/>
        <v>201.66666666666669</v>
      </c>
      <c r="BE30" s="31">
        <f t="shared" si="42"/>
        <v>0</v>
      </c>
      <c r="BF30" s="31">
        <f t="shared" si="43"/>
        <v>0</v>
      </c>
      <c r="BG30" s="33"/>
      <c r="BH30" s="37">
        <f t="shared" si="9"/>
        <v>-1</v>
      </c>
      <c r="BI30" s="36">
        <f>'[1]STA MARIA'!$L30</f>
        <v>8333.3333333333339</v>
      </c>
      <c r="BJ30" s="31">
        <f t="shared" si="44"/>
        <v>8131.666666666667</v>
      </c>
      <c r="BK30" s="18">
        <f t="shared" si="45"/>
        <v>201.66666666666669</v>
      </c>
      <c r="BL30" s="31">
        <f t="shared" si="46"/>
        <v>0</v>
      </c>
      <c r="BM30" s="31">
        <f t="shared" si="47"/>
        <v>0</v>
      </c>
      <c r="BN30" s="33"/>
      <c r="BO30" s="37">
        <f t="shared" si="10"/>
        <v>-1</v>
      </c>
      <c r="BP30" s="36">
        <f>'[1]STA MARIA'!$M30</f>
        <v>8333.3333333333339</v>
      </c>
      <c r="BQ30" s="31">
        <f t="shared" si="48"/>
        <v>8131.666666666667</v>
      </c>
      <c r="BR30" s="18">
        <f t="shared" si="49"/>
        <v>201.66666666666669</v>
      </c>
      <c r="BS30" s="31">
        <f t="shared" si="50"/>
        <v>0</v>
      </c>
      <c r="BT30" s="31">
        <f t="shared" si="51"/>
        <v>0</v>
      </c>
      <c r="BU30" s="33"/>
      <c r="BV30" s="37">
        <f t="shared" si="11"/>
        <v>-1</v>
      </c>
      <c r="BW30" s="36">
        <f>'[1]STA MARIA'!$N30</f>
        <v>8333.3333333333339</v>
      </c>
      <c r="BX30" s="31">
        <f t="shared" si="52"/>
        <v>8131.666666666667</v>
      </c>
      <c r="BY30" s="18">
        <f t="shared" si="53"/>
        <v>201.66666666666669</v>
      </c>
      <c r="BZ30" s="31">
        <f t="shared" si="54"/>
        <v>0</v>
      </c>
      <c r="CA30" s="31">
        <f t="shared" si="55"/>
        <v>0</v>
      </c>
      <c r="CB30" s="33"/>
      <c r="CC30" s="37">
        <f t="shared" si="12"/>
        <v>-1</v>
      </c>
      <c r="CD30" s="36">
        <f>'[1]STA MARIA'!$O30</f>
        <v>8333.3333333333339</v>
      </c>
      <c r="CE30" s="31">
        <f t="shared" si="56"/>
        <v>8131.666666666667</v>
      </c>
      <c r="CF30" s="18">
        <f t="shared" si="57"/>
        <v>201.66666666666669</v>
      </c>
      <c r="CG30" s="31">
        <f t="shared" si="58"/>
        <v>0</v>
      </c>
      <c r="CH30" s="31">
        <f t="shared" si="59"/>
        <v>0</v>
      </c>
      <c r="CI30" s="33"/>
      <c r="CJ30" s="37">
        <f t="shared" si="13"/>
        <v>-1</v>
      </c>
      <c r="CK30" s="36">
        <f>'[1]STA MARIA'!$P30</f>
        <v>8333.3333333333339</v>
      </c>
      <c r="CL30" s="31">
        <f t="shared" si="60"/>
        <v>8131.666666666667</v>
      </c>
      <c r="CM30" s="18">
        <f t="shared" si="61"/>
        <v>201.66666666666669</v>
      </c>
      <c r="CN30" s="31">
        <f t="shared" si="62"/>
        <v>0</v>
      </c>
      <c r="CO30" s="31">
        <f t="shared" si="63"/>
        <v>0</v>
      </c>
      <c r="CP30" s="33"/>
      <c r="CQ30" s="37">
        <f t="shared" si="14"/>
        <v>-1</v>
      </c>
    </row>
    <row r="31" spans="1:95" s="26" customFormat="1" ht="16" customHeight="1" thickBot="1" x14ac:dyDescent="0.25">
      <c r="A31" s="38" t="s">
        <v>55</v>
      </c>
      <c r="B31" s="30">
        <f t="shared" si="0"/>
        <v>55000.000000000007</v>
      </c>
      <c r="C31" s="31">
        <f t="shared" si="0"/>
        <v>53668.999999999978</v>
      </c>
      <c r="D31" s="32">
        <f t="shared" si="0"/>
        <v>1331</v>
      </c>
      <c r="E31" s="30">
        <f t="shared" si="15"/>
        <v>18333.333333333332</v>
      </c>
      <c r="F31" s="33">
        <f t="shared" si="15"/>
        <v>17889.666666666664</v>
      </c>
      <c r="G31" s="34">
        <f t="shared" si="15"/>
        <v>443.66666666666663</v>
      </c>
      <c r="H31" s="31">
        <f t="shared" si="1"/>
        <v>65573.759999999995</v>
      </c>
      <c r="I31" s="33">
        <f t="shared" si="1"/>
        <v>1626.24</v>
      </c>
      <c r="J31" s="33">
        <f t="shared" si="1"/>
        <v>67200</v>
      </c>
      <c r="K31" s="37">
        <f t="shared" si="2"/>
        <v>2.6654545454545455</v>
      </c>
      <c r="L31" s="36">
        <f>'[1]STA MARIA'!$E31</f>
        <v>4583.333333333333</v>
      </c>
      <c r="M31" s="31">
        <f t="shared" si="16"/>
        <v>4472.4166666666661</v>
      </c>
      <c r="N31" s="31">
        <f t="shared" si="17"/>
        <v>110.91666666666666</v>
      </c>
      <c r="O31" s="31">
        <f t="shared" si="18"/>
        <v>0</v>
      </c>
      <c r="P31" s="31">
        <f t="shared" si="19"/>
        <v>0</v>
      </c>
      <c r="Q31" s="31"/>
      <c r="R31" s="31">
        <f t="shared" si="3"/>
        <v>-1</v>
      </c>
      <c r="S31" s="31">
        <f>'[1]STA MARIA'!$F31</f>
        <v>4583.333333333333</v>
      </c>
      <c r="T31" s="31">
        <f t="shared" si="20"/>
        <v>4472.4166666666661</v>
      </c>
      <c r="U31" s="31">
        <f t="shared" si="21"/>
        <v>110.91666666666666</v>
      </c>
      <c r="V31" s="31">
        <f t="shared" si="22"/>
        <v>65573.759999999995</v>
      </c>
      <c r="W31" s="31">
        <f t="shared" si="23"/>
        <v>1626.24</v>
      </c>
      <c r="X31" s="31">
        <f>50400+16800</f>
        <v>67200</v>
      </c>
      <c r="Y31" s="31">
        <f t="shared" si="4"/>
        <v>13.661818181818182</v>
      </c>
      <c r="Z31" s="31">
        <f>'[1]STA MARIA'!$G31</f>
        <v>4583.333333333333</v>
      </c>
      <c r="AA31" s="31">
        <f t="shared" si="24"/>
        <v>4472.4166666666661</v>
      </c>
      <c r="AB31" s="31">
        <f t="shared" si="25"/>
        <v>110.91666666666666</v>
      </c>
      <c r="AC31" s="31">
        <f t="shared" si="26"/>
        <v>0</v>
      </c>
      <c r="AD31" s="31">
        <f t="shared" si="27"/>
        <v>0</v>
      </c>
      <c r="AE31" s="31"/>
      <c r="AF31" s="31">
        <f t="shared" si="5"/>
        <v>-1</v>
      </c>
      <c r="AG31" s="31">
        <f>'[1]STA MARIA'!$H31</f>
        <v>4583.333333333333</v>
      </c>
      <c r="AH31" s="31">
        <f t="shared" si="28"/>
        <v>4472.4166666666661</v>
      </c>
      <c r="AI31" s="31">
        <f t="shared" si="29"/>
        <v>110.91666666666666</v>
      </c>
      <c r="AJ31" s="31">
        <f t="shared" si="30"/>
        <v>0</v>
      </c>
      <c r="AK31" s="31">
        <f t="shared" si="31"/>
        <v>0</v>
      </c>
      <c r="AL31" s="31"/>
      <c r="AM31" s="31">
        <f t="shared" si="6"/>
        <v>-1</v>
      </c>
      <c r="AN31" s="31">
        <f>'[1]STA MARIA'!$I31</f>
        <v>4583.333333333333</v>
      </c>
      <c r="AO31" s="31">
        <f t="shared" si="32"/>
        <v>4472.4166666666661</v>
      </c>
      <c r="AP31" s="31">
        <f t="shared" si="33"/>
        <v>110.91666666666666</v>
      </c>
      <c r="AQ31" s="31">
        <f t="shared" si="34"/>
        <v>0</v>
      </c>
      <c r="AR31" s="31">
        <f t="shared" si="35"/>
        <v>0</v>
      </c>
      <c r="AS31" s="33"/>
      <c r="AT31" s="37">
        <f t="shared" si="7"/>
        <v>-1</v>
      </c>
      <c r="AU31" s="36">
        <f>'[1]STA MARIA'!$J31</f>
        <v>4583.333333333333</v>
      </c>
      <c r="AV31" s="31">
        <f t="shared" si="36"/>
        <v>4472.4166666666661</v>
      </c>
      <c r="AW31" s="18">
        <f t="shared" si="37"/>
        <v>110.91666666666666</v>
      </c>
      <c r="AX31" s="31">
        <f t="shared" si="38"/>
        <v>0</v>
      </c>
      <c r="AY31" s="31">
        <f t="shared" si="39"/>
        <v>0</v>
      </c>
      <c r="AZ31" s="33"/>
      <c r="BA31" s="37">
        <f t="shared" si="8"/>
        <v>-1</v>
      </c>
      <c r="BB31" s="36">
        <f>'[1]STA MARIA'!$K31</f>
        <v>4583.333333333333</v>
      </c>
      <c r="BC31" s="31">
        <f t="shared" si="40"/>
        <v>4472.4166666666661</v>
      </c>
      <c r="BD31" s="18">
        <f t="shared" si="41"/>
        <v>110.91666666666666</v>
      </c>
      <c r="BE31" s="31">
        <f t="shared" si="42"/>
        <v>0</v>
      </c>
      <c r="BF31" s="31">
        <f t="shared" si="43"/>
        <v>0</v>
      </c>
      <c r="BG31" s="33"/>
      <c r="BH31" s="37">
        <f t="shared" si="9"/>
        <v>-1</v>
      </c>
      <c r="BI31" s="36">
        <f>'[1]STA MARIA'!$L31</f>
        <v>4583.333333333333</v>
      </c>
      <c r="BJ31" s="31">
        <f t="shared" si="44"/>
        <v>4472.4166666666661</v>
      </c>
      <c r="BK31" s="18">
        <f t="shared" si="45"/>
        <v>110.91666666666666</v>
      </c>
      <c r="BL31" s="31">
        <f t="shared" si="46"/>
        <v>0</v>
      </c>
      <c r="BM31" s="31">
        <f t="shared" si="47"/>
        <v>0</v>
      </c>
      <c r="BN31" s="33"/>
      <c r="BO31" s="37">
        <f t="shared" si="10"/>
        <v>-1</v>
      </c>
      <c r="BP31" s="36">
        <f>'[1]STA MARIA'!$M31</f>
        <v>4583.333333333333</v>
      </c>
      <c r="BQ31" s="31">
        <f t="shared" si="48"/>
        <v>4472.4166666666661</v>
      </c>
      <c r="BR31" s="18">
        <f t="shared" si="49"/>
        <v>110.91666666666666</v>
      </c>
      <c r="BS31" s="31">
        <f t="shared" si="50"/>
        <v>0</v>
      </c>
      <c r="BT31" s="31">
        <f t="shared" si="51"/>
        <v>0</v>
      </c>
      <c r="BU31" s="33"/>
      <c r="BV31" s="37">
        <f t="shared" si="11"/>
        <v>-1</v>
      </c>
      <c r="BW31" s="36">
        <f>'[1]STA MARIA'!$N31</f>
        <v>4583.333333333333</v>
      </c>
      <c r="BX31" s="31">
        <f t="shared" si="52"/>
        <v>4472.4166666666661</v>
      </c>
      <c r="BY31" s="18">
        <f t="shared" si="53"/>
        <v>110.91666666666666</v>
      </c>
      <c r="BZ31" s="31">
        <f t="shared" si="54"/>
        <v>0</v>
      </c>
      <c r="CA31" s="31">
        <f t="shared" si="55"/>
        <v>0</v>
      </c>
      <c r="CB31" s="33"/>
      <c r="CC31" s="37">
        <f t="shared" si="12"/>
        <v>-1</v>
      </c>
      <c r="CD31" s="36">
        <f>'[1]STA MARIA'!$O31</f>
        <v>4583.333333333333</v>
      </c>
      <c r="CE31" s="31">
        <f t="shared" si="56"/>
        <v>4472.4166666666661</v>
      </c>
      <c r="CF31" s="18">
        <f t="shared" si="57"/>
        <v>110.91666666666666</v>
      </c>
      <c r="CG31" s="31">
        <f t="shared" si="58"/>
        <v>0</v>
      </c>
      <c r="CH31" s="31">
        <f t="shared" si="59"/>
        <v>0</v>
      </c>
      <c r="CI31" s="33"/>
      <c r="CJ31" s="37">
        <f t="shared" si="13"/>
        <v>-1</v>
      </c>
      <c r="CK31" s="36">
        <f>'[1]STA MARIA'!$P31</f>
        <v>4583.333333333333</v>
      </c>
      <c r="CL31" s="31">
        <f t="shared" si="60"/>
        <v>4472.4166666666661</v>
      </c>
      <c r="CM31" s="18">
        <f t="shared" si="61"/>
        <v>110.91666666666666</v>
      </c>
      <c r="CN31" s="31">
        <f t="shared" si="62"/>
        <v>0</v>
      </c>
      <c r="CO31" s="31">
        <f t="shared" si="63"/>
        <v>0</v>
      </c>
      <c r="CP31" s="33"/>
      <c r="CQ31" s="37">
        <f t="shared" si="14"/>
        <v>-1</v>
      </c>
    </row>
    <row r="32" spans="1:95" s="26" customFormat="1" ht="16" customHeight="1" thickBot="1" x14ac:dyDescent="0.25">
      <c r="A32" s="29" t="s">
        <v>140</v>
      </c>
      <c r="B32" s="30">
        <f t="shared" si="0"/>
        <v>6142232.7999999989</v>
      </c>
      <c r="C32" s="31">
        <f t="shared" si="0"/>
        <v>5993590.7662400007</v>
      </c>
      <c r="D32" s="32">
        <f t="shared" si="0"/>
        <v>148642.03375999996</v>
      </c>
      <c r="E32" s="30">
        <f t="shared" si="15"/>
        <v>3423260.5439999998</v>
      </c>
      <c r="F32" s="33">
        <f t="shared" si="15"/>
        <v>3340417.6388352001</v>
      </c>
      <c r="G32" s="34">
        <f t="shared" si="15"/>
        <v>82842.905164799988</v>
      </c>
      <c r="H32" s="31">
        <f t="shared" si="1"/>
        <v>3573849.7599559994</v>
      </c>
      <c r="I32" s="33">
        <f t="shared" si="1"/>
        <v>88632.060043999983</v>
      </c>
      <c r="J32" s="33">
        <f t="shared" si="1"/>
        <v>3662481.8199999994</v>
      </c>
      <c r="K32" s="37">
        <f t="shared" si="2"/>
        <v>6.9881118578393409E-2</v>
      </c>
      <c r="L32" s="36">
        <f>'[1]STA MARIA'!$E32</f>
        <v>973329.63199999987</v>
      </c>
      <c r="M32" s="31">
        <f t="shared" si="16"/>
        <v>949775.05490559991</v>
      </c>
      <c r="N32" s="31">
        <f t="shared" si="17"/>
        <v>23554.577094399996</v>
      </c>
      <c r="O32" s="31">
        <f t="shared" si="18"/>
        <v>865952.09603000002</v>
      </c>
      <c r="P32" s="31">
        <f t="shared" si="19"/>
        <v>21475.753969999998</v>
      </c>
      <c r="Q32" s="31">
        <f>466464.69+397568.78+10811.93+12582.45</f>
        <v>887427.85</v>
      </c>
      <c r="R32" s="31">
        <f t="shared" si="3"/>
        <v>-8.8255591092494257E-2</v>
      </c>
      <c r="S32" s="31">
        <f>'[1]STA MARIA'!$F32</f>
        <v>852870.304</v>
      </c>
      <c r="T32" s="31">
        <f t="shared" si="20"/>
        <v>832230.84264319995</v>
      </c>
      <c r="U32" s="31">
        <f t="shared" si="21"/>
        <v>20639.461356799999</v>
      </c>
      <c r="V32" s="31">
        <f t="shared" si="22"/>
        <v>581443.01782000007</v>
      </c>
      <c r="W32" s="31">
        <f t="shared" si="23"/>
        <v>14419.882180000001</v>
      </c>
      <c r="X32" s="31">
        <f>571803.15+10370.3+13689.45</f>
        <v>595862.9</v>
      </c>
      <c r="Y32" s="31">
        <f t="shared" si="4"/>
        <v>-0.30134406461876295</v>
      </c>
      <c r="Z32" s="31">
        <f>'[1]STA MARIA'!$G32</f>
        <v>822070.304</v>
      </c>
      <c r="AA32" s="31">
        <f t="shared" si="24"/>
        <v>802176.20264320006</v>
      </c>
      <c r="AB32" s="31">
        <f t="shared" si="25"/>
        <v>19894.101356799998</v>
      </c>
      <c r="AC32" s="31">
        <f t="shared" si="26"/>
        <v>792561.00707000005</v>
      </c>
      <c r="AD32" s="31">
        <f t="shared" si="27"/>
        <v>19655.642930000002</v>
      </c>
      <c r="AE32" s="31">
        <f>787508.93+11188.74+13518.98</f>
        <v>812216.65</v>
      </c>
      <c r="AF32" s="31">
        <f t="shared" si="5"/>
        <v>-1.198638845370581E-2</v>
      </c>
      <c r="AG32" s="31">
        <f>'[1]STA MARIA'!$H32</f>
        <v>774990.304</v>
      </c>
      <c r="AH32" s="31">
        <f t="shared" si="28"/>
        <v>756235.53864319995</v>
      </c>
      <c r="AI32" s="31">
        <f t="shared" si="29"/>
        <v>18754.765356799999</v>
      </c>
      <c r="AJ32" s="31">
        <f t="shared" si="30"/>
        <v>553394.59334599983</v>
      </c>
      <c r="AK32" s="31">
        <f t="shared" si="31"/>
        <v>13724.276653999998</v>
      </c>
      <c r="AL32" s="31">
        <f>532947.94+16275.72+17895.21</f>
        <v>567118.86999999988</v>
      </c>
      <c r="AM32" s="31">
        <f t="shared" si="6"/>
        <v>-0.26822456091011959</v>
      </c>
      <c r="AN32" s="31">
        <f>'[1]STA MARIA'!$I32</f>
        <v>821190.304</v>
      </c>
      <c r="AO32" s="31">
        <f t="shared" si="32"/>
        <v>801317.49864320003</v>
      </c>
      <c r="AP32" s="31">
        <f t="shared" si="33"/>
        <v>19872.8053568</v>
      </c>
      <c r="AQ32" s="31">
        <f t="shared" si="34"/>
        <v>460480.23467599985</v>
      </c>
      <c r="AR32" s="31">
        <f t="shared" si="35"/>
        <v>11419.985323999996</v>
      </c>
      <c r="AS32" s="33">
        <v>471900.21999999986</v>
      </c>
      <c r="AT32" s="37">
        <f t="shared" si="7"/>
        <v>-0.42534608884032821</v>
      </c>
      <c r="AU32" s="36">
        <f>'[1]STA MARIA'!$J32</f>
        <v>842360.64</v>
      </c>
      <c r="AV32" s="31">
        <f t="shared" si="36"/>
        <v>821975.51251200004</v>
      </c>
      <c r="AW32" s="18">
        <f t="shared" si="37"/>
        <v>20385.127487999998</v>
      </c>
      <c r="AX32" s="31">
        <f t="shared" si="38"/>
        <v>320018.81101399998</v>
      </c>
      <c r="AY32" s="31">
        <f t="shared" si="39"/>
        <v>7936.5189859999991</v>
      </c>
      <c r="AZ32" s="27">
        <v>327955.32999999996</v>
      </c>
      <c r="BA32" s="37">
        <f t="shared" si="8"/>
        <v>-0.61067111350311909</v>
      </c>
      <c r="BB32" s="36">
        <f>'[1]STA MARIA'!$K32</f>
        <v>928701.31199999992</v>
      </c>
      <c r="BC32" s="31">
        <f t="shared" si="40"/>
        <v>906226.74024959991</v>
      </c>
      <c r="BD32" s="18">
        <f t="shared" si="41"/>
        <v>22474.571750399999</v>
      </c>
      <c r="BE32" s="31">
        <f t="shared" si="42"/>
        <v>0</v>
      </c>
      <c r="BF32" s="31">
        <f t="shared" si="43"/>
        <v>0</v>
      </c>
      <c r="BG32" s="33"/>
      <c r="BH32" s="37">
        <f t="shared" si="9"/>
        <v>-1</v>
      </c>
      <c r="BI32" s="36">
        <f>'[1]STA MARIA'!$L32</f>
        <v>114400</v>
      </c>
      <c r="BJ32" s="31">
        <f t="shared" si="44"/>
        <v>111631.52</v>
      </c>
      <c r="BK32" s="18">
        <f t="shared" si="45"/>
        <v>2768.48</v>
      </c>
      <c r="BL32" s="31">
        <f t="shared" si="46"/>
        <v>0</v>
      </c>
      <c r="BM32" s="31">
        <f t="shared" si="47"/>
        <v>0</v>
      </c>
      <c r="BN32" s="33"/>
      <c r="BO32" s="37">
        <f t="shared" si="10"/>
        <v>-1</v>
      </c>
      <c r="BP32" s="36">
        <f>'[1]STA MARIA'!$M32</f>
        <v>6160</v>
      </c>
      <c r="BQ32" s="31">
        <f t="shared" si="48"/>
        <v>6010.9279999999999</v>
      </c>
      <c r="BR32" s="18">
        <f t="shared" si="49"/>
        <v>149.072</v>
      </c>
      <c r="BS32" s="31">
        <f t="shared" si="50"/>
        <v>0</v>
      </c>
      <c r="BT32" s="31">
        <f t="shared" si="51"/>
        <v>0</v>
      </c>
      <c r="BU32" s="33"/>
      <c r="BV32" s="37">
        <f t="shared" si="11"/>
        <v>-1</v>
      </c>
      <c r="BW32" s="36">
        <f>'[1]STA MARIA'!$N32</f>
        <v>6160</v>
      </c>
      <c r="BX32" s="31">
        <f t="shared" si="52"/>
        <v>6010.9279999999999</v>
      </c>
      <c r="BY32" s="18">
        <f t="shared" si="53"/>
        <v>149.072</v>
      </c>
      <c r="BZ32" s="31">
        <f t="shared" si="54"/>
        <v>0</v>
      </c>
      <c r="CA32" s="31">
        <f t="shared" si="55"/>
        <v>0</v>
      </c>
      <c r="CB32" s="33"/>
      <c r="CC32" s="37">
        <f t="shared" si="12"/>
        <v>-1</v>
      </c>
      <c r="CD32" s="36">
        <f>'[1]STA MARIA'!$O32</f>
        <v>0</v>
      </c>
      <c r="CE32" s="31">
        <f t="shared" si="56"/>
        <v>0</v>
      </c>
      <c r="CF32" s="18">
        <f t="shared" si="57"/>
        <v>0</v>
      </c>
      <c r="CG32" s="31">
        <f t="shared" si="58"/>
        <v>0</v>
      </c>
      <c r="CH32" s="31">
        <f t="shared" si="59"/>
        <v>0</v>
      </c>
      <c r="CI32" s="33"/>
      <c r="CJ32" s="37" t="str">
        <f t="shared" si="13"/>
        <v/>
      </c>
      <c r="CK32" s="36">
        <f>'[1]STA MARIA'!$P32</f>
        <v>0</v>
      </c>
      <c r="CL32" s="31">
        <f t="shared" si="60"/>
        <v>0</v>
      </c>
      <c r="CM32" s="18">
        <f t="shared" si="61"/>
        <v>0</v>
      </c>
      <c r="CN32" s="31">
        <f t="shared" si="62"/>
        <v>0</v>
      </c>
      <c r="CO32" s="31">
        <f t="shared" si="63"/>
        <v>0</v>
      </c>
      <c r="CP32" s="33"/>
      <c r="CQ32" s="37" t="str">
        <f t="shared" si="14"/>
        <v/>
      </c>
    </row>
    <row r="33" spans="1:95" s="26" customFormat="1" ht="16" customHeight="1" thickBot="1" x14ac:dyDescent="0.25">
      <c r="A33" s="29" t="s">
        <v>57</v>
      </c>
      <c r="B33" s="30">
        <f t="shared" si="0"/>
        <v>3061224.4897959186</v>
      </c>
      <c r="C33" s="31">
        <f t="shared" si="0"/>
        <v>2987142.8571428568</v>
      </c>
      <c r="D33" s="32">
        <f t="shared" si="0"/>
        <v>74081.632653061213</v>
      </c>
      <c r="E33" s="30">
        <f t="shared" si="15"/>
        <v>1877551.0204081633</v>
      </c>
      <c r="F33" s="33">
        <f t="shared" si="15"/>
        <v>1832114.2857142857</v>
      </c>
      <c r="G33" s="34">
        <f t="shared" si="15"/>
        <v>45436.734693877552</v>
      </c>
      <c r="H33" s="31">
        <f t="shared" si="1"/>
        <v>2100780.752868</v>
      </c>
      <c r="I33" s="33">
        <f t="shared" si="1"/>
        <v>52099.70713200001</v>
      </c>
      <c r="J33" s="33">
        <f t="shared" si="1"/>
        <v>2152880.46</v>
      </c>
      <c r="K33" s="37">
        <f t="shared" si="2"/>
        <v>0.14664285369565211</v>
      </c>
      <c r="L33" s="36">
        <f>'[1]STA MARIA'!$E33</f>
        <v>530612.24489795917</v>
      </c>
      <c r="M33" s="31">
        <f t="shared" si="16"/>
        <v>517771.42857142858</v>
      </c>
      <c r="N33" s="31">
        <f t="shared" si="17"/>
        <v>12840.816326530612</v>
      </c>
      <c r="O33" s="31">
        <f t="shared" si="18"/>
        <v>379195.73363000003</v>
      </c>
      <c r="P33" s="31">
        <f t="shared" si="19"/>
        <v>9404.1163699999997</v>
      </c>
      <c r="Q33" s="31">
        <f>107459.64+281140.21</f>
        <v>388599.85000000003</v>
      </c>
      <c r="R33" s="31">
        <f t="shared" si="3"/>
        <v>-0.26763874423076917</v>
      </c>
      <c r="S33" s="31">
        <f>'[1]STA MARIA'!$F33</f>
        <v>448979.59183673467</v>
      </c>
      <c r="T33" s="31">
        <f t="shared" si="20"/>
        <v>438114.28571428568</v>
      </c>
      <c r="U33" s="31">
        <f t="shared" si="21"/>
        <v>10865.306122448979</v>
      </c>
      <c r="V33" s="31">
        <f t="shared" si="22"/>
        <v>459164.83676000003</v>
      </c>
      <c r="W33" s="31">
        <f t="shared" si="23"/>
        <v>11387.363240000001</v>
      </c>
      <c r="X33" s="31">
        <v>470552.2</v>
      </c>
      <c r="Y33" s="31">
        <f t="shared" si="4"/>
        <v>4.8048081818181876E-2</v>
      </c>
      <c r="Z33" s="31">
        <f>'[1]STA MARIA'!$G33</f>
        <v>448979.59183673467</v>
      </c>
      <c r="AA33" s="31">
        <f t="shared" si="24"/>
        <v>438114.28571428568</v>
      </c>
      <c r="AB33" s="31">
        <f t="shared" si="25"/>
        <v>10865.306122448979</v>
      </c>
      <c r="AC33" s="31">
        <f t="shared" si="26"/>
        <v>443886.01406800002</v>
      </c>
      <c r="AD33" s="31">
        <f t="shared" si="27"/>
        <v>11008.445932000001</v>
      </c>
      <c r="AE33" s="31">
        <v>454894.46</v>
      </c>
      <c r="AF33" s="31">
        <f t="shared" si="5"/>
        <v>1.3174024545454577E-2</v>
      </c>
      <c r="AG33" s="31">
        <f>'[1]STA MARIA'!$H33</f>
        <v>448979.59183673467</v>
      </c>
      <c r="AH33" s="31">
        <f t="shared" si="28"/>
        <v>438114.28571428568</v>
      </c>
      <c r="AI33" s="31">
        <f t="shared" si="29"/>
        <v>10865.306122448979</v>
      </c>
      <c r="AJ33" s="31">
        <f t="shared" si="30"/>
        <v>387651.34312799998</v>
      </c>
      <c r="AK33" s="31">
        <f t="shared" si="31"/>
        <v>9613.8168719999994</v>
      </c>
      <c r="AL33" s="31">
        <v>397265.16</v>
      </c>
      <c r="AM33" s="31">
        <f t="shared" si="6"/>
        <v>-0.1151821436363637</v>
      </c>
      <c r="AN33" s="31">
        <f>'[1]STA MARIA'!$I33</f>
        <v>448979.59183673467</v>
      </c>
      <c r="AO33" s="31">
        <f t="shared" si="32"/>
        <v>438114.28571428568</v>
      </c>
      <c r="AP33" s="31">
        <f t="shared" si="33"/>
        <v>10865.306122448979</v>
      </c>
      <c r="AQ33" s="31">
        <f t="shared" si="34"/>
        <v>279525.04309799999</v>
      </c>
      <c r="AR33" s="31">
        <f t="shared" si="35"/>
        <v>6932.2669019999994</v>
      </c>
      <c r="AS33" s="33">
        <v>286457.31</v>
      </c>
      <c r="AT33" s="37">
        <f t="shared" si="7"/>
        <v>-0.36198144590909087</v>
      </c>
      <c r="AU33" s="36">
        <f>'[1]STA MARIA'!$J33</f>
        <v>408163.26530612248</v>
      </c>
      <c r="AV33" s="31">
        <f t="shared" si="36"/>
        <v>398285.71428571432</v>
      </c>
      <c r="AW33" s="18">
        <f t="shared" si="37"/>
        <v>9877.5510204081638</v>
      </c>
      <c r="AX33" s="31">
        <f t="shared" si="38"/>
        <v>151357.78218400001</v>
      </c>
      <c r="AY33" s="31">
        <f t="shared" si="39"/>
        <v>3753.6978160000003</v>
      </c>
      <c r="AZ33" s="27">
        <v>155111.48000000001</v>
      </c>
      <c r="BA33" s="37">
        <f t="shared" si="8"/>
        <v>-0.61997687400000001</v>
      </c>
      <c r="BB33" s="36">
        <f>'[1]STA MARIA'!$K33</f>
        <v>326530.61224489799</v>
      </c>
      <c r="BC33" s="31">
        <f t="shared" si="40"/>
        <v>318628.57142857148</v>
      </c>
      <c r="BD33" s="18">
        <f t="shared" si="41"/>
        <v>7902.0408163265311</v>
      </c>
      <c r="BE33" s="31">
        <f t="shared" si="42"/>
        <v>0</v>
      </c>
      <c r="BF33" s="31">
        <f t="shared" si="43"/>
        <v>0</v>
      </c>
      <c r="BG33" s="33"/>
      <c r="BH33" s="37">
        <f t="shared" si="9"/>
        <v>-1</v>
      </c>
      <c r="BI33" s="36">
        <f>'[1]STA MARIA'!$L33</f>
        <v>0</v>
      </c>
      <c r="BJ33" s="31">
        <f t="shared" si="44"/>
        <v>0</v>
      </c>
      <c r="BK33" s="18">
        <f t="shared" si="45"/>
        <v>0</v>
      </c>
      <c r="BL33" s="31">
        <f t="shared" si="46"/>
        <v>0</v>
      </c>
      <c r="BM33" s="31">
        <f t="shared" si="47"/>
        <v>0</v>
      </c>
      <c r="BN33" s="33"/>
      <c r="BO33" s="37" t="str">
        <f t="shared" si="10"/>
        <v/>
      </c>
      <c r="BP33" s="36">
        <f>'[1]STA MARIA'!$M33</f>
        <v>0</v>
      </c>
      <c r="BQ33" s="31">
        <f t="shared" si="48"/>
        <v>0</v>
      </c>
      <c r="BR33" s="18">
        <f t="shared" si="49"/>
        <v>0</v>
      </c>
      <c r="BS33" s="31">
        <f t="shared" si="50"/>
        <v>0</v>
      </c>
      <c r="BT33" s="31">
        <f t="shared" si="51"/>
        <v>0</v>
      </c>
      <c r="BU33" s="33"/>
      <c r="BV33" s="37" t="str">
        <f t="shared" si="11"/>
        <v/>
      </c>
      <c r="BW33" s="36">
        <f>'[1]STA MARIA'!$N33</f>
        <v>0</v>
      </c>
      <c r="BX33" s="31">
        <f t="shared" si="52"/>
        <v>0</v>
      </c>
      <c r="BY33" s="18">
        <f t="shared" si="53"/>
        <v>0</v>
      </c>
      <c r="BZ33" s="31">
        <f t="shared" si="54"/>
        <v>0</v>
      </c>
      <c r="CA33" s="31">
        <f t="shared" si="55"/>
        <v>0</v>
      </c>
      <c r="CB33" s="33"/>
      <c r="CC33" s="37" t="str">
        <f t="shared" si="12"/>
        <v/>
      </c>
      <c r="CD33" s="36">
        <f>'[1]STA MARIA'!$O33</f>
        <v>0</v>
      </c>
      <c r="CE33" s="31">
        <f t="shared" si="56"/>
        <v>0</v>
      </c>
      <c r="CF33" s="18">
        <f t="shared" si="57"/>
        <v>0</v>
      </c>
      <c r="CG33" s="31">
        <f t="shared" si="58"/>
        <v>0</v>
      </c>
      <c r="CH33" s="31">
        <f t="shared" si="59"/>
        <v>0</v>
      </c>
      <c r="CI33" s="33"/>
      <c r="CJ33" s="37" t="str">
        <f t="shared" si="13"/>
        <v/>
      </c>
      <c r="CK33" s="36">
        <f>'[1]STA MARIA'!$P33</f>
        <v>0</v>
      </c>
      <c r="CL33" s="31">
        <f t="shared" si="60"/>
        <v>0</v>
      </c>
      <c r="CM33" s="18">
        <f t="shared" si="61"/>
        <v>0</v>
      </c>
      <c r="CN33" s="31">
        <f t="shared" si="62"/>
        <v>0</v>
      </c>
      <c r="CO33" s="31">
        <f t="shared" si="63"/>
        <v>0</v>
      </c>
      <c r="CP33" s="33"/>
      <c r="CQ33" s="37" t="str">
        <f t="shared" si="14"/>
        <v/>
      </c>
    </row>
    <row r="34" spans="1:95" s="26" customFormat="1" ht="16" customHeight="1" thickBot="1" x14ac:dyDescent="0.25">
      <c r="A34" s="29" t="s">
        <v>105</v>
      </c>
      <c r="B34" s="30">
        <f t="shared" si="0"/>
        <v>0</v>
      </c>
      <c r="C34" s="31">
        <f t="shared" si="0"/>
        <v>0</v>
      </c>
      <c r="D34" s="32">
        <f t="shared" si="0"/>
        <v>0</v>
      </c>
      <c r="E34" s="30">
        <f t="shared" si="15"/>
        <v>0</v>
      </c>
      <c r="F34" s="33">
        <f t="shared" si="15"/>
        <v>0</v>
      </c>
      <c r="G34" s="34">
        <f t="shared" si="15"/>
        <v>0</v>
      </c>
      <c r="H34" s="31">
        <f t="shared" si="1"/>
        <v>0</v>
      </c>
      <c r="I34" s="33">
        <f t="shared" si="1"/>
        <v>0</v>
      </c>
      <c r="J34" s="33">
        <f t="shared" si="1"/>
        <v>0</v>
      </c>
      <c r="K34" s="37" t="str">
        <f t="shared" si="2"/>
        <v/>
      </c>
      <c r="L34" s="36">
        <f>'[1]STA MARIA'!$E34</f>
        <v>0</v>
      </c>
      <c r="M34" s="31">
        <f t="shared" si="16"/>
        <v>0</v>
      </c>
      <c r="N34" s="31">
        <f t="shared" si="17"/>
        <v>0</v>
      </c>
      <c r="O34" s="31">
        <f t="shared" si="18"/>
        <v>0</v>
      </c>
      <c r="P34" s="31">
        <f t="shared" si="19"/>
        <v>0</v>
      </c>
      <c r="Q34" s="31"/>
      <c r="R34" s="31" t="str">
        <f t="shared" si="3"/>
        <v/>
      </c>
      <c r="S34" s="31">
        <f>'[1]STA MARIA'!$F34</f>
        <v>0</v>
      </c>
      <c r="T34" s="31">
        <f t="shared" si="20"/>
        <v>0</v>
      </c>
      <c r="U34" s="31">
        <f t="shared" si="21"/>
        <v>0</v>
      </c>
      <c r="V34" s="31">
        <f t="shared" si="22"/>
        <v>0</v>
      </c>
      <c r="W34" s="31">
        <f t="shared" si="23"/>
        <v>0</v>
      </c>
      <c r="X34" s="31"/>
      <c r="Y34" s="31" t="str">
        <f t="shared" si="4"/>
        <v/>
      </c>
      <c r="Z34" s="31">
        <f>'[1]STA MARIA'!$G34</f>
        <v>0</v>
      </c>
      <c r="AA34" s="31">
        <f t="shared" si="24"/>
        <v>0</v>
      </c>
      <c r="AB34" s="31">
        <f t="shared" si="25"/>
        <v>0</v>
      </c>
      <c r="AC34" s="31">
        <f t="shared" si="26"/>
        <v>0</v>
      </c>
      <c r="AD34" s="31">
        <f t="shared" si="27"/>
        <v>0</v>
      </c>
      <c r="AE34" s="31"/>
      <c r="AF34" s="31" t="str">
        <f t="shared" si="5"/>
        <v/>
      </c>
      <c r="AG34" s="31">
        <f>'[1]STA MARIA'!$H34</f>
        <v>0</v>
      </c>
      <c r="AH34" s="31">
        <f t="shared" si="28"/>
        <v>0</v>
      </c>
      <c r="AI34" s="31">
        <f t="shared" si="29"/>
        <v>0</v>
      </c>
      <c r="AJ34" s="31">
        <f t="shared" si="30"/>
        <v>0</v>
      </c>
      <c r="AK34" s="31">
        <f t="shared" si="31"/>
        <v>0</v>
      </c>
      <c r="AL34" s="31"/>
      <c r="AM34" s="31" t="str">
        <f t="shared" si="6"/>
        <v/>
      </c>
      <c r="AN34" s="31">
        <f>'[1]STA MARIA'!$I34</f>
        <v>0</v>
      </c>
      <c r="AO34" s="31">
        <f t="shared" si="32"/>
        <v>0</v>
      </c>
      <c r="AP34" s="31">
        <f t="shared" si="33"/>
        <v>0</v>
      </c>
      <c r="AQ34" s="31">
        <f t="shared" si="34"/>
        <v>0</v>
      </c>
      <c r="AR34" s="31">
        <f t="shared" si="35"/>
        <v>0</v>
      </c>
      <c r="AS34" s="33"/>
      <c r="AT34" s="37" t="str">
        <f t="shared" si="7"/>
        <v/>
      </c>
      <c r="AU34" s="36">
        <f>'[1]STA MARIA'!$J34</f>
        <v>0</v>
      </c>
      <c r="AV34" s="31">
        <f t="shared" si="36"/>
        <v>0</v>
      </c>
      <c r="AW34" s="18">
        <f t="shared" si="37"/>
        <v>0</v>
      </c>
      <c r="AX34" s="31">
        <f t="shared" si="38"/>
        <v>0</v>
      </c>
      <c r="AY34" s="31">
        <f t="shared" si="39"/>
        <v>0</v>
      </c>
      <c r="AZ34" s="27"/>
      <c r="BA34" s="37" t="str">
        <f t="shared" si="8"/>
        <v/>
      </c>
      <c r="BB34" s="36">
        <f>'[1]STA MARIA'!$K34</f>
        <v>0</v>
      </c>
      <c r="BC34" s="31">
        <f t="shared" si="40"/>
        <v>0</v>
      </c>
      <c r="BD34" s="18">
        <f t="shared" si="41"/>
        <v>0</v>
      </c>
      <c r="BE34" s="31">
        <f t="shared" si="42"/>
        <v>0</v>
      </c>
      <c r="BF34" s="31">
        <f t="shared" si="43"/>
        <v>0</v>
      </c>
      <c r="BG34" s="33"/>
      <c r="BH34" s="37" t="str">
        <f t="shared" si="9"/>
        <v/>
      </c>
      <c r="BI34" s="36">
        <f>'[1]STA MARIA'!$L34</f>
        <v>0</v>
      </c>
      <c r="BJ34" s="31">
        <f t="shared" si="44"/>
        <v>0</v>
      </c>
      <c r="BK34" s="18">
        <f t="shared" si="45"/>
        <v>0</v>
      </c>
      <c r="BL34" s="31">
        <f t="shared" si="46"/>
        <v>0</v>
      </c>
      <c r="BM34" s="31">
        <f t="shared" si="47"/>
        <v>0</v>
      </c>
      <c r="BN34" s="33"/>
      <c r="BO34" s="37" t="str">
        <f t="shared" si="10"/>
        <v/>
      </c>
      <c r="BP34" s="36">
        <f>'[1]STA MARIA'!$M34</f>
        <v>0</v>
      </c>
      <c r="BQ34" s="31">
        <f t="shared" si="48"/>
        <v>0</v>
      </c>
      <c r="BR34" s="18">
        <f t="shared" si="49"/>
        <v>0</v>
      </c>
      <c r="BS34" s="31">
        <f t="shared" si="50"/>
        <v>0</v>
      </c>
      <c r="BT34" s="31">
        <f t="shared" si="51"/>
        <v>0</v>
      </c>
      <c r="BU34" s="33"/>
      <c r="BV34" s="37" t="str">
        <f t="shared" si="11"/>
        <v/>
      </c>
      <c r="BW34" s="36">
        <f>'[1]STA MARIA'!$N34</f>
        <v>0</v>
      </c>
      <c r="BX34" s="31">
        <f t="shared" si="52"/>
        <v>0</v>
      </c>
      <c r="BY34" s="18">
        <f t="shared" si="53"/>
        <v>0</v>
      </c>
      <c r="BZ34" s="31">
        <f t="shared" si="54"/>
        <v>0</v>
      </c>
      <c r="CA34" s="31">
        <f t="shared" si="55"/>
        <v>0</v>
      </c>
      <c r="CB34" s="33"/>
      <c r="CC34" s="37" t="str">
        <f t="shared" si="12"/>
        <v/>
      </c>
      <c r="CD34" s="36">
        <f>'[1]STA MARIA'!$O34</f>
        <v>0</v>
      </c>
      <c r="CE34" s="31">
        <f t="shared" si="56"/>
        <v>0</v>
      </c>
      <c r="CF34" s="18">
        <f t="shared" si="57"/>
        <v>0</v>
      </c>
      <c r="CG34" s="31">
        <f t="shared" si="58"/>
        <v>0</v>
      </c>
      <c r="CH34" s="31">
        <f t="shared" si="59"/>
        <v>0</v>
      </c>
      <c r="CI34" s="33"/>
      <c r="CJ34" s="37" t="str">
        <f t="shared" si="13"/>
        <v/>
      </c>
      <c r="CK34" s="36">
        <f>'[1]STA MARIA'!$P34</f>
        <v>0</v>
      </c>
      <c r="CL34" s="31">
        <f t="shared" si="60"/>
        <v>0</v>
      </c>
      <c r="CM34" s="18">
        <f t="shared" si="61"/>
        <v>0</v>
      </c>
      <c r="CN34" s="31">
        <f t="shared" si="62"/>
        <v>0</v>
      </c>
      <c r="CO34" s="31">
        <f t="shared" si="63"/>
        <v>0</v>
      </c>
      <c r="CP34" s="33"/>
      <c r="CQ34" s="37" t="str">
        <f t="shared" si="14"/>
        <v/>
      </c>
    </row>
    <row r="35" spans="1:95" s="26" customFormat="1" ht="16" customHeight="1" thickBot="1" x14ac:dyDescent="0.25">
      <c r="A35" s="29" t="s">
        <v>59</v>
      </c>
      <c r="B35" s="30">
        <f t="shared" si="0"/>
        <v>0</v>
      </c>
      <c r="C35" s="31">
        <f t="shared" si="0"/>
        <v>0</v>
      </c>
      <c r="D35" s="32">
        <f t="shared" si="0"/>
        <v>0</v>
      </c>
      <c r="E35" s="30">
        <f t="shared" si="15"/>
        <v>0</v>
      </c>
      <c r="F35" s="33">
        <f t="shared" si="15"/>
        <v>0</v>
      </c>
      <c r="G35" s="34">
        <f t="shared" si="15"/>
        <v>0</v>
      </c>
      <c r="H35" s="31">
        <f t="shared" si="1"/>
        <v>0</v>
      </c>
      <c r="I35" s="33">
        <f t="shared" si="1"/>
        <v>0</v>
      </c>
      <c r="J35" s="33">
        <f t="shared" si="1"/>
        <v>0</v>
      </c>
      <c r="K35" s="37" t="str">
        <f t="shared" si="2"/>
        <v/>
      </c>
      <c r="L35" s="36">
        <f>'[1]STA MARIA'!$E35</f>
        <v>0</v>
      </c>
      <c r="M35" s="31">
        <f t="shared" si="16"/>
        <v>0</v>
      </c>
      <c r="N35" s="31">
        <f t="shared" si="17"/>
        <v>0</v>
      </c>
      <c r="O35" s="31">
        <f t="shared" si="18"/>
        <v>0</v>
      </c>
      <c r="P35" s="31">
        <f t="shared" si="19"/>
        <v>0</v>
      </c>
      <c r="Q35" s="31"/>
      <c r="R35" s="31" t="str">
        <f t="shared" si="3"/>
        <v/>
      </c>
      <c r="S35" s="31">
        <f>'[1]STA MARIA'!$F35</f>
        <v>0</v>
      </c>
      <c r="T35" s="31">
        <f t="shared" si="20"/>
        <v>0</v>
      </c>
      <c r="U35" s="31">
        <f t="shared" si="21"/>
        <v>0</v>
      </c>
      <c r="V35" s="31">
        <f t="shared" si="22"/>
        <v>0</v>
      </c>
      <c r="W35" s="31">
        <f t="shared" si="23"/>
        <v>0</v>
      </c>
      <c r="X35" s="31"/>
      <c r="Y35" s="31" t="str">
        <f t="shared" si="4"/>
        <v/>
      </c>
      <c r="Z35" s="31">
        <f>'[1]STA MARIA'!$G35</f>
        <v>0</v>
      </c>
      <c r="AA35" s="31">
        <f t="shared" si="24"/>
        <v>0</v>
      </c>
      <c r="AB35" s="31">
        <f t="shared" si="25"/>
        <v>0</v>
      </c>
      <c r="AC35" s="31">
        <f t="shared" si="26"/>
        <v>0</v>
      </c>
      <c r="AD35" s="31">
        <f t="shared" si="27"/>
        <v>0</v>
      </c>
      <c r="AE35" s="31"/>
      <c r="AF35" s="31" t="str">
        <f t="shared" si="5"/>
        <v/>
      </c>
      <c r="AG35" s="31">
        <f>'[1]STA MARIA'!$H35</f>
        <v>0</v>
      </c>
      <c r="AH35" s="31">
        <f t="shared" si="28"/>
        <v>0</v>
      </c>
      <c r="AI35" s="31">
        <f t="shared" si="29"/>
        <v>0</v>
      </c>
      <c r="AJ35" s="31">
        <f t="shared" si="30"/>
        <v>0</v>
      </c>
      <c r="AK35" s="31">
        <f t="shared" si="31"/>
        <v>0</v>
      </c>
      <c r="AL35" s="31"/>
      <c r="AM35" s="31" t="str">
        <f t="shared" si="6"/>
        <v/>
      </c>
      <c r="AN35" s="31">
        <f>'[1]STA MARIA'!$I35</f>
        <v>0</v>
      </c>
      <c r="AO35" s="31">
        <f t="shared" si="32"/>
        <v>0</v>
      </c>
      <c r="AP35" s="31">
        <f t="shared" si="33"/>
        <v>0</v>
      </c>
      <c r="AQ35" s="31">
        <f t="shared" si="34"/>
        <v>0</v>
      </c>
      <c r="AR35" s="31">
        <f t="shared" si="35"/>
        <v>0</v>
      </c>
      <c r="AS35" s="33"/>
      <c r="AT35" s="37" t="str">
        <f t="shared" si="7"/>
        <v/>
      </c>
      <c r="AU35" s="36">
        <f>'[1]STA MARIA'!$J35</f>
        <v>0</v>
      </c>
      <c r="AV35" s="31">
        <f t="shared" si="36"/>
        <v>0</v>
      </c>
      <c r="AW35" s="18">
        <f t="shared" si="37"/>
        <v>0</v>
      </c>
      <c r="AX35" s="31">
        <f t="shared" si="38"/>
        <v>0</v>
      </c>
      <c r="AY35" s="31">
        <f t="shared" si="39"/>
        <v>0</v>
      </c>
      <c r="AZ35" s="27"/>
      <c r="BA35" s="37" t="str">
        <f t="shared" si="8"/>
        <v/>
      </c>
      <c r="BB35" s="36">
        <f>'[1]STA MARIA'!$K35</f>
        <v>0</v>
      </c>
      <c r="BC35" s="31">
        <f t="shared" si="40"/>
        <v>0</v>
      </c>
      <c r="BD35" s="18">
        <f t="shared" si="41"/>
        <v>0</v>
      </c>
      <c r="BE35" s="31">
        <f t="shared" si="42"/>
        <v>0</v>
      </c>
      <c r="BF35" s="31">
        <f t="shared" si="43"/>
        <v>0</v>
      </c>
      <c r="BG35" s="33"/>
      <c r="BH35" s="37" t="str">
        <f t="shared" si="9"/>
        <v/>
      </c>
      <c r="BI35" s="36">
        <f>'[1]STA MARIA'!$L35</f>
        <v>0</v>
      </c>
      <c r="BJ35" s="31">
        <f t="shared" si="44"/>
        <v>0</v>
      </c>
      <c r="BK35" s="18">
        <f t="shared" si="45"/>
        <v>0</v>
      </c>
      <c r="BL35" s="31">
        <f t="shared" si="46"/>
        <v>0</v>
      </c>
      <c r="BM35" s="31">
        <f t="shared" si="47"/>
        <v>0</v>
      </c>
      <c r="BN35" s="33"/>
      <c r="BO35" s="37" t="str">
        <f t="shared" si="10"/>
        <v/>
      </c>
      <c r="BP35" s="36">
        <f>'[1]STA MARIA'!$M35</f>
        <v>0</v>
      </c>
      <c r="BQ35" s="31">
        <f t="shared" si="48"/>
        <v>0</v>
      </c>
      <c r="BR35" s="18">
        <f t="shared" si="49"/>
        <v>0</v>
      </c>
      <c r="BS35" s="31">
        <f t="shared" si="50"/>
        <v>0</v>
      </c>
      <c r="BT35" s="31">
        <f t="shared" si="51"/>
        <v>0</v>
      </c>
      <c r="BU35" s="33"/>
      <c r="BV35" s="37" t="str">
        <f t="shared" si="11"/>
        <v/>
      </c>
      <c r="BW35" s="36">
        <f>'[1]STA MARIA'!$N35</f>
        <v>0</v>
      </c>
      <c r="BX35" s="31">
        <f t="shared" si="52"/>
        <v>0</v>
      </c>
      <c r="BY35" s="18">
        <f t="shared" si="53"/>
        <v>0</v>
      </c>
      <c r="BZ35" s="31">
        <f t="shared" si="54"/>
        <v>0</v>
      </c>
      <c r="CA35" s="31">
        <f t="shared" si="55"/>
        <v>0</v>
      </c>
      <c r="CB35" s="33"/>
      <c r="CC35" s="37" t="str">
        <f t="shared" si="12"/>
        <v/>
      </c>
      <c r="CD35" s="36">
        <f>'[1]STA MARIA'!$O35</f>
        <v>0</v>
      </c>
      <c r="CE35" s="31">
        <f t="shared" si="56"/>
        <v>0</v>
      </c>
      <c r="CF35" s="18">
        <f t="shared" si="57"/>
        <v>0</v>
      </c>
      <c r="CG35" s="31">
        <f t="shared" si="58"/>
        <v>0</v>
      </c>
      <c r="CH35" s="31">
        <f t="shared" si="59"/>
        <v>0</v>
      </c>
      <c r="CI35" s="33"/>
      <c r="CJ35" s="37" t="str">
        <f t="shared" si="13"/>
        <v/>
      </c>
      <c r="CK35" s="36">
        <f>'[1]STA MARIA'!$P35</f>
        <v>0</v>
      </c>
      <c r="CL35" s="31">
        <f t="shared" si="60"/>
        <v>0</v>
      </c>
      <c r="CM35" s="18">
        <f t="shared" si="61"/>
        <v>0</v>
      </c>
      <c r="CN35" s="31">
        <f t="shared" si="62"/>
        <v>0</v>
      </c>
      <c r="CO35" s="31">
        <f t="shared" si="63"/>
        <v>0</v>
      </c>
      <c r="CP35" s="33"/>
      <c r="CQ35" s="37" t="str">
        <f t="shared" si="14"/>
        <v/>
      </c>
    </row>
    <row r="36" spans="1:95" s="26" customFormat="1" ht="16" customHeight="1" thickBot="1" x14ac:dyDescent="0.25">
      <c r="A36" s="38" t="s">
        <v>60</v>
      </c>
      <c r="B36" s="30">
        <f t="shared" ref="B36:D54" si="64">+L36+S36+Z36+AG36+AN36+AU36+BB36+BI36+BP36+BW36+CD36+CK36</f>
        <v>250000.00000000003</v>
      </c>
      <c r="C36" s="31">
        <f t="shared" si="64"/>
        <v>243949.99999999991</v>
      </c>
      <c r="D36" s="32">
        <f t="shared" si="64"/>
        <v>6050</v>
      </c>
      <c r="E36" s="30">
        <f t="shared" si="15"/>
        <v>83333.333333333328</v>
      </c>
      <c r="F36" s="33">
        <f t="shared" si="15"/>
        <v>81316.666666666657</v>
      </c>
      <c r="G36" s="34">
        <f t="shared" si="15"/>
        <v>2016.6666666666665</v>
      </c>
      <c r="H36" s="31">
        <f t="shared" ref="H36:J54" si="65">+O36+V36+AC36+AJ36+AQ36+AX36+BE36+BL36+BS36+BZ36+CG36+CN36</f>
        <v>183387.45114199998</v>
      </c>
      <c r="I36" s="33">
        <f t="shared" si="65"/>
        <v>4548.0388579999999</v>
      </c>
      <c r="J36" s="33">
        <f t="shared" si="65"/>
        <v>187935.48999999996</v>
      </c>
      <c r="K36" s="37">
        <f t="shared" si="2"/>
        <v>1.2552258799999998</v>
      </c>
      <c r="L36" s="36">
        <f>'[1]STA MARIA'!$E36</f>
        <v>20833.333333333332</v>
      </c>
      <c r="M36" s="31">
        <f t="shared" si="16"/>
        <v>20329.166666666664</v>
      </c>
      <c r="N36" s="31">
        <f t="shared" si="17"/>
        <v>504.16666666666663</v>
      </c>
      <c r="O36" s="31">
        <f t="shared" si="18"/>
        <v>41553.769698000004</v>
      </c>
      <c r="P36" s="31">
        <f t="shared" si="19"/>
        <v>1030.5403020000001</v>
      </c>
      <c r="Q36" s="31">
        <f>445+90.56+359.42+280+320+80+330+400+10.67+123.1+2150.13+1900+492.24+893.87+1800+80.23+39.01+77.16+32.42+749.48+747.92+350+800+90.65+960+479.87+816+380+87.93+355.24+4725.33+1684.57+1444.57+1875.59+900+76.08+2288+1066.51+890+86.83+1120+1547.37+1547.37+1547.36+728.43+589.8+1473.52+236+143+1150+138.08+220+910+475</f>
        <v>42584.310000000005</v>
      </c>
      <c r="R36" s="31">
        <f t="shared" si="3"/>
        <v>1.0440468800000002</v>
      </c>
      <c r="S36" s="31">
        <f>'[1]STA MARIA'!$F36</f>
        <v>20833.333333333332</v>
      </c>
      <c r="T36" s="31">
        <f t="shared" si="20"/>
        <v>20329.166666666664</v>
      </c>
      <c r="U36" s="31">
        <f t="shared" si="21"/>
        <v>504.16666666666663</v>
      </c>
      <c r="V36" s="31">
        <f t="shared" si="22"/>
        <v>39426.291506000009</v>
      </c>
      <c r="W36" s="31">
        <f t="shared" si="23"/>
        <v>977.77849400000014</v>
      </c>
      <c r="X36" s="31">
        <f>2314.54+2014.54+2014.54+97.81+67.31+1479+180+360+1730+2278+1361.8+1620+557.5+1610.3+54.95+365+83.19+52.45+176.25+1029+4081.3+1547.36+840+840+665+585.24+1229.6+585+1333.09+1250+500+1250+679.2+164.75+60+2534.51+2812.84</f>
        <v>40404.070000000007</v>
      </c>
      <c r="Y36" s="31">
        <f t="shared" si="4"/>
        <v>0.93939536000000046</v>
      </c>
      <c r="Z36" s="31">
        <f>'[1]STA MARIA'!$G36</f>
        <v>20833.333333333332</v>
      </c>
      <c r="AA36" s="31">
        <f t="shared" si="24"/>
        <v>20329.166666666664</v>
      </c>
      <c r="AB36" s="31">
        <f t="shared" si="25"/>
        <v>504.16666666666663</v>
      </c>
      <c r="AC36" s="31">
        <f t="shared" si="26"/>
        <v>33514.680429999993</v>
      </c>
      <c r="AD36" s="31">
        <f t="shared" si="27"/>
        <v>831.16956999999979</v>
      </c>
      <c r="AE36" s="31">
        <f>1703.35+70.04+1460.1+670+2542.21+92.95+72.47+880+7.71+7.91+53.86+81.33+42.31+39.57+10.62+43.96+600+800+2657.95+2892.53+2892.53+241.78+2100+2019.28+500+319.8+1757.5+750+34.78+2548.76+67.04+1513.8+68.04+3600+73.67+1130</f>
        <v>34345.849999999991</v>
      </c>
      <c r="AF36" s="31">
        <f t="shared" si="5"/>
        <v>0.64860079999999964</v>
      </c>
      <c r="AG36" s="31">
        <f>'[1]STA MARIA'!$H36</f>
        <v>20833.333333333332</v>
      </c>
      <c r="AH36" s="31">
        <f t="shared" si="28"/>
        <v>20329.166666666664</v>
      </c>
      <c r="AI36" s="31">
        <f t="shared" si="29"/>
        <v>504.16666666666663</v>
      </c>
      <c r="AJ36" s="31">
        <f t="shared" si="30"/>
        <v>22426.723578000001</v>
      </c>
      <c r="AK36" s="31">
        <f t="shared" si="31"/>
        <v>556.18642199999999</v>
      </c>
      <c r="AL36" s="31">
        <f>84.84+34.13+1352.7+3.84+1269+34.04+480+960+353+516+262.05+639+62.38+26.66+2510+13.19+1333.08+360+63.99+546.9+875+700+525+57.59+102.39+450+63.99+1691.1+180+50.27+1210+1420+978.71+3139+23.27+535+76.79</f>
        <v>22982.91</v>
      </c>
      <c r="AM36" s="31">
        <f t="shared" si="6"/>
        <v>0.10317968</v>
      </c>
      <c r="AN36" s="31">
        <f>'[1]STA MARIA'!$I36</f>
        <v>20833.333333333332</v>
      </c>
      <c r="AO36" s="31">
        <f t="shared" si="32"/>
        <v>20329.166666666664</v>
      </c>
      <c r="AP36" s="31">
        <f t="shared" si="33"/>
        <v>504.16666666666663</v>
      </c>
      <c r="AQ36" s="31">
        <f t="shared" si="34"/>
        <v>21346.405639999994</v>
      </c>
      <c r="AR36" s="31">
        <f t="shared" si="35"/>
        <v>529.39435999999978</v>
      </c>
      <c r="AS36" s="33">
        <v>21875.799999999992</v>
      </c>
      <c r="AT36" s="37">
        <f t="shared" si="7"/>
        <v>5.0038399999999594E-2</v>
      </c>
      <c r="AU36" s="36">
        <f>'[1]STA MARIA'!$J36</f>
        <v>20833.333333333332</v>
      </c>
      <c r="AV36" s="31">
        <f t="shared" si="36"/>
        <v>20329.166666666664</v>
      </c>
      <c r="AW36" s="18">
        <f t="shared" si="37"/>
        <v>504.16666666666663</v>
      </c>
      <c r="AX36" s="31">
        <f t="shared" si="38"/>
        <v>25119.580289999994</v>
      </c>
      <c r="AY36" s="31">
        <f t="shared" si="39"/>
        <v>622.96970999999985</v>
      </c>
      <c r="AZ36" s="33">
        <v>25742.549999999996</v>
      </c>
      <c r="BA36" s="37">
        <f t="shared" si="8"/>
        <v>0.23564239999999992</v>
      </c>
      <c r="BB36" s="36">
        <f>'[1]STA MARIA'!$K36</f>
        <v>20833.333333333332</v>
      </c>
      <c r="BC36" s="31">
        <f t="shared" si="40"/>
        <v>20329.166666666664</v>
      </c>
      <c r="BD36" s="18">
        <f t="shared" si="41"/>
        <v>504.16666666666663</v>
      </c>
      <c r="BE36" s="31">
        <f t="shared" si="42"/>
        <v>0</v>
      </c>
      <c r="BF36" s="31">
        <f t="shared" si="43"/>
        <v>0</v>
      </c>
      <c r="BG36" s="33"/>
      <c r="BH36" s="37">
        <f t="shared" si="9"/>
        <v>-1</v>
      </c>
      <c r="BI36" s="36">
        <f>'[1]STA MARIA'!$L36</f>
        <v>20833.333333333332</v>
      </c>
      <c r="BJ36" s="31">
        <f t="shared" si="44"/>
        <v>20329.166666666664</v>
      </c>
      <c r="BK36" s="18">
        <f t="shared" si="45"/>
        <v>504.16666666666663</v>
      </c>
      <c r="BL36" s="31">
        <f t="shared" si="46"/>
        <v>0</v>
      </c>
      <c r="BM36" s="31">
        <f t="shared" si="47"/>
        <v>0</v>
      </c>
      <c r="BN36" s="33"/>
      <c r="BO36" s="37">
        <f t="shared" si="10"/>
        <v>-1</v>
      </c>
      <c r="BP36" s="36">
        <f>'[1]STA MARIA'!$M36</f>
        <v>20833.333333333332</v>
      </c>
      <c r="BQ36" s="31">
        <f t="shared" si="48"/>
        <v>20329.166666666664</v>
      </c>
      <c r="BR36" s="18">
        <f t="shared" si="49"/>
        <v>504.16666666666663</v>
      </c>
      <c r="BS36" s="31">
        <f t="shared" si="50"/>
        <v>0</v>
      </c>
      <c r="BT36" s="31">
        <f t="shared" si="51"/>
        <v>0</v>
      </c>
      <c r="BU36" s="33"/>
      <c r="BV36" s="37">
        <f t="shared" si="11"/>
        <v>-1</v>
      </c>
      <c r="BW36" s="36">
        <f>'[1]STA MARIA'!$N36</f>
        <v>20833.333333333332</v>
      </c>
      <c r="BX36" s="31">
        <f t="shared" si="52"/>
        <v>20329.166666666664</v>
      </c>
      <c r="BY36" s="18">
        <f t="shared" si="53"/>
        <v>504.16666666666663</v>
      </c>
      <c r="BZ36" s="31">
        <f t="shared" si="54"/>
        <v>0</v>
      </c>
      <c r="CA36" s="31">
        <f t="shared" si="55"/>
        <v>0</v>
      </c>
      <c r="CB36" s="33"/>
      <c r="CC36" s="37">
        <f t="shared" si="12"/>
        <v>-1</v>
      </c>
      <c r="CD36" s="36">
        <f>'[1]STA MARIA'!$O36</f>
        <v>20833.333333333332</v>
      </c>
      <c r="CE36" s="31">
        <f t="shared" si="56"/>
        <v>20329.166666666664</v>
      </c>
      <c r="CF36" s="18">
        <f t="shared" si="57"/>
        <v>504.16666666666663</v>
      </c>
      <c r="CG36" s="31">
        <f t="shared" si="58"/>
        <v>0</v>
      </c>
      <c r="CH36" s="31">
        <f t="shared" si="59"/>
        <v>0</v>
      </c>
      <c r="CI36" s="33"/>
      <c r="CJ36" s="37">
        <f t="shared" si="13"/>
        <v>-1</v>
      </c>
      <c r="CK36" s="36">
        <f>'[1]STA MARIA'!$P36</f>
        <v>20833.333333333332</v>
      </c>
      <c r="CL36" s="31">
        <f t="shared" si="60"/>
        <v>20329.166666666664</v>
      </c>
      <c r="CM36" s="18">
        <f t="shared" si="61"/>
        <v>504.16666666666663</v>
      </c>
      <c r="CN36" s="31">
        <f t="shared" si="62"/>
        <v>0</v>
      </c>
      <c r="CO36" s="31">
        <f t="shared" si="63"/>
        <v>0</v>
      </c>
      <c r="CP36" s="33"/>
      <c r="CQ36" s="37">
        <f t="shared" si="14"/>
        <v>-1</v>
      </c>
    </row>
    <row r="37" spans="1:95" s="26" customFormat="1" ht="16" customHeight="1" thickBot="1" x14ac:dyDescent="0.25">
      <c r="A37" s="38" t="s">
        <v>61</v>
      </c>
      <c r="B37" s="30">
        <f t="shared" si="64"/>
        <v>350000.00000000006</v>
      </c>
      <c r="C37" s="31">
        <f t="shared" si="64"/>
        <v>341530</v>
      </c>
      <c r="D37" s="32">
        <f t="shared" si="64"/>
        <v>8469.9999999999982</v>
      </c>
      <c r="E37" s="30">
        <f t="shared" ref="E37:G54" si="66">+L37+S37+Z37+AG37</f>
        <v>116666.66666666667</v>
      </c>
      <c r="F37" s="33">
        <f t="shared" si="66"/>
        <v>113843.33333333334</v>
      </c>
      <c r="G37" s="34">
        <f t="shared" si="66"/>
        <v>2823.3333333333335</v>
      </c>
      <c r="H37" s="31">
        <f t="shared" si="65"/>
        <v>157093.78829200004</v>
      </c>
      <c r="I37" s="33">
        <f t="shared" si="65"/>
        <v>3895.951708000001</v>
      </c>
      <c r="J37" s="33">
        <f t="shared" si="65"/>
        <v>160989.74000000002</v>
      </c>
      <c r="K37" s="37">
        <f t="shared" si="2"/>
        <v>0.37991205714285736</v>
      </c>
      <c r="L37" s="36">
        <f>'[1]STA MARIA'!$E37</f>
        <v>29166.666666666668</v>
      </c>
      <c r="M37" s="31">
        <f t="shared" si="16"/>
        <v>28460.833333333336</v>
      </c>
      <c r="N37" s="31">
        <f t="shared" si="17"/>
        <v>705.83333333333337</v>
      </c>
      <c r="O37" s="31">
        <f t="shared" si="18"/>
        <v>45886.370487999993</v>
      </c>
      <c r="P37" s="31">
        <f t="shared" si="19"/>
        <v>1137.9895119999999</v>
      </c>
      <c r="Q37" s="31">
        <f>(88003.67+220+910+475)-Q36</f>
        <v>47024.359999999993</v>
      </c>
      <c r="R37" s="31">
        <f t="shared" si="3"/>
        <v>0.61226377142857102</v>
      </c>
      <c r="S37" s="31">
        <f>'[1]STA MARIA'!$F37</f>
        <v>29166.666666666668</v>
      </c>
      <c r="T37" s="31">
        <f t="shared" si="20"/>
        <v>28460.833333333336</v>
      </c>
      <c r="U37" s="31">
        <f t="shared" si="21"/>
        <v>705.83333333333337</v>
      </c>
      <c r="V37" s="31">
        <f t="shared" si="22"/>
        <v>23614.652739999994</v>
      </c>
      <c r="W37" s="31">
        <f t="shared" si="23"/>
        <v>585.64725999999985</v>
      </c>
      <c r="X37" s="31">
        <f>64604.37-X36</f>
        <v>24200.299999999996</v>
      </c>
      <c r="Y37" s="31">
        <f t="shared" si="4"/>
        <v>-0.17027542857142874</v>
      </c>
      <c r="Z37" s="31">
        <f>'[1]STA MARIA'!$G37</f>
        <v>29166.666666666668</v>
      </c>
      <c r="AA37" s="31">
        <f t="shared" si="24"/>
        <v>28460.833333333336</v>
      </c>
      <c r="AB37" s="31">
        <f t="shared" si="25"/>
        <v>705.83333333333337</v>
      </c>
      <c r="AC37" s="31">
        <f t="shared" si="26"/>
        <v>33207.049722000011</v>
      </c>
      <c r="AD37" s="31">
        <f t="shared" si="27"/>
        <v>823.54027800000028</v>
      </c>
      <c r="AE37" s="31">
        <f>68376.44-AE36</f>
        <v>34030.590000000011</v>
      </c>
      <c r="AF37" s="31">
        <f t="shared" si="5"/>
        <v>0.16676308571428611</v>
      </c>
      <c r="AG37" s="31">
        <f>'[1]STA MARIA'!$H37</f>
        <v>29166.666666666668</v>
      </c>
      <c r="AH37" s="31">
        <f t="shared" si="28"/>
        <v>28460.833333333336</v>
      </c>
      <c r="AI37" s="31">
        <f t="shared" si="29"/>
        <v>705.83333333333337</v>
      </c>
      <c r="AJ37" s="31">
        <f t="shared" si="30"/>
        <v>19352.446162000004</v>
      </c>
      <c r="AK37" s="31">
        <f t="shared" si="31"/>
        <v>479.94383800000008</v>
      </c>
      <c r="AL37" s="31">
        <f>42815.3-AL36</f>
        <v>19832.390000000003</v>
      </c>
      <c r="AM37" s="31">
        <f t="shared" si="6"/>
        <v>-0.32003234285714277</v>
      </c>
      <c r="AN37" s="31">
        <f>'[1]STA MARIA'!$I37</f>
        <v>29166.666666666668</v>
      </c>
      <c r="AO37" s="31">
        <f t="shared" si="32"/>
        <v>28460.833333333336</v>
      </c>
      <c r="AP37" s="31">
        <f t="shared" si="33"/>
        <v>705.83333333333337</v>
      </c>
      <c r="AQ37" s="31">
        <f t="shared" si="34"/>
        <v>17128.31498000001</v>
      </c>
      <c r="AR37" s="31">
        <f t="shared" si="35"/>
        <v>424.7850200000002</v>
      </c>
      <c r="AS37" s="33">
        <v>17553.100000000009</v>
      </c>
      <c r="AT37" s="37">
        <f t="shared" si="7"/>
        <v>-0.3981794285714283</v>
      </c>
      <c r="AU37" s="36">
        <f>'[1]STA MARIA'!$J37</f>
        <v>29166.666666666668</v>
      </c>
      <c r="AV37" s="31">
        <f t="shared" si="36"/>
        <v>28460.833333333336</v>
      </c>
      <c r="AW37" s="18">
        <f t="shared" si="37"/>
        <v>705.83333333333337</v>
      </c>
      <c r="AX37" s="31">
        <f t="shared" si="38"/>
        <v>17904.954200000007</v>
      </c>
      <c r="AY37" s="31">
        <f t="shared" si="39"/>
        <v>444.04580000000016</v>
      </c>
      <c r="AZ37" s="33">
        <v>18349.000000000007</v>
      </c>
      <c r="BA37" s="37">
        <f t="shared" si="8"/>
        <v>-0.37089142857142832</v>
      </c>
      <c r="BB37" s="36">
        <f>'[1]STA MARIA'!$K37</f>
        <v>29166.666666666668</v>
      </c>
      <c r="BC37" s="31">
        <f t="shared" si="40"/>
        <v>28460.833333333336</v>
      </c>
      <c r="BD37" s="18">
        <f t="shared" si="41"/>
        <v>705.83333333333337</v>
      </c>
      <c r="BE37" s="31">
        <f t="shared" si="42"/>
        <v>0</v>
      </c>
      <c r="BF37" s="31">
        <f t="shared" si="43"/>
        <v>0</v>
      </c>
      <c r="BG37" s="33"/>
      <c r="BH37" s="37">
        <f t="shared" si="9"/>
        <v>-1</v>
      </c>
      <c r="BI37" s="36">
        <f>'[1]STA MARIA'!$L37</f>
        <v>29166.666666666668</v>
      </c>
      <c r="BJ37" s="31">
        <f t="shared" si="44"/>
        <v>28460.833333333336</v>
      </c>
      <c r="BK37" s="18">
        <f t="shared" si="45"/>
        <v>705.83333333333337</v>
      </c>
      <c r="BL37" s="31">
        <f t="shared" si="46"/>
        <v>0</v>
      </c>
      <c r="BM37" s="31">
        <f t="shared" si="47"/>
        <v>0</v>
      </c>
      <c r="BN37" s="33"/>
      <c r="BO37" s="37">
        <f t="shared" si="10"/>
        <v>-1</v>
      </c>
      <c r="BP37" s="36">
        <f>'[1]STA MARIA'!$M37</f>
        <v>29166.666666666668</v>
      </c>
      <c r="BQ37" s="31">
        <f t="shared" si="48"/>
        <v>28460.833333333336</v>
      </c>
      <c r="BR37" s="18">
        <f t="shared" si="49"/>
        <v>705.83333333333337</v>
      </c>
      <c r="BS37" s="31">
        <f t="shared" si="50"/>
        <v>0</v>
      </c>
      <c r="BT37" s="31">
        <f t="shared" si="51"/>
        <v>0</v>
      </c>
      <c r="BU37" s="33"/>
      <c r="BV37" s="37">
        <f t="shared" si="11"/>
        <v>-1</v>
      </c>
      <c r="BW37" s="36">
        <f>'[1]STA MARIA'!$N37</f>
        <v>29166.666666666668</v>
      </c>
      <c r="BX37" s="31">
        <f t="shared" si="52"/>
        <v>28460.833333333336</v>
      </c>
      <c r="BY37" s="18">
        <f t="shared" si="53"/>
        <v>705.83333333333337</v>
      </c>
      <c r="BZ37" s="31">
        <f t="shared" si="54"/>
        <v>0</v>
      </c>
      <c r="CA37" s="31">
        <f t="shared" si="55"/>
        <v>0</v>
      </c>
      <c r="CB37" s="33"/>
      <c r="CC37" s="37">
        <f t="shared" si="12"/>
        <v>-1</v>
      </c>
      <c r="CD37" s="36">
        <f>'[1]STA MARIA'!$O37</f>
        <v>29166.666666666668</v>
      </c>
      <c r="CE37" s="31">
        <f t="shared" si="56"/>
        <v>28460.833333333336</v>
      </c>
      <c r="CF37" s="18">
        <f t="shared" si="57"/>
        <v>705.83333333333337</v>
      </c>
      <c r="CG37" s="31">
        <f t="shared" si="58"/>
        <v>0</v>
      </c>
      <c r="CH37" s="31">
        <f t="shared" si="59"/>
        <v>0</v>
      </c>
      <c r="CI37" s="33"/>
      <c r="CJ37" s="37">
        <f t="shared" si="13"/>
        <v>-1</v>
      </c>
      <c r="CK37" s="36">
        <f>'[1]STA MARIA'!$P37</f>
        <v>29166.666666666668</v>
      </c>
      <c r="CL37" s="31">
        <f t="shared" si="60"/>
        <v>28460.833333333336</v>
      </c>
      <c r="CM37" s="18">
        <f t="shared" si="61"/>
        <v>705.83333333333337</v>
      </c>
      <c r="CN37" s="31">
        <f t="shared" si="62"/>
        <v>0</v>
      </c>
      <c r="CO37" s="31">
        <f t="shared" si="63"/>
        <v>0</v>
      </c>
      <c r="CP37" s="33"/>
      <c r="CQ37" s="37">
        <f t="shared" si="14"/>
        <v>-1</v>
      </c>
    </row>
    <row r="38" spans="1:95" s="26" customFormat="1" ht="16" customHeight="1" thickBot="1" x14ac:dyDescent="0.25">
      <c r="A38" s="38" t="s">
        <v>62</v>
      </c>
      <c r="B38" s="30">
        <f t="shared" si="64"/>
        <v>45000</v>
      </c>
      <c r="C38" s="31">
        <f t="shared" si="64"/>
        <v>43911</v>
      </c>
      <c r="D38" s="32">
        <f t="shared" si="64"/>
        <v>1089</v>
      </c>
      <c r="E38" s="30">
        <f t="shared" si="66"/>
        <v>15000</v>
      </c>
      <c r="F38" s="33">
        <f t="shared" si="66"/>
        <v>14637</v>
      </c>
      <c r="G38" s="34">
        <f t="shared" si="66"/>
        <v>363</v>
      </c>
      <c r="H38" s="31">
        <f t="shared" si="65"/>
        <v>42582.926441999996</v>
      </c>
      <c r="I38" s="33">
        <f t="shared" si="65"/>
        <v>1056.0635580000001</v>
      </c>
      <c r="J38" s="33">
        <f t="shared" si="65"/>
        <v>43638.99</v>
      </c>
      <c r="K38" s="37">
        <f t="shared" si="2"/>
        <v>1.9092659999999997</v>
      </c>
      <c r="L38" s="36">
        <f>'[1]STA MARIA'!$E38</f>
        <v>3750</v>
      </c>
      <c r="M38" s="31">
        <f t="shared" si="16"/>
        <v>3659.25</v>
      </c>
      <c r="N38" s="31">
        <f t="shared" si="17"/>
        <v>90.75</v>
      </c>
      <c r="O38" s="31">
        <f t="shared" si="18"/>
        <v>3911.5528479999998</v>
      </c>
      <c r="P38" s="31">
        <f t="shared" si="19"/>
        <v>97.007151999999991</v>
      </c>
      <c r="Q38" s="31">
        <f>4008.56</f>
        <v>4008.56</v>
      </c>
      <c r="R38" s="31">
        <f t="shared" si="3"/>
        <v>6.8949333333333307E-2</v>
      </c>
      <c r="S38" s="31">
        <f>'[1]STA MARIA'!$F38</f>
        <v>3750</v>
      </c>
      <c r="T38" s="31">
        <f t="shared" si="20"/>
        <v>3659.25</v>
      </c>
      <c r="U38" s="31">
        <f t="shared" si="21"/>
        <v>90.75</v>
      </c>
      <c r="V38" s="31">
        <f t="shared" si="22"/>
        <v>3223.5162679999999</v>
      </c>
      <c r="W38" s="31">
        <f t="shared" si="23"/>
        <v>79.943731999999997</v>
      </c>
      <c r="X38" s="31">
        <f>3303.46</f>
        <v>3303.46</v>
      </c>
      <c r="Y38" s="31">
        <f t="shared" si="4"/>
        <v>-0.11907733333333337</v>
      </c>
      <c r="Z38" s="31">
        <f>'[1]STA MARIA'!$G38</f>
        <v>3750</v>
      </c>
      <c r="AA38" s="31">
        <f t="shared" si="24"/>
        <v>3659.25</v>
      </c>
      <c r="AB38" s="31">
        <f t="shared" si="25"/>
        <v>90.75</v>
      </c>
      <c r="AC38" s="31">
        <f t="shared" si="26"/>
        <v>7119.7783300000001</v>
      </c>
      <c r="AD38" s="31">
        <f t="shared" si="27"/>
        <v>176.57167000000001</v>
      </c>
      <c r="AE38" s="31">
        <f>7296.35</f>
        <v>7296.35</v>
      </c>
      <c r="AF38" s="31">
        <f t="shared" si="5"/>
        <v>0.9456933333333335</v>
      </c>
      <c r="AG38" s="31">
        <f>'[1]STA MARIA'!$H38</f>
        <v>3750</v>
      </c>
      <c r="AH38" s="31">
        <f t="shared" si="28"/>
        <v>3659.25</v>
      </c>
      <c r="AI38" s="31">
        <f t="shared" si="29"/>
        <v>90.75</v>
      </c>
      <c r="AJ38" s="31">
        <f t="shared" si="30"/>
        <v>8061.7571020000005</v>
      </c>
      <c r="AK38" s="31">
        <f t="shared" si="31"/>
        <v>199.93289799999999</v>
      </c>
      <c r="AL38" s="31">
        <v>8261.69</v>
      </c>
      <c r="AM38" s="31">
        <f t="shared" si="6"/>
        <v>1.2031173333333336</v>
      </c>
      <c r="AN38" s="31">
        <f>'[1]STA MARIA'!$I38</f>
        <v>3750</v>
      </c>
      <c r="AO38" s="31">
        <f t="shared" si="32"/>
        <v>3659.25</v>
      </c>
      <c r="AP38" s="31">
        <f t="shared" si="33"/>
        <v>90.75</v>
      </c>
      <c r="AQ38" s="31">
        <f t="shared" si="34"/>
        <v>14241.069149999999</v>
      </c>
      <c r="AR38" s="31">
        <f t="shared" si="35"/>
        <v>353.18084999999996</v>
      </c>
      <c r="AS38" s="33">
        <v>14594.25</v>
      </c>
      <c r="AT38" s="37">
        <f t="shared" si="7"/>
        <v>2.8917999999999999</v>
      </c>
      <c r="AU38" s="36">
        <f>'[1]STA MARIA'!$J38</f>
        <v>3750</v>
      </c>
      <c r="AV38" s="31">
        <f t="shared" si="36"/>
        <v>3659.25</v>
      </c>
      <c r="AW38" s="18">
        <f t="shared" si="37"/>
        <v>90.75</v>
      </c>
      <c r="AX38" s="31">
        <f t="shared" si="38"/>
        <v>6025.2527440000003</v>
      </c>
      <c r="AY38" s="31">
        <f t="shared" si="39"/>
        <v>149.427256</v>
      </c>
      <c r="AZ38" s="33">
        <v>6174.68</v>
      </c>
      <c r="BA38" s="37">
        <f t="shared" si="8"/>
        <v>0.64658133333333345</v>
      </c>
      <c r="BB38" s="36">
        <f>'[1]STA MARIA'!$K38</f>
        <v>3750</v>
      </c>
      <c r="BC38" s="31">
        <f t="shared" si="40"/>
        <v>3659.25</v>
      </c>
      <c r="BD38" s="18">
        <f t="shared" si="41"/>
        <v>90.75</v>
      </c>
      <c r="BE38" s="31">
        <f t="shared" si="42"/>
        <v>0</v>
      </c>
      <c r="BF38" s="31">
        <f t="shared" si="43"/>
        <v>0</v>
      </c>
      <c r="BG38" s="33"/>
      <c r="BH38" s="37">
        <f t="shared" si="9"/>
        <v>-1</v>
      </c>
      <c r="BI38" s="36">
        <f>'[1]STA MARIA'!$L38</f>
        <v>3750</v>
      </c>
      <c r="BJ38" s="31">
        <f t="shared" si="44"/>
        <v>3659.25</v>
      </c>
      <c r="BK38" s="18">
        <f t="shared" si="45"/>
        <v>90.75</v>
      </c>
      <c r="BL38" s="31">
        <f t="shared" si="46"/>
        <v>0</v>
      </c>
      <c r="BM38" s="31">
        <f t="shared" si="47"/>
        <v>0</v>
      </c>
      <c r="BN38" s="33"/>
      <c r="BO38" s="37">
        <f t="shared" si="10"/>
        <v>-1</v>
      </c>
      <c r="BP38" s="36">
        <f>'[1]STA MARIA'!$M38</f>
        <v>3750</v>
      </c>
      <c r="BQ38" s="31">
        <f t="shared" si="48"/>
        <v>3659.25</v>
      </c>
      <c r="BR38" s="18">
        <f t="shared" si="49"/>
        <v>90.75</v>
      </c>
      <c r="BS38" s="31">
        <f t="shared" si="50"/>
        <v>0</v>
      </c>
      <c r="BT38" s="31">
        <f t="shared" si="51"/>
        <v>0</v>
      </c>
      <c r="BU38" s="33"/>
      <c r="BV38" s="37">
        <f t="shared" si="11"/>
        <v>-1</v>
      </c>
      <c r="BW38" s="36">
        <f>'[1]STA MARIA'!$N38</f>
        <v>3750</v>
      </c>
      <c r="BX38" s="31">
        <f t="shared" si="52"/>
        <v>3659.25</v>
      </c>
      <c r="BY38" s="18">
        <f t="shared" si="53"/>
        <v>90.75</v>
      </c>
      <c r="BZ38" s="31">
        <f t="shared" si="54"/>
        <v>0</v>
      </c>
      <c r="CA38" s="31">
        <f t="shared" si="55"/>
        <v>0</v>
      </c>
      <c r="CB38" s="33"/>
      <c r="CC38" s="37">
        <f t="shared" si="12"/>
        <v>-1</v>
      </c>
      <c r="CD38" s="36">
        <f>'[1]STA MARIA'!$O38</f>
        <v>3750</v>
      </c>
      <c r="CE38" s="31">
        <f t="shared" si="56"/>
        <v>3659.25</v>
      </c>
      <c r="CF38" s="18">
        <f t="shared" si="57"/>
        <v>90.75</v>
      </c>
      <c r="CG38" s="31">
        <f t="shared" si="58"/>
        <v>0</v>
      </c>
      <c r="CH38" s="31">
        <f t="shared" si="59"/>
        <v>0</v>
      </c>
      <c r="CI38" s="33"/>
      <c r="CJ38" s="37">
        <f t="shared" si="13"/>
        <v>-1</v>
      </c>
      <c r="CK38" s="36">
        <f>'[1]STA MARIA'!$P38</f>
        <v>3750</v>
      </c>
      <c r="CL38" s="31">
        <f t="shared" si="60"/>
        <v>3659.25</v>
      </c>
      <c r="CM38" s="18">
        <f t="shared" si="61"/>
        <v>90.75</v>
      </c>
      <c r="CN38" s="31">
        <f t="shared" si="62"/>
        <v>0</v>
      </c>
      <c r="CO38" s="31">
        <f t="shared" si="63"/>
        <v>0</v>
      </c>
      <c r="CP38" s="33"/>
      <c r="CQ38" s="37">
        <f t="shared" si="14"/>
        <v>-1</v>
      </c>
    </row>
    <row r="39" spans="1:95" s="26" customFormat="1" ht="16" customHeight="1" thickBot="1" x14ac:dyDescent="0.25">
      <c r="A39" s="38" t="s">
        <v>63</v>
      </c>
      <c r="B39" s="30">
        <f t="shared" si="64"/>
        <v>120000</v>
      </c>
      <c r="C39" s="31">
        <f t="shared" si="64"/>
        <v>117096</v>
      </c>
      <c r="D39" s="32">
        <f t="shared" si="64"/>
        <v>2904</v>
      </c>
      <c r="E39" s="30">
        <f t="shared" si="66"/>
        <v>40000</v>
      </c>
      <c r="F39" s="33">
        <f t="shared" si="66"/>
        <v>39032</v>
      </c>
      <c r="G39" s="34">
        <f t="shared" si="66"/>
        <v>968</v>
      </c>
      <c r="H39" s="31">
        <f t="shared" si="65"/>
        <v>13975.26123</v>
      </c>
      <c r="I39" s="33">
        <f t="shared" si="65"/>
        <v>346.58876999999995</v>
      </c>
      <c r="J39" s="33">
        <f t="shared" si="65"/>
        <v>14321.85</v>
      </c>
      <c r="K39" s="37">
        <f t="shared" si="2"/>
        <v>-0.64195374999999999</v>
      </c>
      <c r="L39" s="36">
        <f>'[1]STA MARIA'!$E39</f>
        <v>10000</v>
      </c>
      <c r="M39" s="31">
        <f t="shared" si="16"/>
        <v>9758</v>
      </c>
      <c r="N39" s="31">
        <f t="shared" si="17"/>
        <v>242</v>
      </c>
      <c r="O39" s="31">
        <f t="shared" si="18"/>
        <v>5414.5190400000001</v>
      </c>
      <c r="P39" s="31">
        <f t="shared" si="19"/>
        <v>134.28095999999999</v>
      </c>
      <c r="Q39" s="31">
        <f>5548.8</f>
        <v>5548.8</v>
      </c>
      <c r="R39" s="31">
        <f t="shared" si="3"/>
        <v>-0.44511999999999996</v>
      </c>
      <c r="S39" s="31">
        <f>'[1]STA MARIA'!$F39</f>
        <v>10000</v>
      </c>
      <c r="T39" s="31">
        <f t="shared" si="20"/>
        <v>9758</v>
      </c>
      <c r="U39" s="31">
        <f t="shared" si="21"/>
        <v>242</v>
      </c>
      <c r="V39" s="31">
        <f t="shared" si="22"/>
        <v>0</v>
      </c>
      <c r="W39" s="31">
        <f t="shared" si="23"/>
        <v>0</v>
      </c>
      <c r="X39" s="31"/>
      <c r="Y39" s="31">
        <f t="shared" si="4"/>
        <v>-1</v>
      </c>
      <c r="Z39" s="31">
        <f>'[1]STA MARIA'!$G39</f>
        <v>10000</v>
      </c>
      <c r="AA39" s="31">
        <f t="shared" si="24"/>
        <v>9758</v>
      </c>
      <c r="AB39" s="31">
        <f t="shared" si="25"/>
        <v>242</v>
      </c>
      <c r="AC39" s="31">
        <f t="shared" si="26"/>
        <v>44.935589999999998</v>
      </c>
      <c r="AD39" s="31">
        <f t="shared" si="27"/>
        <v>1.1144099999999999</v>
      </c>
      <c r="AE39" s="31">
        <f>46.05</f>
        <v>46.05</v>
      </c>
      <c r="AF39" s="31">
        <f t="shared" si="5"/>
        <v>-0.99539500000000003</v>
      </c>
      <c r="AG39" s="31">
        <f>'[1]STA MARIA'!$H39</f>
        <v>10000</v>
      </c>
      <c r="AH39" s="31">
        <f t="shared" si="28"/>
        <v>9758</v>
      </c>
      <c r="AI39" s="31">
        <f t="shared" si="29"/>
        <v>242</v>
      </c>
      <c r="AJ39" s="31">
        <f t="shared" si="30"/>
        <v>0</v>
      </c>
      <c r="AK39" s="31">
        <f t="shared" si="31"/>
        <v>0</v>
      </c>
      <c r="AL39" s="31"/>
      <c r="AM39" s="31">
        <f t="shared" si="6"/>
        <v>-1</v>
      </c>
      <c r="AN39" s="31">
        <f>'[1]STA MARIA'!$I39</f>
        <v>10000</v>
      </c>
      <c r="AO39" s="31">
        <f t="shared" si="32"/>
        <v>9758</v>
      </c>
      <c r="AP39" s="31">
        <f t="shared" si="33"/>
        <v>242</v>
      </c>
      <c r="AQ39" s="31">
        <f t="shared" si="34"/>
        <v>572.79459999999995</v>
      </c>
      <c r="AR39" s="31">
        <f t="shared" si="35"/>
        <v>14.205399999999999</v>
      </c>
      <c r="AS39" s="33">
        <v>587</v>
      </c>
      <c r="AT39" s="37">
        <f t="shared" si="7"/>
        <v>-0.94130000000000003</v>
      </c>
      <c r="AU39" s="36">
        <f>'[1]STA MARIA'!$J39</f>
        <v>10000</v>
      </c>
      <c r="AV39" s="31">
        <f t="shared" si="36"/>
        <v>9758</v>
      </c>
      <c r="AW39" s="18">
        <f t="shared" si="37"/>
        <v>242</v>
      </c>
      <c r="AX39" s="31">
        <f t="shared" si="38"/>
        <v>7943.0119999999997</v>
      </c>
      <c r="AY39" s="31">
        <f t="shared" si="39"/>
        <v>196.988</v>
      </c>
      <c r="AZ39" s="33">
        <v>8140</v>
      </c>
      <c r="BA39" s="37">
        <f t="shared" si="8"/>
        <v>-0.18600000000000005</v>
      </c>
      <c r="BB39" s="36">
        <f>'[1]STA MARIA'!$K39</f>
        <v>10000</v>
      </c>
      <c r="BC39" s="31">
        <f t="shared" si="40"/>
        <v>9758</v>
      </c>
      <c r="BD39" s="18">
        <f t="shared" si="41"/>
        <v>242</v>
      </c>
      <c r="BE39" s="31">
        <f t="shared" si="42"/>
        <v>0</v>
      </c>
      <c r="BF39" s="31">
        <f t="shared" si="43"/>
        <v>0</v>
      </c>
      <c r="BG39" s="33"/>
      <c r="BH39" s="37">
        <f t="shared" si="9"/>
        <v>-1</v>
      </c>
      <c r="BI39" s="36">
        <f>'[1]STA MARIA'!$L39</f>
        <v>10000</v>
      </c>
      <c r="BJ39" s="31">
        <f t="shared" si="44"/>
        <v>9758</v>
      </c>
      <c r="BK39" s="18">
        <f t="shared" si="45"/>
        <v>242</v>
      </c>
      <c r="BL39" s="31">
        <f t="shared" si="46"/>
        <v>0</v>
      </c>
      <c r="BM39" s="31">
        <f t="shared" si="47"/>
        <v>0</v>
      </c>
      <c r="BN39" s="33"/>
      <c r="BO39" s="37">
        <f t="shared" si="10"/>
        <v>-1</v>
      </c>
      <c r="BP39" s="36">
        <f>'[1]STA MARIA'!$M39</f>
        <v>10000</v>
      </c>
      <c r="BQ39" s="31">
        <f t="shared" si="48"/>
        <v>9758</v>
      </c>
      <c r="BR39" s="18">
        <f t="shared" si="49"/>
        <v>242</v>
      </c>
      <c r="BS39" s="31">
        <f t="shared" si="50"/>
        <v>0</v>
      </c>
      <c r="BT39" s="31">
        <f t="shared" si="51"/>
        <v>0</v>
      </c>
      <c r="BU39" s="33"/>
      <c r="BV39" s="37">
        <f t="shared" si="11"/>
        <v>-1</v>
      </c>
      <c r="BW39" s="36">
        <f>'[1]STA MARIA'!$N39</f>
        <v>10000</v>
      </c>
      <c r="BX39" s="31">
        <f t="shared" si="52"/>
        <v>9758</v>
      </c>
      <c r="BY39" s="18">
        <f t="shared" si="53"/>
        <v>242</v>
      </c>
      <c r="BZ39" s="31">
        <f t="shared" si="54"/>
        <v>0</v>
      </c>
      <c r="CA39" s="31">
        <f t="shared" si="55"/>
        <v>0</v>
      </c>
      <c r="CB39" s="33"/>
      <c r="CC39" s="37">
        <f t="shared" si="12"/>
        <v>-1</v>
      </c>
      <c r="CD39" s="36">
        <f>'[1]STA MARIA'!$O39</f>
        <v>10000</v>
      </c>
      <c r="CE39" s="31">
        <f t="shared" si="56"/>
        <v>9758</v>
      </c>
      <c r="CF39" s="18">
        <f t="shared" si="57"/>
        <v>242</v>
      </c>
      <c r="CG39" s="31">
        <f t="shared" si="58"/>
        <v>0</v>
      </c>
      <c r="CH39" s="31">
        <f t="shared" si="59"/>
        <v>0</v>
      </c>
      <c r="CI39" s="33"/>
      <c r="CJ39" s="37">
        <f t="shared" si="13"/>
        <v>-1</v>
      </c>
      <c r="CK39" s="36">
        <f>'[1]STA MARIA'!$P39</f>
        <v>10000</v>
      </c>
      <c r="CL39" s="31">
        <f t="shared" si="60"/>
        <v>9758</v>
      </c>
      <c r="CM39" s="18">
        <f t="shared" si="61"/>
        <v>242</v>
      </c>
      <c r="CN39" s="31">
        <f t="shared" si="62"/>
        <v>0</v>
      </c>
      <c r="CO39" s="31">
        <f t="shared" si="63"/>
        <v>0</v>
      </c>
      <c r="CP39" s="33"/>
      <c r="CQ39" s="37">
        <f t="shared" si="14"/>
        <v>-1</v>
      </c>
    </row>
    <row r="40" spans="1:95" s="26" customFormat="1" ht="16" customHeight="1" thickBot="1" x14ac:dyDescent="0.25">
      <c r="A40" s="38" t="s">
        <v>64</v>
      </c>
      <c r="B40" s="30">
        <f t="shared" si="64"/>
        <v>40000</v>
      </c>
      <c r="C40" s="31">
        <f t="shared" si="64"/>
        <v>39032.000000000007</v>
      </c>
      <c r="D40" s="32">
        <f t="shared" si="64"/>
        <v>967.99999999999989</v>
      </c>
      <c r="E40" s="30">
        <f t="shared" si="66"/>
        <v>13333.333333333334</v>
      </c>
      <c r="F40" s="33">
        <f t="shared" si="66"/>
        <v>13010.666666666668</v>
      </c>
      <c r="G40" s="34">
        <f t="shared" si="66"/>
        <v>322.66666666666669</v>
      </c>
      <c r="H40" s="31">
        <f t="shared" si="65"/>
        <v>4525.1066140000003</v>
      </c>
      <c r="I40" s="33">
        <f t="shared" si="65"/>
        <v>112.22338599999999</v>
      </c>
      <c r="J40" s="33">
        <f t="shared" si="65"/>
        <v>4637.33</v>
      </c>
      <c r="K40" s="37">
        <f t="shared" si="2"/>
        <v>-0.65220025000000004</v>
      </c>
      <c r="L40" s="36">
        <f>'[1]STA MARIA'!$E40</f>
        <v>3333.3333333333335</v>
      </c>
      <c r="M40" s="31">
        <f t="shared" si="16"/>
        <v>3252.666666666667</v>
      </c>
      <c r="N40" s="31">
        <f t="shared" si="17"/>
        <v>80.666666666666671</v>
      </c>
      <c r="O40" s="31">
        <f t="shared" si="18"/>
        <v>4525.1066140000003</v>
      </c>
      <c r="P40" s="31">
        <f t="shared" si="19"/>
        <v>112.22338599999999</v>
      </c>
      <c r="Q40" s="31">
        <f>4637.33</f>
        <v>4637.33</v>
      </c>
      <c r="R40" s="31">
        <f t="shared" si="3"/>
        <v>0.39119899999999985</v>
      </c>
      <c r="S40" s="31">
        <f>'[1]STA MARIA'!$F40</f>
        <v>3333.3333333333335</v>
      </c>
      <c r="T40" s="31">
        <f t="shared" si="20"/>
        <v>3252.666666666667</v>
      </c>
      <c r="U40" s="31">
        <f t="shared" si="21"/>
        <v>80.666666666666671</v>
      </c>
      <c r="V40" s="31">
        <f t="shared" si="22"/>
        <v>0</v>
      </c>
      <c r="W40" s="31">
        <f t="shared" si="23"/>
        <v>0</v>
      </c>
      <c r="X40" s="31"/>
      <c r="Y40" s="31">
        <f t="shared" si="4"/>
        <v>-1</v>
      </c>
      <c r="Z40" s="31">
        <f>'[1]STA MARIA'!$G40</f>
        <v>3333.3333333333335</v>
      </c>
      <c r="AA40" s="31">
        <f t="shared" si="24"/>
        <v>3252.666666666667</v>
      </c>
      <c r="AB40" s="31">
        <f t="shared" si="25"/>
        <v>80.666666666666671</v>
      </c>
      <c r="AC40" s="31">
        <f t="shared" si="26"/>
        <v>0</v>
      </c>
      <c r="AD40" s="31">
        <f t="shared" si="27"/>
        <v>0</v>
      </c>
      <c r="AE40" s="31"/>
      <c r="AF40" s="31">
        <f t="shared" si="5"/>
        <v>-1</v>
      </c>
      <c r="AG40" s="31">
        <f>'[1]STA MARIA'!$H40</f>
        <v>3333.3333333333335</v>
      </c>
      <c r="AH40" s="31">
        <f t="shared" si="28"/>
        <v>3252.666666666667</v>
      </c>
      <c r="AI40" s="31">
        <f t="shared" si="29"/>
        <v>80.666666666666671</v>
      </c>
      <c r="AJ40" s="31">
        <f t="shared" si="30"/>
        <v>0</v>
      </c>
      <c r="AK40" s="31">
        <f t="shared" si="31"/>
        <v>0</v>
      </c>
      <c r="AL40" s="31"/>
      <c r="AM40" s="31">
        <f t="shared" si="6"/>
        <v>-1</v>
      </c>
      <c r="AN40" s="31">
        <f>'[1]STA MARIA'!$I40</f>
        <v>3333.3333333333335</v>
      </c>
      <c r="AO40" s="31">
        <f t="shared" si="32"/>
        <v>3252.666666666667</v>
      </c>
      <c r="AP40" s="31">
        <f t="shared" si="33"/>
        <v>80.666666666666671</v>
      </c>
      <c r="AQ40" s="31">
        <f t="shared" si="34"/>
        <v>0</v>
      </c>
      <c r="AR40" s="31">
        <f t="shared" si="35"/>
        <v>0</v>
      </c>
      <c r="AS40" s="33"/>
      <c r="AT40" s="37">
        <f t="shared" si="7"/>
        <v>-1</v>
      </c>
      <c r="AU40" s="36">
        <f>'[1]STA MARIA'!$J40</f>
        <v>3333.3333333333335</v>
      </c>
      <c r="AV40" s="31">
        <f t="shared" si="36"/>
        <v>3252.666666666667</v>
      </c>
      <c r="AW40" s="18">
        <f t="shared" si="37"/>
        <v>80.666666666666671</v>
      </c>
      <c r="AX40" s="31">
        <f t="shared" si="38"/>
        <v>0</v>
      </c>
      <c r="AY40" s="31">
        <f t="shared" si="39"/>
        <v>0</v>
      </c>
      <c r="AZ40" s="33"/>
      <c r="BA40" s="37">
        <f t="shared" si="8"/>
        <v>-1</v>
      </c>
      <c r="BB40" s="36">
        <f>'[1]STA MARIA'!$K40</f>
        <v>3333.3333333333335</v>
      </c>
      <c r="BC40" s="31">
        <f t="shared" si="40"/>
        <v>3252.666666666667</v>
      </c>
      <c r="BD40" s="18">
        <f t="shared" si="41"/>
        <v>80.666666666666671</v>
      </c>
      <c r="BE40" s="31">
        <f t="shared" si="42"/>
        <v>0</v>
      </c>
      <c r="BF40" s="31">
        <f t="shared" si="43"/>
        <v>0</v>
      </c>
      <c r="BG40" s="33"/>
      <c r="BH40" s="37">
        <f t="shared" si="9"/>
        <v>-1</v>
      </c>
      <c r="BI40" s="36">
        <f>'[1]STA MARIA'!$L40</f>
        <v>3333.3333333333335</v>
      </c>
      <c r="BJ40" s="31">
        <f t="shared" si="44"/>
        <v>3252.666666666667</v>
      </c>
      <c r="BK40" s="18">
        <f t="shared" si="45"/>
        <v>80.666666666666671</v>
      </c>
      <c r="BL40" s="31">
        <f t="shared" si="46"/>
        <v>0</v>
      </c>
      <c r="BM40" s="31">
        <f t="shared" si="47"/>
        <v>0</v>
      </c>
      <c r="BN40" s="33"/>
      <c r="BO40" s="37">
        <f t="shared" si="10"/>
        <v>-1</v>
      </c>
      <c r="BP40" s="36">
        <f>'[1]STA MARIA'!$M40</f>
        <v>3333.3333333333335</v>
      </c>
      <c r="BQ40" s="31">
        <f t="shared" si="48"/>
        <v>3252.666666666667</v>
      </c>
      <c r="BR40" s="18">
        <f t="shared" si="49"/>
        <v>80.666666666666671</v>
      </c>
      <c r="BS40" s="31">
        <f t="shared" si="50"/>
        <v>0</v>
      </c>
      <c r="BT40" s="31">
        <f t="shared" si="51"/>
        <v>0</v>
      </c>
      <c r="BU40" s="33"/>
      <c r="BV40" s="37">
        <f t="shared" si="11"/>
        <v>-1</v>
      </c>
      <c r="BW40" s="36">
        <f>'[1]STA MARIA'!$N40</f>
        <v>3333.3333333333335</v>
      </c>
      <c r="BX40" s="31">
        <f t="shared" si="52"/>
        <v>3252.666666666667</v>
      </c>
      <c r="BY40" s="18">
        <f t="shared" si="53"/>
        <v>80.666666666666671</v>
      </c>
      <c r="BZ40" s="31">
        <f t="shared" si="54"/>
        <v>0</v>
      </c>
      <c r="CA40" s="31">
        <f t="shared" si="55"/>
        <v>0</v>
      </c>
      <c r="CB40" s="33"/>
      <c r="CC40" s="37">
        <f t="shared" si="12"/>
        <v>-1</v>
      </c>
      <c r="CD40" s="36">
        <f>'[1]STA MARIA'!$O40</f>
        <v>3333.3333333333335</v>
      </c>
      <c r="CE40" s="31">
        <f t="shared" si="56"/>
        <v>3252.666666666667</v>
      </c>
      <c r="CF40" s="18">
        <f t="shared" si="57"/>
        <v>80.666666666666671</v>
      </c>
      <c r="CG40" s="31">
        <f t="shared" si="58"/>
        <v>0</v>
      </c>
      <c r="CH40" s="31">
        <f t="shared" si="59"/>
        <v>0</v>
      </c>
      <c r="CI40" s="33"/>
      <c r="CJ40" s="37">
        <f t="shared" si="13"/>
        <v>-1</v>
      </c>
      <c r="CK40" s="36">
        <f>'[1]STA MARIA'!$P40</f>
        <v>3333.3333333333335</v>
      </c>
      <c r="CL40" s="31">
        <f t="shared" si="60"/>
        <v>3252.666666666667</v>
      </c>
      <c r="CM40" s="18">
        <f t="shared" si="61"/>
        <v>80.666666666666671</v>
      </c>
      <c r="CN40" s="31">
        <f t="shared" si="62"/>
        <v>0</v>
      </c>
      <c r="CO40" s="31">
        <f t="shared" si="63"/>
        <v>0</v>
      </c>
      <c r="CP40" s="33"/>
      <c r="CQ40" s="37">
        <f t="shared" si="14"/>
        <v>-1</v>
      </c>
    </row>
    <row r="41" spans="1:95" s="26" customFormat="1" ht="16" customHeight="1" thickBot="1" x14ac:dyDescent="0.25">
      <c r="A41" s="29" t="s">
        <v>65</v>
      </c>
      <c r="B41" s="30">
        <f t="shared" si="64"/>
        <v>1380000</v>
      </c>
      <c r="C41" s="31">
        <f t="shared" si="64"/>
        <v>1346604</v>
      </c>
      <c r="D41" s="32">
        <f t="shared" si="64"/>
        <v>33396</v>
      </c>
      <c r="E41" s="30">
        <f t="shared" si="66"/>
        <v>460000</v>
      </c>
      <c r="F41" s="33">
        <f t="shared" si="66"/>
        <v>448868</v>
      </c>
      <c r="G41" s="34">
        <f t="shared" si="66"/>
        <v>11132</v>
      </c>
      <c r="H41" s="31">
        <f t="shared" si="65"/>
        <v>673302</v>
      </c>
      <c r="I41" s="33">
        <f t="shared" si="65"/>
        <v>16698</v>
      </c>
      <c r="J41" s="33">
        <f t="shared" si="65"/>
        <v>690000</v>
      </c>
      <c r="K41" s="37">
        <f t="shared" si="2"/>
        <v>0.5</v>
      </c>
      <c r="L41" s="46">
        <f>'[1]STA MARIA'!$E41</f>
        <v>115000</v>
      </c>
      <c r="M41" s="47">
        <f t="shared" si="16"/>
        <v>112217</v>
      </c>
      <c r="N41" s="47">
        <f t="shared" si="17"/>
        <v>2783</v>
      </c>
      <c r="O41" s="47">
        <f t="shared" si="18"/>
        <v>112217</v>
      </c>
      <c r="P41" s="47">
        <f t="shared" si="19"/>
        <v>2783</v>
      </c>
      <c r="Q41" s="47">
        <v>115000</v>
      </c>
      <c r="R41" s="47">
        <f t="shared" si="3"/>
        <v>0</v>
      </c>
      <c r="S41" s="47">
        <f>'[1]STA MARIA'!$F41</f>
        <v>115000</v>
      </c>
      <c r="T41" s="47">
        <f t="shared" si="20"/>
        <v>112217</v>
      </c>
      <c r="U41" s="47">
        <f t="shared" si="21"/>
        <v>2783</v>
      </c>
      <c r="V41" s="47">
        <f t="shared" si="22"/>
        <v>112217</v>
      </c>
      <c r="W41" s="47">
        <f t="shared" si="23"/>
        <v>2783</v>
      </c>
      <c r="X41" s="47">
        <v>115000</v>
      </c>
      <c r="Y41" s="47">
        <f t="shared" si="4"/>
        <v>0</v>
      </c>
      <c r="Z41" s="47">
        <f>'[1]STA MARIA'!$G41</f>
        <v>115000</v>
      </c>
      <c r="AA41" s="47">
        <f t="shared" si="24"/>
        <v>112217</v>
      </c>
      <c r="AB41" s="47">
        <f t="shared" si="25"/>
        <v>2783</v>
      </c>
      <c r="AC41" s="47">
        <f t="shared" si="26"/>
        <v>112217</v>
      </c>
      <c r="AD41" s="47">
        <f t="shared" si="27"/>
        <v>2783</v>
      </c>
      <c r="AE41" s="47">
        <v>115000</v>
      </c>
      <c r="AF41" s="47">
        <f t="shared" si="5"/>
        <v>0</v>
      </c>
      <c r="AG41" s="47">
        <f>'[1]STA MARIA'!$H41</f>
        <v>115000</v>
      </c>
      <c r="AH41" s="47">
        <f t="shared" si="28"/>
        <v>112217</v>
      </c>
      <c r="AI41" s="47">
        <f t="shared" si="29"/>
        <v>2783</v>
      </c>
      <c r="AJ41" s="47">
        <f t="shared" si="30"/>
        <v>112217</v>
      </c>
      <c r="AK41" s="47">
        <f t="shared" si="31"/>
        <v>2783</v>
      </c>
      <c r="AL41" s="47">
        <v>115000</v>
      </c>
      <c r="AM41" s="47">
        <f t="shared" si="6"/>
        <v>0</v>
      </c>
      <c r="AN41" s="47">
        <f>'[1]STA MARIA'!$I41</f>
        <v>115000</v>
      </c>
      <c r="AO41" s="47">
        <f t="shared" si="32"/>
        <v>112217</v>
      </c>
      <c r="AP41" s="47">
        <f t="shared" si="33"/>
        <v>2783</v>
      </c>
      <c r="AQ41" s="47">
        <f t="shared" si="34"/>
        <v>112217</v>
      </c>
      <c r="AR41" s="47">
        <f t="shared" si="35"/>
        <v>2783</v>
      </c>
      <c r="AS41" s="45">
        <v>115000</v>
      </c>
      <c r="AT41" s="37">
        <f t="shared" si="7"/>
        <v>0</v>
      </c>
      <c r="AU41" s="46">
        <f>'[1]STA MARIA'!$J41</f>
        <v>115000</v>
      </c>
      <c r="AV41" s="47">
        <f t="shared" si="36"/>
        <v>112217</v>
      </c>
      <c r="AW41" s="18">
        <f t="shared" si="37"/>
        <v>2783</v>
      </c>
      <c r="AX41" s="47">
        <f t="shared" si="38"/>
        <v>112217</v>
      </c>
      <c r="AY41" s="47">
        <f t="shared" si="39"/>
        <v>2783</v>
      </c>
      <c r="AZ41" s="45">
        <v>115000</v>
      </c>
      <c r="BA41" s="37">
        <f t="shared" si="8"/>
        <v>0</v>
      </c>
      <c r="BB41" s="46">
        <f>'[1]STA MARIA'!$K41</f>
        <v>115000</v>
      </c>
      <c r="BC41" s="47">
        <f t="shared" si="40"/>
        <v>112217</v>
      </c>
      <c r="BD41" s="18">
        <f t="shared" si="41"/>
        <v>2783</v>
      </c>
      <c r="BE41" s="47">
        <f t="shared" si="42"/>
        <v>0</v>
      </c>
      <c r="BF41" s="47">
        <f t="shared" si="43"/>
        <v>0</v>
      </c>
      <c r="BG41" s="45"/>
      <c r="BH41" s="37">
        <f t="shared" si="9"/>
        <v>-1</v>
      </c>
      <c r="BI41" s="46">
        <f>'[1]STA MARIA'!$L41</f>
        <v>115000</v>
      </c>
      <c r="BJ41" s="47">
        <f t="shared" si="44"/>
        <v>112217</v>
      </c>
      <c r="BK41" s="18">
        <f t="shared" si="45"/>
        <v>2783</v>
      </c>
      <c r="BL41" s="47">
        <f t="shared" si="46"/>
        <v>0</v>
      </c>
      <c r="BM41" s="47">
        <f t="shared" si="47"/>
        <v>0</v>
      </c>
      <c r="BN41" s="45"/>
      <c r="BO41" s="37">
        <f t="shared" si="10"/>
        <v>-1</v>
      </c>
      <c r="BP41" s="46">
        <f>'[1]STA MARIA'!$M41</f>
        <v>115000</v>
      </c>
      <c r="BQ41" s="47">
        <f t="shared" si="48"/>
        <v>112217</v>
      </c>
      <c r="BR41" s="18">
        <f t="shared" si="49"/>
        <v>2783</v>
      </c>
      <c r="BS41" s="47">
        <f t="shared" si="50"/>
        <v>0</v>
      </c>
      <c r="BT41" s="47">
        <f t="shared" si="51"/>
        <v>0</v>
      </c>
      <c r="BU41" s="45"/>
      <c r="BV41" s="37">
        <f t="shared" si="11"/>
        <v>-1</v>
      </c>
      <c r="BW41" s="46">
        <f>'[1]STA MARIA'!$N41</f>
        <v>115000</v>
      </c>
      <c r="BX41" s="47">
        <f t="shared" si="52"/>
        <v>112217</v>
      </c>
      <c r="BY41" s="18">
        <f t="shared" si="53"/>
        <v>2783</v>
      </c>
      <c r="BZ41" s="47">
        <f t="shared" si="54"/>
        <v>0</v>
      </c>
      <c r="CA41" s="47">
        <f t="shared" si="55"/>
        <v>0</v>
      </c>
      <c r="CB41" s="45"/>
      <c r="CC41" s="37">
        <f t="shared" si="12"/>
        <v>-1</v>
      </c>
      <c r="CD41" s="46">
        <f>'[1]STA MARIA'!$O41</f>
        <v>115000</v>
      </c>
      <c r="CE41" s="47">
        <f t="shared" si="56"/>
        <v>112217</v>
      </c>
      <c r="CF41" s="18">
        <f t="shared" si="57"/>
        <v>2783</v>
      </c>
      <c r="CG41" s="47">
        <f t="shared" si="58"/>
        <v>0</v>
      </c>
      <c r="CH41" s="47">
        <f t="shared" si="59"/>
        <v>0</v>
      </c>
      <c r="CI41" s="45"/>
      <c r="CJ41" s="37">
        <f t="shared" si="13"/>
        <v>-1</v>
      </c>
      <c r="CK41" s="46">
        <f>'[1]STA MARIA'!$P41</f>
        <v>115000</v>
      </c>
      <c r="CL41" s="47">
        <f t="shared" si="60"/>
        <v>112217</v>
      </c>
      <c r="CM41" s="18">
        <f t="shared" si="61"/>
        <v>2783</v>
      </c>
      <c r="CN41" s="47">
        <f t="shared" si="62"/>
        <v>0</v>
      </c>
      <c r="CO41" s="47">
        <f t="shared" si="63"/>
        <v>0</v>
      </c>
      <c r="CP41" s="46"/>
      <c r="CQ41" s="37">
        <f t="shared" si="14"/>
        <v>-1</v>
      </c>
    </row>
    <row r="42" spans="1:95" s="26" customFormat="1" ht="16" customHeight="1" thickBot="1" x14ac:dyDescent="0.25">
      <c r="A42" s="29" t="s">
        <v>66</v>
      </c>
      <c r="B42" s="30">
        <f t="shared" si="64"/>
        <v>0</v>
      </c>
      <c r="C42" s="31">
        <f t="shared" si="64"/>
        <v>0</v>
      </c>
      <c r="D42" s="32">
        <f t="shared" si="64"/>
        <v>0</v>
      </c>
      <c r="E42" s="30">
        <f t="shared" si="66"/>
        <v>0</v>
      </c>
      <c r="F42" s="33">
        <f t="shared" si="66"/>
        <v>0</v>
      </c>
      <c r="G42" s="34">
        <f t="shared" si="66"/>
        <v>0</v>
      </c>
      <c r="H42" s="31">
        <f t="shared" si="65"/>
        <v>636391.38919999998</v>
      </c>
      <c r="I42" s="33">
        <f t="shared" si="65"/>
        <v>15782.6108</v>
      </c>
      <c r="J42" s="33">
        <f t="shared" si="65"/>
        <v>652174</v>
      </c>
      <c r="K42" s="37" t="str">
        <f t="shared" si="2"/>
        <v/>
      </c>
      <c r="L42" s="36">
        <f>'[1]STA MARIA'!$E42</f>
        <v>0</v>
      </c>
      <c r="M42" s="31">
        <f t="shared" si="16"/>
        <v>0</v>
      </c>
      <c r="N42" s="31">
        <f t="shared" si="17"/>
        <v>0</v>
      </c>
      <c r="O42" s="31">
        <f t="shared" si="18"/>
        <v>0</v>
      </c>
      <c r="P42" s="31">
        <f t="shared" si="19"/>
        <v>0</v>
      </c>
      <c r="Q42" s="31"/>
      <c r="R42" s="31" t="str">
        <f t="shared" si="3"/>
        <v/>
      </c>
      <c r="S42" s="31">
        <f>'[1]STA MARIA'!$F42</f>
        <v>0</v>
      </c>
      <c r="T42" s="31">
        <f t="shared" si="20"/>
        <v>0</v>
      </c>
      <c r="U42" s="31">
        <f t="shared" si="21"/>
        <v>0</v>
      </c>
      <c r="V42" s="31">
        <f t="shared" si="22"/>
        <v>0</v>
      </c>
      <c r="W42" s="31">
        <f t="shared" si="23"/>
        <v>0</v>
      </c>
      <c r="X42" s="31"/>
      <c r="Y42" s="31" t="str">
        <f t="shared" si="4"/>
        <v/>
      </c>
      <c r="Z42" s="31">
        <f>'[1]STA MARIA'!$G42</f>
        <v>0</v>
      </c>
      <c r="AA42" s="31">
        <f t="shared" si="24"/>
        <v>0</v>
      </c>
      <c r="AB42" s="31">
        <f t="shared" si="25"/>
        <v>0</v>
      </c>
      <c r="AC42" s="31">
        <f t="shared" si="26"/>
        <v>0</v>
      </c>
      <c r="AD42" s="31">
        <f t="shared" si="27"/>
        <v>0</v>
      </c>
      <c r="AE42" s="31"/>
      <c r="AF42" s="31" t="str">
        <f t="shared" si="5"/>
        <v/>
      </c>
      <c r="AG42" s="31">
        <f>'[1]STA MARIA'!$H42</f>
        <v>0</v>
      </c>
      <c r="AH42" s="31">
        <f t="shared" si="28"/>
        <v>0</v>
      </c>
      <c r="AI42" s="31">
        <f t="shared" si="29"/>
        <v>0</v>
      </c>
      <c r="AJ42" s="31">
        <f t="shared" si="30"/>
        <v>0</v>
      </c>
      <c r="AK42" s="31">
        <f t="shared" si="31"/>
        <v>0</v>
      </c>
      <c r="AL42" s="31"/>
      <c r="AM42" s="31" t="str">
        <f t="shared" si="6"/>
        <v/>
      </c>
      <c r="AN42" s="31">
        <f>'[1]STA MARIA'!$I42</f>
        <v>0</v>
      </c>
      <c r="AO42" s="31">
        <f t="shared" si="32"/>
        <v>0</v>
      </c>
      <c r="AP42" s="31">
        <f t="shared" si="33"/>
        <v>0</v>
      </c>
      <c r="AQ42" s="31">
        <f t="shared" si="34"/>
        <v>318195.69459999999</v>
      </c>
      <c r="AR42" s="31">
        <f t="shared" si="35"/>
        <v>7891.3054000000002</v>
      </c>
      <c r="AS42" s="33">
        <v>326087</v>
      </c>
      <c r="AT42" s="37" t="str">
        <f t="shared" si="7"/>
        <v/>
      </c>
      <c r="AU42" s="36">
        <f>'[1]STA MARIA'!$J42</f>
        <v>0</v>
      </c>
      <c r="AV42" s="31">
        <f t="shared" si="36"/>
        <v>0</v>
      </c>
      <c r="AW42" s="18">
        <f t="shared" si="37"/>
        <v>0</v>
      </c>
      <c r="AX42" s="31">
        <f t="shared" si="38"/>
        <v>318195.69459999999</v>
      </c>
      <c r="AY42" s="31">
        <f t="shared" si="39"/>
        <v>7891.3054000000002</v>
      </c>
      <c r="AZ42" s="27">
        <v>326087</v>
      </c>
      <c r="BA42" s="37" t="str">
        <f t="shared" si="8"/>
        <v/>
      </c>
      <c r="BB42" s="36">
        <f>'[1]STA MARIA'!$K42</f>
        <v>0</v>
      </c>
      <c r="BC42" s="31">
        <f t="shared" si="40"/>
        <v>0</v>
      </c>
      <c r="BD42" s="18">
        <f t="shared" si="41"/>
        <v>0</v>
      </c>
      <c r="BE42" s="31">
        <f t="shared" si="42"/>
        <v>0</v>
      </c>
      <c r="BF42" s="31">
        <f t="shared" si="43"/>
        <v>0</v>
      </c>
      <c r="BG42" s="33"/>
      <c r="BH42" s="37" t="str">
        <f t="shared" si="9"/>
        <v/>
      </c>
      <c r="BI42" s="36">
        <f>'[1]STA MARIA'!$L42</f>
        <v>0</v>
      </c>
      <c r="BJ42" s="31">
        <f t="shared" si="44"/>
        <v>0</v>
      </c>
      <c r="BK42" s="18">
        <f t="shared" si="45"/>
        <v>0</v>
      </c>
      <c r="BL42" s="31">
        <f t="shared" si="46"/>
        <v>0</v>
      </c>
      <c r="BM42" s="31">
        <f t="shared" si="47"/>
        <v>0</v>
      </c>
      <c r="BN42" s="33"/>
      <c r="BO42" s="37" t="str">
        <f t="shared" si="10"/>
        <v/>
      </c>
      <c r="BP42" s="36">
        <f>'[1]STA MARIA'!$M42</f>
        <v>0</v>
      </c>
      <c r="BQ42" s="31">
        <f t="shared" si="48"/>
        <v>0</v>
      </c>
      <c r="BR42" s="18">
        <f t="shared" si="49"/>
        <v>0</v>
      </c>
      <c r="BS42" s="31">
        <f t="shared" si="50"/>
        <v>0</v>
      </c>
      <c r="BT42" s="31">
        <f t="shared" si="51"/>
        <v>0</v>
      </c>
      <c r="BU42" s="33"/>
      <c r="BV42" s="37" t="str">
        <f t="shared" si="11"/>
        <v/>
      </c>
      <c r="BW42" s="36">
        <f>'[1]STA MARIA'!$N42</f>
        <v>0</v>
      </c>
      <c r="BX42" s="31">
        <f t="shared" si="52"/>
        <v>0</v>
      </c>
      <c r="BY42" s="18">
        <f t="shared" si="53"/>
        <v>0</v>
      </c>
      <c r="BZ42" s="31">
        <f t="shared" si="54"/>
        <v>0</v>
      </c>
      <c r="CA42" s="31">
        <f t="shared" si="55"/>
        <v>0</v>
      </c>
      <c r="CB42" s="33"/>
      <c r="CC42" s="37" t="str">
        <f t="shared" si="12"/>
        <v/>
      </c>
      <c r="CD42" s="36">
        <f>'[1]STA MARIA'!$O42</f>
        <v>0</v>
      </c>
      <c r="CE42" s="31">
        <f t="shared" si="56"/>
        <v>0</v>
      </c>
      <c r="CF42" s="18">
        <f t="shared" si="57"/>
        <v>0</v>
      </c>
      <c r="CG42" s="31">
        <f t="shared" si="58"/>
        <v>0</v>
      </c>
      <c r="CH42" s="31">
        <f t="shared" si="59"/>
        <v>0</v>
      </c>
      <c r="CI42" s="33"/>
      <c r="CJ42" s="37" t="str">
        <f t="shared" si="13"/>
        <v/>
      </c>
      <c r="CK42" s="36">
        <f>'[1]STA MARIA'!$P42</f>
        <v>0</v>
      </c>
      <c r="CL42" s="31">
        <f t="shared" si="60"/>
        <v>0</v>
      </c>
      <c r="CM42" s="18">
        <f t="shared" si="61"/>
        <v>0</v>
      </c>
      <c r="CN42" s="31">
        <f t="shared" si="62"/>
        <v>0</v>
      </c>
      <c r="CO42" s="31">
        <f t="shared" si="63"/>
        <v>0</v>
      </c>
      <c r="CP42" s="33"/>
      <c r="CQ42" s="37" t="str">
        <f t="shared" si="14"/>
        <v/>
      </c>
    </row>
    <row r="43" spans="1:95" s="26" customFormat="1" ht="16" customHeight="1" thickBot="1" x14ac:dyDescent="0.25">
      <c r="A43" s="38" t="s">
        <v>67</v>
      </c>
      <c r="B43" s="30">
        <f t="shared" si="64"/>
        <v>93186</v>
      </c>
      <c r="C43" s="31">
        <f t="shared" si="64"/>
        <v>90930.898800000024</v>
      </c>
      <c r="D43" s="32">
        <f t="shared" si="64"/>
        <v>2255.1011999999996</v>
      </c>
      <c r="E43" s="30">
        <f t="shared" si="66"/>
        <v>31062</v>
      </c>
      <c r="F43" s="33">
        <f t="shared" si="66"/>
        <v>30310.299599999998</v>
      </c>
      <c r="G43" s="34">
        <f t="shared" si="66"/>
        <v>751.70039999999995</v>
      </c>
      <c r="H43" s="31">
        <f t="shared" si="65"/>
        <v>76084.658005999998</v>
      </c>
      <c r="I43" s="33">
        <f t="shared" si="65"/>
        <v>1886.9119939999996</v>
      </c>
      <c r="J43" s="33">
        <f t="shared" si="65"/>
        <v>77971.570000000007</v>
      </c>
      <c r="K43" s="37">
        <f t="shared" si="2"/>
        <v>1.510191552379113</v>
      </c>
      <c r="L43" s="36">
        <f>'[1]STA MARIA'!$E43</f>
        <v>7765.5</v>
      </c>
      <c r="M43" s="31">
        <f t="shared" si="16"/>
        <v>7577.5748999999996</v>
      </c>
      <c r="N43" s="31">
        <f t="shared" si="17"/>
        <v>187.92509999999999</v>
      </c>
      <c r="O43" s="31">
        <f t="shared" si="18"/>
        <v>9119.1632559999998</v>
      </c>
      <c r="P43" s="31">
        <f t="shared" si="19"/>
        <v>226.15674399999997</v>
      </c>
      <c r="Q43" s="31">
        <f>9345.32</f>
        <v>9345.32</v>
      </c>
      <c r="R43" s="31">
        <f t="shared" si="3"/>
        <v>0.2034408602150537</v>
      </c>
      <c r="S43" s="31">
        <f>'[1]STA MARIA'!$F43</f>
        <v>7765.5</v>
      </c>
      <c r="T43" s="31">
        <f t="shared" si="20"/>
        <v>7577.5748999999996</v>
      </c>
      <c r="U43" s="31">
        <f t="shared" si="21"/>
        <v>187.92509999999999</v>
      </c>
      <c r="V43" s="31">
        <f t="shared" si="22"/>
        <v>11136.288225999999</v>
      </c>
      <c r="W43" s="31">
        <f t="shared" si="23"/>
        <v>276.18177399999996</v>
      </c>
      <c r="X43" s="31">
        <f>11412.47</f>
        <v>11412.47</v>
      </c>
      <c r="Y43" s="31">
        <f t="shared" si="4"/>
        <v>0.46963749919515796</v>
      </c>
      <c r="Z43" s="31">
        <f>'[1]STA MARIA'!$G43</f>
        <v>7765.5</v>
      </c>
      <c r="AA43" s="31">
        <f t="shared" si="24"/>
        <v>7577.5748999999996</v>
      </c>
      <c r="AB43" s="31">
        <f t="shared" si="25"/>
        <v>187.92509999999999</v>
      </c>
      <c r="AC43" s="31">
        <f t="shared" si="26"/>
        <v>8447.0810060000003</v>
      </c>
      <c r="AD43" s="31">
        <f t="shared" si="27"/>
        <v>209.48899399999999</v>
      </c>
      <c r="AE43" s="31">
        <f>8656.57</f>
        <v>8656.57</v>
      </c>
      <c r="AF43" s="31">
        <f t="shared" si="5"/>
        <v>0.11474727963427989</v>
      </c>
      <c r="AG43" s="31">
        <f>'[1]STA MARIA'!$H43</f>
        <v>7765.5</v>
      </c>
      <c r="AH43" s="31">
        <f t="shared" si="28"/>
        <v>7577.5748999999996</v>
      </c>
      <c r="AI43" s="31">
        <f t="shared" si="29"/>
        <v>187.92509999999999</v>
      </c>
      <c r="AJ43" s="31">
        <f t="shared" si="30"/>
        <v>8848.5836740000013</v>
      </c>
      <c r="AK43" s="31">
        <f t="shared" si="31"/>
        <v>219.446326</v>
      </c>
      <c r="AL43" s="31">
        <f>9068.03</f>
        <v>9068.0300000000007</v>
      </c>
      <c r="AM43" s="31">
        <f t="shared" si="6"/>
        <v>0.16773292125426575</v>
      </c>
      <c r="AN43" s="31">
        <f>'[1]STA MARIA'!$I43</f>
        <v>7765.5</v>
      </c>
      <c r="AO43" s="31">
        <f t="shared" si="32"/>
        <v>7577.5748999999996</v>
      </c>
      <c r="AP43" s="31">
        <f t="shared" si="33"/>
        <v>187.92509999999999</v>
      </c>
      <c r="AQ43" s="31">
        <f t="shared" si="34"/>
        <v>7562.3816940000006</v>
      </c>
      <c r="AR43" s="31">
        <f t="shared" si="35"/>
        <v>187.548306</v>
      </c>
      <c r="AS43" s="33">
        <v>7749.93</v>
      </c>
      <c r="AT43" s="37">
        <f t="shared" si="7"/>
        <v>-2.0050222136371865E-3</v>
      </c>
      <c r="AU43" s="36">
        <f>'[1]STA MARIA'!$J43</f>
        <v>7765.5</v>
      </c>
      <c r="AV43" s="31">
        <f t="shared" si="36"/>
        <v>7577.5748999999996</v>
      </c>
      <c r="AW43" s="18">
        <f t="shared" si="37"/>
        <v>187.92509999999999</v>
      </c>
      <c r="AX43" s="31">
        <f t="shared" si="38"/>
        <v>30971.16015</v>
      </c>
      <c r="AY43" s="31">
        <f t="shared" si="39"/>
        <v>768.08984999999996</v>
      </c>
      <c r="AZ43" s="33">
        <v>31739.25</v>
      </c>
      <c r="BA43" s="37">
        <f t="shared" si="8"/>
        <v>3.087212671431331</v>
      </c>
      <c r="BB43" s="36">
        <f>'[1]STA MARIA'!$K43</f>
        <v>7765.5</v>
      </c>
      <c r="BC43" s="31">
        <f t="shared" si="40"/>
        <v>7577.5748999999996</v>
      </c>
      <c r="BD43" s="18">
        <f t="shared" si="41"/>
        <v>187.92509999999999</v>
      </c>
      <c r="BE43" s="31">
        <f t="shared" si="42"/>
        <v>0</v>
      </c>
      <c r="BF43" s="31">
        <f t="shared" si="43"/>
        <v>0</v>
      </c>
      <c r="BG43" s="33"/>
      <c r="BH43" s="37">
        <f t="shared" si="9"/>
        <v>-1</v>
      </c>
      <c r="BI43" s="36">
        <f>'[1]STA MARIA'!$L43</f>
        <v>7765.5</v>
      </c>
      <c r="BJ43" s="31">
        <f t="shared" si="44"/>
        <v>7577.5748999999996</v>
      </c>
      <c r="BK43" s="18">
        <f t="shared" si="45"/>
        <v>187.92509999999999</v>
      </c>
      <c r="BL43" s="31">
        <f t="shared" si="46"/>
        <v>0</v>
      </c>
      <c r="BM43" s="31">
        <f t="shared" si="47"/>
        <v>0</v>
      </c>
      <c r="BN43" s="33"/>
      <c r="BO43" s="37">
        <f t="shared" si="10"/>
        <v>-1</v>
      </c>
      <c r="BP43" s="36">
        <f>'[1]STA MARIA'!$M43</f>
        <v>7765.5</v>
      </c>
      <c r="BQ43" s="31">
        <f t="shared" si="48"/>
        <v>7577.5748999999996</v>
      </c>
      <c r="BR43" s="18">
        <f t="shared" si="49"/>
        <v>187.92509999999999</v>
      </c>
      <c r="BS43" s="31">
        <f t="shared" si="50"/>
        <v>0</v>
      </c>
      <c r="BT43" s="31">
        <f t="shared" si="51"/>
        <v>0</v>
      </c>
      <c r="BU43" s="33"/>
      <c r="BV43" s="37">
        <f t="shared" si="11"/>
        <v>-1</v>
      </c>
      <c r="BW43" s="36">
        <f>'[1]STA MARIA'!$N43</f>
        <v>7765.5</v>
      </c>
      <c r="BX43" s="31">
        <f t="shared" si="52"/>
        <v>7577.5748999999996</v>
      </c>
      <c r="BY43" s="18">
        <f t="shared" si="53"/>
        <v>187.92509999999999</v>
      </c>
      <c r="BZ43" s="31">
        <f t="shared" si="54"/>
        <v>0</v>
      </c>
      <c r="CA43" s="31">
        <f t="shared" si="55"/>
        <v>0</v>
      </c>
      <c r="CB43" s="33"/>
      <c r="CC43" s="37">
        <f t="shared" si="12"/>
        <v>-1</v>
      </c>
      <c r="CD43" s="36">
        <f>'[1]STA MARIA'!$O43</f>
        <v>7765.5</v>
      </c>
      <c r="CE43" s="31">
        <f t="shared" si="56"/>
        <v>7577.5748999999996</v>
      </c>
      <c r="CF43" s="18">
        <f t="shared" si="57"/>
        <v>187.92509999999999</v>
      </c>
      <c r="CG43" s="31">
        <f t="shared" si="58"/>
        <v>0</v>
      </c>
      <c r="CH43" s="31">
        <f t="shared" si="59"/>
        <v>0</v>
      </c>
      <c r="CI43" s="33"/>
      <c r="CJ43" s="37">
        <f t="shared" si="13"/>
        <v>-1</v>
      </c>
      <c r="CK43" s="36">
        <f>'[1]STA MARIA'!$P43</f>
        <v>7765.5</v>
      </c>
      <c r="CL43" s="31">
        <f t="shared" si="60"/>
        <v>7577.5748999999996</v>
      </c>
      <c r="CM43" s="18">
        <f t="shared" si="61"/>
        <v>187.92509999999999</v>
      </c>
      <c r="CN43" s="31">
        <f t="shared" si="62"/>
        <v>0</v>
      </c>
      <c r="CO43" s="31">
        <f t="shared" si="63"/>
        <v>0</v>
      </c>
      <c r="CP43" s="33"/>
      <c r="CQ43" s="37">
        <f t="shared" si="14"/>
        <v>-1</v>
      </c>
    </row>
    <row r="44" spans="1:95" s="26" customFormat="1" ht="16" customHeight="1" thickBot="1" x14ac:dyDescent="0.25">
      <c r="A44" s="29" t="s">
        <v>68</v>
      </c>
      <c r="B44" s="30">
        <f t="shared" si="64"/>
        <v>0</v>
      </c>
      <c r="C44" s="31">
        <f t="shared" si="64"/>
        <v>0</v>
      </c>
      <c r="D44" s="32">
        <f t="shared" si="64"/>
        <v>0</v>
      </c>
      <c r="E44" s="30">
        <f t="shared" si="66"/>
        <v>0</v>
      </c>
      <c r="F44" s="33">
        <f t="shared" si="66"/>
        <v>0</v>
      </c>
      <c r="G44" s="34">
        <f t="shared" si="66"/>
        <v>0</v>
      </c>
      <c r="H44" s="31">
        <f t="shared" si="65"/>
        <v>0</v>
      </c>
      <c r="I44" s="33">
        <f t="shared" si="65"/>
        <v>0</v>
      </c>
      <c r="J44" s="33">
        <f t="shared" si="65"/>
        <v>0</v>
      </c>
      <c r="K44" s="37" t="str">
        <f t="shared" si="2"/>
        <v/>
      </c>
      <c r="L44" s="36">
        <f>'[1]STA MARIA'!$E44</f>
        <v>0</v>
      </c>
      <c r="M44" s="31">
        <f t="shared" si="16"/>
        <v>0</v>
      </c>
      <c r="N44" s="31">
        <f t="shared" si="17"/>
        <v>0</v>
      </c>
      <c r="O44" s="31">
        <f t="shared" si="18"/>
        <v>0</v>
      </c>
      <c r="P44" s="31">
        <f t="shared" si="19"/>
        <v>0</v>
      </c>
      <c r="Q44" s="31"/>
      <c r="R44" s="31" t="str">
        <f t="shared" si="3"/>
        <v/>
      </c>
      <c r="S44" s="31">
        <f>'[1]STA MARIA'!$F44</f>
        <v>0</v>
      </c>
      <c r="T44" s="31">
        <f t="shared" si="20"/>
        <v>0</v>
      </c>
      <c r="U44" s="31">
        <f t="shared" si="21"/>
        <v>0</v>
      </c>
      <c r="V44" s="31">
        <f t="shared" si="22"/>
        <v>0</v>
      </c>
      <c r="W44" s="31">
        <f t="shared" si="23"/>
        <v>0</v>
      </c>
      <c r="X44" s="31"/>
      <c r="Y44" s="31" t="str">
        <f t="shared" si="4"/>
        <v/>
      </c>
      <c r="Z44" s="31">
        <f>'[1]STA MARIA'!$G44</f>
        <v>0</v>
      </c>
      <c r="AA44" s="31">
        <f t="shared" si="24"/>
        <v>0</v>
      </c>
      <c r="AB44" s="31">
        <f t="shared" si="25"/>
        <v>0</v>
      </c>
      <c r="AC44" s="31">
        <f t="shared" si="26"/>
        <v>0</v>
      </c>
      <c r="AD44" s="31">
        <f t="shared" si="27"/>
        <v>0</v>
      </c>
      <c r="AE44" s="31"/>
      <c r="AF44" s="31" t="str">
        <f t="shared" si="5"/>
        <v/>
      </c>
      <c r="AG44" s="31">
        <f>'[1]STA MARIA'!$H44</f>
        <v>0</v>
      </c>
      <c r="AH44" s="31">
        <f t="shared" si="28"/>
        <v>0</v>
      </c>
      <c r="AI44" s="31">
        <f t="shared" si="29"/>
        <v>0</v>
      </c>
      <c r="AJ44" s="31">
        <f t="shared" si="30"/>
        <v>0</v>
      </c>
      <c r="AK44" s="31">
        <f t="shared" si="31"/>
        <v>0</v>
      </c>
      <c r="AL44" s="31"/>
      <c r="AM44" s="31" t="str">
        <f t="shared" si="6"/>
        <v/>
      </c>
      <c r="AN44" s="31">
        <f>'[1]STA MARIA'!$I44</f>
        <v>0</v>
      </c>
      <c r="AO44" s="31">
        <f t="shared" si="32"/>
        <v>0</v>
      </c>
      <c r="AP44" s="31">
        <f t="shared" si="33"/>
        <v>0</v>
      </c>
      <c r="AQ44" s="31">
        <f t="shared" si="34"/>
        <v>0</v>
      </c>
      <c r="AR44" s="31">
        <f t="shared" si="35"/>
        <v>0</v>
      </c>
      <c r="AS44" s="33"/>
      <c r="AT44" s="37" t="str">
        <f t="shared" si="7"/>
        <v/>
      </c>
      <c r="AU44" s="36">
        <f>'[1]STA MARIA'!$J44</f>
        <v>0</v>
      </c>
      <c r="AV44" s="31">
        <f t="shared" si="36"/>
        <v>0</v>
      </c>
      <c r="AW44" s="18">
        <f t="shared" si="37"/>
        <v>0</v>
      </c>
      <c r="AX44" s="31">
        <f t="shared" si="38"/>
        <v>0</v>
      </c>
      <c r="AY44" s="31">
        <f t="shared" si="39"/>
        <v>0</v>
      </c>
      <c r="AZ44" s="27"/>
      <c r="BA44" s="37" t="str">
        <f t="shared" si="8"/>
        <v/>
      </c>
      <c r="BB44" s="36">
        <f>'[1]STA MARIA'!$K44</f>
        <v>0</v>
      </c>
      <c r="BC44" s="31">
        <f t="shared" si="40"/>
        <v>0</v>
      </c>
      <c r="BD44" s="18">
        <f t="shared" si="41"/>
        <v>0</v>
      </c>
      <c r="BE44" s="31">
        <f t="shared" si="42"/>
        <v>0</v>
      </c>
      <c r="BF44" s="31">
        <f t="shared" si="43"/>
        <v>0</v>
      </c>
      <c r="BG44" s="33"/>
      <c r="BH44" s="37" t="str">
        <f t="shared" si="9"/>
        <v/>
      </c>
      <c r="BI44" s="36">
        <f>'[1]STA MARIA'!$L44</f>
        <v>0</v>
      </c>
      <c r="BJ44" s="31">
        <f t="shared" si="44"/>
        <v>0</v>
      </c>
      <c r="BK44" s="18">
        <f t="shared" si="45"/>
        <v>0</v>
      </c>
      <c r="BL44" s="31">
        <f t="shared" si="46"/>
        <v>0</v>
      </c>
      <c r="BM44" s="31">
        <f t="shared" si="47"/>
        <v>0</v>
      </c>
      <c r="BN44" s="33"/>
      <c r="BO44" s="37" t="str">
        <f t="shared" si="10"/>
        <v/>
      </c>
      <c r="BP44" s="36">
        <f>'[1]STA MARIA'!$M44</f>
        <v>0</v>
      </c>
      <c r="BQ44" s="31">
        <f t="shared" si="48"/>
        <v>0</v>
      </c>
      <c r="BR44" s="18">
        <f t="shared" si="49"/>
        <v>0</v>
      </c>
      <c r="BS44" s="31">
        <f t="shared" si="50"/>
        <v>0</v>
      </c>
      <c r="BT44" s="31">
        <f t="shared" si="51"/>
        <v>0</v>
      </c>
      <c r="BU44" s="33"/>
      <c r="BV44" s="37" t="str">
        <f t="shared" si="11"/>
        <v/>
      </c>
      <c r="BW44" s="36">
        <f>'[1]STA MARIA'!$N44</f>
        <v>0</v>
      </c>
      <c r="BX44" s="31">
        <f t="shared" si="52"/>
        <v>0</v>
      </c>
      <c r="BY44" s="18">
        <f t="shared" si="53"/>
        <v>0</v>
      </c>
      <c r="BZ44" s="31">
        <f t="shared" si="54"/>
        <v>0</v>
      </c>
      <c r="CA44" s="31">
        <f t="shared" si="55"/>
        <v>0</v>
      </c>
      <c r="CB44" s="33"/>
      <c r="CC44" s="37" t="str">
        <f t="shared" si="12"/>
        <v/>
      </c>
      <c r="CD44" s="36">
        <f>'[1]STA MARIA'!$O44</f>
        <v>0</v>
      </c>
      <c r="CE44" s="31">
        <f t="shared" si="56"/>
        <v>0</v>
      </c>
      <c r="CF44" s="18">
        <f t="shared" si="57"/>
        <v>0</v>
      </c>
      <c r="CG44" s="31">
        <f t="shared" si="58"/>
        <v>0</v>
      </c>
      <c r="CH44" s="31">
        <f t="shared" si="59"/>
        <v>0</v>
      </c>
      <c r="CI44" s="33"/>
      <c r="CJ44" s="37" t="str">
        <f t="shared" si="13"/>
        <v/>
      </c>
      <c r="CK44" s="36">
        <f>'[1]STA MARIA'!$P44</f>
        <v>0</v>
      </c>
      <c r="CL44" s="31">
        <f t="shared" si="60"/>
        <v>0</v>
      </c>
      <c r="CM44" s="18">
        <f t="shared" si="61"/>
        <v>0</v>
      </c>
      <c r="CN44" s="31">
        <f t="shared" si="62"/>
        <v>0</v>
      </c>
      <c r="CO44" s="31">
        <f t="shared" si="63"/>
        <v>0</v>
      </c>
      <c r="CP44" s="33"/>
      <c r="CQ44" s="37" t="str">
        <f t="shared" si="14"/>
        <v/>
      </c>
    </row>
    <row r="45" spans="1:95" s="26" customFormat="1" ht="16" customHeight="1" thickBot="1" x14ac:dyDescent="0.25">
      <c r="A45" s="39" t="s">
        <v>69</v>
      </c>
      <c r="B45" s="30">
        <f t="shared" si="64"/>
        <v>0</v>
      </c>
      <c r="C45" s="31">
        <f t="shared" si="64"/>
        <v>0</v>
      </c>
      <c r="D45" s="32">
        <f t="shared" si="64"/>
        <v>0</v>
      </c>
      <c r="E45" s="30">
        <f t="shared" si="66"/>
        <v>0</v>
      </c>
      <c r="F45" s="33">
        <f t="shared" si="66"/>
        <v>0</v>
      </c>
      <c r="G45" s="34">
        <f t="shared" si="66"/>
        <v>0</v>
      </c>
      <c r="H45" s="31">
        <f t="shared" si="65"/>
        <v>0</v>
      </c>
      <c r="I45" s="33">
        <f t="shared" si="65"/>
        <v>0</v>
      </c>
      <c r="J45" s="33">
        <f t="shared" si="65"/>
        <v>0</v>
      </c>
      <c r="K45" s="37" t="str">
        <f t="shared" si="2"/>
        <v/>
      </c>
      <c r="L45" s="36">
        <f>'[1]STA MARIA'!$E45</f>
        <v>0</v>
      </c>
      <c r="M45" s="31">
        <f t="shared" si="16"/>
        <v>0</v>
      </c>
      <c r="N45" s="31">
        <f t="shared" si="17"/>
        <v>0</v>
      </c>
      <c r="O45" s="31">
        <f t="shared" si="18"/>
        <v>0</v>
      </c>
      <c r="P45" s="31">
        <f t="shared" si="19"/>
        <v>0</v>
      </c>
      <c r="Q45" s="31"/>
      <c r="R45" s="31" t="str">
        <f t="shared" si="3"/>
        <v/>
      </c>
      <c r="S45" s="31">
        <f>'[1]STA MARIA'!$F45</f>
        <v>0</v>
      </c>
      <c r="T45" s="31">
        <f t="shared" si="20"/>
        <v>0</v>
      </c>
      <c r="U45" s="31">
        <f t="shared" si="21"/>
        <v>0</v>
      </c>
      <c r="V45" s="31">
        <f t="shared" si="22"/>
        <v>0</v>
      </c>
      <c r="W45" s="31">
        <f t="shared" si="23"/>
        <v>0</v>
      </c>
      <c r="X45" s="31"/>
      <c r="Y45" s="31" t="str">
        <f t="shared" si="4"/>
        <v/>
      </c>
      <c r="Z45" s="31">
        <f>'[1]STA MARIA'!$G45</f>
        <v>0</v>
      </c>
      <c r="AA45" s="31">
        <f t="shared" si="24"/>
        <v>0</v>
      </c>
      <c r="AB45" s="31">
        <f t="shared" si="25"/>
        <v>0</v>
      </c>
      <c r="AC45" s="31">
        <f t="shared" si="26"/>
        <v>0</v>
      </c>
      <c r="AD45" s="31">
        <f t="shared" si="27"/>
        <v>0</v>
      </c>
      <c r="AE45" s="31"/>
      <c r="AF45" s="31" t="str">
        <f t="shared" si="5"/>
        <v/>
      </c>
      <c r="AG45" s="31">
        <f>'[1]STA MARIA'!$H45</f>
        <v>0</v>
      </c>
      <c r="AH45" s="31">
        <f t="shared" si="28"/>
        <v>0</v>
      </c>
      <c r="AI45" s="31">
        <f t="shared" si="29"/>
        <v>0</v>
      </c>
      <c r="AJ45" s="31">
        <f t="shared" si="30"/>
        <v>0</v>
      </c>
      <c r="AK45" s="31">
        <f t="shared" si="31"/>
        <v>0</v>
      </c>
      <c r="AL45" s="31"/>
      <c r="AM45" s="31" t="str">
        <f t="shared" si="6"/>
        <v/>
      </c>
      <c r="AN45" s="31">
        <f>'[1]STA MARIA'!$I45</f>
        <v>0</v>
      </c>
      <c r="AO45" s="31">
        <f t="shared" si="32"/>
        <v>0</v>
      </c>
      <c r="AP45" s="31">
        <f t="shared" si="33"/>
        <v>0</v>
      </c>
      <c r="AQ45" s="31">
        <f t="shared" si="34"/>
        <v>0</v>
      </c>
      <c r="AR45" s="31">
        <f t="shared" si="35"/>
        <v>0</v>
      </c>
      <c r="AS45" s="33"/>
      <c r="AT45" s="37" t="str">
        <f t="shared" si="7"/>
        <v/>
      </c>
      <c r="AU45" s="36">
        <f>'[1]STA MARIA'!$J45</f>
        <v>0</v>
      </c>
      <c r="AV45" s="31">
        <f t="shared" si="36"/>
        <v>0</v>
      </c>
      <c r="AW45" s="18">
        <f t="shared" si="37"/>
        <v>0</v>
      </c>
      <c r="AX45" s="31">
        <f t="shared" si="38"/>
        <v>0</v>
      </c>
      <c r="AY45" s="31">
        <f t="shared" si="39"/>
        <v>0</v>
      </c>
      <c r="AZ45" s="27"/>
      <c r="BA45" s="37" t="str">
        <f t="shared" si="8"/>
        <v/>
      </c>
      <c r="BB45" s="36">
        <f>'[1]STA MARIA'!$K45</f>
        <v>0</v>
      </c>
      <c r="BC45" s="31">
        <f t="shared" si="40"/>
        <v>0</v>
      </c>
      <c r="BD45" s="18">
        <f t="shared" si="41"/>
        <v>0</v>
      </c>
      <c r="BE45" s="31">
        <f t="shared" si="42"/>
        <v>0</v>
      </c>
      <c r="BF45" s="31">
        <f t="shared" si="43"/>
        <v>0</v>
      </c>
      <c r="BG45" s="33"/>
      <c r="BH45" s="37" t="str">
        <f t="shared" si="9"/>
        <v/>
      </c>
      <c r="BI45" s="36">
        <f>'[1]STA MARIA'!$L45</f>
        <v>0</v>
      </c>
      <c r="BJ45" s="31">
        <f t="shared" si="44"/>
        <v>0</v>
      </c>
      <c r="BK45" s="18">
        <f t="shared" si="45"/>
        <v>0</v>
      </c>
      <c r="BL45" s="31">
        <f t="shared" si="46"/>
        <v>0</v>
      </c>
      <c r="BM45" s="31">
        <f t="shared" si="47"/>
        <v>0</v>
      </c>
      <c r="BN45" s="33"/>
      <c r="BO45" s="37" t="str">
        <f t="shared" si="10"/>
        <v/>
      </c>
      <c r="BP45" s="36">
        <f>'[1]STA MARIA'!$M45</f>
        <v>0</v>
      </c>
      <c r="BQ45" s="31">
        <f t="shared" si="48"/>
        <v>0</v>
      </c>
      <c r="BR45" s="18">
        <f t="shared" si="49"/>
        <v>0</v>
      </c>
      <c r="BS45" s="31">
        <f t="shared" si="50"/>
        <v>0</v>
      </c>
      <c r="BT45" s="31">
        <f t="shared" si="51"/>
        <v>0</v>
      </c>
      <c r="BU45" s="33"/>
      <c r="BV45" s="37" t="str">
        <f t="shared" si="11"/>
        <v/>
      </c>
      <c r="BW45" s="36">
        <f>'[1]STA MARIA'!$N45</f>
        <v>0</v>
      </c>
      <c r="BX45" s="31">
        <f t="shared" si="52"/>
        <v>0</v>
      </c>
      <c r="BY45" s="18">
        <f t="shared" si="53"/>
        <v>0</v>
      </c>
      <c r="BZ45" s="31">
        <f t="shared" si="54"/>
        <v>0</v>
      </c>
      <c r="CA45" s="31">
        <f t="shared" si="55"/>
        <v>0</v>
      </c>
      <c r="CB45" s="33"/>
      <c r="CC45" s="37" t="str">
        <f t="shared" si="12"/>
        <v/>
      </c>
      <c r="CD45" s="36">
        <f>'[1]STA MARIA'!$O45</f>
        <v>0</v>
      </c>
      <c r="CE45" s="31">
        <f t="shared" si="56"/>
        <v>0</v>
      </c>
      <c r="CF45" s="18">
        <f t="shared" si="57"/>
        <v>0</v>
      </c>
      <c r="CG45" s="31">
        <f t="shared" si="58"/>
        <v>0</v>
      </c>
      <c r="CH45" s="31">
        <f t="shared" si="59"/>
        <v>0</v>
      </c>
      <c r="CI45" s="33"/>
      <c r="CJ45" s="37" t="str">
        <f t="shared" si="13"/>
        <v/>
      </c>
      <c r="CK45" s="36">
        <f>'[1]STA MARIA'!$P45</f>
        <v>0</v>
      </c>
      <c r="CL45" s="31">
        <f t="shared" si="60"/>
        <v>0</v>
      </c>
      <c r="CM45" s="18">
        <f t="shared" si="61"/>
        <v>0</v>
      </c>
      <c r="CN45" s="31">
        <f t="shared" si="62"/>
        <v>0</v>
      </c>
      <c r="CO45" s="31">
        <f t="shared" si="63"/>
        <v>0</v>
      </c>
      <c r="CP45" s="33"/>
      <c r="CQ45" s="37" t="str">
        <f t="shared" si="14"/>
        <v/>
      </c>
    </row>
    <row r="46" spans="1:95" s="26" customFormat="1" ht="16" customHeight="1" thickBot="1" x14ac:dyDescent="0.25">
      <c r="A46" s="38" t="s">
        <v>70</v>
      </c>
      <c r="B46" s="30">
        <f t="shared" si="64"/>
        <v>0</v>
      </c>
      <c r="C46" s="31">
        <f t="shared" si="64"/>
        <v>0</v>
      </c>
      <c r="D46" s="32">
        <f t="shared" si="64"/>
        <v>0</v>
      </c>
      <c r="E46" s="30">
        <f t="shared" si="66"/>
        <v>0</v>
      </c>
      <c r="F46" s="33">
        <f t="shared" si="66"/>
        <v>0</v>
      </c>
      <c r="G46" s="34">
        <f t="shared" si="66"/>
        <v>0</v>
      </c>
      <c r="H46" s="31">
        <f t="shared" si="65"/>
        <v>0</v>
      </c>
      <c r="I46" s="33">
        <f t="shared" si="65"/>
        <v>0</v>
      </c>
      <c r="J46" s="33">
        <f t="shared" si="65"/>
        <v>0</v>
      </c>
      <c r="K46" s="37" t="str">
        <f t="shared" si="2"/>
        <v/>
      </c>
      <c r="L46" s="36">
        <f>'[1]STA MARIA'!$E46</f>
        <v>0</v>
      </c>
      <c r="M46" s="31">
        <f t="shared" si="16"/>
        <v>0</v>
      </c>
      <c r="N46" s="31">
        <f t="shared" si="17"/>
        <v>0</v>
      </c>
      <c r="O46" s="31">
        <f t="shared" si="18"/>
        <v>0</v>
      </c>
      <c r="P46" s="31">
        <f t="shared" si="19"/>
        <v>0</v>
      </c>
      <c r="Q46" s="31"/>
      <c r="R46" s="31" t="str">
        <f t="shared" si="3"/>
        <v/>
      </c>
      <c r="S46" s="31">
        <f>'[1]STA MARIA'!$F46</f>
        <v>0</v>
      </c>
      <c r="T46" s="31">
        <f t="shared" si="20"/>
        <v>0</v>
      </c>
      <c r="U46" s="31">
        <f t="shared" si="21"/>
        <v>0</v>
      </c>
      <c r="V46" s="31">
        <f t="shared" si="22"/>
        <v>0</v>
      </c>
      <c r="W46" s="31">
        <f t="shared" si="23"/>
        <v>0</v>
      </c>
      <c r="X46" s="31"/>
      <c r="Y46" s="31" t="str">
        <f t="shared" si="4"/>
        <v/>
      </c>
      <c r="Z46" s="31">
        <f>'[1]STA MARIA'!$G46</f>
        <v>0</v>
      </c>
      <c r="AA46" s="31">
        <f t="shared" si="24"/>
        <v>0</v>
      </c>
      <c r="AB46" s="31">
        <f t="shared" si="25"/>
        <v>0</v>
      </c>
      <c r="AC46" s="31">
        <f t="shared" si="26"/>
        <v>0</v>
      </c>
      <c r="AD46" s="31">
        <f t="shared" si="27"/>
        <v>0</v>
      </c>
      <c r="AE46" s="31"/>
      <c r="AF46" s="31" t="str">
        <f t="shared" si="5"/>
        <v/>
      </c>
      <c r="AG46" s="31">
        <f>'[1]STA MARIA'!$H46</f>
        <v>0</v>
      </c>
      <c r="AH46" s="31">
        <f t="shared" si="28"/>
        <v>0</v>
      </c>
      <c r="AI46" s="31">
        <f t="shared" si="29"/>
        <v>0</v>
      </c>
      <c r="AJ46" s="31">
        <f t="shared" si="30"/>
        <v>0</v>
      </c>
      <c r="AK46" s="31">
        <f t="shared" si="31"/>
        <v>0</v>
      </c>
      <c r="AL46" s="31"/>
      <c r="AM46" s="31" t="str">
        <f t="shared" si="6"/>
        <v/>
      </c>
      <c r="AN46" s="31">
        <f>'[1]STA MARIA'!$I46</f>
        <v>0</v>
      </c>
      <c r="AO46" s="31">
        <f t="shared" si="32"/>
        <v>0</v>
      </c>
      <c r="AP46" s="31">
        <f t="shared" si="33"/>
        <v>0</v>
      </c>
      <c r="AQ46" s="31">
        <f t="shared" si="34"/>
        <v>0</v>
      </c>
      <c r="AR46" s="31">
        <f t="shared" si="35"/>
        <v>0</v>
      </c>
      <c r="AS46" s="33"/>
      <c r="AT46" s="37" t="str">
        <f t="shared" si="7"/>
        <v/>
      </c>
      <c r="AU46" s="36">
        <f>'[1]STA MARIA'!$J46</f>
        <v>0</v>
      </c>
      <c r="AV46" s="31">
        <f t="shared" si="36"/>
        <v>0</v>
      </c>
      <c r="AW46" s="18">
        <f t="shared" si="37"/>
        <v>0</v>
      </c>
      <c r="AX46" s="31">
        <f t="shared" si="38"/>
        <v>0</v>
      </c>
      <c r="AY46" s="31">
        <f t="shared" si="39"/>
        <v>0</v>
      </c>
      <c r="AZ46" s="27"/>
      <c r="BA46" s="37" t="str">
        <f t="shared" si="8"/>
        <v/>
      </c>
      <c r="BB46" s="36">
        <f>'[1]STA MARIA'!$K46</f>
        <v>0</v>
      </c>
      <c r="BC46" s="31">
        <f t="shared" si="40"/>
        <v>0</v>
      </c>
      <c r="BD46" s="18">
        <f t="shared" si="41"/>
        <v>0</v>
      </c>
      <c r="BE46" s="31">
        <f t="shared" si="42"/>
        <v>0</v>
      </c>
      <c r="BF46" s="31">
        <f t="shared" si="43"/>
        <v>0</v>
      </c>
      <c r="BG46" s="33"/>
      <c r="BH46" s="37" t="str">
        <f t="shared" si="9"/>
        <v/>
      </c>
      <c r="BI46" s="36">
        <f>'[1]STA MARIA'!$L46</f>
        <v>0</v>
      </c>
      <c r="BJ46" s="31">
        <f t="shared" si="44"/>
        <v>0</v>
      </c>
      <c r="BK46" s="18">
        <f t="shared" si="45"/>
        <v>0</v>
      </c>
      <c r="BL46" s="31">
        <f t="shared" si="46"/>
        <v>0</v>
      </c>
      <c r="BM46" s="31">
        <f t="shared" si="47"/>
        <v>0</v>
      </c>
      <c r="BN46" s="33"/>
      <c r="BO46" s="37" t="str">
        <f t="shared" si="10"/>
        <v/>
      </c>
      <c r="BP46" s="36">
        <f>'[1]STA MARIA'!$M46</f>
        <v>0</v>
      </c>
      <c r="BQ46" s="31">
        <f t="shared" si="48"/>
        <v>0</v>
      </c>
      <c r="BR46" s="18">
        <f t="shared" si="49"/>
        <v>0</v>
      </c>
      <c r="BS46" s="31">
        <f t="shared" si="50"/>
        <v>0</v>
      </c>
      <c r="BT46" s="31">
        <f t="shared" si="51"/>
        <v>0</v>
      </c>
      <c r="BU46" s="33"/>
      <c r="BV46" s="37" t="str">
        <f t="shared" si="11"/>
        <v/>
      </c>
      <c r="BW46" s="36">
        <f>'[1]STA MARIA'!$N46</f>
        <v>0</v>
      </c>
      <c r="BX46" s="31">
        <f t="shared" si="52"/>
        <v>0</v>
      </c>
      <c r="BY46" s="18">
        <f t="shared" si="53"/>
        <v>0</v>
      </c>
      <c r="BZ46" s="31">
        <f t="shared" si="54"/>
        <v>0</v>
      </c>
      <c r="CA46" s="31">
        <f t="shared" si="55"/>
        <v>0</v>
      </c>
      <c r="CB46" s="33"/>
      <c r="CC46" s="37" t="str">
        <f t="shared" si="12"/>
        <v/>
      </c>
      <c r="CD46" s="36">
        <f>'[1]STA MARIA'!$O46</f>
        <v>0</v>
      </c>
      <c r="CE46" s="31">
        <f t="shared" si="56"/>
        <v>0</v>
      </c>
      <c r="CF46" s="18">
        <f t="shared" si="57"/>
        <v>0</v>
      </c>
      <c r="CG46" s="31">
        <f t="shared" si="58"/>
        <v>0</v>
      </c>
      <c r="CH46" s="31">
        <f t="shared" si="59"/>
        <v>0</v>
      </c>
      <c r="CI46" s="33"/>
      <c r="CJ46" s="37" t="str">
        <f t="shared" si="13"/>
        <v/>
      </c>
      <c r="CK46" s="36">
        <f>'[1]STA MARIA'!$P46</f>
        <v>0</v>
      </c>
      <c r="CL46" s="31">
        <f t="shared" si="60"/>
        <v>0</v>
      </c>
      <c r="CM46" s="18">
        <f t="shared" si="61"/>
        <v>0</v>
      </c>
      <c r="CN46" s="31">
        <f t="shared" si="62"/>
        <v>0</v>
      </c>
      <c r="CO46" s="31">
        <f t="shared" si="63"/>
        <v>0</v>
      </c>
      <c r="CP46" s="33"/>
      <c r="CQ46" s="37" t="str">
        <f t="shared" si="14"/>
        <v/>
      </c>
    </row>
    <row r="47" spans="1:95" s="26" customFormat="1" ht="16" customHeight="1" thickBot="1" x14ac:dyDescent="0.25">
      <c r="A47" s="29" t="s">
        <v>71</v>
      </c>
      <c r="B47" s="30">
        <f t="shared" si="64"/>
        <v>0</v>
      </c>
      <c r="C47" s="31">
        <f t="shared" si="64"/>
        <v>0</v>
      </c>
      <c r="D47" s="32">
        <f t="shared" si="64"/>
        <v>0</v>
      </c>
      <c r="E47" s="30">
        <f t="shared" si="66"/>
        <v>0</v>
      </c>
      <c r="F47" s="33">
        <f t="shared" si="66"/>
        <v>0</v>
      </c>
      <c r="G47" s="34">
        <f t="shared" si="66"/>
        <v>0</v>
      </c>
      <c r="H47" s="31">
        <f t="shared" si="65"/>
        <v>0</v>
      </c>
      <c r="I47" s="33">
        <f t="shared" si="65"/>
        <v>0</v>
      </c>
      <c r="J47" s="33">
        <f t="shared" si="65"/>
        <v>0</v>
      </c>
      <c r="K47" s="37" t="str">
        <f t="shared" si="2"/>
        <v/>
      </c>
      <c r="L47" s="36">
        <f>'[1]STA MARIA'!$E47</f>
        <v>0</v>
      </c>
      <c r="M47" s="31">
        <f t="shared" si="16"/>
        <v>0</v>
      </c>
      <c r="N47" s="31">
        <f t="shared" si="17"/>
        <v>0</v>
      </c>
      <c r="O47" s="31">
        <f t="shared" si="18"/>
        <v>0</v>
      </c>
      <c r="P47" s="31">
        <f t="shared" si="19"/>
        <v>0</v>
      </c>
      <c r="Q47" s="31"/>
      <c r="R47" s="31" t="str">
        <f t="shared" si="3"/>
        <v/>
      </c>
      <c r="S47" s="31">
        <f>'[1]STA MARIA'!$F47</f>
        <v>0</v>
      </c>
      <c r="T47" s="31">
        <f t="shared" si="20"/>
        <v>0</v>
      </c>
      <c r="U47" s="31">
        <f t="shared" si="21"/>
        <v>0</v>
      </c>
      <c r="V47" s="31">
        <f t="shared" si="22"/>
        <v>0</v>
      </c>
      <c r="W47" s="31">
        <f t="shared" si="23"/>
        <v>0</v>
      </c>
      <c r="X47" s="31"/>
      <c r="Y47" s="31" t="str">
        <f t="shared" si="4"/>
        <v/>
      </c>
      <c r="Z47" s="31">
        <f>'[1]STA MARIA'!$G47</f>
        <v>0</v>
      </c>
      <c r="AA47" s="31">
        <f t="shared" si="24"/>
        <v>0</v>
      </c>
      <c r="AB47" s="31">
        <f t="shared" si="25"/>
        <v>0</v>
      </c>
      <c r="AC47" s="31">
        <f t="shared" si="26"/>
        <v>0</v>
      </c>
      <c r="AD47" s="31">
        <f t="shared" si="27"/>
        <v>0</v>
      </c>
      <c r="AE47" s="31"/>
      <c r="AF47" s="31" t="str">
        <f t="shared" si="5"/>
        <v/>
      </c>
      <c r="AG47" s="31">
        <f>'[1]STA MARIA'!$H47</f>
        <v>0</v>
      </c>
      <c r="AH47" s="31">
        <f t="shared" si="28"/>
        <v>0</v>
      </c>
      <c r="AI47" s="31">
        <f t="shared" si="29"/>
        <v>0</v>
      </c>
      <c r="AJ47" s="31">
        <f t="shared" si="30"/>
        <v>0</v>
      </c>
      <c r="AK47" s="31">
        <f t="shared" si="31"/>
        <v>0</v>
      </c>
      <c r="AL47" s="31"/>
      <c r="AM47" s="31" t="str">
        <f t="shared" si="6"/>
        <v/>
      </c>
      <c r="AN47" s="31">
        <f>'[1]STA MARIA'!$I47</f>
        <v>0</v>
      </c>
      <c r="AO47" s="31">
        <f t="shared" si="32"/>
        <v>0</v>
      </c>
      <c r="AP47" s="31">
        <f t="shared" si="33"/>
        <v>0</v>
      </c>
      <c r="AQ47" s="31">
        <f t="shared" si="34"/>
        <v>0</v>
      </c>
      <c r="AR47" s="31">
        <f t="shared" si="35"/>
        <v>0</v>
      </c>
      <c r="AS47" s="33"/>
      <c r="AT47" s="37" t="str">
        <f t="shared" si="7"/>
        <v/>
      </c>
      <c r="AU47" s="36">
        <f>'[1]STA MARIA'!$J47</f>
        <v>0</v>
      </c>
      <c r="AV47" s="31">
        <f t="shared" si="36"/>
        <v>0</v>
      </c>
      <c r="AW47" s="18">
        <f t="shared" si="37"/>
        <v>0</v>
      </c>
      <c r="AX47" s="31">
        <f t="shared" si="38"/>
        <v>0</v>
      </c>
      <c r="AY47" s="31">
        <f t="shared" si="39"/>
        <v>0</v>
      </c>
      <c r="AZ47" s="27"/>
      <c r="BA47" s="37" t="str">
        <f t="shared" si="8"/>
        <v/>
      </c>
      <c r="BB47" s="36">
        <f>'[1]STA MARIA'!$K47</f>
        <v>0</v>
      </c>
      <c r="BC47" s="31">
        <f t="shared" si="40"/>
        <v>0</v>
      </c>
      <c r="BD47" s="18">
        <f t="shared" si="41"/>
        <v>0</v>
      </c>
      <c r="BE47" s="31">
        <f t="shared" si="42"/>
        <v>0</v>
      </c>
      <c r="BF47" s="31">
        <f t="shared" si="43"/>
        <v>0</v>
      </c>
      <c r="BG47" s="33"/>
      <c r="BH47" s="37" t="str">
        <f t="shared" si="9"/>
        <v/>
      </c>
      <c r="BI47" s="36">
        <f>'[1]STA MARIA'!$L47</f>
        <v>0</v>
      </c>
      <c r="BJ47" s="31">
        <f t="shared" si="44"/>
        <v>0</v>
      </c>
      <c r="BK47" s="18">
        <f t="shared" si="45"/>
        <v>0</v>
      </c>
      <c r="BL47" s="31">
        <f t="shared" si="46"/>
        <v>0</v>
      </c>
      <c r="BM47" s="31">
        <f t="shared" si="47"/>
        <v>0</v>
      </c>
      <c r="BN47" s="33"/>
      <c r="BO47" s="37" t="str">
        <f t="shared" si="10"/>
        <v/>
      </c>
      <c r="BP47" s="36">
        <f>'[1]STA MARIA'!$M47</f>
        <v>0</v>
      </c>
      <c r="BQ47" s="31">
        <f t="shared" si="48"/>
        <v>0</v>
      </c>
      <c r="BR47" s="18">
        <f t="shared" si="49"/>
        <v>0</v>
      </c>
      <c r="BS47" s="31">
        <f t="shared" si="50"/>
        <v>0</v>
      </c>
      <c r="BT47" s="31">
        <f t="shared" si="51"/>
        <v>0</v>
      </c>
      <c r="BU47" s="33"/>
      <c r="BV47" s="37" t="str">
        <f t="shared" si="11"/>
        <v/>
      </c>
      <c r="BW47" s="36">
        <f>'[1]STA MARIA'!$N47</f>
        <v>0</v>
      </c>
      <c r="BX47" s="31">
        <f t="shared" si="52"/>
        <v>0</v>
      </c>
      <c r="BY47" s="18">
        <f t="shared" si="53"/>
        <v>0</v>
      </c>
      <c r="BZ47" s="31">
        <f t="shared" si="54"/>
        <v>0</v>
      </c>
      <c r="CA47" s="31">
        <f t="shared" si="55"/>
        <v>0</v>
      </c>
      <c r="CB47" s="33"/>
      <c r="CC47" s="37" t="str">
        <f t="shared" si="12"/>
        <v/>
      </c>
      <c r="CD47" s="36">
        <f>'[1]STA MARIA'!$O47</f>
        <v>0</v>
      </c>
      <c r="CE47" s="31">
        <f t="shared" si="56"/>
        <v>0</v>
      </c>
      <c r="CF47" s="18">
        <f t="shared" si="57"/>
        <v>0</v>
      </c>
      <c r="CG47" s="31">
        <f t="shared" si="58"/>
        <v>0</v>
      </c>
      <c r="CH47" s="31">
        <f t="shared" si="59"/>
        <v>0</v>
      </c>
      <c r="CI47" s="33"/>
      <c r="CJ47" s="37" t="str">
        <f t="shared" si="13"/>
        <v/>
      </c>
      <c r="CK47" s="36">
        <f>'[1]STA MARIA'!$P47</f>
        <v>0</v>
      </c>
      <c r="CL47" s="31">
        <f t="shared" si="60"/>
        <v>0</v>
      </c>
      <c r="CM47" s="18">
        <f t="shared" si="61"/>
        <v>0</v>
      </c>
      <c r="CN47" s="31">
        <f t="shared" si="62"/>
        <v>0</v>
      </c>
      <c r="CO47" s="31">
        <f t="shared" si="63"/>
        <v>0</v>
      </c>
      <c r="CP47" s="33"/>
      <c r="CQ47" s="37" t="str">
        <f t="shared" si="14"/>
        <v/>
      </c>
    </row>
    <row r="48" spans="1:95" s="26" customFormat="1" ht="16" customHeight="1" thickBot="1" x14ac:dyDescent="0.25">
      <c r="A48" s="38" t="s">
        <v>72</v>
      </c>
      <c r="B48" s="30">
        <f t="shared" si="64"/>
        <v>49999.999999999993</v>
      </c>
      <c r="C48" s="31">
        <f t="shared" si="64"/>
        <v>48790.000000000007</v>
      </c>
      <c r="D48" s="32">
        <f t="shared" si="64"/>
        <v>1210.0000000000002</v>
      </c>
      <c r="E48" s="30">
        <f t="shared" si="66"/>
        <v>16666.666666666668</v>
      </c>
      <c r="F48" s="33">
        <f t="shared" si="66"/>
        <v>16263.333333333334</v>
      </c>
      <c r="G48" s="34">
        <f t="shared" si="66"/>
        <v>403.33333333333337</v>
      </c>
      <c r="H48" s="31">
        <f t="shared" si="65"/>
        <v>20494.317563999997</v>
      </c>
      <c r="I48" s="33">
        <f t="shared" si="65"/>
        <v>508.26243599999998</v>
      </c>
      <c r="J48" s="33">
        <f t="shared" si="65"/>
        <v>21002.58</v>
      </c>
      <c r="K48" s="37">
        <f t="shared" si="2"/>
        <v>0.26015480000000002</v>
      </c>
      <c r="L48" s="36">
        <f>'[1]STA MARIA'!$E48</f>
        <v>4166.666666666667</v>
      </c>
      <c r="M48" s="31">
        <f t="shared" si="16"/>
        <v>4065.8333333333335</v>
      </c>
      <c r="N48" s="31">
        <f t="shared" si="17"/>
        <v>100.83333333333334</v>
      </c>
      <c r="O48" s="31">
        <f t="shared" si="18"/>
        <v>3472.4818799999998</v>
      </c>
      <c r="P48" s="31">
        <f t="shared" si="19"/>
        <v>86.11811999999999</v>
      </c>
      <c r="Q48" s="31">
        <f>3558.6</f>
        <v>3558.6</v>
      </c>
      <c r="R48" s="31">
        <f t="shared" si="3"/>
        <v>-0.14593600000000007</v>
      </c>
      <c r="S48" s="31">
        <f>'[1]STA MARIA'!$F48</f>
        <v>4166.666666666667</v>
      </c>
      <c r="T48" s="31">
        <f t="shared" si="20"/>
        <v>4065.8333333333335</v>
      </c>
      <c r="U48" s="31">
        <f t="shared" si="21"/>
        <v>100.83333333333334</v>
      </c>
      <c r="V48" s="31">
        <f t="shared" si="22"/>
        <v>3701.9412499999999</v>
      </c>
      <c r="W48" s="31">
        <f t="shared" si="23"/>
        <v>91.808750000000003</v>
      </c>
      <c r="X48" s="31">
        <f>3793.75</f>
        <v>3793.75</v>
      </c>
      <c r="Y48" s="31">
        <f t="shared" si="4"/>
        <v>-8.9500000000000024E-2</v>
      </c>
      <c r="Z48" s="31">
        <f>'[1]STA MARIA'!$G48</f>
        <v>4166.666666666667</v>
      </c>
      <c r="AA48" s="31">
        <f t="shared" si="24"/>
        <v>4065.8333333333335</v>
      </c>
      <c r="AB48" s="31">
        <f t="shared" si="25"/>
        <v>100.83333333333334</v>
      </c>
      <c r="AC48" s="31">
        <f t="shared" si="26"/>
        <v>2093.247128</v>
      </c>
      <c r="AD48" s="31">
        <f t="shared" si="27"/>
        <v>51.912871999999993</v>
      </c>
      <c r="AE48" s="31">
        <f>2145.16</f>
        <v>2145.16</v>
      </c>
      <c r="AF48" s="31">
        <f t="shared" si="5"/>
        <v>-0.48516160000000008</v>
      </c>
      <c r="AG48" s="31">
        <f>'[1]STA MARIA'!$H48</f>
        <v>4166.666666666667</v>
      </c>
      <c r="AH48" s="31">
        <f t="shared" si="28"/>
        <v>4065.8333333333335</v>
      </c>
      <c r="AI48" s="31">
        <f t="shared" si="29"/>
        <v>100.83333333333334</v>
      </c>
      <c r="AJ48" s="31">
        <f t="shared" si="30"/>
        <v>2793.891044</v>
      </c>
      <c r="AK48" s="31">
        <f t="shared" si="31"/>
        <v>69.288955999999999</v>
      </c>
      <c r="AL48" s="31">
        <f>2863.18</f>
        <v>2863.18</v>
      </c>
      <c r="AM48" s="31">
        <f t="shared" si="6"/>
        <v>-0.31283680000000014</v>
      </c>
      <c r="AN48" s="31">
        <f>'[1]STA MARIA'!$I48</f>
        <v>4166.666666666667</v>
      </c>
      <c r="AO48" s="31">
        <f t="shared" si="32"/>
        <v>4065.8333333333335</v>
      </c>
      <c r="AP48" s="31">
        <f t="shared" si="33"/>
        <v>100.83333333333334</v>
      </c>
      <c r="AQ48" s="31">
        <f t="shared" si="34"/>
        <v>4071.4279199999996</v>
      </c>
      <c r="AR48" s="31">
        <f t="shared" si="35"/>
        <v>100.97207999999999</v>
      </c>
      <c r="AS48" s="33">
        <v>4172.3999999999996</v>
      </c>
      <c r="AT48" s="37">
        <f t="shared" si="7"/>
        <v>1.3759999999998218E-3</v>
      </c>
      <c r="AU48" s="36">
        <f>'[1]STA MARIA'!$J48</f>
        <v>4166.666666666667</v>
      </c>
      <c r="AV48" s="31">
        <f t="shared" si="36"/>
        <v>4065.8333333333335</v>
      </c>
      <c r="AW48" s="18">
        <f t="shared" si="37"/>
        <v>100.83333333333334</v>
      </c>
      <c r="AX48" s="31">
        <f t="shared" si="38"/>
        <v>4361.3283419999998</v>
      </c>
      <c r="AY48" s="31">
        <f t="shared" si="39"/>
        <v>108.16165799999999</v>
      </c>
      <c r="AZ48" s="33">
        <v>4469.49</v>
      </c>
      <c r="BA48" s="37">
        <f t="shared" si="8"/>
        <v>7.2677599999999787E-2</v>
      </c>
      <c r="BB48" s="36">
        <f>'[1]STA MARIA'!$K48</f>
        <v>4166.666666666667</v>
      </c>
      <c r="BC48" s="31">
        <f t="shared" si="40"/>
        <v>4065.8333333333335</v>
      </c>
      <c r="BD48" s="18">
        <f t="shared" si="41"/>
        <v>100.83333333333334</v>
      </c>
      <c r="BE48" s="31">
        <f t="shared" si="42"/>
        <v>0</v>
      </c>
      <c r="BF48" s="31">
        <f t="shared" si="43"/>
        <v>0</v>
      </c>
      <c r="BG48" s="33"/>
      <c r="BH48" s="37">
        <f t="shared" si="9"/>
        <v>-1</v>
      </c>
      <c r="BI48" s="36">
        <f>'[1]STA MARIA'!$L48</f>
        <v>4166.666666666667</v>
      </c>
      <c r="BJ48" s="31">
        <f t="shared" si="44"/>
        <v>4065.8333333333335</v>
      </c>
      <c r="BK48" s="18">
        <f t="shared" si="45"/>
        <v>100.83333333333334</v>
      </c>
      <c r="BL48" s="31">
        <f t="shared" si="46"/>
        <v>0</v>
      </c>
      <c r="BM48" s="31">
        <f t="shared" si="47"/>
        <v>0</v>
      </c>
      <c r="BN48" s="33"/>
      <c r="BO48" s="37">
        <f t="shared" si="10"/>
        <v>-1</v>
      </c>
      <c r="BP48" s="36">
        <f>'[1]STA MARIA'!$M48</f>
        <v>4166.666666666667</v>
      </c>
      <c r="BQ48" s="31">
        <f t="shared" si="48"/>
        <v>4065.8333333333335</v>
      </c>
      <c r="BR48" s="18">
        <f t="shared" si="49"/>
        <v>100.83333333333334</v>
      </c>
      <c r="BS48" s="31">
        <f t="shared" si="50"/>
        <v>0</v>
      </c>
      <c r="BT48" s="31">
        <f t="shared" si="51"/>
        <v>0</v>
      </c>
      <c r="BU48" s="33"/>
      <c r="BV48" s="37">
        <f t="shared" si="11"/>
        <v>-1</v>
      </c>
      <c r="BW48" s="36">
        <f>'[1]STA MARIA'!$N48</f>
        <v>4166.666666666667</v>
      </c>
      <c r="BX48" s="31">
        <f t="shared" si="52"/>
        <v>4065.8333333333335</v>
      </c>
      <c r="BY48" s="18">
        <f t="shared" si="53"/>
        <v>100.83333333333334</v>
      </c>
      <c r="BZ48" s="31">
        <f t="shared" si="54"/>
        <v>0</v>
      </c>
      <c r="CA48" s="31">
        <f t="shared" si="55"/>
        <v>0</v>
      </c>
      <c r="CB48" s="33"/>
      <c r="CC48" s="37">
        <f t="shared" si="12"/>
        <v>-1</v>
      </c>
      <c r="CD48" s="36">
        <f>'[1]STA MARIA'!$O48</f>
        <v>4166.666666666667</v>
      </c>
      <c r="CE48" s="31">
        <f t="shared" si="56"/>
        <v>4065.8333333333335</v>
      </c>
      <c r="CF48" s="18">
        <f t="shared" si="57"/>
        <v>100.83333333333334</v>
      </c>
      <c r="CG48" s="31">
        <f t="shared" si="58"/>
        <v>0</v>
      </c>
      <c r="CH48" s="31">
        <f t="shared" si="59"/>
        <v>0</v>
      </c>
      <c r="CI48" s="33"/>
      <c r="CJ48" s="37">
        <f t="shared" si="13"/>
        <v>-1</v>
      </c>
      <c r="CK48" s="36">
        <f>'[1]STA MARIA'!$P48</f>
        <v>4166.666666666667</v>
      </c>
      <c r="CL48" s="31">
        <f t="shared" si="60"/>
        <v>4065.8333333333335</v>
      </c>
      <c r="CM48" s="18">
        <f t="shared" si="61"/>
        <v>100.83333333333334</v>
      </c>
      <c r="CN48" s="31">
        <f t="shared" si="62"/>
        <v>0</v>
      </c>
      <c r="CO48" s="31">
        <f t="shared" si="63"/>
        <v>0</v>
      </c>
      <c r="CP48" s="33"/>
      <c r="CQ48" s="37">
        <f t="shared" si="14"/>
        <v>-1</v>
      </c>
    </row>
    <row r="49" spans="1:99" s="26" customFormat="1" ht="16" customHeight="1" thickBot="1" x14ac:dyDescent="0.25">
      <c r="A49" s="29" t="s">
        <v>73</v>
      </c>
      <c r="B49" s="30">
        <f t="shared" si="64"/>
        <v>104000.00000000001</v>
      </c>
      <c r="C49" s="31">
        <f t="shared" si="64"/>
        <v>101483.2</v>
      </c>
      <c r="D49" s="32">
        <f t="shared" si="64"/>
        <v>2516.7999999999993</v>
      </c>
      <c r="E49" s="30">
        <f t="shared" si="66"/>
        <v>34666.666666666664</v>
      </c>
      <c r="F49" s="33">
        <f t="shared" si="66"/>
        <v>33827.73333333333</v>
      </c>
      <c r="G49" s="34">
        <f t="shared" si="66"/>
        <v>838.93333333333328</v>
      </c>
      <c r="H49" s="31">
        <f t="shared" si="65"/>
        <v>72329.389285999991</v>
      </c>
      <c r="I49" s="33">
        <f t="shared" si="65"/>
        <v>1793.780714</v>
      </c>
      <c r="J49" s="33">
        <f t="shared" si="65"/>
        <v>74123.17</v>
      </c>
      <c r="K49" s="37">
        <f t="shared" si="2"/>
        <v>1.1381683653846153</v>
      </c>
      <c r="L49" s="36">
        <f>'[1]STA MARIA'!$E49</f>
        <v>8666.6666666666661</v>
      </c>
      <c r="M49" s="31">
        <f t="shared" si="16"/>
        <v>8456.9333333333325</v>
      </c>
      <c r="N49" s="31">
        <f t="shared" si="17"/>
        <v>209.73333333333332</v>
      </c>
      <c r="O49" s="31">
        <f t="shared" si="18"/>
        <v>15970.645376</v>
      </c>
      <c r="P49" s="31">
        <f t="shared" si="19"/>
        <v>396.07462400000003</v>
      </c>
      <c r="Q49" s="31">
        <f>R82</f>
        <v>16366.720000000001</v>
      </c>
      <c r="R49" s="31">
        <f t="shared" si="3"/>
        <v>0.88846769230769262</v>
      </c>
      <c r="S49" s="31">
        <f>'[1]STA MARIA'!$F49</f>
        <v>8666.6666666666661</v>
      </c>
      <c r="T49" s="31">
        <f t="shared" si="20"/>
        <v>8456.9333333333325</v>
      </c>
      <c r="U49" s="31">
        <f t="shared" si="21"/>
        <v>209.73333333333332</v>
      </c>
      <c r="V49" s="31">
        <f t="shared" si="22"/>
        <v>9926.4816279999977</v>
      </c>
      <c r="W49" s="31">
        <f t="shared" si="23"/>
        <v>246.17837199999994</v>
      </c>
      <c r="X49" s="31">
        <f>Y82</f>
        <v>10172.659999999998</v>
      </c>
      <c r="Y49" s="31">
        <f t="shared" si="4"/>
        <v>0.17376846153846137</v>
      </c>
      <c r="Z49" s="31">
        <f>'[1]STA MARIA'!$G49</f>
        <v>8666.6666666666661</v>
      </c>
      <c r="AA49" s="31">
        <f t="shared" si="24"/>
        <v>8456.9333333333325</v>
      </c>
      <c r="AB49" s="31">
        <f t="shared" si="25"/>
        <v>209.73333333333332</v>
      </c>
      <c r="AC49" s="31">
        <f t="shared" si="26"/>
        <v>8212.7426360000009</v>
      </c>
      <c r="AD49" s="31">
        <f t="shared" si="27"/>
        <v>203.67736399999998</v>
      </c>
      <c r="AE49" s="31">
        <f>AF82</f>
        <v>8416.42</v>
      </c>
      <c r="AF49" s="31">
        <f t="shared" si="5"/>
        <v>-2.8874615384615332E-2</v>
      </c>
      <c r="AG49" s="31">
        <f>'[1]STA MARIA'!$H49</f>
        <v>8666.6666666666661</v>
      </c>
      <c r="AH49" s="31">
        <f t="shared" si="28"/>
        <v>8456.9333333333325</v>
      </c>
      <c r="AI49" s="31">
        <f t="shared" si="29"/>
        <v>209.73333333333332</v>
      </c>
      <c r="AJ49" s="31">
        <f t="shared" si="30"/>
        <v>11288.708186</v>
      </c>
      <c r="AK49" s="31">
        <f t="shared" si="31"/>
        <v>279.961814</v>
      </c>
      <c r="AL49" s="31">
        <f>AM82</f>
        <v>11568.67</v>
      </c>
      <c r="AM49" s="31">
        <f t="shared" si="6"/>
        <v>0.33484653846153867</v>
      </c>
      <c r="AN49" s="31">
        <f>'[1]STA MARIA'!$I49</f>
        <v>8666.6666666666661</v>
      </c>
      <c r="AO49" s="31">
        <f t="shared" si="32"/>
        <v>8456.9333333333325</v>
      </c>
      <c r="AP49" s="31">
        <f t="shared" si="33"/>
        <v>209.73333333333332</v>
      </c>
      <c r="AQ49" s="31">
        <f t="shared" si="34"/>
        <v>12165.493760000001</v>
      </c>
      <c r="AR49" s="31">
        <f t="shared" si="35"/>
        <v>301.70624000000004</v>
      </c>
      <c r="AS49" s="33">
        <v>12467.2</v>
      </c>
      <c r="AT49" s="37">
        <f t="shared" si="7"/>
        <v>0.43852307692307702</v>
      </c>
      <c r="AU49" s="36">
        <f>'[1]STA MARIA'!$J49</f>
        <v>8666.6666666666661</v>
      </c>
      <c r="AV49" s="31">
        <f t="shared" si="36"/>
        <v>8456.9333333333325</v>
      </c>
      <c r="AW49" s="18">
        <f t="shared" si="37"/>
        <v>209.73333333333332</v>
      </c>
      <c r="AX49" s="31">
        <f t="shared" si="38"/>
        <v>14765.3177</v>
      </c>
      <c r="AY49" s="31">
        <f t="shared" si="39"/>
        <v>366.1823</v>
      </c>
      <c r="AZ49" s="33">
        <v>15131.5</v>
      </c>
      <c r="BA49" s="37">
        <f t="shared" si="8"/>
        <v>0.74594230769230774</v>
      </c>
      <c r="BB49" s="36">
        <f>'[1]STA MARIA'!$K49</f>
        <v>8666.6666666666661</v>
      </c>
      <c r="BC49" s="31">
        <f t="shared" si="40"/>
        <v>8456.9333333333325</v>
      </c>
      <c r="BD49" s="18">
        <f t="shared" si="41"/>
        <v>209.73333333333332</v>
      </c>
      <c r="BE49" s="31">
        <f t="shared" si="42"/>
        <v>0</v>
      </c>
      <c r="BF49" s="31">
        <f t="shared" si="43"/>
        <v>0</v>
      </c>
      <c r="BG49" s="33"/>
      <c r="BH49" s="37">
        <f t="shared" si="9"/>
        <v>-1</v>
      </c>
      <c r="BI49" s="36">
        <f>'[1]STA MARIA'!$L49</f>
        <v>8666.6666666666661</v>
      </c>
      <c r="BJ49" s="31">
        <f t="shared" si="44"/>
        <v>8456.9333333333325</v>
      </c>
      <c r="BK49" s="18">
        <f t="shared" si="45"/>
        <v>209.73333333333332</v>
      </c>
      <c r="BL49" s="31">
        <f t="shared" si="46"/>
        <v>0</v>
      </c>
      <c r="BM49" s="31">
        <f t="shared" si="47"/>
        <v>0</v>
      </c>
      <c r="BN49" s="33"/>
      <c r="BO49" s="37">
        <f t="shared" si="10"/>
        <v>-1</v>
      </c>
      <c r="BP49" s="36">
        <f>'[1]STA MARIA'!$M49</f>
        <v>8666.6666666666661</v>
      </c>
      <c r="BQ49" s="31">
        <f t="shared" si="48"/>
        <v>8456.9333333333325</v>
      </c>
      <c r="BR49" s="18">
        <f t="shared" si="49"/>
        <v>209.73333333333332</v>
      </c>
      <c r="BS49" s="31">
        <f t="shared" si="50"/>
        <v>0</v>
      </c>
      <c r="BT49" s="31">
        <f t="shared" si="51"/>
        <v>0</v>
      </c>
      <c r="BU49" s="33"/>
      <c r="BV49" s="37">
        <f t="shared" si="11"/>
        <v>-1</v>
      </c>
      <c r="BW49" s="36">
        <f>'[1]STA MARIA'!$N49</f>
        <v>8666.6666666666661</v>
      </c>
      <c r="BX49" s="31">
        <f t="shared" si="52"/>
        <v>8456.9333333333325</v>
      </c>
      <c r="BY49" s="18">
        <f t="shared" si="53"/>
        <v>209.73333333333332</v>
      </c>
      <c r="BZ49" s="31">
        <f t="shared" si="54"/>
        <v>0</v>
      </c>
      <c r="CA49" s="31">
        <f t="shared" si="55"/>
        <v>0</v>
      </c>
      <c r="CB49" s="33"/>
      <c r="CC49" s="37">
        <f t="shared" si="12"/>
        <v>-1</v>
      </c>
      <c r="CD49" s="36">
        <f>'[1]STA MARIA'!$O49</f>
        <v>8666.6666666666661</v>
      </c>
      <c r="CE49" s="31">
        <f t="shared" si="56"/>
        <v>8456.9333333333325</v>
      </c>
      <c r="CF49" s="18">
        <f t="shared" si="57"/>
        <v>209.73333333333332</v>
      </c>
      <c r="CG49" s="31">
        <f t="shared" si="58"/>
        <v>0</v>
      </c>
      <c r="CH49" s="31">
        <f t="shared" si="59"/>
        <v>0</v>
      </c>
      <c r="CI49" s="33"/>
      <c r="CJ49" s="37">
        <f t="shared" si="13"/>
        <v>-1</v>
      </c>
      <c r="CK49" s="36">
        <f>'[1]STA MARIA'!$P49</f>
        <v>8666.6666666666661</v>
      </c>
      <c r="CL49" s="31">
        <f t="shared" si="60"/>
        <v>8456.9333333333325</v>
      </c>
      <c r="CM49" s="18">
        <f t="shared" si="61"/>
        <v>209.73333333333332</v>
      </c>
      <c r="CN49" s="31">
        <f t="shared" si="62"/>
        <v>0</v>
      </c>
      <c r="CO49" s="31">
        <f t="shared" si="63"/>
        <v>0</v>
      </c>
      <c r="CP49" s="33"/>
      <c r="CQ49" s="37">
        <f t="shared" si="14"/>
        <v>-1</v>
      </c>
    </row>
    <row r="50" spans="1:99" s="26" customFormat="1" ht="16" customHeight="1" thickBot="1" x14ac:dyDescent="0.25">
      <c r="A50" s="29" t="s">
        <v>74</v>
      </c>
      <c r="B50" s="30">
        <f t="shared" si="64"/>
        <v>11087.600000000004</v>
      </c>
      <c r="C50" s="31">
        <f t="shared" si="64"/>
        <v>10819.280080000002</v>
      </c>
      <c r="D50" s="32">
        <f t="shared" si="64"/>
        <v>268.31992000000002</v>
      </c>
      <c r="E50" s="30">
        <f t="shared" si="66"/>
        <v>3695.8666666666672</v>
      </c>
      <c r="F50" s="33">
        <f t="shared" si="66"/>
        <v>3606.4266933333338</v>
      </c>
      <c r="G50" s="34">
        <f t="shared" si="66"/>
        <v>89.439973333333342</v>
      </c>
      <c r="H50" s="31">
        <f t="shared" si="65"/>
        <v>5189.1287560000001</v>
      </c>
      <c r="I50" s="33">
        <f t="shared" si="65"/>
        <v>128.69124399999998</v>
      </c>
      <c r="J50" s="33">
        <f t="shared" si="65"/>
        <v>5317.82</v>
      </c>
      <c r="K50" s="37">
        <f t="shared" si="2"/>
        <v>0.43885601933691665</v>
      </c>
      <c r="L50" s="36">
        <f>'[1]STA MARIA'!$E50</f>
        <v>923.96666666666681</v>
      </c>
      <c r="M50" s="28">
        <f t="shared" si="16"/>
        <v>901.60667333333345</v>
      </c>
      <c r="N50" s="28">
        <f t="shared" si="17"/>
        <v>22.359993333333335</v>
      </c>
      <c r="O50" s="28">
        <f t="shared" si="18"/>
        <v>842.905798</v>
      </c>
      <c r="P50" s="28">
        <f t="shared" si="19"/>
        <v>20.904201999999998</v>
      </c>
      <c r="Q50" s="28">
        <f>863.81</f>
        <v>863.81</v>
      </c>
      <c r="R50" s="28">
        <f t="shared" si="3"/>
        <v>-6.5106966340777284E-2</v>
      </c>
      <c r="S50" s="28">
        <f>'[1]STA MARIA'!$F50</f>
        <v>923.96666666666681</v>
      </c>
      <c r="T50" s="28">
        <f t="shared" si="20"/>
        <v>901.60667333333345</v>
      </c>
      <c r="U50" s="28">
        <f t="shared" si="21"/>
        <v>22.359993333333335</v>
      </c>
      <c r="V50" s="28">
        <f t="shared" si="22"/>
        <v>976.12201400000004</v>
      </c>
      <c r="W50" s="28">
        <f t="shared" si="23"/>
        <v>24.207986000000002</v>
      </c>
      <c r="X50" s="28">
        <f>1000.33</f>
        <v>1000.33</v>
      </c>
      <c r="Y50" s="28">
        <f t="shared" si="4"/>
        <v>8.2647281647966864E-2</v>
      </c>
      <c r="Z50" s="28">
        <f>'[1]STA MARIA'!$G50</f>
        <v>923.96666666666681</v>
      </c>
      <c r="AA50" s="28">
        <f t="shared" si="24"/>
        <v>901.60667333333345</v>
      </c>
      <c r="AB50" s="28">
        <f t="shared" si="25"/>
        <v>22.359993333333335</v>
      </c>
      <c r="AC50" s="28">
        <f t="shared" si="26"/>
        <v>1721.301442</v>
      </c>
      <c r="AD50" s="28">
        <f t="shared" si="27"/>
        <v>42.688558</v>
      </c>
      <c r="AE50" s="28">
        <f>1763.99</f>
        <v>1763.99</v>
      </c>
      <c r="AF50" s="28">
        <f t="shared" si="5"/>
        <v>0.90914895919766203</v>
      </c>
      <c r="AG50" s="28">
        <f>'[1]STA MARIA'!$H50</f>
        <v>923.96666666666681</v>
      </c>
      <c r="AH50" s="28">
        <f t="shared" si="28"/>
        <v>901.60667333333345</v>
      </c>
      <c r="AI50" s="28">
        <f t="shared" si="29"/>
        <v>22.359993333333335</v>
      </c>
      <c r="AJ50" s="28">
        <f t="shared" si="30"/>
        <v>797.17005200000006</v>
      </c>
      <c r="AK50" s="28">
        <f t="shared" si="31"/>
        <v>19.769947999999999</v>
      </c>
      <c r="AL50" s="28">
        <f>816.94</f>
        <v>816.94</v>
      </c>
      <c r="AM50" s="28">
        <f t="shared" si="6"/>
        <v>-0.11583390454201092</v>
      </c>
      <c r="AN50" s="28">
        <f>'[1]STA MARIA'!$I50</f>
        <v>923.96666666666681</v>
      </c>
      <c r="AO50" s="28">
        <f t="shared" si="32"/>
        <v>901.60667333333345</v>
      </c>
      <c r="AP50" s="28">
        <f t="shared" si="33"/>
        <v>22.359993333333335</v>
      </c>
      <c r="AQ50" s="28">
        <f t="shared" si="34"/>
        <v>684.04555800000003</v>
      </c>
      <c r="AR50" s="28">
        <f t="shared" si="35"/>
        <v>16.964441999999998</v>
      </c>
      <c r="AS50" s="150">
        <v>701.01</v>
      </c>
      <c r="AT50" s="37">
        <f t="shared" si="7"/>
        <v>-0.24130379883834208</v>
      </c>
      <c r="AU50" s="36">
        <f>'[1]STA MARIA'!$J50</f>
        <v>923.96666666666681</v>
      </c>
      <c r="AV50" s="28">
        <f t="shared" si="36"/>
        <v>901.60667333333345</v>
      </c>
      <c r="AW50" s="18">
        <f t="shared" si="37"/>
        <v>22.359993333333335</v>
      </c>
      <c r="AX50" s="28">
        <f t="shared" si="38"/>
        <v>167.58389200000002</v>
      </c>
      <c r="AY50" s="28">
        <f t="shared" si="39"/>
        <v>4.1561079999999997</v>
      </c>
      <c r="AZ50" s="150">
        <v>171.74</v>
      </c>
      <c r="BA50" s="37">
        <f t="shared" si="8"/>
        <v>-0.8141274937768318</v>
      </c>
      <c r="BB50" s="36">
        <f>'[1]STA MARIA'!$K50</f>
        <v>923.96666666666681</v>
      </c>
      <c r="BC50" s="28">
        <f t="shared" si="40"/>
        <v>901.60667333333345</v>
      </c>
      <c r="BD50" s="18">
        <f t="shared" si="41"/>
        <v>22.359993333333335</v>
      </c>
      <c r="BE50" s="28">
        <f t="shared" si="42"/>
        <v>0</v>
      </c>
      <c r="BF50" s="28">
        <f t="shared" si="43"/>
        <v>0</v>
      </c>
      <c r="BG50" s="150"/>
      <c r="BH50" s="37">
        <f t="shared" si="9"/>
        <v>-1</v>
      </c>
      <c r="BI50" s="36">
        <f>'[1]STA MARIA'!$L50</f>
        <v>923.96666666666681</v>
      </c>
      <c r="BJ50" s="28">
        <f t="shared" si="44"/>
        <v>901.60667333333345</v>
      </c>
      <c r="BK50" s="18">
        <f t="shared" si="45"/>
        <v>22.359993333333335</v>
      </c>
      <c r="BL50" s="28">
        <f t="shared" si="46"/>
        <v>0</v>
      </c>
      <c r="BM50" s="28">
        <f t="shared" si="47"/>
        <v>0</v>
      </c>
      <c r="BN50" s="150"/>
      <c r="BO50" s="37">
        <f t="shared" si="10"/>
        <v>-1</v>
      </c>
      <c r="BP50" s="36">
        <f>'[1]STA MARIA'!$M50</f>
        <v>923.96666666666681</v>
      </c>
      <c r="BQ50" s="28">
        <f t="shared" si="48"/>
        <v>901.60667333333345</v>
      </c>
      <c r="BR50" s="18">
        <f t="shared" si="49"/>
        <v>22.359993333333335</v>
      </c>
      <c r="BS50" s="28">
        <f t="shared" si="50"/>
        <v>0</v>
      </c>
      <c r="BT50" s="28">
        <f t="shared" si="51"/>
        <v>0</v>
      </c>
      <c r="BU50" s="150"/>
      <c r="BV50" s="37">
        <f t="shared" si="11"/>
        <v>-1</v>
      </c>
      <c r="BW50" s="36">
        <f>'[1]STA MARIA'!$N50</f>
        <v>923.96666666666681</v>
      </c>
      <c r="BX50" s="28">
        <f t="shared" si="52"/>
        <v>901.60667333333345</v>
      </c>
      <c r="BY50" s="18">
        <f t="shared" si="53"/>
        <v>22.359993333333335</v>
      </c>
      <c r="BZ50" s="28">
        <f t="shared" si="54"/>
        <v>0</v>
      </c>
      <c r="CA50" s="28">
        <f t="shared" si="55"/>
        <v>0</v>
      </c>
      <c r="CB50" s="150"/>
      <c r="CC50" s="37">
        <f t="shared" si="12"/>
        <v>-1</v>
      </c>
      <c r="CD50" s="36">
        <f>'[1]STA MARIA'!$O50</f>
        <v>923.96666666666681</v>
      </c>
      <c r="CE50" s="28">
        <f t="shared" si="56"/>
        <v>901.60667333333345</v>
      </c>
      <c r="CF50" s="18">
        <f t="shared" si="57"/>
        <v>22.359993333333335</v>
      </c>
      <c r="CG50" s="28">
        <f t="shared" si="58"/>
        <v>0</v>
      </c>
      <c r="CH50" s="28">
        <f t="shared" si="59"/>
        <v>0</v>
      </c>
      <c r="CI50" s="150"/>
      <c r="CJ50" s="37">
        <f t="shared" si="13"/>
        <v>-1</v>
      </c>
      <c r="CK50" s="36">
        <f>'[1]STA MARIA'!$P50</f>
        <v>923.96666666666681</v>
      </c>
      <c r="CL50" s="28">
        <f t="shared" si="60"/>
        <v>901.60667333333345</v>
      </c>
      <c r="CM50" s="18">
        <f t="shared" si="61"/>
        <v>22.359993333333335</v>
      </c>
      <c r="CN50" s="28">
        <f t="shared" si="62"/>
        <v>0</v>
      </c>
      <c r="CO50" s="28">
        <f t="shared" si="63"/>
        <v>0</v>
      </c>
      <c r="CP50" s="150"/>
      <c r="CQ50" s="37">
        <f t="shared" si="14"/>
        <v>-1</v>
      </c>
    </row>
    <row r="51" spans="1:99" s="26" customFormat="1" ht="16" customHeight="1" thickBot="1" x14ac:dyDescent="0.25">
      <c r="A51" s="29" t="s">
        <v>75</v>
      </c>
      <c r="B51" s="30">
        <f t="shared" si="64"/>
        <v>8333.5866000000005</v>
      </c>
      <c r="C51" s="31">
        <f t="shared" si="64"/>
        <v>8131.9138042800032</v>
      </c>
      <c r="D51" s="32">
        <f t="shared" si="64"/>
        <v>201.67279572000004</v>
      </c>
      <c r="E51" s="30">
        <f t="shared" si="66"/>
        <v>2777.8622000000005</v>
      </c>
      <c r="F51" s="33">
        <f t="shared" si="66"/>
        <v>2710.6379347600005</v>
      </c>
      <c r="G51" s="34">
        <f t="shared" si="66"/>
        <v>67.224265240000008</v>
      </c>
      <c r="H51" s="31">
        <f t="shared" si="65"/>
        <v>4009.6402640000001</v>
      </c>
      <c r="I51" s="33">
        <f t="shared" si="65"/>
        <v>99.439735999999996</v>
      </c>
      <c r="J51" s="33">
        <f t="shared" si="65"/>
        <v>4109.08</v>
      </c>
      <c r="K51" s="37">
        <f t="shared" si="2"/>
        <v>0.47922384342895019</v>
      </c>
      <c r="L51" s="36">
        <f>'[1]STA MARIA'!$E51</f>
        <v>694.46555000000012</v>
      </c>
      <c r="M51" s="31">
        <f t="shared" si="16"/>
        <v>677.65948369000012</v>
      </c>
      <c r="N51" s="31">
        <f t="shared" si="17"/>
        <v>16.806066310000002</v>
      </c>
      <c r="O51" s="31">
        <f t="shared" si="18"/>
        <v>671.174756</v>
      </c>
      <c r="P51" s="31">
        <f t="shared" si="19"/>
        <v>16.645244000000002</v>
      </c>
      <c r="Q51" s="31">
        <f>687.82</f>
        <v>687.82</v>
      </c>
      <c r="R51" s="31">
        <f t="shared" si="3"/>
        <v>-9.5693011697989272E-3</v>
      </c>
      <c r="S51" s="31">
        <f>'[1]STA MARIA'!$F51</f>
        <v>694.46555000000012</v>
      </c>
      <c r="T51" s="31">
        <f t="shared" si="20"/>
        <v>677.65948369000012</v>
      </c>
      <c r="U51" s="31">
        <f t="shared" si="21"/>
        <v>16.806066310000002</v>
      </c>
      <c r="V51" s="31">
        <f t="shared" si="22"/>
        <v>653.70793600000002</v>
      </c>
      <c r="W51" s="31">
        <f t="shared" si="23"/>
        <v>16.212063999999998</v>
      </c>
      <c r="X51" s="31">
        <f>669.92</f>
        <v>669.92</v>
      </c>
      <c r="Y51" s="31">
        <f t="shared" si="4"/>
        <v>-3.5344517809414944E-2</v>
      </c>
      <c r="Z51" s="31">
        <f>'[1]STA MARIA'!$G51</f>
        <v>694.46555000000012</v>
      </c>
      <c r="AA51" s="31">
        <f t="shared" si="24"/>
        <v>677.65948369000012</v>
      </c>
      <c r="AB51" s="31">
        <f t="shared" si="25"/>
        <v>16.806066310000002</v>
      </c>
      <c r="AC51" s="31">
        <f t="shared" si="26"/>
        <v>608.00146400000006</v>
      </c>
      <c r="AD51" s="31">
        <f t="shared" si="27"/>
        <v>15.078536</v>
      </c>
      <c r="AE51" s="31">
        <f>623.08</f>
        <v>623.08000000000004</v>
      </c>
      <c r="AF51" s="31">
        <f t="shared" si="5"/>
        <v>-0.10279206794347118</v>
      </c>
      <c r="AG51" s="31">
        <f>'[1]STA MARIA'!$H51</f>
        <v>694.46555000000012</v>
      </c>
      <c r="AH51" s="31">
        <f t="shared" si="28"/>
        <v>677.65948369000012</v>
      </c>
      <c r="AI51" s="31">
        <f t="shared" si="29"/>
        <v>16.806066310000002</v>
      </c>
      <c r="AJ51" s="31">
        <f t="shared" si="30"/>
        <v>810.8410100000001</v>
      </c>
      <c r="AK51" s="31">
        <f t="shared" si="31"/>
        <v>20.108990000000002</v>
      </c>
      <c r="AL51" s="31">
        <f>830.95</f>
        <v>830.95</v>
      </c>
      <c r="AM51" s="31">
        <f t="shared" si="6"/>
        <v>0.1965316350105486</v>
      </c>
      <c r="AN51" s="31">
        <f>'[1]STA MARIA'!$I51</f>
        <v>694.46555000000012</v>
      </c>
      <c r="AO51" s="31">
        <f t="shared" si="32"/>
        <v>677.65948369000012</v>
      </c>
      <c r="AP51" s="31">
        <f t="shared" si="33"/>
        <v>16.806066310000002</v>
      </c>
      <c r="AQ51" s="31">
        <f t="shared" si="34"/>
        <v>665.93471</v>
      </c>
      <c r="AR51" s="31">
        <f t="shared" si="35"/>
        <v>16.51529</v>
      </c>
      <c r="AS51" s="45">
        <v>682.45</v>
      </c>
      <c r="AT51" s="37">
        <f t="shared" si="7"/>
        <v>-1.7301866161683721E-2</v>
      </c>
      <c r="AU51" s="36">
        <f>'[1]STA MARIA'!$J51</f>
        <v>694.46555000000012</v>
      </c>
      <c r="AV51" s="31">
        <f t="shared" si="36"/>
        <v>677.65948369000012</v>
      </c>
      <c r="AW51" s="18">
        <f t="shared" si="37"/>
        <v>16.806066310000002</v>
      </c>
      <c r="AX51" s="31">
        <f t="shared" si="38"/>
        <v>599.98038800000006</v>
      </c>
      <c r="AY51" s="31">
        <f t="shared" si="39"/>
        <v>14.879612</v>
      </c>
      <c r="AZ51" s="45">
        <v>614.86</v>
      </c>
      <c r="BA51" s="37">
        <f t="shared" si="8"/>
        <v>-0.11462850821037862</v>
      </c>
      <c r="BB51" s="36">
        <f>'[1]STA MARIA'!$K51</f>
        <v>694.46555000000012</v>
      </c>
      <c r="BC51" s="31">
        <f t="shared" si="40"/>
        <v>677.65948369000012</v>
      </c>
      <c r="BD51" s="18">
        <f t="shared" si="41"/>
        <v>16.806066310000002</v>
      </c>
      <c r="BE51" s="31">
        <f t="shared" si="42"/>
        <v>0</v>
      </c>
      <c r="BF51" s="31">
        <f t="shared" si="43"/>
        <v>0</v>
      </c>
      <c r="BG51" s="45"/>
      <c r="BH51" s="37">
        <f t="shared" si="9"/>
        <v>-1</v>
      </c>
      <c r="BI51" s="36">
        <f>'[1]STA MARIA'!$L51</f>
        <v>694.46555000000012</v>
      </c>
      <c r="BJ51" s="31">
        <f t="shared" si="44"/>
        <v>677.65948369000012</v>
      </c>
      <c r="BK51" s="18">
        <f t="shared" si="45"/>
        <v>16.806066310000002</v>
      </c>
      <c r="BL51" s="31">
        <f t="shared" si="46"/>
        <v>0</v>
      </c>
      <c r="BM51" s="31">
        <f t="shared" si="47"/>
        <v>0</v>
      </c>
      <c r="BN51" s="45"/>
      <c r="BO51" s="37">
        <f t="shared" si="10"/>
        <v>-1</v>
      </c>
      <c r="BP51" s="36">
        <f>'[1]STA MARIA'!$M51</f>
        <v>694.46555000000012</v>
      </c>
      <c r="BQ51" s="31">
        <f t="shared" si="48"/>
        <v>677.65948369000012</v>
      </c>
      <c r="BR51" s="18">
        <f t="shared" si="49"/>
        <v>16.806066310000002</v>
      </c>
      <c r="BS51" s="31">
        <f t="shared" si="50"/>
        <v>0</v>
      </c>
      <c r="BT51" s="31">
        <f t="shared" si="51"/>
        <v>0</v>
      </c>
      <c r="BU51" s="45"/>
      <c r="BV51" s="37">
        <f t="shared" si="11"/>
        <v>-1</v>
      </c>
      <c r="BW51" s="36">
        <f>'[1]STA MARIA'!$N51</f>
        <v>694.46555000000012</v>
      </c>
      <c r="BX51" s="31">
        <f t="shared" si="52"/>
        <v>677.65948369000012</v>
      </c>
      <c r="BY51" s="18">
        <f t="shared" si="53"/>
        <v>16.806066310000002</v>
      </c>
      <c r="BZ51" s="31">
        <f t="shared" si="54"/>
        <v>0</v>
      </c>
      <c r="CA51" s="31">
        <f t="shared" si="55"/>
        <v>0</v>
      </c>
      <c r="CB51" s="45"/>
      <c r="CC51" s="37">
        <f t="shared" si="12"/>
        <v>-1</v>
      </c>
      <c r="CD51" s="36">
        <f>'[1]STA MARIA'!$O51</f>
        <v>694.46555000000012</v>
      </c>
      <c r="CE51" s="31">
        <f t="shared" si="56"/>
        <v>677.65948369000012</v>
      </c>
      <c r="CF51" s="18">
        <f t="shared" si="57"/>
        <v>16.806066310000002</v>
      </c>
      <c r="CG51" s="31">
        <f t="shared" si="58"/>
        <v>0</v>
      </c>
      <c r="CH51" s="31">
        <f t="shared" si="59"/>
        <v>0</v>
      </c>
      <c r="CI51" s="45"/>
      <c r="CJ51" s="37">
        <f t="shared" si="13"/>
        <v>-1</v>
      </c>
      <c r="CK51" s="36">
        <f>'[1]STA MARIA'!$P51</f>
        <v>694.46555000000012</v>
      </c>
      <c r="CL51" s="31">
        <f t="shared" si="60"/>
        <v>677.65948369000012</v>
      </c>
      <c r="CM51" s="18">
        <f t="shared" si="61"/>
        <v>16.806066310000002</v>
      </c>
      <c r="CN51" s="31">
        <f t="shared" si="62"/>
        <v>0</v>
      </c>
      <c r="CO51" s="31">
        <f t="shared" si="63"/>
        <v>0</v>
      </c>
      <c r="CP51" s="45"/>
      <c r="CQ51" s="37">
        <f t="shared" si="14"/>
        <v>-1</v>
      </c>
    </row>
    <row r="52" spans="1:99" s="26" customFormat="1" ht="16" customHeight="1" thickBot="1" x14ac:dyDescent="0.25">
      <c r="A52" s="29" t="s">
        <v>76</v>
      </c>
      <c r="B52" s="30">
        <f t="shared" si="64"/>
        <v>20000</v>
      </c>
      <c r="C52" s="31">
        <f t="shared" si="64"/>
        <v>19516.000000000004</v>
      </c>
      <c r="D52" s="32">
        <f t="shared" si="64"/>
        <v>483.99999999999994</v>
      </c>
      <c r="E52" s="30">
        <f t="shared" si="66"/>
        <v>6666.666666666667</v>
      </c>
      <c r="F52" s="33">
        <f t="shared" si="66"/>
        <v>6505.3333333333339</v>
      </c>
      <c r="G52" s="34">
        <f t="shared" si="66"/>
        <v>161.33333333333334</v>
      </c>
      <c r="H52" s="31">
        <f t="shared" si="65"/>
        <v>2596.70138</v>
      </c>
      <c r="I52" s="33">
        <f t="shared" si="65"/>
        <v>64.398619999999994</v>
      </c>
      <c r="J52" s="33">
        <f t="shared" si="65"/>
        <v>2661.1</v>
      </c>
      <c r="K52" s="37">
        <f t="shared" si="2"/>
        <v>-0.60083500000000001</v>
      </c>
      <c r="L52" s="36">
        <f>'[1]STA MARIA'!$E52</f>
        <v>1666.6666666666667</v>
      </c>
      <c r="M52" s="31">
        <f t="shared" si="16"/>
        <v>1626.3333333333335</v>
      </c>
      <c r="N52" s="31">
        <f t="shared" si="17"/>
        <v>40.333333333333336</v>
      </c>
      <c r="O52" s="31">
        <f t="shared" si="18"/>
        <v>1425.7413799999999</v>
      </c>
      <c r="P52" s="31">
        <f t="shared" si="19"/>
        <v>35.358619999999995</v>
      </c>
      <c r="Q52" s="31">
        <f>1461.1</f>
        <v>1461.1</v>
      </c>
      <c r="R52" s="31">
        <f t="shared" si="3"/>
        <v>-0.12334000000000012</v>
      </c>
      <c r="S52" s="31">
        <f>'[1]STA MARIA'!$F52</f>
        <v>1666.6666666666667</v>
      </c>
      <c r="T52" s="31">
        <f t="shared" si="20"/>
        <v>1626.3333333333335</v>
      </c>
      <c r="U52" s="31">
        <f t="shared" si="21"/>
        <v>40.333333333333336</v>
      </c>
      <c r="V52" s="31">
        <f t="shared" si="22"/>
        <v>0</v>
      </c>
      <c r="W52" s="31">
        <f t="shared" si="23"/>
        <v>0</v>
      </c>
      <c r="X52" s="31"/>
      <c r="Y52" s="31">
        <f t="shared" si="4"/>
        <v>-1</v>
      </c>
      <c r="Z52" s="31">
        <f>'[1]STA MARIA'!$G52</f>
        <v>1666.6666666666667</v>
      </c>
      <c r="AA52" s="31">
        <f t="shared" si="24"/>
        <v>1626.3333333333335</v>
      </c>
      <c r="AB52" s="31">
        <f t="shared" si="25"/>
        <v>40.333333333333336</v>
      </c>
      <c r="AC52" s="31">
        <f t="shared" si="26"/>
        <v>0</v>
      </c>
      <c r="AD52" s="31">
        <f t="shared" si="27"/>
        <v>0</v>
      </c>
      <c r="AE52" s="31"/>
      <c r="AF52" s="31">
        <f t="shared" si="5"/>
        <v>-1</v>
      </c>
      <c r="AG52" s="31">
        <f>'[1]STA MARIA'!$H52</f>
        <v>1666.6666666666667</v>
      </c>
      <c r="AH52" s="31">
        <f t="shared" si="28"/>
        <v>1626.3333333333335</v>
      </c>
      <c r="AI52" s="31">
        <f t="shared" si="29"/>
        <v>40.333333333333336</v>
      </c>
      <c r="AJ52" s="31">
        <f t="shared" si="30"/>
        <v>0</v>
      </c>
      <c r="AK52" s="31">
        <f t="shared" si="31"/>
        <v>0</v>
      </c>
      <c r="AL52" s="31"/>
      <c r="AM52" s="31">
        <f t="shared" si="6"/>
        <v>-1</v>
      </c>
      <c r="AN52" s="31">
        <f>'[1]STA MARIA'!$I52</f>
        <v>1666.6666666666667</v>
      </c>
      <c r="AO52" s="31">
        <f t="shared" si="32"/>
        <v>1626.3333333333335</v>
      </c>
      <c r="AP52" s="31">
        <f t="shared" si="33"/>
        <v>40.333333333333336</v>
      </c>
      <c r="AQ52" s="31">
        <f t="shared" si="34"/>
        <v>1170.96</v>
      </c>
      <c r="AR52" s="31">
        <f t="shared" si="35"/>
        <v>29.04</v>
      </c>
      <c r="AS52" s="33">
        <v>1200</v>
      </c>
      <c r="AT52" s="37">
        <f t="shared" si="7"/>
        <v>-0.28000000000000003</v>
      </c>
      <c r="AU52" s="36">
        <f>'[1]STA MARIA'!$J52</f>
        <v>1666.6666666666667</v>
      </c>
      <c r="AV52" s="31">
        <f t="shared" si="36"/>
        <v>1626.3333333333335</v>
      </c>
      <c r="AW52" s="18">
        <f t="shared" si="37"/>
        <v>40.333333333333336</v>
      </c>
      <c r="AX52" s="31">
        <f t="shared" si="38"/>
        <v>0</v>
      </c>
      <c r="AY52" s="31">
        <f t="shared" si="39"/>
        <v>0</v>
      </c>
      <c r="AZ52" s="33"/>
      <c r="BA52" s="37">
        <f t="shared" si="8"/>
        <v>-1</v>
      </c>
      <c r="BB52" s="36">
        <f>'[1]STA MARIA'!$K52</f>
        <v>1666.6666666666667</v>
      </c>
      <c r="BC52" s="31">
        <f t="shared" si="40"/>
        <v>1626.3333333333335</v>
      </c>
      <c r="BD52" s="18">
        <f t="shared" si="41"/>
        <v>40.333333333333336</v>
      </c>
      <c r="BE52" s="31">
        <f t="shared" si="42"/>
        <v>0</v>
      </c>
      <c r="BF52" s="31">
        <f t="shared" si="43"/>
        <v>0</v>
      </c>
      <c r="BG52" s="33"/>
      <c r="BH52" s="37">
        <f t="shared" si="9"/>
        <v>-1</v>
      </c>
      <c r="BI52" s="36">
        <f>'[1]STA MARIA'!$L52</f>
        <v>1666.6666666666667</v>
      </c>
      <c r="BJ52" s="31">
        <f t="shared" si="44"/>
        <v>1626.3333333333335</v>
      </c>
      <c r="BK52" s="18">
        <f t="shared" si="45"/>
        <v>40.333333333333336</v>
      </c>
      <c r="BL52" s="31">
        <f t="shared" si="46"/>
        <v>0</v>
      </c>
      <c r="BM52" s="31">
        <f t="shared" si="47"/>
        <v>0</v>
      </c>
      <c r="BN52" s="33"/>
      <c r="BO52" s="37">
        <f t="shared" si="10"/>
        <v>-1</v>
      </c>
      <c r="BP52" s="36">
        <f>'[1]STA MARIA'!$M52</f>
        <v>1666.6666666666667</v>
      </c>
      <c r="BQ52" s="31">
        <f t="shared" si="48"/>
        <v>1626.3333333333335</v>
      </c>
      <c r="BR52" s="18">
        <f t="shared" si="49"/>
        <v>40.333333333333336</v>
      </c>
      <c r="BS52" s="31">
        <f t="shared" si="50"/>
        <v>0</v>
      </c>
      <c r="BT52" s="31">
        <f t="shared" si="51"/>
        <v>0</v>
      </c>
      <c r="BU52" s="33"/>
      <c r="BV52" s="37">
        <f t="shared" si="11"/>
        <v>-1</v>
      </c>
      <c r="BW52" s="36">
        <f>'[1]STA MARIA'!$N52</f>
        <v>1666.6666666666667</v>
      </c>
      <c r="BX52" s="31">
        <f t="shared" si="52"/>
        <v>1626.3333333333335</v>
      </c>
      <c r="BY52" s="18">
        <f t="shared" si="53"/>
        <v>40.333333333333336</v>
      </c>
      <c r="BZ52" s="31">
        <f t="shared" si="54"/>
        <v>0</v>
      </c>
      <c r="CA52" s="31">
        <f t="shared" si="55"/>
        <v>0</v>
      </c>
      <c r="CB52" s="33"/>
      <c r="CC52" s="37">
        <f t="shared" si="12"/>
        <v>-1</v>
      </c>
      <c r="CD52" s="36">
        <f>'[1]STA MARIA'!$O52</f>
        <v>1666.6666666666667</v>
      </c>
      <c r="CE52" s="31">
        <f t="shared" si="56"/>
        <v>1626.3333333333335</v>
      </c>
      <c r="CF52" s="18">
        <f t="shared" si="57"/>
        <v>40.333333333333336</v>
      </c>
      <c r="CG52" s="31">
        <f t="shared" si="58"/>
        <v>0</v>
      </c>
      <c r="CH52" s="31">
        <f t="shared" si="59"/>
        <v>0</v>
      </c>
      <c r="CI52" s="33"/>
      <c r="CJ52" s="37">
        <f t="shared" si="13"/>
        <v>-1</v>
      </c>
      <c r="CK52" s="36">
        <f>'[1]STA MARIA'!$P52</f>
        <v>1666.6666666666667</v>
      </c>
      <c r="CL52" s="31">
        <f t="shared" si="60"/>
        <v>1626.3333333333335</v>
      </c>
      <c r="CM52" s="18">
        <f t="shared" si="61"/>
        <v>40.333333333333336</v>
      </c>
      <c r="CN52" s="31">
        <f t="shared" si="62"/>
        <v>0</v>
      </c>
      <c r="CO52" s="31">
        <f t="shared" si="63"/>
        <v>0</v>
      </c>
      <c r="CP52" s="33"/>
      <c r="CQ52" s="37">
        <f t="shared" si="14"/>
        <v>-1</v>
      </c>
    </row>
    <row r="53" spans="1:99" s="26" customFormat="1" ht="16" customHeight="1" thickBot="1" x14ac:dyDescent="0.25">
      <c r="A53" s="38" t="s">
        <v>77</v>
      </c>
      <c r="B53" s="30">
        <f t="shared" si="64"/>
        <v>120000</v>
      </c>
      <c r="C53" s="31">
        <f t="shared" si="64"/>
        <v>117096</v>
      </c>
      <c r="D53" s="32">
        <f t="shared" si="64"/>
        <v>2904</v>
      </c>
      <c r="E53" s="30">
        <f t="shared" si="66"/>
        <v>40000</v>
      </c>
      <c r="F53" s="33">
        <f t="shared" si="66"/>
        <v>39032</v>
      </c>
      <c r="G53" s="34">
        <f t="shared" si="66"/>
        <v>968</v>
      </c>
      <c r="H53" s="31">
        <f t="shared" si="65"/>
        <v>89.441828000000001</v>
      </c>
      <c r="I53" s="33">
        <f t="shared" si="65"/>
        <v>2.218172</v>
      </c>
      <c r="J53" s="33">
        <f t="shared" si="65"/>
        <v>91.66</v>
      </c>
      <c r="K53" s="37">
        <f t="shared" si="2"/>
        <v>-0.9977085</v>
      </c>
      <c r="L53" s="36">
        <f>'[1]STA MARIA'!$E53</f>
        <v>10000</v>
      </c>
      <c r="M53" s="31">
        <f t="shared" si="16"/>
        <v>9758</v>
      </c>
      <c r="N53" s="31">
        <f t="shared" si="17"/>
        <v>242</v>
      </c>
      <c r="O53" s="31">
        <f t="shared" si="18"/>
        <v>0</v>
      </c>
      <c r="P53" s="31">
        <f t="shared" si="19"/>
        <v>0</v>
      </c>
      <c r="Q53" s="31"/>
      <c r="R53" s="31">
        <f t="shared" si="3"/>
        <v>-1</v>
      </c>
      <c r="S53" s="31">
        <f>'[1]STA MARIA'!$F53</f>
        <v>10000</v>
      </c>
      <c r="T53" s="31">
        <f t="shared" si="20"/>
        <v>9758</v>
      </c>
      <c r="U53" s="31">
        <f t="shared" si="21"/>
        <v>242</v>
      </c>
      <c r="V53" s="31">
        <f t="shared" si="22"/>
        <v>89.441828000000001</v>
      </c>
      <c r="W53" s="31">
        <f t="shared" si="23"/>
        <v>2.218172</v>
      </c>
      <c r="X53" s="31">
        <f>91.66</f>
        <v>91.66</v>
      </c>
      <c r="Y53" s="31">
        <f t="shared" si="4"/>
        <v>-0.99083399999999999</v>
      </c>
      <c r="Z53" s="31">
        <f>'[1]STA MARIA'!$G53</f>
        <v>10000</v>
      </c>
      <c r="AA53" s="31">
        <f t="shared" si="24"/>
        <v>9758</v>
      </c>
      <c r="AB53" s="31">
        <f t="shared" si="25"/>
        <v>242</v>
      </c>
      <c r="AC53" s="31">
        <f t="shared" si="26"/>
        <v>0</v>
      </c>
      <c r="AD53" s="31">
        <f t="shared" si="27"/>
        <v>0</v>
      </c>
      <c r="AE53" s="31"/>
      <c r="AF53" s="31">
        <f t="shared" si="5"/>
        <v>-1</v>
      </c>
      <c r="AG53" s="31">
        <f>'[1]STA MARIA'!$H53</f>
        <v>10000</v>
      </c>
      <c r="AH53" s="31">
        <f t="shared" si="28"/>
        <v>9758</v>
      </c>
      <c r="AI53" s="31">
        <f t="shared" si="29"/>
        <v>242</v>
      </c>
      <c r="AJ53" s="31">
        <f t="shared" si="30"/>
        <v>0</v>
      </c>
      <c r="AK53" s="31">
        <f t="shared" si="31"/>
        <v>0</v>
      </c>
      <c r="AL53" s="31"/>
      <c r="AM53" s="31">
        <f t="shared" si="6"/>
        <v>-1</v>
      </c>
      <c r="AN53" s="31">
        <f>'[1]STA MARIA'!$I53</f>
        <v>10000</v>
      </c>
      <c r="AO53" s="31">
        <f t="shared" si="32"/>
        <v>9758</v>
      </c>
      <c r="AP53" s="31">
        <f t="shared" si="33"/>
        <v>242</v>
      </c>
      <c r="AQ53" s="31">
        <f t="shared" si="34"/>
        <v>0</v>
      </c>
      <c r="AR53" s="31">
        <f t="shared" si="35"/>
        <v>0</v>
      </c>
      <c r="AS53" s="33"/>
      <c r="AT53" s="37">
        <f t="shared" si="7"/>
        <v>-1</v>
      </c>
      <c r="AU53" s="36">
        <f>'[1]STA MARIA'!$J53</f>
        <v>10000</v>
      </c>
      <c r="AV53" s="31">
        <f t="shared" si="36"/>
        <v>9758</v>
      </c>
      <c r="AW53" s="18">
        <f t="shared" si="37"/>
        <v>242</v>
      </c>
      <c r="AX53" s="31">
        <f t="shared" si="38"/>
        <v>0</v>
      </c>
      <c r="AY53" s="31">
        <f t="shared" si="39"/>
        <v>0</v>
      </c>
      <c r="AZ53" s="27"/>
      <c r="BA53" s="37">
        <f t="shared" si="8"/>
        <v>-1</v>
      </c>
      <c r="BB53" s="36">
        <f>'[1]STA MARIA'!$K53</f>
        <v>10000</v>
      </c>
      <c r="BC53" s="31">
        <f t="shared" si="40"/>
        <v>9758</v>
      </c>
      <c r="BD53" s="18">
        <f t="shared" si="41"/>
        <v>242</v>
      </c>
      <c r="BE53" s="31">
        <f t="shared" si="42"/>
        <v>0</v>
      </c>
      <c r="BF53" s="31">
        <f t="shared" si="43"/>
        <v>0</v>
      </c>
      <c r="BG53" s="33"/>
      <c r="BH53" s="37">
        <f t="shared" si="9"/>
        <v>-1</v>
      </c>
      <c r="BI53" s="36">
        <f>'[1]STA MARIA'!$L53</f>
        <v>10000</v>
      </c>
      <c r="BJ53" s="31">
        <f t="shared" si="44"/>
        <v>9758</v>
      </c>
      <c r="BK53" s="18">
        <f t="shared" si="45"/>
        <v>242</v>
      </c>
      <c r="BL53" s="31">
        <f t="shared" si="46"/>
        <v>0</v>
      </c>
      <c r="BM53" s="31">
        <f t="shared" si="47"/>
        <v>0</v>
      </c>
      <c r="BN53" s="33"/>
      <c r="BO53" s="37">
        <f t="shared" si="10"/>
        <v>-1</v>
      </c>
      <c r="BP53" s="36">
        <f>'[1]STA MARIA'!$M53</f>
        <v>10000</v>
      </c>
      <c r="BQ53" s="31">
        <f t="shared" si="48"/>
        <v>9758</v>
      </c>
      <c r="BR53" s="18">
        <f t="shared" si="49"/>
        <v>242</v>
      </c>
      <c r="BS53" s="31">
        <f t="shared" si="50"/>
        <v>0</v>
      </c>
      <c r="BT53" s="31">
        <f t="shared" si="51"/>
        <v>0</v>
      </c>
      <c r="BU53" s="33"/>
      <c r="BV53" s="37">
        <f t="shared" si="11"/>
        <v>-1</v>
      </c>
      <c r="BW53" s="36">
        <f>'[1]STA MARIA'!$N53</f>
        <v>10000</v>
      </c>
      <c r="BX53" s="31">
        <f t="shared" si="52"/>
        <v>9758</v>
      </c>
      <c r="BY53" s="18">
        <f t="shared" si="53"/>
        <v>242</v>
      </c>
      <c r="BZ53" s="31">
        <f t="shared" si="54"/>
        <v>0</v>
      </c>
      <c r="CA53" s="31">
        <f t="shared" si="55"/>
        <v>0</v>
      </c>
      <c r="CB53" s="33"/>
      <c r="CC53" s="37">
        <f t="shared" si="12"/>
        <v>-1</v>
      </c>
      <c r="CD53" s="36">
        <f>'[1]STA MARIA'!$O53</f>
        <v>10000</v>
      </c>
      <c r="CE53" s="31">
        <f t="shared" si="56"/>
        <v>9758</v>
      </c>
      <c r="CF53" s="18">
        <f t="shared" si="57"/>
        <v>242</v>
      </c>
      <c r="CG53" s="31">
        <f t="shared" si="58"/>
        <v>0</v>
      </c>
      <c r="CH53" s="31">
        <f t="shared" si="59"/>
        <v>0</v>
      </c>
      <c r="CI53" s="33"/>
      <c r="CJ53" s="37">
        <f t="shared" si="13"/>
        <v>-1</v>
      </c>
      <c r="CK53" s="36">
        <f>'[1]STA MARIA'!$P53</f>
        <v>10000</v>
      </c>
      <c r="CL53" s="31">
        <f t="shared" si="60"/>
        <v>9758</v>
      </c>
      <c r="CM53" s="18">
        <f t="shared" si="61"/>
        <v>242</v>
      </c>
      <c r="CN53" s="31">
        <f t="shared" si="62"/>
        <v>0</v>
      </c>
      <c r="CO53" s="31">
        <f t="shared" si="63"/>
        <v>0</v>
      </c>
      <c r="CP53" s="33"/>
      <c r="CQ53" s="37">
        <f t="shared" si="14"/>
        <v>-1</v>
      </c>
    </row>
    <row r="54" spans="1:99" s="26" customFormat="1" ht="16" customHeight="1" thickBot="1" x14ac:dyDescent="0.25">
      <c r="A54" s="39" t="s">
        <v>78</v>
      </c>
      <c r="B54" s="50">
        <f t="shared" si="64"/>
        <v>414375</v>
      </c>
      <c r="C54" s="40">
        <f t="shared" si="64"/>
        <v>404347.125</v>
      </c>
      <c r="D54" s="51">
        <f t="shared" si="64"/>
        <v>10027.874999999998</v>
      </c>
      <c r="E54" s="52">
        <f t="shared" si="66"/>
        <v>236785.71428571429</v>
      </c>
      <c r="F54" s="53">
        <f t="shared" si="66"/>
        <v>231055.5</v>
      </c>
      <c r="G54" s="54">
        <f t="shared" si="66"/>
        <v>5730.2142857142853</v>
      </c>
      <c r="H54" s="40">
        <f t="shared" si="65"/>
        <v>192555.65810599999</v>
      </c>
      <c r="I54" s="53">
        <f t="shared" si="65"/>
        <v>4775.4118939999998</v>
      </c>
      <c r="J54" s="53">
        <f t="shared" si="65"/>
        <v>197331.07</v>
      </c>
      <c r="K54" s="60">
        <f t="shared" si="2"/>
        <v>-0.16662594871794867</v>
      </c>
      <c r="L54" s="56">
        <f>'[1]STA MARIA'!$E54</f>
        <v>59196.428571428572</v>
      </c>
      <c r="M54" s="57">
        <f t="shared" si="16"/>
        <v>57763.875</v>
      </c>
      <c r="N54" s="57">
        <f t="shared" si="17"/>
        <v>1432.5535714285713</v>
      </c>
      <c r="O54" s="57">
        <f t="shared" si="18"/>
        <v>0</v>
      </c>
      <c r="P54" s="57">
        <f t="shared" si="19"/>
        <v>0</v>
      </c>
      <c r="Q54" s="57"/>
      <c r="R54" s="57">
        <f t="shared" si="3"/>
        <v>-1</v>
      </c>
      <c r="S54" s="57">
        <f>'[1]STA MARIA'!$F54</f>
        <v>59196.428571428572</v>
      </c>
      <c r="T54" s="57">
        <f t="shared" si="20"/>
        <v>57763.875</v>
      </c>
      <c r="U54" s="57">
        <f t="shared" si="21"/>
        <v>1432.5535714285713</v>
      </c>
      <c r="V54" s="57">
        <f t="shared" si="22"/>
        <v>106697.69955600001</v>
      </c>
      <c r="W54" s="57">
        <f t="shared" si="23"/>
        <v>2646.1204440000001</v>
      </c>
      <c r="X54" s="57">
        <v>109343.82</v>
      </c>
      <c r="Y54" s="57">
        <f t="shared" si="4"/>
        <v>0.84713542081447968</v>
      </c>
      <c r="Z54" s="57">
        <f>'[1]STA MARIA'!$G54</f>
        <v>59196.428571428572</v>
      </c>
      <c r="AA54" s="57">
        <f t="shared" si="24"/>
        <v>57763.875</v>
      </c>
      <c r="AB54" s="57">
        <f t="shared" si="25"/>
        <v>1432.5535714285713</v>
      </c>
      <c r="AC54" s="57">
        <f t="shared" si="26"/>
        <v>85857.958549999996</v>
      </c>
      <c r="AD54" s="57">
        <f t="shared" si="27"/>
        <v>2129.2914499999997</v>
      </c>
      <c r="AE54" s="57">
        <v>87987.25</v>
      </c>
      <c r="AF54" s="57">
        <f t="shared" si="5"/>
        <v>0.48636078431372542</v>
      </c>
      <c r="AG54" s="57">
        <f>'[1]STA MARIA'!$H54</f>
        <v>59196.428571428572</v>
      </c>
      <c r="AH54" s="57">
        <f t="shared" si="28"/>
        <v>57763.875</v>
      </c>
      <c r="AI54" s="57">
        <f t="shared" si="29"/>
        <v>1432.5535714285713</v>
      </c>
      <c r="AJ54" s="57">
        <f t="shared" si="30"/>
        <v>0</v>
      </c>
      <c r="AK54" s="57">
        <f t="shared" si="31"/>
        <v>0</v>
      </c>
      <c r="AL54" s="57"/>
      <c r="AM54" s="57">
        <f t="shared" si="6"/>
        <v>-1</v>
      </c>
      <c r="AN54" s="57">
        <f>'[1]STA MARIA'!$I54</f>
        <v>59196.428571428572</v>
      </c>
      <c r="AO54" s="57">
        <f t="shared" si="32"/>
        <v>57763.875</v>
      </c>
      <c r="AP54" s="57">
        <f t="shared" si="33"/>
        <v>1432.5535714285713</v>
      </c>
      <c r="AQ54" s="57">
        <f t="shared" si="34"/>
        <v>0</v>
      </c>
      <c r="AR54" s="57">
        <f t="shared" si="35"/>
        <v>0</v>
      </c>
      <c r="AS54" s="58"/>
      <c r="AT54" s="60">
        <f t="shared" si="7"/>
        <v>-1</v>
      </c>
      <c r="AU54" s="56">
        <f>'[1]STA MARIA'!$J54</f>
        <v>59196.428571428572</v>
      </c>
      <c r="AV54" s="57">
        <f t="shared" si="36"/>
        <v>57763.875</v>
      </c>
      <c r="AW54" s="18">
        <f t="shared" si="37"/>
        <v>1432.5535714285713</v>
      </c>
      <c r="AX54" s="57">
        <f t="shared" si="38"/>
        <v>0</v>
      </c>
      <c r="AY54" s="57">
        <f t="shared" si="39"/>
        <v>0</v>
      </c>
      <c r="AZ54" s="59"/>
      <c r="BA54" s="60">
        <f t="shared" si="8"/>
        <v>-1</v>
      </c>
      <c r="BB54" s="56">
        <f>'[1]STA MARIA'!$K54</f>
        <v>59196.428571428572</v>
      </c>
      <c r="BC54" s="57">
        <f t="shared" si="40"/>
        <v>57763.875</v>
      </c>
      <c r="BD54" s="18">
        <f t="shared" si="41"/>
        <v>1432.5535714285713</v>
      </c>
      <c r="BE54" s="57">
        <f t="shared" si="42"/>
        <v>0</v>
      </c>
      <c r="BF54" s="57">
        <f t="shared" si="43"/>
        <v>0</v>
      </c>
      <c r="BG54" s="58"/>
      <c r="BH54" s="60">
        <f t="shared" si="9"/>
        <v>-1</v>
      </c>
      <c r="BI54" s="56">
        <f>'[1]STA MARIA'!$L54</f>
        <v>0</v>
      </c>
      <c r="BJ54" s="57">
        <f t="shared" si="44"/>
        <v>0</v>
      </c>
      <c r="BK54" s="18">
        <f t="shared" si="45"/>
        <v>0</v>
      </c>
      <c r="BL54" s="57">
        <f t="shared" si="46"/>
        <v>0</v>
      </c>
      <c r="BM54" s="57">
        <f t="shared" si="47"/>
        <v>0</v>
      </c>
      <c r="BN54" s="58"/>
      <c r="BO54" s="60" t="str">
        <f t="shared" si="10"/>
        <v/>
      </c>
      <c r="BP54" s="56">
        <f>'[1]STA MARIA'!$M54</f>
        <v>0</v>
      </c>
      <c r="BQ54" s="57">
        <f t="shared" si="48"/>
        <v>0</v>
      </c>
      <c r="BR54" s="18">
        <f t="shared" si="49"/>
        <v>0</v>
      </c>
      <c r="BS54" s="57">
        <f t="shared" si="50"/>
        <v>0</v>
      </c>
      <c r="BT54" s="57">
        <f t="shared" si="51"/>
        <v>0</v>
      </c>
      <c r="BU54" s="58"/>
      <c r="BV54" s="60" t="str">
        <f t="shared" si="11"/>
        <v/>
      </c>
      <c r="BW54" s="87">
        <f>'[1]STA MARIA'!$N54</f>
        <v>0</v>
      </c>
      <c r="BX54" s="40">
        <f t="shared" si="52"/>
        <v>0</v>
      </c>
      <c r="BY54" s="18">
        <f t="shared" si="53"/>
        <v>0</v>
      </c>
      <c r="BZ54" s="57">
        <f t="shared" si="54"/>
        <v>0</v>
      </c>
      <c r="CA54" s="57">
        <f t="shared" si="55"/>
        <v>0</v>
      </c>
      <c r="CB54" s="53"/>
      <c r="CC54" s="60" t="str">
        <f t="shared" si="12"/>
        <v/>
      </c>
      <c r="CD54" s="87">
        <f>'[1]STA MARIA'!$O54</f>
        <v>0</v>
      </c>
      <c r="CE54" s="40">
        <f t="shared" si="56"/>
        <v>0</v>
      </c>
      <c r="CF54" s="18">
        <f t="shared" si="57"/>
        <v>0</v>
      </c>
      <c r="CG54" s="57">
        <f t="shared" si="58"/>
        <v>0</v>
      </c>
      <c r="CH54" s="57">
        <f t="shared" si="59"/>
        <v>0</v>
      </c>
      <c r="CI54" s="53"/>
      <c r="CJ54" s="60" t="str">
        <f t="shared" si="13"/>
        <v/>
      </c>
      <c r="CK54" s="87">
        <f>'[1]STA MARIA'!$P54</f>
        <v>0</v>
      </c>
      <c r="CL54" s="40">
        <f t="shared" si="60"/>
        <v>0</v>
      </c>
      <c r="CM54" s="18">
        <f t="shared" si="61"/>
        <v>0</v>
      </c>
      <c r="CN54" s="57">
        <f t="shared" si="62"/>
        <v>0</v>
      </c>
      <c r="CO54" s="57">
        <f t="shared" si="63"/>
        <v>0</v>
      </c>
      <c r="CP54" s="53"/>
      <c r="CQ54" s="60" t="str">
        <f t="shared" si="14"/>
        <v/>
      </c>
    </row>
    <row r="55" spans="1:99" s="26" customFormat="1" ht="16" customHeight="1" thickBot="1" x14ac:dyDescent="0.25">
      <c r="A55" s="119" t="s">
        <v>79</v>
      </c>
      <c r="B55" s="63">
        <f t="shared" ref="B55:J55" si="67">SUM(B4:B54)</f>
        <v>21711959.665240832</v>
      </c>
      <c r="C55" s="64">
        <f t="shared" si="67"/>
        <v>21186530.241342004</v>
      </c>
      <c r="D55" s="65">
        <f t="shared" si="67"/>
        <v>525429.42389882798</v>
      </c>
      <c r="E55" s="63">
        <f t="shared" si="67"/>
        <v>9558670.0730223805</v>
      </c>
      <c r="F55" s="66">
        <f t="shared" si="67"/>
        <v>9327350.2572552394</v>
      </c>
      <c r="G55" s="67">
        <f t="shared" si="67"/>
        <v>231319.81576714158</v>
      </c>
      <c r="H55" s="64">
        <f t="shared" si="67"/>
        <v>12556153.777509995</v>
      </c>
      <c r="I55" s="66">
        <f t="shared" si="67"/>
        <v>311394.67249000003</v>
      </c>
      <c r="J55" s="66">
        <f t="shared" si="67"/>
        <v>12867548.450000001</v>
      </c>
      <c r="K55" s="120">
        <f>+J55/E55-1</f>
        <v>0.34616514135332821</v>
      </c>
      <c r="L55" s="121">
        <f t="shared" ref="L55:X55" si="68">SUM(L4:L54)</f>
        <v>2266065.2180716367</v>
      </c>
      <c r="M55" s="121">
        <f t="shared" si="68"/>
        <v>2211226.4397943034</v>
      </c>
      <c r="N55" s="121">
        <f t="shared" si="17"/>
        <v>54838.778277333608</v>
      </c>
      <c r="O55" s="121">
        <f t="shared" si="68"/>
        <v>2000350.3630040004</v>
      </c>
      <c r="P55" s="121">
        <f t="shared" si="68"/>
        <v>49609.016995999984</v>
      </c>
      <c r="Q55" s="121">
        <f t="shared" si="68"/>
        <v>2049959.3800000008</v>
      </c>
      <c r="R55" s="121">
        <f>+Q55/L55-1</f>
        <v>-9.5366115832948739E-2</v>
      </c>
      <c r="S55" s="121">
        <f t="shared" si="68"/>
        <v>2192745.596610412</v>
      </c>
      <c r="T55" s="121">
        <f t="shared" si="68"/>
        <v>2139681.1531724404</v>
      </c>
      <c r="U55" s="121">
        <f t="shared" si="21"/>
        <v>53064.443437971968</v>
      </c>
      <c r="V55" s="121">
        <f t="shared" si="68"/>
        <v>1978547.3610280005</v>
      </c>
      <c r="W55" s="121">
        <f t="shared" si="68"/>
        <v>49068.298971999997</v>
      </c>
      <c r="X55" s="121">
        <f t="shared" si="68"/>
        <v>2027615.66</v>
      </c>
      <c r="Y55" s="121">
        <f>+X55/S55-1</f>
        <v>-7.5307384890282325E-2</v>
      </c>
      <c r="Z55" s="121">
        <f t="shared" ref="Z55:AE55" si="69">SUM(Z4:Z54)</f>
        <v>2824796.1145910225</v>
      </c>
      <c r="AA55" s="121">
        <f t="shared" si="69"/>
        <v>2756436.0486179199</v>
      </c>
      <c r="AB55" s="121">
        <f t="shared" si="25"/>
        <v>68360.065973102741</v>
      </c>
      <c r="AC55" s="121">
        <f t="shared" si="69"/>
        <v>2405832.8703360003</v>
      </c>
      <c r="AD55" s="121">
        <f t="shared" si="69"/>
        <v>59665.049664000006</v>
      </c>
      <c r="AE55" s="121">
        <f t="shared" si="69"/>
        <v>2465497.92</v>
      </c>
      <c r="AF55" s="121">
        <f>+AE55/Z55-1</f>
        <v>-0.12719438147593254</v>
      </c>
      <c r="AG55" s="121">
        <f t="shared" ref="AG55:AL55" si="70">SUM(AG4:AG54)</f>
        <v>2275063.1437493083</v>
      </c>
      <c r="AH55" s="121">
        <f t="shared" si="70"/>
        <v>2220006.6156705753</v>
      </c>
      <c r="AI55" s="121">
        <f t="shared" si="29"/>
        <v>55056.528078733259</v>
      </c>
      <c r="AJ55" s="121">
        <f t="shared" si="70"/>
        <v>2159760.2125960002</v>
      </c>
      <c r="AK55" s="121">
        <f t="shared" si="70"/>
        <v>53562.40740399999</v>
      </c>
      <c r="AL55" s="121">
        <f t="shared" si="70"/>
        <v>2213322.6199999996</v>
      </c>
      <c r="AM55" s="121">
        <f>+AL55/AG55-1</f>
        <v>-2.7137938531042294E-2</v>
      </c>
      <c r="AN55" s="121">
        <f t="shared" ref="AN55:AS55" si="71">SUM(AN4:AN54)</f>
        <v>2340087.3250644128</v>
      </c>
      <c r="AO55" s="121">
        <f t="shared" si="71"/>
        <v>2283457.2117978539</v>
      </c>
      <c r="AP55" s="121">
        <f t="shared" si="33"/>
        <v>56630.113266558787</v>
      </c>
      <c r="AQ55" s="121">
        <f t="shared" si="71"/>
        <v>2188194.068312</v>
      </c>
      <c r="AR55" s="121">
        <f t="shared" si="71"/>
        <v>54267.571687999989</v>
      </c>
      <c r="AS55" s="123">
        <f t="shared" si="71"/>
        <v>2242461.6400000006</v>
      </c>
      <c r="AT55" s="120">
        <f>+AS55/AN55-1</f>
        <v>-4.1718821352841995E-2</v>
      </c>
      <c r="AU55" s="121">
        <f t="shared" ref="AU55:AZ55" si="72">SUM(AU4:AU54)</f>
        <v>2279295.313578696</v>
      </c>
      <c r="AV55" s="121">
        <f t="shared" si="72"/>
        <v>2224136.3669900917</v>
      </c>
      <c r="AW55" s="18">
        <f t="shared" si="37"/>
        <v>55158.946588604442</v>
      </c>
      <c r="AX55" s="122">
        <f t="shared" si="72"/>
        <v>1823468.9022339999</v>
      </c>
      <c r="AY55" s="122">
        <f t="shared" si="72"/>
        <v>45222.327765999988</v>
      </c>
      <c r="AZ55" s="123">
        <f t="shared" si="72"/>
        <v>1868691.23</v>
      </c>
      <c r="BA55" s="120">
        <f>+AZ55/AU55-1</f>
        <v>-0.18014518835385629</v>
      </c>
      <c r="BB55" s="121">
        <f t="shared" ref="BB55:BG55" si="73">SUM(BB4:BB54)</f>
        <v>2482873.5017334796</v>
      </c>
      <c r="BC55" s="121">
        <f t="shared" si="73"/>
        <v>2422787.9629915287</v>
      </c>
      <c r="BD55" s="18">
        <f t="shared" si="41"/>
        <v>60085.5387419502</v>
      </c>
      <c r="BE55" s="122">
        <f t="shared" si="73"/>
        <v>0</v>
      </c>
      <c r="BF55" s="122">
        <f t="shared" si="73"/>
        <v>0</v>
      </c>
      <c r="BG55" s="123">
        <f t="shared" si="73"/>
        <v>0</v>
      </c>
      <c r="BH55" s="120">
        <f>+BG55/BB55-1</f>
        <v>-1</v>
      </c>
      <c r="BI55" s="121">
        <f t="shared" ref="BI55:BN55" si="74">SUM(BI4:BI54)</f>
        <v>1085303.9436979415</v>
      </c>
      <c r="BJ55" s="121">
        <f t="shared" si="74"/>
        <v>1059039.5882604513</v>
      </c>
      <c r="BK55" s="18">
        <f t="shared" si="45"/>
        <v>26264.355437490183</v>
      </c>
      <c r="BL55" s="122">
        <f t="shared" si="74"/>
        <v>0</v>
      </c>
      <c r="BM55" s="122">
        <f t="shared" si="74"/>
        <v>0</v>
      </c>
      <c r="BN55" s="123">
        <f t="shared" si="74"/>
        <v>0</v>
      </c>
      <c r="BO55" s="120">
        <f>+BN55/BI55-1</f>
        <v>-1</v>
      </c>
      <c r="BP55" s="121">
        <f t="shared" ref="BP55:BU55" si="75">SUM(BP4:BP54)</f>
        <v>1254580.0549019282</v>
      </c>
      <c r="BQ55" s="121">
        <f t="shared" si="75"/>
        <v>1224219.2175733009</v>
      </c>
      <c r="BR55" s="18">
        <f t="shared" si="49"/>
        <v>30360.837328626661</v>
      </c>
      <c r="BS55" s="122">
        <f t="shared" si="75"/>
        <v>0</v>
      </c>
      <c r="BT55" s="122">
        <f t="shared" si="75"/>
        <v>0</v>
      </c>
      <c r="BU55" s="123">
        <f t="shared" si="75"/>
        <v>0</v>
      </c>
      <c r="BV55" s="120">
        <f>+BU55/BP55-1</f>
        <v>-1</v>
      </c>
      <c r="BW55" s="121">
        <f t="shared" ref="BW55:CB55" si="76">SUM(BW4:BW54)</f>
        <v>900457.74498303176</v>
      </c>
      <c r="BX55" s="121">
        <f t="shared" si="76"/>
        <v>878666.66755444265</v>
      </c>
      <c r="BY55" s="18">
        <f t="shared" si="53"/>
        <v>21791.077428589368</v>
      </c>
      <c r="BZ55" s="122">
        <f t="shared" si="76"/>
        <v>0</v>
      </c>
      <c r="CA55" s="122">
        <f t="shared" si="76"/>
        <v>0</v>
      </c>
      <c r="CB55" s="123">
        <f t="shared" si="76"/>
        <v>0</v>
      </c>
      <c r="CC55" s="120">
        <f>+CB55/BW55-1</f>
        <v>-1</v>
      </c>
      <c r="CD55" s="121">
        <f t="shared" ref="CD55:CI55" si="77">SUM(CD4:CD54)</f>
        <v>949493.07031192794</v>
      </c>
      <c r="CE55" s="121">
        <f t="shared" si="77"/>
        <v>926515.33801037935</v>
      </c>
      <c r="CF55" s="18">
        <f t="shared" si="57"/>
        <v>22977.732301548655</v>
      </c>
      <c r="CG55" s="122">
        <f t="shared" si="77"/>
        <v>0</v>
      </c>
      <c r="CH55" s="122">
        <f t="shared" si="77"/>
        <v>0</v>
      </c>
      <c r="CI55" s="123">
        <f t="shared" si="77"/>
        <v>0</v>
      </c>
      <c r="CJ55" s="120">
        <f>+CI55/CD55-1</f>
        <v>-1</v>
      </c>
      <c r="CK55" s="121">
        <f t="shared" ref="CK55:CP55" si="78">SUM(CK4:CK54)</f>
        <v>861198.63794703176</v>
      </c>
      <c r="CL55" s="121">
        <f t="shared" si="78"/>
        <v>840357.63090871368</v>
      </c>
      <c r="CM55" s="18">
        <f t="shared" si="61"/>
        <v>20841.007038318166</v>
      </c>
      <c r="CN55" s="122">
        <f t="shared" si="78"/>
        <v>0</v>
      </c>
      <c r="CO55" s="122">
        <f t="shared" si="78"/>
        <v>0</v>
      </c>
      <c r="CP55" s="123">
        <f t="shared" si="78"/>
        <v>0</v>
      </c>
      <c r="CQ55" s="120">
        <f>+CP55/CK55-1</f>
        <v>-1</v>
      </c>
      <c r="CR55" s="72"/>
      <c r="CS55" s="72"/>
      <c r="CT55" s="72"/>
      <c r="CU55" s="72"/>
    </row>
    <row r="56" spans="1:99" s="26" customFormat="1" ht="16" customHeight="1" thickBot="1" x14ac:dyDescent="0.25">
      <c r="A56" s="125" t="s">
        <v>80</v>
      </c>
      <c r="B56" s="75">
        <f>+L56+S56+Z56+AG56+AN56+AU56+BB56+BI56+BP56+BW56+CD56+CK56</f>
        <v>-389273.35640138411</v>
      </c>
      <c r="C56" s="76">
        <f t="shared" ref="C56:D57" si="79">+M56+T56+AA56+AH56+AO56+AV56+BC56+BJ56+BQ56+BX56+CE56+CL56</f>
        <v>-379852.94117647066</v>
      </c>
      <c r="D56" s="77">
        <f t="shared" si="79"/>
        <v>-9420.415224913495</v>
      </c>
      <c r="E56" s="75">
        <f>+L56+S56+Z56+AG56</f>
        <v>-129757.78546712804</v>
      </c>
      <c r="F56" s="78">
        <f t="shared" ref="F56:G57" si="80">+M56+T56+AA56+AH56</f>
        <v>-126617.64705882354</v>
      </c>
      <c r="G56" s="79">
        <f t="shared" si="80"/>
        <v>-3140.1384083044982</v>
      </c>
      <c r="H56" s="76">
        <f t="shared" ref="H56:J57" si="81">+O56+V56+AC56+AJ56+AQ56+AX56+BE56+BL56+BS56+BZ56+CG56+CN56</f>
        <v>-315181.91678399994</v>
      </c>
      <c r="I56" s="78">
        <f t="shared" si="81"/>
        <v>-7816.5632160000005</v>
      </c>
      <c r="J56" s="78">
        <f t="shared" si="81"/>
        <v>-322998.48</v>
      </c>
      <c r="K56" s="25">
        <f t="shared" ref="K56:K57" si="82">IF(E56=0,"",(+J56/E56-1))</f>
        <v>1.4892416191999995</v>
      </c>
      <c r="L56" s="23">
        <f>'[1]STA MARIA'!$E56</f>
        <v>-32439.446366782009</v>
      </c>
      <c r="M56" s="18">
        <f t="shared" ref="M56:M57" si="83">L56-N56</f>
        <v>-31654.411764705885</v>
      </c>
      <c r="N56" s="18">
        <f t="shared" si="17"/>
        <v>-785.03460207612454</v>
      </c>
      <c r="O56" s="18">
        <f t="shared" ref="O56:O57" si="84">+Q56-P56</f>
        <v>0</v>
      </c>
      <c r="P56" s="18">
        <f t="shared" ref="P56:P57" si="85">+Q56*2.42%</f>
        <v>0</v>
      </c>
      <c r="Q56" s="18"/>
      <c r="R56" s="18">
        <f t="shared" ref="R56:R57" si="86">IF(L56=0,"",(+Q56/L56-1))</f>
        <v>-1</v>
      </c>
      <c r="S56" s="18">
        <f>'[1]STA MARIA'!$F56</f>
        <v>-32439.446366782009</v>
      </c>
      <c r="T56" s="18">
        <f t="shared" ref="T56:T57" si="87">S56-U56</f>
        <v>-31654.411764705885</v>
      </c>
      <c r="U56" s="18">
        <f t="shared" si="21"/>
        <v>-785.03460207612454</v>
      </c>
      <c r="V56" s="18">
        <f t="shared" ref="V56:V57" si="88">+X56-W56</f>
        <v>-31438.246335999997</v>
      </c>
      <c r="W56" s="18">
        <f t="shared" ref="W56:W57" si="89">+X56*2.42%</f>
        <v>-779.67366399999992</v>
      </c>
      <c r="X56" s="18">
        <v>-32217.919999999998</v>
      </c>
      <c r="Y56" s="18">
        <f>IF(S56=0,"",(+X56/S56-1))</f>
        <v>-6.8289194666667496E-3</v>
      </c>
      <c r="Z56" s="18">
        <f>'[1]STA MARIA'!$G56</f>
        <v>-32439.446366782009</v>
      </c>
      <c r="AA56" s="18">
        <f t="shared" ref="AA56:AA57" si="90">Z56-AB56</f>
        <v>-31654.411764705885</v>
      </c>
      <c r="AB56" s="18">
        <f t="shared" si="25"/>
        <v>-785.03460207612454</v>
      </c>
      <c r="AC56" s="18">
        <f t="shared" ref="AC56:AC57" si="91">+AE56-AD56</f>
        <v>2162.548444</v>
      </c>
      <c r="AD56" s="18">
        <f t="shared" ref="AD56:AD57" si="92">+AE56*2.42%</f>
        <v>53.631555999999996</v>
      </c>
      <c r="AE56" s="18">
        <f>2216.18</f>
        <v>2216.1799999999998</v>
      </c>
      <c r="AF56" s="18">
        <f t="shared" ref="AF56:AF57" si="93">IF(Z56=0,"",(+AE56/Z56-1))</f>
        <v>-1.0683174421333332</v>
      </c>
      <c r="AG56" s="18">
        <f>'[1]STA MARIA'!$H56</f>
        <v>-32439.446366782009</v>
      </c>
      <c r="AH56" s="18">
        <f t="shared" ref="AH56:AH57" si="94">AG56-AI56</f>
        <v>-31654.411764705885</v>
      </c>
      <c r="AI56" s="18">
        <f t="shared" si="29"/>
        <v>-785.03460207612454</v>
      </c>
      <c r="AJ56" s="18">
        <f t="shared" ref="AJ56:AJ57" si="95">+AL56-AK56</f>
        <v>-57726.112934000004</v>
      </c>
      <c r="AK56" s="18">
        <f t="shared" ref="AK56:AK57" si="96">+AL56*2.42%</f>
        <v>-1431.617066</v>
      </c>
      <c r="AL56" s="18">
        <f>-61765.98+2608.25</f>
        <v>-59157.73</v>
      </c>
      <c r="AM56" s="18">
        <f t="shared" ref="AM56:AM57" si="97">IF(AG56=0,"",(+AL56/AG56-1))</f>
        <v>0.82363562346666663</v>
      </c>
      <c r="AN56" s="18">
        <f>'[1]STA MARIA'!$I56</f>
        <v>-32439.446366782009</v>
      </c>
      <c r="AO56" s="18">
        <f t="shared" ref="AO56:AO57" si="98">AN56-AP56</f>
        <v>-31654.411764705885</v>
      </c>
      <c r="AP56" s="18">
        <f t="shared" si="33"/>
        <v>-785.03460207612454</v>
      </c>
      <c r="AQ56" s="18">
        <f t="shared" ref="AQ56:AQ57" si="99">+AS56-AR56</f>
        <v>-181373.8976</v>
      </c>
      <c r="AR56" s="18">
        <f t="shared" ref="AR56:AR57" si="100">+AS56*2.42%</f>
        <v>-4498.1023999999998</v>
      </c>
      <c r="AS56" s="20">
        <v>-185872</v>
      </c>
      <c r="AT56" s="25">
        <f t="shared" ref="AT56:AT57" si="101">IF(AN56=0,"",(+AS56/AN56-1))</f>
        <v>4.7298141866666663</v>
      </c>
      <c r="AU56" s="23">
        <f>'[1]STA MARIA'!$J56</f>
        <v>-32439.446366782009</v>
      </c>
      <c r="AV56" s="18">
        <f t="shared" ref="AV56:AV57" si="102">AU56-AW56</f>
        <v>-31654.411764705885</v>
      </c>
      <c r="AW56" s="18">
        <f t="shared" si="37"/>
        <v>-785.03460207612454</v>
      </c>
      <c r="AX56" s="18">
        <f t="shared" ref="AX56:AX57" si="103">+AZ56-AY56</f>
        <v>-46806.208357999996</v>
      </c>
      <c r="AY56" s="18">
        <f t="shared" ref="AY56:AY57" si="104">+AZ56*2.42%</f>
        <v>-1160.8016419999999</v>
      </c>
      <c r="AZ56" s="20">
        <v>-47967.009999999995</v>
      </c>
      <c r="BA56" s="25">
        <f t="shared" ref="BA56:BA57" si="105">IF(AU56=0,"",(+AZ56/AU56-1))</f>
        <v>0.4786630282666664</v>
      </c>
      <c r="BB56" s="23">
        <f>'[1]STA MARIA'!$K56</f>
        <v>-32439.446366782009</v>
      </c>
      <c r="BC56" s="18">
        <f t="shared" ref="BC56:BC57" si="106">BB56-BD56</f>
        <v>-31654.411764705885</v>
      </c>
      <c r="BD56" s="18">
        <f t="shared" si="41"/>
        <v>-785.03460207612454</v>
      </c>
      <c r="BE56" s="18">
        <f t="shared" ref="BE56:BE57" si="107">+BG56-BF56</f>
        <v>0</v>
      </c>
      <c r="BF56" s="18">
        <f t="shared" ref="BF56:BF57" si="108">+BG56*2.42%</f>
        <v>0</v>
      </c>
      <c r="BG56" s="20"/>
      <c r="BH56" s="25">
        <f t="shared" ref="BH56:BH57" si="109">IF(BB56=0,"",(+BG56/BB56-1))</f>
        <v>-1</v>
      </c>
      <c r="BI56" s="23">
        <f>'[1]STA MARIA'!$L56</f>
        <v>-32439.446366782009</v>
      </c>
      <c r="BJ56" s="18">
        <f t="shared" ref="BJ56:BJ57" si="110">BI56-BK56</f>
        <v>-31654.411764705885</v>
      </c>
      <c r="BK56" s="18">
        <f t="shared" si="45"/>
        <v>-785.03460207612454</v>
      </c>
      <c r="BL56" s="18">
        <f t="shared" ref="BL56:BL57" si="111">+BN56-BM56</f>
        <v>0</v>
      </c>
      <c r="BM56" s="18">
        <f t="shared" ref="BM56:BM57" si="112">+BN56*2.42%</f>
        <v>0</v>
      </c>
      <c r="BN56" s="20"/>
      <c r="BO56" s="25">
        <f t="shared" ref="BO56:BO57" si="113">IF(BI56=0,"",(+BN56/BI56-1))</f>
        <v>-1</v>
      </c>
      <c r="BP56" s="23">
        <f>'[1]STA MARIA'!$M56</f>
        <v>-32439.446366782009</v>
      </c>
      <c r="BQ56" s="18">
        <f t="shared" ref="BQ56:BQ57" si="114">BP56-BR56</f>
        <v>-31654.411764705885</v>
      </c>
      <c r="BR56" s="18">
        <f t="shared" si="49"/>
        <v>-785.03460207612454</v>
      </c>
      <c r="BS56" s="18">
        <f t="shared" ref="BS56:BS57" si="115">+BU56-BT56</f>
        <v>0</v>
      </c>
      <c r="BT56" s="18">
        <f t="shared" ref="BT56:BT57" si="116">+BU56*2.42%</f>
        <v>0</v>
      </c>
      <c r="BU56" s="20"/>
      <c r="BV56" s="25">
        <f t="shared" ref="BV56:BV57" si="117">IF(BP56=0,"",(+BU56/BP56-1))</f>
        <v>-1</v>
      </c>
      <c r="BW56" s="23">
        <f>'[1]STA MARIA'!$N56</f>
        <v>-32439.446366782009</v>
      </c>
      <c r="BX56" s="18">
        <f t="shared" ref="BX56:BX57" si="118">BW56-BY56</f>
        <v>-31654.411764705885</v>
      </c>
      <c r="BY56" s="18">
        <f t="shared" si="53"/>
        <v>-785.03460207612454</v>
      </c>
      <c r="BZ56" s="18">
        <f t="shared" ref="BZ56:BZ57" si="119">+CB56-CA56</f>
        <v>0</v>
      </c>
      <c r="CA56" s="18">
        <f t="shared" ref="CA56:CA57" si="120">+CB56*2.42%</f>
        <v>0</v>
      </c>
      <c r="CB56" s="20"/>
      <c r="CC56" s="25">
        <f t="shared" ref="CC56:CC57" si="121">IF(BW56=0,"",(+CB56/BW56-1))</f>
        <v>-1</v>
      </c>
      <c r="CD56" s="23">
        <f>'[1]STA MARIA'!$O56</f>
        <v>-32439.446366782009</v>
      </c>
      <c r="CE56" s="18">
        <f t="shared" ref="CE56:CE57" si="122">CD56-CF56</f>
        <v>-31654.411764705885</v>
      </c>
      <c r="CF56" s="18">
        <f t="shared" si="57"/>
        <v>-785.03460207612454</v>
      </c>
      <c r="CG56" s="18">
        <f t="shared" ref="CG56:CG57" si="123">+CI56-CH56</f>
        <v>0</v>
      </c>
      <c r="CH56" s="18">
        <f t="shared" ref="CH56:CH57" si="124">+CI56*2.42%</f>
        <v>0</v>
      </c>
      <c r="CI56" s="20"/>
      <c r="CJ56" s="25">
        <f t="shared" ref="CJ56:CJ57" si="125">IF(CD56=0,"",(+CI56/CD56-1))</f>
        <v>-1</v>
      </c>
      <c r="CK56" s="23">
        <f>'[1]STA MARIA'!$P56</f>
        <v>-32439.446366782009</v>
      </c>
      <c r="CL56" s="18">
        <f t="shared" ref="CL56:CL57" si="126">CK56-CM56</f>
        <v>-31654.411764705885</v>
      </c>
      <c r="CM56" s="18">
        <f t="shared" si="61"/>
        <v>-785.03460207612454</v>
      </c>
      <c r="CN56" s="18">
        <f t="shared" ref="CN56:CN57" si="127">+CP56-CO56</f>
        <v>0</v>
      </c>
      <c r="CO56" s="18">
        <f t="shared" ref="CO56:CO57" si="128">+CP56*2.42%</f>
        <v>0</v>
      </c>
      <c r="CP56" s="20"/>
      <c r="CQ56" s="25">
        <f t="shared" ref="CQ56:CQ57" si="129">IF(CK56=0,"",(+CP56/CK56-1))</f>
        <v>-1</v>
      </c>
    </row>
    <row r="57" spans="1:99" s="26" customFormat="1" ht="16" customHeight="1" thickBot="1" x14ac:dyDescent="0.25">
      <c r="A57" s="126" t="s">
        <v>81</v>
      </c>
      <c r="B57" s="52">
        <f>+L57+S57+Z57+AG57+AN57+AU57+BB57+BI57+BP57+BW57+CD57+CK57</f>
        <v>-129757.78546712805</v>
      </c>
      <c r="C57" s="40">
        <f t="shared" si="79"/>
        <v>-126617.64705882355</v>
      </c>
      <c r="D57" s="51">
        <f t="shared" si="79"/>
        <v>-3140.1384083044991</v>
      </c>
      <c r="E57" s="50">
        <f>+L57+S57+Z57+AG57</f>
        <v>-43252.595155709343</v>
      </c>
      <c r="F57" s="58">
        <f t="shared" si="80"/>
        <v>-42205.882352941175</v>
      </c>
      <c r="G57" s="85">
        <f t="shared" si="80"/>
        <v>-1046.7128027681661</v>
      </c>
      <c r="H57" s="57">
        <f t="shared" si="81"/>
        <v>-65506.76157200001</v>
      </c>
      <c r="I57" s="58">
        <f t="shared" si="81"/>
        <v>-1624.5784280000003</v>
      </c>
      <c r="J57" s="58">
        <f t="shared" si="81"/>
        <v>-67131.34</v>
      </c>
      <c r="K57" s="127">
        <f t="shared" si="82"/>
        <v>0.55207658079999988</v>
      </c>
      <c r="L57" s="56">
        <f>'[1]STA MARIA'!$E57</f>
        <v>-10813.148788927336</v>
      </c>
      <c r="M57" s="57">
        <f t="shared" si="83"/>
        <v>-10551.470588235294</v>
      </c>
      <c r="N57" s="57">
        <f t="shared" si="17"/>
        <v>-261.67820069204151</v>
      </c>
      <c r="O57" s="57">
        <f t="shared" si="84"/>
        <v>-41603.418402000003</v>
      </c>
      <c r="P57" s="57">
        <f t="shared" si="85"/>
        <v>-1031.771598</v>
      </c>
      <c r="Q57" s="57">
        <v>-42635.19</v>
      </c>
      <c r="R57" s="57">
        <f t="shared" si="86"/>
        <v>2.9429023712000002</v>
      </c>
      <c r="S57" s="57">
        <f>'[1]STA MARIA'!$F57</f>
        <v>-10813.148788927336</v>
      </c>
      <c r="T57" s="57">
        <f t="shared" si="87"/>
        <v>-10551.470588235294</v>
      </c>
      <c r="U57" s="57">
        <f t="shared" si="21"/>
        <v>-261.67820069204151</v>
      </c>
      <c r="V57" s="57">
        <f t="shared" si="88"/>
        <v>-6146.9447620000001</v>
      </c>
      <c r="W57" s="57">
        <f t="shared" si="89"/>
        <v>-152.44523800000002</v>
      </c>
      <c r="X57" s="57">
        <f>-6299.39</f>
        <v>-6299.39</v>
      </c>
      <c r="Y57" s="57">
        <f>IF(S57=0,"",(+X57/S57-1))</f>
        <v>-0.41743241279999999</v>
      </c>
      <c r="Z57" s="57">
        <f>'[1]STA MARIA'!$G57</f>
        <v>-10813.148788927336</v>
      </c>
      <c r="AA57" s="57">
        <f t="shared" si="90"/>
        <v>-10551.470588235294</v>
      </c>
      <c r="AB57" s="57">
        <f t="shared" si="25"/>
        <v>-261.67820069204151</v>
      </c>
      <c r="AC57" s="57">
        <f t="shared" si="91"/>
        <v>-27026.147120000001</v>
      </c>
      <c r="AD57" s="57">
        <f t="shared" si="92"/>
        <v>-670.25288</v>
      </c>
      <c r="AE57" s="57">
        <v>-27696.400000000001</v>
      </c>
      <c r="AF57" s="57">
        <f t="shared" si="93"/>
        <v>1.5613630720000002</v>
      </c>
      <c r="AG57" s="57">
        <f>'[1]STA MARIA'!$H57</f>
        <v>-10813.148788927336</v>
      </c>
      <c r="AH57" s="57">
        <f t="shared" si="94"/>
        <v>-10551.470588235294</v>
      </c>
      <c r="AI57" s="57">
        <f t="shared" si="29"/>
        <v>-261.67820069204151</v>
      </c>
      <c r="AJ57" s="57">
        <f t="shared" si="95"/>
        <v>0</v>
      </c>
      <c r="AK57" s="57">
        <f t="shared" si="96"/>
        <v>0</v>
      </c>
      <c r="AL57" s="57"/>
      <c r="AM57" s="57">
        <f t="shared" si="97"/>
        <v>-1</v>
      </c>
      <c r="AN57" s="57">
        <f>'[1]STA MARIA'!$I57</f>
        <v>-10813.148788927336</v>
      </c>
      <c r="AO57" s="57">
        <f t="shared" si="98"/>
        <v>-10551.470588235294</v>
      </c>
      <c r="AP57" s="57">
        <f t="shared" si="33"/>
        <v>-261.67820069204151</v>
      </c>
      <c r="AQ57" s="57">
        <f t="shared" si="99"/>
        <v>3914.733956</v>
      </c>
      <c r="AR57" s="57">
        <f t="shared" si="100"/>
        <v>97.086044000000001</v>
      </c>
      <c r="AS57" s="58">
        <v>4011.82</v>
      </c>
      <c r="AT57" s="127">
        <f t="shared" si="101"/>
        <v>-1.3710131136000001</v>
      </c>
      <c r="AU57" s="56">
        <f>'[1]STA MARIA'!$J57</f>
        <v>-10813.148788927336</v>
      </c>
      <c r="AV57" s="57">
        <f t="shared" si="102"/>
        <v>-10551.470588235294</v>
      </c>
      <c r="AW57" s="18">
        <f t="shared" si="37"/>
        <v>-261.67820069204151</v>
      </c>
      <c r="AX57" s="57">
        <f t="shared" si="103"/>
        <v>5355.0147559999996</v>
      </c>
      <c r="AY57" s="57">
        <f t="shared" si="104"/>
        <v>132.80524399999999</v>
      </c>
      <c r="AZ57" s="58">
        <v>5487.82</v>
      </c>
      <c r="BA57" s="127">
        <f t="shared" si="105"/>
        <v>-1.5075135935999999</v>
      </c>
      <c r="BB57" s="56">
        <f>'[1]STA MARIA'!$K57</f>
        <v>-10813.148788927336</v>
      </c>
      <c r="BC57" s="57">
        <f t="shared" si="106"/>
        <v>-10551.470588235294</v>
      </c>
      <c r="BD57" s="18">
        <f t="shared" si="41"/>
        <v>-261.67820069204151</v>
      </c>
      <c r="BE57" s="57">
        <f t="shared" si="107"/>
        <v>0</v>
      </c>
      <c r="BF57" s="57">
        <f t="shared" si="108"/>
        <v>0</v>
      </c>
      <c r="BG57" s="58"/>
      <c r="BH57" s="127">
        <f t="shared" si="109"/>
        <v>-1</v>
      </c>
      <c r="BI57" s="56">
        <f>'[1]STA MARIA'!$L57</f>
        <v>-10813.148788927336</v>
      </c>
      <c r="BJ57" s="57">
        <f t="shared" si="110"/>
        <v>-10551.470588235294</v>
      </c>
      <c r="BK57" s="18">
        <f t="shared" si="45"/>
        <v>-261.67820069204151</v>
      </c>
      <c r="BL57" s="57">
        <f t="shared" si="111"/>
        <v>0</v>
      </c>
      <c r="BM57" s="57">
        <f t="shared" si="112"/>
        <v>0</v>
      </c>
      <c r="BN57" s="58"/>
      <c r="BO57" s="127">
        <f t="shared" si="113"/>
        <v>-1</v>
      </c>
      <c r="BP57" s="56">
        <f>'[1]STA MARIA'!$M57</f>
        <v>-10813.148788927336</v>
      </c>
      <c r="BQ57" s="57">
        <f t="shared" si="114"/>
        <v>-10551.470588235294</v>
      </c>
      <c r="BR57" s="18">
        <f t="shared" si="49"/>
        <v>-261.67820069204151</v>
      </c>
      <c r="BS57" s="57">
        <f t="shared" si="115"/>
        <v>0</v>
      </c>
      <c r="BT57" s="57">
        <f t="shared" si="116"/>
        <v>0</v>
      </c>
      <c r="BU57" s="58"/>
      <c r="BV57" s="127">
        <f t="shared" si="117"/>
        <v>-1</v>
      </c>
      <c r="BW57" s="56">
        <f>'[1]STA MARIA'!$N57</f>
        <v>-10813.148788927336</v>
      </c>
      <c r="BX57" s="57">
        <f t="shared" si="118"/>
        <v>-10551.470588235294</v>
      </c>
      <c r="BY57" s="18">
        <f t="shared" si="53"/>
        <v>-261.67820069204151</v>
      </c>
      <c r="BZ57" s="57">
        <f t="shared" si="119"/>
        <v>0</v>
      </c>
      <c r="CA57" s="57">
        <f t="shared" si="120"/>
        <v>0</v>
      </c>
      <c r="CB57" s="58"/>
      <c r="CC57" s="127">
        <f t="shared" si="121"/>
        <v>-1</v>
      </c>
      <c r="CD57" s="56">
        <f>'[1]STA MARIA'!$O57</f>
        <v>-10813.148788927336</v>
      </c>
      <c r="CE57" s="57">
        <f t="shared" si="122"/>
        <v>-10551.470588235294</v>
      </c>
      <c r="CF57" s="18">
        <f t="shared" si="57"/>
        <v>-261.67820069204151</v>
      </c>
      <c r="CG57" s="57">
        <f t="shared" si="123"/>
        <v>0</v>
      </c>
      <c r="CH57" s="57">
        <f t="shared" si="124"/>
        <v>0</v>
      </c>
      <c r="CI57" s="58"/>
      <c r="CJ57" s="127">
        <f t="shared" si="125"/>
        <v>-1</v>
      </c>
      <c r="CK57" s="56">
        <f>'[1]STA MARIA'!$P57</f>
        <v>-10813.148788927336</v>
      </c>
      <c r="CL57" s="57">
        <f t="shared" si="126"/>
        <v>-10551.470588235294</v>
      </c>
      <c r="CM57" s="18">
        <f t="shared" si="61"/>
        <v>-261.67820069204151</v>
      </c>
      <c r="CN57" s="57">
        <f t="shared" si="127"/>
        <v>0</v>
      </c>
      <c r="CO57" s="57">
        <f t="shared" si="128"/>
        <v>0</v>
      </c>
      <c r="CP57" s="58"/>
      <c r="CQ57" s="127">
        <f t="shared" si="129"/>
        <v>-1</v>
      </c>
    </row>
    <row r="58" spans="1:99" s="26" customFormat="1" ht="16" customHeight="1" thickBot="1" x14ac:dyDescent="0.25">
      <c r="A58" s="131" t="s">
        <v>82</v>
      </c>
      <c r="B58" s="89">
        <f>+B55+B56+B57</f>
        <v>21192928.523372319</v>
      </c>
      <c r="C58" s="90">
        <f t="shared" ref="C58:D58" si="130">+C55+C56+C57</f>
        <v>20680059.653106712</v>
      </c>
      <c r="D58" s="91">
        <f t="shared" si="130"/>
        <v>512868.87026560999</v>
      </c>
      <c r="E58" s="92">
        <f t="shared" ref="E58:J58" si="131">SUM(E55:E57)</f>
        <v>9385659.6923995446</v>
      </c>
      <c r="F58" s="93">
        <f t="shared" si="131"/>
        <v>9158526.7278434746</v>
      </c>
      <c r="G58" s="94">
        <f t="shared" si="131"/>
        <v>227132.96455606891</v>
      </c>
      <c r="H58" s="95">
        <f t="shared" si="131"/>
        <v>12175465.099153996</v>
      </c>
      <c r="I58" s="96">
        <f t="shared" si="131"/>
        <v>301953.53084600007</v>
      </c>
      <c r="J58" s="96">
        <f t="shared" si="131"/>
        <v>12477418.630000001</v>
      </c>
      <c r="K58" s="132">
        <f>+J58/E55-1</f>
        <v>0.30535090495646044</v>
      </c>
      <c r="L58" s="133">
        <f t="shared" ref="L58:X58" si="132">SUM(L55:L57)</f>
        <v>2222812.6229159278</v>
      </c>
      <c r="M58" s="133">
        <f t="shared" si="132"/>
        <v>2169020.5574413622</v>
      </c>
      <c r="N58" s="133">
        <f t="shared" si="17"/>
        <v>53792.065474565454</v>
      </c>
      <c r="O58" s="133">
        <f t="shared" si="132"/>
        <v>1958746.9446020003</v>
      </c>
      <c r="P58" s="133">
        <f t="shared" si="132"/>
        <v>48577.245397999985</v>
      </c>
      <c r="Q58" s="133">
        <f t="shared" si="132"/>
        <v>2007324.1900000009</v>
      </c>
      <c r="R58" s="133">
        <f>+Q58/L55-1</f>
        <v>-0.11418075084874113</v>
      </c>
      <c r="S58" s="133">
        <f t="shared" si="132"/>
        <v>2149493.001454703</v>
      </c>
      <c r="T58" s="133">
        <f t="shared" si="132"/>
        <v>2097475.2708194992</v>
      </c>
      <c r="U58" s="133">
        <f t="shared" si="21"/>
        <v>52017.730635203814</v>
      </c>
      <c r="V58" s="133">
        <f t="shared" si="132"/>
        <v>1940962.1699300003</v>
      </c>
      <c r="W58" s="133">
        <f t="shared" si="132"/>
        <v>48136.180069999995</v>
      </c>
      <c r="X58" s="133">
        <f t="shared" si="132"/>
        <v>1989098.35</v>
      </c>
      <c r="Y58" s="133">
        <f>+X58/S55-1</f>
        <v>-9.2873175495239213E-2</v>
      </c>
      <c r="Z58" s="133">
        <f t="shared" ref="Z58:AE58" si="133">SUM(Z55:Z57)</f>
        <v>2781543.5194353135</v>
      </c>
      <c r="AA58" s="133">
        <f t="shared" si="133"/>
        <v>2714230.1662649787</v>
      </c>
      <c r="AB58" s="133">
        <f t="shared" si="25"/>
        <v>67313.35317033458</v>
      </c>
      <c r="AC58" s="133">
        <f t="shared" si="133"/>
        <v>2380969.2716600006</v>
      </c>
      <c r="AD58" s="133">
        <f t="shared" si="133"/>
        <v>59048.428340000006</v>
      </c>
      <c r="AE58" s="133">
        <f t="shared" si="133"/>
        <v>2440017.7000000002</v>
      </c>
      <c r="AF58" s="133">
        <f>+AE58/Z55-1</f>
        <v>-0.13621457938274284</v>
      </c>
      <c r="AG58" s="133">
        <f t="shared" ref="AG58:AL58" si="134">SUM(AG55:AG57)</f>
        <v>2231810.5485935993</v>
      </c>
      <c r="AH58" s="133">
        <f t="shared" si="134"/>
        <v>2177800.7333176341</v>
      </c>
      <c r="AI58" s="133">
        <f t="shared" si="29"/>
        <v>54009.815275965106</v>
      </c>
      <c r="AJ58" s="133">
        <f t="shared" si="134"/>
        <v>2102034.0996620003</v>
      </c>
      <c r="AK58" s="133">
        <f t="shared" si="134"/>
        <v>52130.790337999992</v>
      </c>
      <c r="AL58" s="133">
        <f t="shared" si="134"/>
        <v>2154164.8899999997</v>
      </c>
      <c r="AM58" s="133">
        <f>+AL58/AG55-1</f>
        <v>-5.3140614616114856E-2</v>
      </c>
      <c r="AN58" s="133">
        <f t="shared" ref="AN58:AS58" si="135">SUM(AN55:AN57)</f>
        <v>2296834.7299087038</v>
      </c>
      <c r="AO58" s="133">
        <f t="shared" si="135"/>
        <v>2241251.3294449127</v>
      </c>
      <c r="AP58" s="133">
        <f t="shared" si="33"/>
        <v>55583.400463790633</v>
      </c>
      <c r="AQ58" s="133">
        <f t="shared" si="135"/>
        <v>2010734.9046680001</v>
      </c>
      <c r="AR58" s="133">
        <f t="shared" si="135"/>
        <v>49866.555331999996</v>
      </c>
      <c r="AS58" s="96">
        <f t="shared" si="135"/>
        <v>2060601.4600000007</v>
      </c>
      <c r="AT58" s="132">
        <f>+AS58/AN55-1</f>
        <v>-0.11943394678945118</v>
      </c>
      <c r="AU58" s="133">
        <f t="shared" ref="AU58:AZ58" si="136">SUM(AU55:AU57)</f>
        <v>2236042.718422987</v>
      </c>
      <c r="AV58" s="133">
        <f t="shared" si="136"/>
        <v>2181930.4846371505</v>
      </c>
      <c r="AW58" s="18">
        <f t="shared" si="37"/>
        <v>54112.233785836288</v>
      </c>
      <c r="AX58" s="95">
        <f t="shared" si="136"/>
        <v>1782017.7086319998</v>
      </c>
      <c r="AY58" s="95">
        <f t="shared" si="136"/>
        <v>44194.331367999992</v>
      </c>
      <c r="AZ58" s="96">
        <f t="shared" si="136"/>
        <v>1826212.04</v>
      </c>
      <c r="BA58" s="132">
        <f>+AZ58/AU55-1</f>
        <v>-0.19878217222643035</v>
      </c>
      <c r="BB58" s="133">
        <f t="shared" ref="BB58:BG58" si="137">SUM(BB55:BB57)</f>
        <v>2439620.9065777706</v>
      </c>
      <c r="BC58" s="133">
        <f t="shared" si="137"/>
        <v>2380582.0806385875</v>
      </c>
      <c r="BD58" s="18">
        <f t="shared" si="41"/>
        <v>59038.825939182047</v>
      </c>
      <c r="BE58" s="95">
        <f t="shared" si="137"/>
        <v>0</v>
      </c>
      <c r="BF58" s="95">
        <f t="shared" si="137"/>
        <v>0</v>
      </c>
      <c r="BG58" s="96">
        <f t="shared" si="137"/>
        <v>0</v>
      </c>
      <c r="BH58" s="132">
        <f>+BG58/BB55-1</f>
        <v>-1</v>
      </c>
      <c r="BI58" s="133">
        <f t="shared" ref="BI58:BN58" si="138">SUM(BI55:BI57)</f>
        <v>1042051.3485422321</v>
      </c>
      <c r="BJ58" s="133">
        <f t="shared" si="138"/>
        <v>1016833.7059075101</v>
      </c>
      <c r="BK58" s="18">
        <f t="shared" si="45"/>
        <v>25217.642634722015</v>
      </c>
      <c r="BL58" s="95">
        <f t="shared" si="138"/>
        <v>0</v>
      </c>
      <c r="BM58" s="95">
        <f t="shared" si="138"/>
        <v>0</v>
      </c>
      <c r="BN58" s="96">
        <f t="shared" si="138"/>
        <v>0</v>
      </c>
      <c r="BO58" s="132">
        <f>+BN58/BI55-1</f>
        <v>-1</v>
      </c>
      <c r="BP58" s="133">
        <f t="shared" ref="BP58:BU58" si="139">SUM(BP55:BP57)</f>
        <v>1211327.4597462188</v>
      </c>
      <c r="BQ58" s="133">
        <f t="shared" si="139"/>
        <v>1182013.33522036</v>
      </c>
      <c r="BR58" s="18">
        <f t="shared" si="49"/>
        <v>29314.124525858493</v>
      </c>
      <c r="BS58" s="95">
        <f t="shared" si="139"/>
        <v>0</v>
      </c>
      <c r="BT58" s="95">
        <f t="shared" si="139"/>
        <v>0</v>
      </c>
      <c r="BU58" s="96">
        <f t="shared" si="139"/>
        <v>0</v>
      </c>
      <c r="BV58" s="132">
        <f>+BU58/BP55-1</f>
        <v>-1</v>
      </c>
      <c r="BW58" s="133">
        <f t="shared" ref="BW58:CB58" si="140">SUM(BW55:BW57)</f>
        <v>857205.14982732246</v>
      </c>
      <c r="BX58" s="133">
        <f t="shared" si="140"/>
        <v>836460.78520150145</v>
      </c>
      <c r="BY58" s="18">
        <f t="shared" si="53"/>
        <v>20744.364625821203</v>
      </c>
      <c r="BZ58" s="95">
        <f t="shared" si="140"/>
        <v>0</v>
      </c>
      <c r="CA58" s="95">
        <f t="shared" si="140"/>
        <v>0</v>
      </c>
      <c r="CB58" s="96">
        <f t="shared" si="140"/>
        <v>0</v>
      </c>
      <c r="CC58" s="132">
        <f>+CB58/BW55-1</f>
        <v>-1</v>
      </c>
      <c r="CD58" s="133">
        <f t="shared" ref="CD58:CI58" si="141">SUM(CD55:CD57)</f>
        <v>906240.47515621851</v>
      </c>
      <c r="CE58" s="133">
        <f t="shared" si="141"/>
        <v>884309.45565743814</v>
      </c>
      <c r="CF58" s="18">
        <f t="shared" si="57"/>
        <v>21931.019498780486</v>
      </c>
      <c r="CG58" s="95">
        <f t="shared" si="141"/>
        <v>0</v>
      </c>
      <c r="CH58" s="95">
        <f t="shared" si="141"/>
        <v>0</v>
      </c>
      <c r="CI58" s="96">
        <f t="shared" si="141"/>
        <v>0</v>
      </c>
      <c r="CJ58" s="132">
        <f>+CI58/CD55-1</f>
        <v>-1</v>
      </c>
      <c r="CK58" s="133">
        <f t="shared" ref="CK58:CP58" si="142">SUM(CK55:CK57)</f>
        <v>817946.04279132234</v>
      </c>
      <c r="CL58" s="133">
        <f t="shared" si="142"/>
        <v>798151.74855577247</v>
      </c>
      <c r="CM58" s="18">
        <f t="shared" si="61"/>
        <v>19794.294235550002</v>
      </c>
      <c r="CN58" s="95">
        <f t="shared" si="142"/>
        <v>0</v>
      </c>
      <c r="CO58" s="95">
        <f t="shared" si="142"/>
        <v>0</v>
      </c>
      <c r="CP58" s="96">
        <f t="shared" si="142"/>
        <v>0</v>
      </c>
      <c r="CQ58" s="132">
        <f>+CP58/CK55-1</f>
        <v>-1</v>
      </c>
    </row>
    <row r="59" spans="1:99" s="105" customFormat="1" ht="14.25" customHeight="1" x14ac:dyDescent="0.2">
      <c r="B59" s="104"/>
      <c r="C59" s="104"/>
      <c r="D59" s="104"/>
      <c r="J59" s="104">
        <f>J58-'[2]STA MARIA'!$O$42</f>
        <v>3886813.5000000019</v>
      </c>
      <c r="Q59" s="104">
        <f>Q58-'[2]STA MARIA'!$O$90</f>
        <v>0</v>
      </c>
      <c r="X59" s="104">
        <f>X58-'[2]STA MARIA'!$O$136</f>
        <v>0</v>
      </c>
      <c r="AE59" s="104">
        <f>AE58-'[2]STA MARIA'!$O$182</f>
        <v>0</v>
      </c>
      <c r="AL59" s="104">
        <f>AL58-'[2]STA MARIA'!$O$231</f>
        <v>0</v>
      </c>
      <c r="AS59" s="104">
        <f>AS58-'[3]STA MARIA'!$O$272</f>
        <v>2060601.4600000007</v>
      </c>
      <c r="AZ59" s="104">
        <f>AZ58-'[3]STA MARIA'!$O$318</f>
        <v>1826212.04</v>
      </c>
      <c r="BG59" s="104">
        <f>BG58-'[3]STA MARIA'!$O$364</f>
        <v>0</v>
      </c>
      <c r="BI59" s="104"/>
      <c r="BJ59" s="104"/>
      <c r="BK59" s="104"/>
      <c r="BL59" s="104"/>
      <c r="BM59" s="104"/>
      <c r="BN59" s="104">
        <f>BN58-'[3]STA MARIA'!$O$410</f>
        <v>0</v>
      </c>
      <c r="BO59" s="104"/>
      <c r="BP59" s="104"/>
      <c r="BQ59" s="104"/>
      <c r="BR59" s="104"/>
      <c r="BS59" s="104"/>
      <c r="BT59" s="104"/>
      <c r="BU59" s="104">
        <f>BU58-'[3]STA MARIA'!$O$456</f>
        <v>0</v>
      </c>
      <c r="BV59" s="104"/>
      <c r="BW59" s="104"/>
      <c r="BX59" s="104"/>
      <c r="BY59" s="104"/>
      <c r="BZ59" s="104"/>
      <c r="CA59" s="104"/>
      <c r="CB59" s="104">
        <f>CB58-'[3]STA MARIA'!$O$502</f>
        <v>0</v>
      </c>
      <c r="CC59" s="104"/>
      <c r="CD59" s="104"/>
      <c r="CE59" s="104"/>
      <c r="CF59" s="104"/>
      <c r="CG59" s="104"/>
      <c r="CH59" s="104"/>
      <c r="CI59" s="104">
        <f>CI58-'[3]STA MARIA'!$O$548</f>
        <v>0</v>
      </c>
      <c r="CP59" s="104">
        <f>CP58-'[3]STA MARIA'!$O$594</f>
        <v>0</v>
      </c>
    </row>
    <row r="60" spans="1:99" ht="14.25" customHeight="1" x14ac:dyDescent="0.2">
      <c r="L60" s="241" t="s">
        <v>83</v>
      </c>
      <c r="M60" s="242"/>
      <c r="N60" s="242"/>
      <c r="O60" s="242"/>
      <c r="P60" s="242"/>
      <c r="Q60" s="243"/>
      <c r="R60" s="244"/>
      <c r="S60" s="241" t="s">
        <v>83</v>
      </c>
      <c r="T60" s="242"/>
      <c r="U60" s="242"/>
      <c r="V60" s="242"/>
      <c r="W60" s="242"/>
      <c r="X60" s="243"/>
      <c r="Y60" s="244"/>
      <c r="Z60" s="241" t="s">
        <v>83</v>
      </c>
      <c r="AA60" s="242"/>
      <c r="AB60" s="242"/>
      <c r="AC60" s="242"/>
      <c r="AD60" s="242"/>
      <c r="AE60" s="243"/>
      <c r="AF60" s="244"/>
      <c r="AG60" s="241" t="s">
        <v>83</v>
      </c>
      <c r="AH60" s="242"/>
      <c r="AI60" s="242"/>
      <c r="AJ60" s="242"/>
      <c r="AK60" s="242"/>
      <c r="AL60" s="243"/>
      <c r="AM60" s="244"/>
      <c r="AN60" s="241" t="s">
        <v>83</v>
      </c>
      <c r="AO60" s="242"/>
      <c r="AP60" s="242"/>
      <c r="AQ60" s="242"/>
      <c r="AR60" s="242"/>
      <c r="AS60" s="243"/>
      <c r="AT60" s="244"/>
      <c r="AU60" s="241" t="s">
        <v>83</v>
      </c>
      <c r="AV60" s="242"/>
      <c r="AW60" s="242"/>
      <c r="AX60" s="242"/>
      <c r="AY60" s="242"/>
      <c r="AZ60" s="243"/>
      <c r="BA60" s="244"/>
      <c r="BB60" s="241" t="s">
        <v>83</v>
      </c>
      <c r="BC60" s="242"/>
      <c r="BD60" s="242"/>
      <c r="BE60" s="242"/>
      <c r="BF60" s="242"/>
      <c r="BG60" s="243"/>
      <c r="BH60" s="244"/>
      <c r="BI60" s="241" t="s">
        <v>83</v>
      </c>
      <c r="BJ60" s="242"/>
      <c r="BK60" s="242"/>
      <c r="BL60" s="242"/>
      <c r="BM60" s="242"/>
      <c r="BN60" s="243"/>
      <c r="BO60" s="244"/>
      <c r="BP60" s="241" t="s">
        <v>83</v>
      </c>
      <c r="BQ60" s="242"/>
      <c r="BR60" s="242"/>
      <c r="BS60" s="242"/>
      <c r="BT60" s="242"/>
      <c r="BU60" s="243"/>
      <c r="BV60" s="244"/>
      <c r="BW60" s="241" t="s">
        <v>83</v>
      </c>
      <c r="BX60" s="242"/>
      <c r="BY60" s="242"/>
      <c r="BZ60" s="242"/>
      <c r="CA60" s="242"/>
      <c r="CB60" s="243"/>
      <c r="CC60" s="244"/>
      <c r="CD60" s="241" t="s">
        <v>83</v>
      </c>
      <c r="CE60" s="242"/>
      <c r="CF60" s="242"/>
      <c r="CG60" s="242"/>
      <c r="CH60" s="242"/>
      <c r="CI60" s="243"/>
      <c r="CJ60" s="244"/>
      <c r="CK60" s="241" t="s">
        <v>83</v>
      </c>
      <c r="CL60" s="242"/>
      <c r="CM60" s="242"/>
      <c r="CN60" s="242"/>
      <c r="CO60" s="242"/>
      <c r="CP60" s="243"/>
      <c r="CQ60" s="244"/>
    </row>
    <row r="61" spans="1:99" ht="14.25" customHeight="1" x14ac:dyDescent="0.2">
      <c r="L61" s="107" t="s">
        <v>84</v>
      </c>
      <c r="M61" s="108"/>
      <c r="N61" s="108"/>
      <c r="O61" s="108"/>
      <c r="P61" s="108"/>
      <c r="Q61" s="108"/>
      <c r="R61" s="110">
        <f>22.34+6.97+1389.19+129.88+80.5+5.27+1254.07+369.11+196.86+659.13+78.22+13.18+11.25+817.81+99.36+1.87+1389.19+11.55+1254.51+6.64</f>
        <v>7796.9000000000015</v>
      </c>
      <c r="S61" s="107" t="s">
        <v>84</v>
      </c>
      <c r="T61" s="108"/>
      <c r="U61" s="108"/>
      <c r="V61" s="108"/>
      <c r="W61" s="108"/>
      <c r="X61" s="108"/>
      <c r="Y61" s="110">
        <f>84.72+663.6+127.72+8.81+1389.19+158.19+6.97+46.18+29.44+26.37+129.89+31.64+24.29+38.67+47.46+5.27+14.06+1350.08+659.13+13.18</f>
        <v>4854.8599999999997</v>
      </c>
      <c r="Z61" s="107" t="s">
        <v>84</v>
      </c>
      <c r="AA61" s="108"/>
      <c r="AB61" s="108"/>
      <c r="AC61" s="108"/>
      <c r="AD61" s="108"/>
      <c r="AE61" s="108"/>
      <c r="AF61" s="110">
        <f>6.97+35.08+32.52+5.27+210.92+659.13+13.18+1389.19+68.75+19.33+71.92+569.43+99.45</f>
        <v>3181.14</v>
      </c>
      <c r="AG61" s="107" t="s">
        <v>84</v>
      </c>
      <c r="AH61" s="108"/>
      <c r="AI61" s="108"/>
      <c r="AJ61" s="108"/>
      <c r="AK61" s="108"/>
      <c r="AL61" s="108"/>
      <c r="AM61" s="110">
        <f>13.18+65.17+88.18+6.97+295.29+369.11+50.9+21.27+58+9.15+5.27+1281.79+659.13+746.65+1389.16+32.52</f>
        <v>5091.7400000000007</v>
      </c>
      <c r="AN61" s="107"/>
      <c r="AO61" s="108"/>
      <c r="AP61" s="108"/>
      <c r="AQ61" s="108"/>
      <c r="AR61" s="108"/>
      <c r="AS61" s="108"/>
      <c r="AT61" s="110"/>
      <c r="AU61" s="107"/>
      <c r="AV61" s="108"/>
      <c r="AW61" s="108"/>
      <c r="AX61" s="108"/>
      <c r="AY61" s="108"/>
      <c r="AZ61" s="108"/>
      <c r="BA61" s="110"/>
      <c r="BB61" s="107"/>
      <c r="BC61" s="108"/>
      <c r="BD61" s="108"/>
      <c r="BE61" s="108"/>
      <c r="BF61" s="108"/>
      <c r="BG61" s="108"/>
      <c r="BH61" s="110"/>
      <c r="BI61" s="107"/>
      <c r="BJ61" s="108"/>
      <c r="BK61" s="108"/>
      <c r="BL61" s="108"/>
      <c r="BM61" s="108"/>
      <c r="BN61" s="108"/>
      <c r="BO61" s="110"/>
      <c r="BP61" s="107"/>
      <c r="BQ61" s="108"/>
      <c r="BR61" s="108"/>
      <c r="BS61" s="108"/>
      <c r="BT61" s="108"/>
      <c r="BU61" s="108"/>
      <c r="BV61" s="110"/>
      <c r="BW61" s="107"/>
      <c r="BX61" s="108"/>
      <c r="BY61" s="108"/>
      <c r="BZ61" s="108"/>
      <c r="CA61" s="108"/>
      <c r="CB61" s="108"/>
      <c r="CC61" s="110"/>
      <c r="CD61" s="107"/>
      <c r="CE61" s="108"/>
      <c r="CF61" s="108"/>
      <c r="CG61" s="108"/>
      <c r="CH61" s="108"/>
      <c r="CI61" s="108"/>
      <c r="CJ61" s="110"/>
      <c r="CK61" s="107"/>
      <c r="CL61" s="108"/>
      <c r="CM61" s="108"/>
      <c r="CN61" s="108"/>
      <c r="CO61" s="108"/>
      <c r="CP61" s="108"/>
      <c r="CQ61" s="110"/>
    </row>
    <row r="62" spans="1:99" ht="14.25" customHeight="1" x14ac:dyDescent="0.2">
      <c r="L62" s="107" t="s">
        <v>86</v>
      </c>
      <c r="M62" s="108"/>
      <c r="N62" s="108"/>
      <c r="O62" s="108"/>
      <c r="P62" s="108"/>
      <c r="Q62" s="108"/>
      <c r="R62" s="110">
        <f>788.2</f>
        <v>788.2</v>
      </c>
      <c r="S62" s="107" t="s">
        <v>86</v>
      </c>
      <c r="T62" s="108"/>
      <c r="U62" s="108"/>
      <c r="V62" s="108"/>
      <c r="W62" s="108"/>
      <c r="X62" s="108"/>
      <c r="Y62" s="110">
        <f>622.02</f>
        <v>622.02</v>
      </c>
      <c r="Z62" s="107" t="s">
        <v>86</v>
      </c>
      <c r="AA62" s="108"/>
      <c r="AB62" s="108"/>
      <c r="AC62" s="108"/>
      <c r="AD62" s="108"/>
      <c r="AE62" s="108"/>
      <c r="AF62" s="110">
        <v>805.89</v>
      </c>
      <c r="AG62" s="107" t="s">
        <v>86</v>
      </c>
      <c r="AH62" s="108"/>
      <c r="AI62" s="108"/>
      <c r="AJ62" s="108"/>
      <c r="AK62" s="108"/>
      <c r="AL62" s="108"/>
      <c r="AM62" s="110">
        <v>752.12</v>
      </c>
      <c r="AN62" s="107"/>
      <c r="AO62" s="108"/>
      <c r="AP62" s="108"/>
      <c r="AQ62" s="108"/>
      <c r="AR62" s="108"/>
      <c r="AS62" s="108"/>
      <c r="AT62" s="110"/>
      <c r="AU62" s="107"/>
      <c r="AV62" s="108"/>
      <c r="AW62" s="108"/>
      <c r="AX62" s="108"/>
      <c r="AY62" s="108"/>
      <c r="AZ62" s="108"/>
      <c r="BA62" s="110"/>
      <c r="BB62" s="107"/>
      <c r="BC62" s="108"/>
      <c r="BD62" s="108"/>
      <c r="BE62" s="108"/>
      <c r="BF62" s="108"/>
      <c r="BG62" s="108"/>
      <c r="BH62" s="110"/>
      <c r="BI62" s="107"/>
      <c r="BJ62" s="108"/>
      <c r="BK62" s="108"/>
      <c r="BL62" s="108"/>
      <c r="BM62" s="108"/>
      <c r="BN62" s="108"/>
      <c r="BO62" s="110"/>
      <c r="BP62" s="107"/>
      <c r="BQ62" s="108"/>
      <c r="BR62" s="108"/>
      <c r="BS62" s="108"/>
      <c r="BT62" s="108"/>
      <c r="BU62" s="108"/>
      <c r="BV62" s="110"/>
      <c r="BW62" s="107"/>
      <c r="BX62" s="108"/>
      <c r="BY62" s="108"/>
      <c r="BZ62" s="108"/>
      <c r="CA62" s="108"/>
      <c r="CB62" s="108"/>
      <c r="CC62" s="110"/>
      <c r="CD62" s="107"/>
      <c r="CE62" s="108"/>
      <c r="CF62" s="108"/>
      <c r="CG62" s="108"/>
      <c r="CH62" s="108"/>
      <c r="CI62" s="108"/>
      <c r="CJ62" s="110"/>
      <c r="CK62" s="107"/>
      <c r="CL62" s="108"/>
      <c r="CM62" s="108"/>
      <c r="CN62" s="108"/>
      <c r="CO62" s="108"/>
      <c r="CP62" s="108"/>
      <c r="CQ62" s="110"/>
    </row>
    <row r="63" spans="1:99" ht="14.25" customHeight="1" x14ac:dyDescent="0.2">
      <c r="L63" s="107" t="s">
        <v>87</v>
      </c>
      <c r="M63" s="108"/>
      <c r="N63" s="108"/>
      <c r="O63" s="108"/>
      <c r="P63" s="108"/>
      <c r="Q63" s="108"/>
      <c r="R63" s="110">
        <f>668.65</f>
        <v>668.65</v>
      </c>
      <c r="S63" s="107" t="s">
        <v>87</v>
      </c>
      <c r="T63" s="108"/>
      <c r="U63" s="108"/>
      <c r="V63" s="108"/>
      <c r="W63" s="108"/>
      <c r="X63" s="108"/>
      <c r="Y63" s="110">
        <v>666.6</v>
      </c>
      <c r="Z63" s="107" t="s">
        <v>87</v>
      </c>
      <c r="AA63" s="108"/>
      <c r="AB63" s="108"/>
      <c r="AC63" s="108"/>
      <c r="AD63" s="108"/>
      <c r="AE63" s="108"/>
      <c r="AF63" s="110">
        <f>853.63</f>
        <v>853.63</v>
      </c>
      <c r="AG63" s="107" t="s">
        <v>87</v>
      </c>
      <c r="AH63" s="108"/>
      <c r="AI63" s="108"/>
      <c r="AJ63" s="108"/>
      <c r="AK63" s="108"/>
      <c r="AL63" s="108"/>
      <c r="AM63" s="110">
        <f>389.9+120</f>
        <v>509.9</v>
      </c>
      <c r="AN63" s="107"/>
      <c r="AO63" s="108"/>
      <c r="AP63" s="108"/>
      <c r="AQ63" s="108"/>
      <c r="AR63" s="108"/>
      <c r="AS63" s="108"/>
      <c r="AT63" s="110"/>
      <c r="AU63" s="107"/>
      <c r="AV63" s="108"/>
      <c r="AW63" s="108"/>
      <c r="AX63" s="108"/>
      <c r="AY63" s="108"/>
      <c r="AZ63" s="108"/>
      <c r="BA63" s="110"/>
      <c r="BB63" s="107"/>
      <c r="BC63" s="108"/>
      <c r="BD63" s="108"/>
      <c r="BE63" s="108"/>
      <c r="BF63" s="108"/>
      <c r="BG63" s="108"/>
      <c r="BH63" s="110"/>
      <c r="BI63" s="107"/>
      <c r="BJ63" s="108"/>
      <c r="BK63" s="108"/>
      <c r="BL63" s="108"/>
      <c r="BM63" s="108"/>
      <c r="BN63" s="108"/>
      <c r="BO63" s="110"/>
      <c r="BP63" s="107"/>
      <c r="BQ63" s="108"/>
      <c r="BR63" s="108"/>
      <c r="BS63" s="108"/>
      <c r="BT63" s="108"/>
      <c r="BU63" s="108"/>
      <c r="BV63" s="110"/>
      <c r="BW63" s="107"/>
      <c r="BX63" s="108"/>
      <c r="BY63" s="108"/>
      <c r="BZ63" s="108"/>
      <c r="CA63" s="108"/>
      <c r="CB63" s="108"/>
      <c r="CC63" s="110"/>
      <c r="CD63" s="107"/>
      <c r="CE63" s="108"/>
      <c r="CF63" s="108"/>
      <c r="CG63" s="108"/>
      <c r="CH63" s="108"/>
      <c r="CI63" s="108"/>
      <c r="CJ63" s="110"/>
      <c r="CK63" s="107"/>
      <c r="CL63" s="108"/>
      <c r="CM63" s="108"/>
      <c r="CN63" s="108"/>
      <c r="CO63" s="108"/>
      <c r="CP63" s="108"/>
      <c r="CQ63" s="110"/>
    </row>
    <row r="64" spans="1:99" ht="14.25" customHeight="1" x14ac:dyDescent="0.2">
      <c r="L64" s="107" t="s">
        <v>89</v>
      </c>
      <c r="M64" s="108"/>
      <c r="N64" s="108"/>
      <c r="O64" s="108"/>
      <c r="P64" s="108"/>
      <c r="Q64" s="108"/>
      <c r="R64" s="110">
        <f>1094.4</f>
        <v>1094.4000000000001</v>
      </c>
      <c r="S64" s="107" t="s">
        <v>89</v>
      </c>
      <c r="T64" s="108"/>
      <c r="U64" s="108"/>
      <c r="V64" s="108"/>
      <c r="W64" s="108"/>
      <c r="X64" s="108"/>
      <c r="Y64" s="110">
        <f>145.02</f>
        <v>145.02000000000001</v>
      </c>
      <c r="Z64" s="107" t="s">
        <v>89</v>
      </c>
      <c r="AA64" s="108"/>
      <c r="AB64" s="108"/>
      <c r="AC64" s="108"/>
      <c r="AD64" s="108"/>
      <c r="AE64" s="108"/>
      <c r="AF64" s="110">
        <f>1455.51</f>
        <v>1455.51</v>
      </c>
      <c r="AG64" s="107" t="s">
        <v>89</v>
      </c>
      <c r="AH64" s="108"/>
      <c r="AI64" s="108"/>
      <c r="AJ64" s="108"/>
      <c r="AK64" s="108"/>
      <c r="AL64" s="108"/>
      <c r="AM64" s="110"/>
      <c r="AN64" s="107"/>
      <c r="AO64" s="108"/>
      <c r="AP64" s="108"/>
      <c r="AQ64" s="108"/>
      <c r="AR64" s="108"/>
      <c r="AS64" s="108"/>
      <c r="AT64" s="110"/>
      <c r="AU64" s="107"/>
      <c r="AV64" s="108"/>
      <c r="AW64" s="108"/>
      <c r="AX64" s="108"/>
      <c r="AY64" s="108"/>
      <c r="AZ64" s="108"/>
      <c r="BA64" s="110"/>
      <c r="BB64" s="107"/>
      <c r="BC64" s="108"/>
      <c r="BD64" s="108"/>
      <c r="BE64" s="108"/>
      <c r="BF64" s="108"/>
      <c r="BG64" s="108"/>
      <c r="BH64" s="110"/>
      <c r="BI64" s="107"/>
      <c r="BJ64" s="108"/>
      <c r="BK64" s="108"/>
      <c r="BL64" s="108"/>
      <c r="BM64" s="108"/>
      <c r="BN64" s="108"/>
      <c r="BO64" s="110"/>
      <c r="BP64" s="107"/>
      <c r="BQ64" s="108"/>
      <c r="BR64" s="108"/>
      <c r="BS64" s="108"/>
      <c r="BT64" s="108"/>
      <c r="BU64" s="108"/>
      <c r="BV64" s="110"/>
      <c r="BW64" s="107"/>
      <c r="BX64" s="108"/>
      <c r="BY64" s="108"/>
      <c r="BZ64" s="108"/>
      <c r="CA64" s="108"/>
      <c r="CB64" s="108"/>
      <c r="CC64" s="110"/>
      <c r="CD64" s="107"/>
      <c r="CE64" s="108"/>
      <c r="CF64" s="108"/>
      <c r="CG64" s="108"/>
      <c r="CH64" s="108"/>
      <c r="CI64" s="108"/>
      <c r="CJ64" s="110"/>
      <c r="CK64" s="107"/>
      <c r="CL64" s="108"/>
      <c r="CM64" s="108"/>
      <c r="CN64" s="108"/>
      <c r="CO64" s="108"/>
      <c r="CP64" s="108"/>
      <c r="CQ64" s="110"/>
    </row>
    <row r="65" spans="12:99" ht="14.25" customHeight="1" x14ac:dyDescent="0.2">
      <c r="L65" s="107" t="s">
        <v>109</v>
      </c>
      <c r="M65" s="108"/>
      <c r="N65" s="108"/>
      <c r="O65" s="108"/>
      <c r="P65" s="108"/>
      <c r="Q65" s="108"/>
      <c r="R65" s="110">
        <f>550</f>
        <v>550</v>
      </c>
      <c r="S65" s="107" t="s">
        <v>109</v>
      </c>
      <c r="T65" s="108"/>
      <c r="U65" s="108"/>
      <c r="V65" s="108"/>
      <c r="W65" s="108"/>
      <c r="X65" s="108"/>
      <c r="Y65" s="110">
        <f>325</f>
        <v>325</v>
      </c>
      <c r="Z65" s="107" t="s">
        <v>109</v>
      </c>
      <c r="AA65" s="108"/>
      <c r="AB65" s="108"/>
      <c r="AC65" s="108"/>
      <c r="AD65" s="108"/>
      <c r="AE65" s="108"/>
      <c r="AF65" s="110"/>
      <c r="AG65" s="107" t="s">
        <v>109</v>
      </c>
      <c r="AH65" s="108"/>
      <c r="AI65" s="108"/>
      <c r="AJ65" s="108"/>
      <c r="AK65" s="108"/>
      <c r="AL65" s="108"/>
      <c r="AM65" s="110">
        <f>250+275</f>
        <v>525</v>
      </c>
      <c r="AN65" s="107"/>
      <c r="AO65" s="108"/>
      <c r="AP65" s="108"/>
      <c r="AQ65" s="108"/>
      <c r="AR65" s="108"/>
      <c r="AS65" s="108"/>
      <c r="AT65" s="110"/>
      <c r="AU65" s="107"/>
      <c r="AV65" s="108"/>
      <c r="AW65" s="108"/>
      <c r="AX65" s="108"/>
      <c r="AY65" s="108"/>
      <c r="AZ65" s="108"/>
      <c r="BA65" s="110"/>
      <c r="BB65" s="107"/>
      <c r="BC65" s="108"/>
      <c r="BD65" s="108"/>
      <c r="BE65" s="108"/>
      <c r="BF65" s="108"/>
      <c r="BG65" s="108"/>
      <c r="BH65" s="110"/>
      <c r="BI65" s="107"/>
      <c r="BJ65" s="108"/>
      <c r="BK65" s="108"/>
      <c r="BL65" s="108"/>
      <c r="BM65" s="108"/>
      <c r="BN65" s="108"/>
      <c r="BO65" s="110"/>
      <c r="BP65" s="107"/>
      <c r="BQ65" s="108"/>
      <c r="BR65" s="108"/>
      <c r="BS65" s="108"/>
      <c r="BT65" s="108"/>
      <c r="BU65" s="108"/>
      <c r="BV65" s="110"/>
      <c r="BW65" s="107"/>
      <c r="BX65" s="108"/>
      <c r="BY65" s="108"/>
      <c r="BZ65" s="108"/>
      <c r="CA65" s="108"/>
      <c r="CB65" s="108"/>
      <c r="CC65" s="110"/>
      <c r="CD65" s="107"/>
      <c r="CE65" s="108"/>
      <c r="CF65" s="108"/>
      <c r="CG65" s="108"/>
      <c r="CH65" s="108"/>
      <c r="CI65" s="108"/>
      <c r="CJ65" s="110"/>
      <c r="CK65" s="107"/>
      <c r="CL65" s="108"/>
      <c r="CM65" s="108"/>
      <c r="CN65" s="108"/>
      <c r="CO65" s="108"/>
      <c r="CP65" s="108"/>
      <c r="CQ65" s="110"/>
    </row>
    <row r="66" spans="12:99" ht="14.25" customHeight="1" x14ac:dyDescent="0.2">
      <c r="L66" s="107" t="s">
        <v>101</v>
      </c>
      <c r="M66" s="108"/>
      <c r="N66" s="108"/>
      <c r="O66" s="108"/>
      <c r="P66" s="108"/>
      <c r="Q66" s="108"/>
      <c r="R66" s="110">
        <f>482.17</f>
        <v>482.17</v>
      </c>
      <c r="S66" s="107" t="s">
        <v>101</v>
      </c>
      <c r="T66" s="108"/>
      <c r="U66" s="108"/>
      <c r="V66" s="108"/>
      <c r="W66" s="108"/>
      <c r="X66" s="108"/>
      <c r="Y66" s="110">
        <f>482.17+180.18+180.18</f>
        <v>842.53</v>
      </c>
      <c r="Z66" s="107" t="s">
        <v>101</v>
      </c>
      <c r="AA66" s="108"/>
      <c r="AB66" s="108"/>
      <c r="AC66" s="108"/>
      <c r="AD66" s="108"/>
      <c r="AE66" s="108"/>
      <c r="AF66" s="110">
        <f>482.17+180.18</f>
        <v>662.35</v>
      </c>
      <c r="AG66" s="107" t="s">
        <v>101</v>
      </c>
      <c r="AH66" s="108"/>
      <c r="AI66" s="108"/>
      <c r="AJ66" s="108"/>
      <c r="AK66" s="108"/>
      <c r="AL66" s="108"/>
      <c r="AM66" s="110">
        <f>482.17+180.18</f>
        <v>662.35</v>
      </c>
      <c r="AN66" s="107"/>
      <c r="AO66" s="108"/>
      <c r="AP66" s="108"/>
      <c r="AQ66" s="108"/>
      <c r="AR66" s="108"/>
      <c r="AS66" s="108"/>
      <c r="AT66" s="110"/>
      <c r="AU66" s="107"/>
      <c r="AV66" s="108"/>
      <c r="AW66" s="108"/>
      <c r="AX66" s="108"/>
      <c r="AY66" s="108"/>
      <c r="AZ66" s="108"/>
      <c r="BA66" s="110"/>
      <c r="BB66" s="107"/>
      <c r="BC66" s="108"/>
      <c r="BD66" s="108"/>
      <c r="BE66" s="108"/>
      <c r="BF66" s="108"/>
      <c r="BG66" s="108"/>
      <c r="BH66" s="110"/>
      <c r="BI66" s="107"/>
      <c r="BJ66" s="108"/>
      <c r="BK66" s="108"/>
      <c r="BL66" s="108"/>
      <c r="BM66" s="108"/>
      <c r="BN66" s="108"/>
      <c r="BO66" s="110"/>
      <c r="BP66" s="107"/>
      <c r="BQ66" s="108"/>
      <c r="BR66" s="108"/>
      <c r="BS66" s="108"/>
      <c r="BT66" s="108"/>
      <c r="BU66" s="108"/>
      <c r="BV66" s="110"/>
      <c r="BW66" s="107"/>
      <c r="BX66" s="108"/>
      <c r="BY66" s="108"/>
      <c r="BZ66" s="108"/>
      <c r="CA66" s="108"/>
      <c r="CB66" s="108"/>
      <c r="CC66" s="110"/>
      <c r="CD66" s="107"/>
      <c r="CE66" s="108"/>
      <c r="CF66" s="108"/>
      <c r="CG66" s="108"/>
      <c r="CH66" s="108"/>
      <c r="CI66" s="108"/>
      <c r="CJ66" s="110"/>
      <c r="CK66" s="107"/>
      <c r="CL66" s="108"/>
      <c r="CM66" s="108"/>
      <c r="CN66" s="108"/>
      <c r="CO66" s="108"/>
      <c r="CP66" s="108"/>
      <c r="CQ66" s="110"/>
    </row>
    <row r="67" spans="12:99" ht="14.25" customHeight="1" x14ac:dyDescent="0.2">
      <c r="L67" s="107" t="s">
        <v>132</v>
      </c>
      <c r="M67" s="108"/>
      <c r="N67" s="108"/>
      <c r="O67" s="108"/>
      <c r="P67" s="108"/>
      <c r="Q67" s="108"/>
      <c r="R67" s="110">
        <f>2060</f>
        <v>2060</v>
      </c>
      <c r="S67" s="107" t="s">
        <v>99</v>
      </c>
      <c r="T67" s="108"/>
      <c r="U67" s="108"/>
      <c r="V67" s="108"/>
      <c r="W67" s="108"/>
      <c r="X67" s="108"/>
      <c r="Y67" s="110">
        <f>751.51</f>
        <v>751.51</v>
      </c>
      <c r="Z67" s="107" t="s">
        <v>99</v>
      </c>
      <c r="AA67" s="108"/>
      <c r="AB67" s="108"/>
      <c r="AC67" s="108"/>
      <c r="AD67" s="108"/>
      <c r="AE67" s="108"/>
      <c r="AF67" s="110"/>
      <c r="AG67" s="107" t="s">
        <v>99</v>
      </c>
      <c r="AH67" s="108"/>
      <c r="AI67" s="108"/>
      <c r="AJ67" s="108"/>
      <c r="AK67" s="108"/>
      <c r="AL67" s="108"/>
      <c r="AM67" s="110">
        <f>810.66</f>
        <v>810.66</v>
      </c>
      <c r="AN67" s="107"/>
      <c r="AO67" s="108"/>
      <c r="AP67" s="108"/>
      <c r="AQ67" s="108"/>
      <c r="AR67" s="108"/>
      <c r="AS67" s="108"/>
      <c r="AT67" s="110"/>
      <c r="AU67" s="107"/>
      <c r="AV67" s="108"/>
      <c r="AW67" s="108"/>
      <c r="AX67" s="108"/>
      <c r="AY67" s="108"/>
      <c r="AZ67" s="108"/>
      <c r="BA67" s="110"/>
      <c r="BB67" s="107"/>
      <c r="BC67" s="108"/>
      <c r="BD67" s="108"/>
      <c r="BE67" s="108"/>
      <c r="BF67" s="108"/>
      <c r="BG67" s="108"/>
      <c r="BH67" s="110"/>
      <c r="BI67" s="107"/>
      <c r="BJ67" s="108"/>
      <c r="BK67" s="108"/>
      <c r="BL67" s="108"/>
      <c r="BM67" s="108"/>
      <c r="BN67" s="108"/>
      <c r="BO67" s="110"/>
      <c r="BP67" s="107"/>
      <c r="BQ67" s="108"/>
      <c r="BR67" s="108"/>
      <c r="BS67" s="108"/>
      <c r="BT67" s="108"/>
      <c r="BU67" s="108"/>
      <c r="BV67" s="110"/>
      <c r="BW67" s="107"/>
      <c r="BX67" s="108"/>
      <c r="BY67" s="108"/>
      <c r="BZ67" s="108"/>
      <c r="CA67" s="108"/>
      <c r="CB67" s="108"/>
      <c r="CC67" s="110"/>
      <c r="CD67" s="107"/>
      <c r="CE67" s="108"/>
      <c r="CF67" s="108"/>
      <c r="CG67" s="108"/>
      <c r="CH67" s="108"/>
      <c r="CI67" s="108"/>
      <c r="CJ67" s="110"/>
      <c r="CK67" s="107"/>
      <c r="CL67" s="108"/>
      <c r="CM67" s="108"/>
      <c r="CN67" s="108"/>
      <c r="CO67" s="108"/>
      <c r="CP67" s="108"/>
      <c r="CQ67" s="110"/>
    </row>
    <row r="68" spans="12:99" ht="14.25" customHeight="1" x14ac:dyDescent="0.2">
      <c r="L68" s="107" t="s">
        <v>94</v>
      </c>
      <c r="M68" s="108"/>
      <c r="N68" s="108"/>
      <c r="O68" s="108"/>
      <c r="P68" s="108"/>
      <c r="Q68" s="108"/>
      <c r="R68" s="110">
        <f>177.1</f>
        <v>177.1</v>
      </c>
      <c r="S68" s="107" t="s">
        <v>94</v>
      </c>
      <c r="T68" s="108"/>
      <c r="U68" s="108"/>
      <c r="V68" s="108"/>
      <c r="W68" s="108"/>
      <c r="X68" s="108"/>
      <c r="Y68" s="110"/>
      <c r="Z68" s="107" t="s">
        <v>94</v>
      </c>
      <c r="AA68" s="108"/>
      <c r="AB68" s="108"/>
      <c r="AC68" s="108"/>
      <c r="AD68" s="108"/>
      <c r="AE68" s="108"/>
      <c r="AF68" s="110"/>
      <c r="AG68" s="107" t="s">
        <v>94</v>
      </c>
      <c r="AH68" s="108"/>
      <c r="AI68" s="108"/>
      <c r="AJ68" s="108"/>
      <c r="AK68" s="108"/>
      <c r="AL68" s="108"/>
      <c r="AM68" s="110"/>
      <c r="AN68" s="107"/>
      <c r="AO68" s="108"/>
      <c r="AP68" s="108"/>
      <c r="AQ68" s="108"/>
      <c r="AR68" s="108"/>
      <c r="AS68" s="108"/>
      <c r="AT68" s="110"/>
      <c r="AU68" s="107"/>
      <c r="AV68" s="108"/>
      <c r="AW68" s="108"/>
      <c r="AX68" s="108"/>
      <c r="AY68" s="108"/>
      <c r="AZ68" s="108"/>
      <c r="BA68" s="110"/>
      <c r="BB68" s="107"/>
      <c r="BC68" s="108"/>
      <c r="BD68" s="108"/>
      <c r="BE68" s="108"/>
      <c r="BF68" s="108"/>
      <c r="BG68" s="108"/>
      <c r="BH68" s="110"/>
      <c r="BI68" s="107"/>
      <c r="BJ68" s="108"/>
      <c r="BK68" s="108"/>
      <c r="BL68" s="108"/>
      <c r="BM68" s="108"/>
      <c r="BN68" s="108"/>
      <c r="BO68" s="110"/>
      <c r="BP68" s="107"/>
      <c r="BQ68" s="108"/>
      <c r="BR68" s="108"/>
      <c r="BS68" s="108"/>
      <c r="BT68" s="108"/>
      <c r="BU68" s="108"/>
      <c r="BV68" s="110"/>
      <c r="BW68" s="107"/>
      <c r="BX68" s="108"/>
      <c r="BY68" s="108"/>
      <c r="BZ68" s="108"/>
      <c r="CA68" s="108"/>
      <c r="CB68" s="108"/>
      <c r="CC68" s="110"/>
      <c r="CD68" s="107"/>
      <c r="CE68" s="108"/>
      <c r="CF68" s="108"/>
      <c r="CG68" s="108"/>
      <c r="CH68" s="108"/>
      <c r="CI68" s="108"/>
      <c r="CJ68" s="110"/>
      <c r="CK68" s="107"/>
      <c r="CL68" s="108"/>
      <c r="CM68" s="108"/>
      <c r="CN68" s="108"/>
      <c r="CO68" s="108"/>
      <c r="CP68" s="108"/>
      <c r="CQ68" s="110"/>
    </row>
    <row r="69" spans="12:99" ht="14.25" customHeight="1" x14ac:dyDescent="0.2">
      <c r="L69" s="107" t="s">
        <v>95</v>
      </c>
      <c r="M69" s="108"/>
      <c r="N69" s="108"/>
      <c r="O69" s="108"/>
      <c r="P69" s="108"/>
      <c r="Q69" s="108"/>
      <c r="R69" s="110">
        <f>925</f>
        <v>925</v>
      </c>
      <c r="S69" s="107" t="s">
        <v>95</v>
      </c>
      <c r="T69" s="108"/>
      <c r="U69" s="108"/>
      <c r="V69" s="108"/>
      <c r="W69" s="108"/>
      <c r="X69" s="108"/>
      <c r="Y69" s="110"/>
      <c r="Z69" s="107" t="s">
        <v>95</v>
      </c>
      <c r="AA69" s="108"/>
      <c r="AB69" s="108"/>
      <c r="AC69" s="108"/>
      <c r="AD69" s="108"/>
      <c r="AE69" s="108"/>
      <c r="AF69" s="110">
        <f>900</f>
        <v>900</v>
      </c>
      <c r="AG69" s="107" t="s">
        <v>95</v>
      </c>
      <c r="AH69" s="108"/>
      <c r="AI69" s="108"/>
      <c r="AJ69" s="108"/>
      <c r="AK69" s="108"/>
      <c r="AL69" s="108"/>
      <c r="AM69" s="110">
        <f>900</f>
        <v>900</v>
      </c>
      <c r="AN69" s="107"/>
      <c r="AO69" s="108"/>
      <c r="AP69" s="108"/>
      <c r="AQ69" s="108"/>
      <c r="AR69" s="108"/>
      <c r="AS69" s="108"/>
      <c r="AT69" s="110"/>
      <c r="AU69" s="107"/>
      <c r="AV69" s="108"/>
      <c r="AW69" s="108"/>
      <c r="AX69" s="108"/>
      <c r="AY69" s="108"/>
      <c r="AZ69" s="108"/>
      <c r="BA69" s="110"/>
      <c r="BB69" s="107"/>
      <c r="BC69" s="108"/>
      <c r="BD69" s="108"/>
      <c r="BE69" s="108"/>
      <c r="BF69" s="108"/>
      <c r="BG69" s="108"/>
      <c r="BH69" s="110"/>
      <c r="BI69" s="107"/>
      <c r="BJ69" s="108"/>
      <c r="BK69" s="108"/>
      <c r="BL69" s="108"/>
      <c r="BM69" s="108"/>
      <c r="BN69" s="108"/>
      <c r="BO69" s="110"/>
      <c r="BP69" s="107"/>
      <c r="BQ69" s="108"/>
      <c r="BR69" s="108"/>
      <c r="BS69" s="108"/>
      <c r="BT69" s="108"/>
      <c r="BU69" s="108"/>
      <c r="BV69" s="110"/>
      <c r="BW69" s="107"/>
      <c r="BX69" s="108"/>
      <c r="BY69" s="108"/>
      <c r="BZ69" s="108"/>
      <c r="CA69" s="108"/>
      <c r="CB69" s="108"/>
      <c r="CC69" s="110"/>
      <c r="CD69" s="107"/>
      <c r="CE69" s="108"/>
      <c r="CF69" s="108"/>
      <c r="CG69" s="108"/>
      <c r="CH69" s="108"/>
      <c r="CI69" s="108"/>
      <c r="CJ69" s="110"/>
      <c r="CK69" s="107"/>
      <c r="CL69" s="108"/>
      <c r="CM69" s="108"/>
      <c r="CN69" s="108"/>
      <c r="CO69" s="108"/>
      <c r="CP69" s="108"/>
      <c r="CQ69" s="110"/>
    </row>
    <row r="70" spans="12:99" ht="14.25" customHeight="1" x14ac:dyDescent="0.2">
      <c r="L70" s="107" t="s">
        <v>90</v>
      </c>
      <c r="M70" s="108"/>
      <c r="N70" s="108"/>
      <c r="O70" s="108"/>
      <c r="P70" s="108"/>
      <c r="Q70" s="108"/>
      <c r="R70" s="110">
        <f>873.5+580</f>
        <v>1453.5</v>
      </c>
      <c r="S70" s="107" t="s">
        <v>90</v>
      </c>
      <c r="T70" s="108"/>
      <c r="U70" s="108"/>
      <c r="V70" s="108"/>
      <c r="W70" s="108"/>
      <c r="X70" s="108"/>
      <c r="Y70" s="110"/>
      <c r="Z70" s="107" t="s">
        <v>90</v>
      </c>
      <c r="AA70" s="108"/>
      <c r="AB70" s="108"/>
      <c r="AC70" s="108"/>
      <c r="AD70" s="108"/>
      <c r="AE70" s="108"/>
      <c r="AF70" s="110">
        <f>411</f>
        <v>411</v>
      </c>
      <c r="AG70" s="107" t="s">
        <v>90</v>
      </c>
      <c r="AH70" s="108"/>
      <c r="AI70" s="108"/>
      <c r="AJ70" s="108"/>
      <c r="AK70" s="108"/>
      <c r="AL70" s="108"/>
      <c r="AM70" s="110">
        <f>1301+869</f>
        <v>2170</v>
      </c>
      <c r="AN70" s="107"/>
      <c r="AO70" s="108"/>
      <c r="AP70" s="108"/>
      <c r="AQ70" s="108"/>
      <c r="AR70" s="108"/>
      <c r="AS70" s="108"/>
      <c r="AT70" s="110"/>
      <c r="AU70" s="107"/>
      <c r="AV70" s="108"/>
      <c r="AW70" s="108"/>
      <c r="AX70" s="108"/>
      <c r="AY70" s="108"/>
      <c r="AZ70" s="108"/>
      <c r="BA70" s="110"/>
      <c r="BB70" s="107"/>
      <c r="BC70" s="108"/>
      <c r="BD70" s="108"/>
      <c r="BE70" s="108"/>
      <c r="BF70" s="108"/>
      <c r="BG70" s="108"/>
      <c r="BH70" s="110"/>
      <c r="BI70" s="107"/>
      <c r="BJ70" s="108"/>
      <c r="BK70" s="108"/>
      <c r="BL70" s="108"/>
      <c r="BM70" s="108"/>
      <c r="BN70" s="108"/>
      <c r="BO70" s="110"/>
      <c r="BP70" s="107"/>
      <c r="BQ70" s="108"/>
      <c r="BR70" s="108"/>
      <c r="BS70" s="108"/>
      <c r="BT70" s="108"/>
      <c r="BU70" s="108"/>
      <c r="BV70" s="110"/>
      <c r="BW70" s="107"/>
      <c r="BX70" s="108"/>
      <c r="BY70" s="108"/>
      <c r="BZ70" s="108"/>
      <c r="CA70" s="108"/>
      <c r="CB70" s="108"/>
      <c r="CC70" s="110"/>
      <c r="CD70" s="107"/>
      <c r="CE70" s="108"/>
      <c r="CF70" s="108"/>
      <c r="CG70" s="108"/>
      <c r="CH70" s="108"/>
      <c r="CI70" s="108"/>
      <c r="CJ70" s="110"/>
      <c r="CK70" s="107"/>
      <c r="CL70" s="108"/>
      <c r="CM70" s="108"/>
      <c r="CN70" s="108"/>
      <c r="CO70" s="108"/>
      <c r="CP70" s="108"/>
      <c r="CQ70" s="110"/>
    </row>
    <row r="71" spans="12:99" ht="14.25" customHeight="1" x14ac:dyDescent="0.2">
      <c r="L71" s="107" t="s">
        <v>141</v>
      </c>
      <c r="M71" s="108"/>
      <c r="N71" s="108"/>
      <c r="O71" s="108"/>
      <c r="P71" s="108"/>
      <c r="Q71" s="108"/>
      <c r="R71" s="110">
        <f>370.8</f>
        <v>370.8</v>
      </c>
      <c r="S71" s="107" t="s">
        <v>141</v>
      </c>
      <c r="T71" s="108"/>
      <c r="U71" s="108"/>
      <c r="V71" s="108"/>
      <c r="W71" s="108"/>
      <c r="X71" s="108"/>
      <c r="Y71" s="110">
        <f>182.9</f>
        <v>182.9</v>
      </c>
      <c r="Z71" s="107" t="s">
        <v>141</v>
      </c>
      <c r="AA71" s="108"/>
      <c r="AB71" s="108"/>
      <c r="AC71" s="108"/>
      <c r="AD71" s="108"/>
      <c r="AE71" s="108"/>
      <c r="AF71" s="110">
        <f>146.9</f>
        <v>146.9</v>
      </c>
      <c r="AG71" s="107" t="s">
        <v>141</v>
      </c>
      <c r="AH71" s="108"/>
      <c r="AI71" s="108"/>
      <c r="AJ71" s="108"/>
      <c r="AK71" s="108"/>
      <c r="AL71" s="108"/>
      <c r="AM71" s="110">
        <f>146.9</f>
        <v>146.9</v>
      </c>
      <c r="AN71" s="107"/>
      <c r="AO71" s="108"/>
      <c r="AP71" s="108"/>
      <c r="AQ71" s="108"/>
      <c r="AR71" s="108"/>
      <c r="AS71" s="108"/>
      <c r="AT71" s="110"/>
      <c r="AU71" s="107"/>
      <c r="AV71" s="108"/>
      <c r="AW71" s="108"/>
      <c r="AX71" s="108"/>
      <c r="AY71" s="108"/>
      <c r="AZ71" s="108"/>
      <c r="BA71" s="110"/>
      <c r="BB71" s="107"/>
      <c r="BC71" s="108"/>
      <c r="BD71" s="108"/>
      <c r="BE71" s="108"/>
      <c r="BF71" s="108"/>
      <c r="BG71" s="108"/>
      <c r="BH71" s="110"/>
      <c r="BI71" s="107"/>
      <c r="BJ71" s="108"/>
      <c r="BK71" s="108"/>
      <c r="BL71" s="108"/>
      <c r="BM71" s="108"/>
      <c r="BN71" s="108"/>
      <c r="BO71" s="110"/>
      <c r="BP71" s="107"/>
      <c r="BQ71" s="108"/>
      <c r="BR71" s="108"/>
      <c r="BS71" s="108"/>
      <c r="BT71" s="108"/>
      <c r="BU71" s="108"/>
      <c r="BV71" s="110"/>
      <c r="BW71" s="107"/>
      <c r="BX71" s="108"/>
      <c r="BY71" s="108"/>
      <c r="BZ71" s="108"/>
      <c r="CA71" s="108"/>
      <c r="CB71" s="108"/>
      <c r="CC71" s="110"/>
      <c r="CD71" s="107"/>
      <c r="CE71" s="108"/>
      <c r="CF71" s="108"/>
      <c r="CG71" s="108"/>
      <c r="CH71" s="108"/>
      <c r="CI71" s="108"/>
      <c r="CJ71" s="110"/>
      <c r="CK71" s="107"/>
      <c r="CL71" s="108"/>
      <c r="CM71" s="108"/>
      <c r="CN71" s="108"/>
      <c r="CO71" s="108"/>
      <c r="CP71" s="108"/>
      <c r="CQ71" s="110"/>
    </row>
    <row r="72" spans="12:99" ht="14.25" customHeight="1" x14ac:dyDescent="0.2">
      <c r="L72" s="107"/>
      <c r="M72" s="108"/>
      <c r="N72" s="108"/>
      <c r="O72" s="108"/>
      <c r="P72" s="108"/>
      <c r="Q72" s="108"/>
      <c r="R72" s="110"/>
      <c r="S72" s="107" t="s">
        <v>121</v>
      </c>
      <c r="T72" s="108"/>
      <c r="U72" s="108"/>
      <c r="V72" s="108"/>
      <c r="W72" s="108"/>
      <c r="X72" s="108"/>
      <c r="Y72" s="110">
        <f>208.26+124.96</f>
        <v>333.21999999999997</v>
      </c>
      <c r="Z72" s="107" t="s">
        <v>121</v>
      </c>
      <c r="AA72" s="108"/>
      <c r="AB72" s="108"/>
      <c r="AC72" s="108"/>
      <c r="AD72" s="108"/>
      <c r="AE72" s="108"/>
      <c r="AF72" s="110"/>
      <c r="AG72" s="107" t="s">
        <v>121</v>
      </c>
      <c r="AH72" s="108"/>
      <c r="AI72" s="108"/>
      <c r="AJ72" s="108"/>
      <c r="AK72" s="108"/>
      <c r="AL72" s="108"/>
      <c r="AM72" s="110"/>
      <c r="AN72" s="107"/>
      <c r="AO72" s="108"/>
      <c r="AP72" s="108"/>
      <c r="AQ72" s="108"/>
      <c r="AR72" s="108"/>
      <c r="AS72" s="108"/>
      <c r="AT72" s="110"/>
      <c r="AU72" s="107"/>
      <c r="AV72" s="108"/>
      <c r="AW72" s="108"/>
      <c r="AX72" s="108"/>
      <c r="AY72" s="108"/>
      <c r="AZ72" s="108"/>
      <c r="BA72" s="110"/>
      <c r="BB72" s="107"/>
      <c r="BC72" s="108"/>
      <c r="BD72" s="108"/>
      <c r="BE72" s="108"/>
      <c r="BF72" s="108"/>
      <c r="BG72" s="108"/>
      <c r="BH72" s="110"/>
      <c r="BI72" s="107"/>
      <c r="BJ72" s="108"/>
      <c r="BK72" s="108"/>
      <c r="BL72" s="108"/>
      <c r="BM72" s="108"/>
      <c r="BN72" s="108"/>
      <c r="BO72" s="110"/>
      <c r="BP72" s="107"/>
      <c r="BQ72" s="108"/>
      <c r="BR72" s="108"/>
      <c r="BS72" s="108"/>
      <c r="BT72" s="108"/>
      <c r="BU72" s="108"/>
      <c r="BV72" s="110"/>
      <c r="BW72" s="107"/>
      <c r="BX72" s="108"/>
      <c r="BY72" s="108"/>
      <c r="BZ72" s="108"/>
      <c r="CA72" s="108"/>
      <c r="CB72" s="108"/>
      <c r="CC72" s="110"/>
      <c r="CD72" s="107"/>
      <c r="CE72" s="108"/>
      <c r="CF72" s="108"/>
      <c r="CG72" s="108"/>
      <c r="CH72" s="108"/>
      <c r="CI72" s="108"/>
      <c r="CJ72" s="110"/>
      <c r="CK72" s="107"/>
      <c r="CL72" s="108"/>
      <c r="CM72" s="108"/>
      <c r="CN72" s="108"/>
      <c r="CO72" s="108"/>
      <c r="CP72" s="108"/>
      <c r="CQ72" s="110"/>
    </row>
    <row r="73" spans="12:99" ht="14.25" customHeight="1" x14ac:dyDescent="0.2">
      <c r="L73" s="107"/>
      <c r="M73" s="108"/>
      <c r="N73" s="108"/>
      <c r="O73" s="108"/>
      <c r="P73" s="108"/>
      <c r="Q73" s="108"/>
      <c r="R73" s="110"/>
      <c r="S73" s="107" t="s">
        <v>142</v>
      </c>
      <c r="T73" s="108"/>
      <c r="U73" s="108"/>
      <c r="V73" s="108"/>
      <c r="W73" s="108"/>
      <c r="X73" s="108"/>
      <c r="Y73" s="110">
        <f>200+160</f>
        <v>360</v>
      </c>
      <c r="Z73" s="107" t="s">
        <v>142</v>
      </c>
      <c r="AA73" s="108"/>
      <c r="AB73" s="108"/>
      <c r="AC73" s="108"/>
      <c r="AD73" s="108"/>
      <c r="AE73" s="108"/>
      <c r="AF73" s="110"/>
      <c r="AG73" s="107" t="s">
        <v>142</v>
      </c>
      <c r="AH73" s="108"/>
      <c r="AI73" s="108"/>
      <c r="AJ73" s="108"/>
      <c r="AK73" s="108"/>
      <c r="AL73" s="108"/>
      <c r="AM73" s="110"/>
      <c r="AN73" s="107"/>
      <c r="AO73" s="108"/>
      <c r="AP73" s="108"/>
      <c r="AQ73" s="108"/>
      <c r="AR73" s="108"/>
      <c r="AS73" s="108"/>
      <c r="AT73" s="110"/>
      <c r="AU73" s="107"/>
      <c r="AV73" s="108"/>
      <c r="AW73" s="108"/>
      <c r="AX73" s="108"/>
      <c r="AY73" s="108"/>
      <c r="AZ73" s="108"/>
      <c r="BA73" s="110"/>
      <c r="BB73" s="107"/>
      <c r="BC73" s="108"/>
      <c r="BD73" s="108"/>
      <c r="BE73" s="108"/>
      <c r="BF73" s="108"/>
      <c r="BG73" s="108"/>
      <c r="BH73" s="110"/>
      <c r="BI73" s="107"/>
      <c r="BJ73" s="108"/>
      <c r="BK73" s="108"/>
      <c r="BL73" s="108"/>
      <c r="BM73" s="108"/>
      <c r="BN73" s="108"/>
      <c r="BO73" s="110"/>
      <c r="BP73" s="107"/>
      <c r="BQ73" s="108"/>
      <c r="BR73" s="108"/>
      <c r="BS73" s="108"/>
      <c r="BT73" s="108"/>
      <c r="BU73" s="108"/>
      <c r="BV73" s="110"/>
      <c r="BW73" s="107"/>
      <c r="BX73" s="108"/>
      <c r="BY73" s="108"/>
      <c r="BZ73" s="108"/>
      <c r="CA73" s="108"/>
      <c r="CB73" s="108"/>
      <c r="CC73" s="110"/>
      <c r="CD73" s="107"/>
      <c r="CE73" s="108"/>
      <c r="CF73" s="108"/>
      <c r="CG73" s="108"/>
      <c r="CH73" s="108"/>
      <c r="CI73" s="108"/>
      <c r="CJ73" s="110"/>
      <c r="CK73" s="107"/>
      <c r="CL73" s="108"/>
      <c r="CM73" s="108"/>
      <c r="CN73" s="108"/>
      <c r="CO73" s="108"/>
      <c r="CP73" s="108"/>
      <c r="CQ73" s="110"/>
    </row>
    <row r="74" spans="12:99" ht="14.25" customHeight="1" x14ac:dyDescent="0.2">
      <c r="L74" s="107"/>
      <c r="M74" s="108"/>
      <c r="N74" s="108"/>
      <c r="O74" s="108"/>
      <c r="P74" s="108"/>
      <c r="Q74" s="108"/>
      <c r="R74" s="110"/>
      <c r="S74" s="107" t="s">
        <v>143</v>
      </c>
      <c r="T74" s="108"/>
      <c r="U74" s="108"/>
      <c r="V74" s="108"/>
      <c r="W74" s="108"/>
      <c r="X74" s="108"/>
      <c r="Y74" s="110">
        <f>589+500</f>
        <v>1089</v>
      </c>
      <c r="Z74" s="107" t="s">
        <v>143</v>
      </c>
      <c r="AA74" s="108"/>
      <c r="AB74" s="108"/>
      <c r="AC74" s="108"/>
      <c r="AD74" s="108"/>
      <c r="AE74" s="108"/>
      <c r="AF74" s="110"/>
      <c r="AG74" s="107" t="s">
        <v>143</v>
      </c>
      <c r="AH74" s="108"/>
      <c r="AI74" s="108"/>
      <c r="AJ74" s="108"/>
      <c r="AK74" s="108"/>
      <c r="AL74" s="108"/>
      <c r="AM74" s="110"/>
      <c r="AN74" s="107"/>
      <c r="AO74" s="108"/>
      <c r="AP74" s="108"/>
      <c r="AQ74" s="108"/>
      <c r="AR74" s="108"/>
      <c r="AS74" s="108"/>
      <c r="AT74" s="110"/>
      <c r="AU74" s="107"/>
      <c r="AV74" s="108"/>
      <c r="AW74" s="108"/>
      <c r="AX74" s="108"/>
      <c r="AY74" s="108"/>
      <c r="AZ74" s="108"/>
      <c r="BA74" s="110"/>
      <c r="BB74" s="107"/>
      <c r="BC74" s="108"/>
      <c r="BD74" s="108"/>
      <c r="BE74" s="108"/>
      <c r="BF74" s="108"/>
      <c r="BG74" s="108"/>
      <c r="BH74" s="110"/>
      <c r="BI74" s="107"/>
      <c r="BJ74" s="108"/>
      <c r="BK74" s="108"/>
      <c r="BL74" s="108"/>
      <c r="BM74" s="108"/>
      <c r="BN74" s="108"/>
      <c r="BO74" s="110"/>
      <c r="BP74" s="107"/>
      <c r="BQ74" s="108"/>
      <c r="BR74" s="108"/>
      <c r="BS74" s="108"/>
      <c r="BT74" s="108"/>
      <c r="BU74" s="108"/>
      <c r="BV74" s="110"/>
      <c r="BW74" s="107"/>
      <c r="BX74" s="108"/>
      <c r="BY74" s="108"/>
      <c r="BZ74" s="108"/>
      <c r="CA74" s="108"/>
      <c r="CB74" s="108"/>
      <c r="CC74" s="110"/>
      <c r="CD74" s="107"/>
      <c r="CE74" s="108"/>
      <c r="CF74" s="108"/>
      <c r="CG74" s="108"/>
      <c r="CH74" s="108"/>
      <c r="CI74" s="108"/>
      <c r="CJ74" s="110"/>
      <c r="CK74" s="107"/>
      <c r="CL74" s="108"/>
      <c r="CM74" s="108"/>
      <c r="CN74" s="108"/>
      <c r="CO74" s="108"/>
      <c r="CP74" s="108"/>
      <c r="CQ74" s="110"/>
    </row>
    <row r="75" spans="12:99" ht="14.25" customHeight="1" x14ac:dyDescent="0.2">
      <c r="L75" s="107"/>
      <c r="M75" s="108"/>
      <c r="N75" s="108"/>
      <c r="O75" s="108"/>
      <c r="P75" s="108"/>
      <c r="Q75" s="108"/>
      <c r="R75" s="110"/>
      <c r="S75" s="107"/>
      <c r="T75" s="108"/>
      <c r="U75" s="108"/>
      <c r="V75" s="108"/>
      <c r="W75" s="108"/>
      <c r="X75" s="108"/>
      <c r="Y75" s="110"/>
      <c r="Z75" s="107"/>
      <c r="AA75" s="108"/>
      <c r="AB75" s="108"/>
      <c r="AC75" s="108"/>
      <c r="AD75" s="108"/>
      <c r="AE75" s="108"/>
      <c r="AF75" s="110"/>
      <c r="AG75" s="107"/>
      <c r="AH75" s="108"/>
      <c r="AI75" s="108"/>
      <c r="AJ75" s="108"/>
      <c r="AK75" s="108"/>
      <c r="AL75" s="108"/>
      <c r="AM75" s="110"/>
      <c r="AN75" s="107"/>
      <c r="AO75" s="108"/>
      <c r="AP75" s="108"/>
      <c r="AQ75" s="108"/>
      <c r="AR75" s="108"/>
      <c r="AS75" s="108"/>
      <c r="AT75" s="110"/>
      <c r="AU75" s="107"/>
      <c r="AV75" s="108"/>
      <c r="AW75" s="108"/>
      <c r="AX75" s="108"/>
      <c r="AY75" s="108"/>
      <c r="AZ75" s="108"/>
      <c r="BA75" s="110"/>
      <c r="BB75" s="107"/>
      <c r="BC75" s="108"/>
      <c r="BD75" s="108"/>
      <c r="BE75" s="108"/>
      <c r="BF75" s="108"/>
      <c r="BG75" s="108"/>
      <c r="BH75" s="110"/>
      <c r="BI75" s="107"/>
      <c r="BJ75" s="108"/>
      <c r="BK75" s="108"/>
      <c r="BL75" s="108"/>
      <c r="BM75" s="108"/>
      <c r="BN75" s="108"/>
      <c r="BO75" s="110"/>
      <c r="BP75" s="107"/>
      <c r="BQ75" s="108"/>
      <c r="BR75" s="108"/>
      <c r="BS75" s="108"/>
      <c r="BT75" s="108"/>
      <c r="BU75" s="108"/>
      <c r="BV75" s="110"/>
      <c r="BW75" s="107"/>
      <c r="BX75" s="108"/>
      <c r="BY75" s="108"/>
      <c r="BZ75" s="108"/>
      <c r="CA75" s="108"/>
      <c r="CB75" s="108"/>
      <c r="CC75" s="110"/>
      <c r="CD75" s="107"/>
      <c r="CE75" s="108"/>
      <c r="CF75" s="108"/>
      <c r="CG75" s="108"/>
      <c r="CH75" s="108"/>
      <c r="CI75" s="108"/>
      <c r="CJ75" s="110"/>
      <c r="CK75" s="107"/>
      <c r="CL75" s="108"/>
      <c r="CM75" s="108"/>
      <c r="CN75" s="108"/>
      <c r="CO75" s="108"/>
      <c r="CP75" s="108"/>
      <c r="CQ75" s="110"/>
    </row>
    <row r="76" spans="12:99" ht="14.25" customHeight="1" x14ac:dyDescent="0.2">
      <c r="L76" s="107"/>
      <c r="M76" s="108"/>
      <c r="N76" s="108"/>
      <c r="O76" s="108"/>
      <c r="P76" s="108"/>
      <c r="Q76" s="108"/>
      <c r="R76" s="110"/>
      <c r="S76" s="107"/>
      <c r="T76" s="108"/>
      <c r="U76" s="108"/>
      <c r="V76" s="108"/>
      <c r="W76" s="108"/>
      <c r="X76" s="108"/>
      <c r="Y76" s="110"/>
      <c r="Z76" s="107"/>
      <c r="AA76" s="108"/>
      <c r="AB76" s="108"/>
      <c r="AC76" s="108"/>
      <c r="AD76" s="108"/>
      <c r="AE76" s="108"/>
      <c r="AF76" s="110"/>
      <c r="AG76" s="107"/>
      <c r="AH76" s="108"/>
      <c r="AI76" s="108"/>
      <c r="AJ76" s="108"/>
      <c r="AK76" s="108"/>
      <c r="AL76" s="108"/>
      <c r="AM76" s="110"/>
      <c r="AN76" s="107"/>
      <c r="AO76" s="108"/>
      <c r="AP76" s="108"/>
      <c r="AQ76" s="108"/>
      <c r="AR76" s="108"/>
      <c r="AS76" s="108"/>
      <c r="AT76" s="110"/>
      <c r="AU76" s="107"/>
      <c r="AV76" s="108"/>
      <c r="AW76" s="108"/>
      <c r="AX76" s="108"/>
      <c r="AY76" s="108"/>
      <c r="AZ76" s="108"/>
      <c r="BA76" s="110"/>
      <c r="BB76" s="107"/>
      <c r="BC76" s="108"/>
      <c r="BD76" s="108"/>
      <c r="BE76" s="108"/>
      <c r="BF76" s="108"/>
      <c r="BG76" s="108"/>
      <c r="BH76" s="110"/>
      <c r="BI76" s="107"/>
      <c r="BJ76" s="108"/>
      <c r="BK76" s="108"/>
      <c r="BL76" s="108"/>
      <c r="BM76" s="108"/>
      <c r="BN76" s="108"/>
      <c r="BO76" s="110"/>
      <c r="BP76" s="107"/>
      <c r="BQ76" s="108"/>
      <c r="BR76" s="108"/>
      <c r="BS76" s="108"/>
      <c r="BT76" s="108"/>
      <c r="BU76" s="108"/>
      <c r="BV76" s="110"/>
      <c r="BW76" s="107"/>
      <c r="BX76" s="108"/>
      <c r="BY76" s="108"/>
      <c r="BZ76" s="108"/>
      <c r="CA76" s="108"/>
      <c r="CB76" s="108"/>
      <c r="CC76" s="110"/>
      <c r="CD76" s="107"/>
      <c r="CE76" s="108"/>
      <c r="CF76" s="108"/>
      <c r="CG76" s="108"/>
      <c r="CH76" s="108"/>
      <c r="CI76" s="108"/>
      <c r="CJ76" s="110"/>
      <c r="CK76" s="107"/>
      <c r="CL76" s="108"/>
      <c r="CM76" s="108"/>
      <c r="CN76" s="108"/>
      <c r="CO76" s="108"/>
      <c r="CP76" s="108"/>
      <c r="CQ76" s="110"/>
      <c r="CU76" s="154"/>
    </row>
    <row r="77" spans="12:99" ht="14.25" customHeight="1" x14ac:dyDescent="0.2">
      <c r="L77" s="107"/>
      <c r="M77" s="108"/>
      <c r="N77" s="108"/>
      <c r="O77" s="108"/>
      <c r="P77" s="108"/>
      <c r="Q77" s="108"/>
      <c r="R77" s="110"/>
      <c r="S77" s="107"/>
      <c r="T77" s="108"/>
      <c r="U77" s="108"/>
      <c r="V77" s="108"/>
      <c r="W77" s="108"/>
      <c r="X77" s="108"/>
      <c r="Y77" s="110"/>
      <c r="Z77" s="107"/>
      <c r="AA77" s="108"/>
      <c r="AB77" s="108"/>
      <c r="AC77" s="108"/>
      <c r="AD77" s="108"/>
      <c r="AE77" s="108"/>
      <c r="AF77" s="110"/>
      <c r="AG77" s="107"/>
      <c r="AH77" s="108"/>
      <c r="AI77" s="108"/>
      <c r="AJ77" s="108"/>
      <c r="AK77" s="108"/>
      <c r="AL77" s="108"/>
      <c r="AM77" s="110"/>
      <c r="AN77" s="107"/>
      <c r="AO77" s="108"/>
      <c r="AP77" s="108"/>
      <c r="AQ77" s="108"/>
      <c r="AR77" s="108"/>
      <c r="AS77" s="108"/>
      <c r="AT77" s="110"/>
      <c r="AU77" s="107"/>
      <c r="AV77" s="108"/>
      <c r="AW77" s="108"/>
      <c r="AX77" s="108"/>
      <c r="AY77" s="108"/>
      <c r="AZ77" s="108"/>
      <c r="BA77" s="110"/>
      <c r="BB77" s="107"/>
      <c r="BC77" s="108"/>
      <c r="BD77" s="108"/>
      <c r="BE77" s="108"/>
      <c r="BF77" s="108"/>
      <c r="BG77" s="108"/>
      <c r="BH77" s="110"/>
      <c r="BI77" s="107"/>
      <c r="BJ77" s="108"/>
      <c r="BK77" s="108"/>
      <c r="BL77" s="108"/>
      <c r="BM77" s="108"/>
      <c r="BN77" s="108"/>
      <c r="BO77" s="110"/>
      <c r="BP77" s="107"/>
      <c r="BQ77" s="108"/>
      <c r="BR77" s="108"/>
      <c r="BS77" s="108"/>
      <c r="BT77" s="108"/>
      <c r="BU77" s="108"/>
      <c r="BV77" s="110"/>
      <c r="BW77" s="107"/>
      <c r="BX77" s="108"/>
      <c r="BY77" s="108"/>
      <c r="BZ77" s="108"/>
      <c r="CA77" s="108"/>
      <c r="CB77" s="108"/>
      <c r="CC77" s="110"/>
      <c r="CD77" s="107"/>
      <c r="CE77" s="108"/>
      <c r="CF77" s="108"/>
      <c r="CG77" s="108"/>
      <c r="CH77" s="108"/>
      <c r="CI77" s="108"/>
      <c r="CJ77" s="110"/>
      <c r="CK77" s="107"/>
      <c r="CL77" s="108"/>
      <c r="CM77" s="108"/>
      <c r="CN77" s="108"/>
      <c r="CO77" s="108"/>
      <c r="CP77" s="108"/>
      <c r="CQ77" s="110"/>
      <c r="CU77" s="154"/>
    </row>
    <row r="78" spans="12:99" ht="14.25" customHeight="1" x14ac:dyDescent="0.2">
      <c r="L78" s="107"/>
      <c r="M78" s="108"/>
      <c r="N78" s="108"/>
      <c r="O78" s="108"/>
      <c r="P78" s="108"/>
      <c r="Q78" s="108"/>
      <c r="R78" s="110"/>
      <c r="S78" s="107"/>
      <c r="T78" s="108"/>
      <c r="U78" s="108"/>
      <c r="V78" s="108"/>
      <c r="W78" s="108"/>
      <c r="X78" s="108"/>
      <c r="Y78" s="110"/>
      <c r="Z78" s="107"/>
      <c r="AA78" s="108"/>
      <c r="AB78" s="108"/>
      <c r="AC78" s="108"/>
      <c r="AD78" s="108"/>
      <c r="AE78" s="108"/>
      <c r="AF78" s="110"/>
      <c r="AG78" s="107"/>
      <c r="AH78" s="108"/>
      <c r="AI78" s="108"/>
      <c r="AJ78" s="108"/>
      <c r="AK78" s="108"/>
      <c r="AL78" s="108"/>
      <c r="AM78" s="110"/>
      <c r="AN78" s="107"/>
      <c r="AO78" s="108"/>
      <c r="AP78" s="108"/>
      <c r="AQ78" s="108"/>
      <c r="AR78" s="108"/>
      <c r="AS78" s="108"/>
      <c r="AT78" s="110"/>
      <c r="AU78" s="107"/>
      <c r="AV78" s="108"/>
      <c r="AW78" s="108"/>
      <c r="AX78" s="108"/>
      <c r="AY78" s="108"/>
      <c r="AZ78" s="108"/>
      <c r="BA78" s="110"/>
      <c r="BB78" s="107"/>
      <c r="BC78" s="108"/>
      <c r="BD78" s="108"/>
      <c r="BE78" s="108"/>
      <c r="BF78" s="108"/>
      <c r="BG78" s="108"/>
      <c r="BH78" s="110"/>
      <c r="BI78" s="107"/>
      <c r="BJ78" s="108"/>
      <c r="BK78" s="108"/>
      <c r="BL78" s="108"/>
      <c r="BM78" s="108"/>
      <c r="BN78" s="108"/>
      <c r="BO78" s="110"/>
      <c r="BP78" s="107"/>
      <c r="BQ78" s="108"/>
      <c r="BR78" s="108"/>
      <c r="BS78" s="108"/>
      <c r="BT78" s="108"/>
      <c r="BU78" s="108"/>
      <c r="BV78" s="110"/>
      <c r="BW78" s="107"/>
      <c r="BX78" s="108"/>
      <c r="BY78" s="108"/>
      <c r="BZ78" s="108"/>
      <c r="CA78" s="108"/>
      <c r="CB78" s="108"/>
      <c r="CC78" s="110"/>
      <c r="CD78" s="107"/>
      <c r="CE78" s="108"/>
      <c r="CF78" s="108"/>
      <c r="CG78" s="108"/>
      <c r="CH78" s="108"/>
      <c r="CI78" s="108"/>
      <c r="CJ78" s="110"/>
      <c r="CK78" s="107"/>
      <c r="CL78" s="108"/>
      <c r="CM78" s="108"/>
      <c r="CN78" s="108"/>
      <c r="CO78" s="108"/>
      <c r="CP78" s="108"/>
      <c r="CQ78" s="110"/>
      <c r="CU78" s="154"/>
    </row>
    <row r="79" spans="12:99" ht="14.25" customHeight="1" x14ac:dyDescent="0.2">
      <c r="L79" s="107"/>
      <c r="M79" s="108"/>
      <c r="N79" s="108"/>
      <c r="O79" s="108"/>
      <c r="P79" s="108"/>
      <c r="Q79" s="108"/>
      <c r="R79" s="110"/>
      <c r="S79" s="107"/>
      <c r="T79" s="108"/>
      <c r="U79" s="108"/>
      <c r="V79" s="108"/>
      <c r="W79" s="108"/>
      <c r="X79" s="108"/>
      <c r="Y79" s="110"/>
      <c r="Z79" s="107"/>
      <c r="AA79" s="108"/>
      <c r="AB79" s="108"/>
      <c r="AC79" s="108"/>
      <c r="AD79" s="108"/>
      <c r="AE79" s="108"/>
      <c r="AF79" s="110"/>
      <c r="AG79" s="107"/>
      <c r="AH79" s="108"/>
      <c r="AI79" s="108"/>
      <c r="AJ79" s="108"/>
      <c r="AK79" s="108"/>
      <c r="AL79" s="108"/>
      <c r="AM79" s="110"/>
      <c r="AN79" s="107"/>
      <c r="AO79" s="108"/>
      <c r="AP79" s="108"/>
      <c r="AQ79" s="108"/>
      <c r="AR79" s="108"/>
      <c r="AS79" s="108"/>
      <c r="AT79" s="110"/>
      <c r="AU79" s="107"/>
      <c r="AV79" s="108"/>
      <c r="AW79" s="108"/>
      <c r="AX79" s="108"/>
      <c r="AY79" s="108"/>
      <c r="AZ79" s="108"/>
      <c r="BA79" s="110"/>
      <c r="BB79" s="107"/>
      <c r="BC79" s="108"/>
      <c r="BD79" s="108"/>
      <c r="BE79" s="108"/>
      <c r="BF79" s="108"/>
      <c r="BG79" s="108"/>
      <c r="BH79" s="110"/>
      <c r="BI79" s="107"/>
      <c r="BJ79" s="108"/>
      <c r="BK79" s="108"/>
      <c r="BL79" s="108"/>
      <c r="BM79" s="108"/>
      <c r="BN79" s="108"/>
      <c r="BO79" s="110"/>
      <c r="BP79" s="107"/>
      <c r="BQ79" s="108"/>
      <c r="BR79" s="108"/>
      <c r="BS79" s="108"/>
      <c r="BT79" s="108"/>
      <c r="BU79" s="108"/>
      <c r="BV79" s="110"/>
      <c r="BW79" s="107"/>
      <c r="BX79" s="108"/>
      <c r="BY79" s="108"/>
      <c r="BZ79" s="108"/>
      <c r="CA79" s="108"/>
      <c r="CB79" s="108"/>
      <c r="CC79" s="110"/>
      <c r="CD79" s="107"/>
      <c r="CE79" s="108"/>
      <c r="CF79" s="108"/>
      <c r="CG79" s="108"/>
      <c r="CH79" s="108"/>
      <c r="CI79" s="108"/>
      <c r="CJ79" s="110"/>
      <c r="CK79" s="107"/>
      <c r="CL79" s="108"/>
      <c r="CM79" s="108"/>
      <c r="CN79" s="108"/>
      <c r="CO79" s="108"/>
      <c r="CP79" s="108"/>
      <c r="CQ79" s="110"/>
      <c r="CU79" s="154"/>
    </row>
    <row r="80" spans="12:99" ht="14.25" customHeight="1" x14ac:dyDescent="0.2">
      <c r="L80" s="107"/>
      <c r="M80" s="108"/>
      <c r="N80" s="108"/>
      <c r="O80" s="108"/>
      <c r="P80" s="108"/>
      <c r="Q80" s="108"/>
      <c r="R80" s="110"/>
      <c r="S80" s="107"/>
      <c r="T80" s="108"/>
      <c r="U80" s="108"/>
      <c r="V80" s="108"/>
      <c r="W80" s="108"/>
      <c r="X80" s="108"/>
      <c r="Y80" s="110"/>
      <c r="Z80" s="107"/>
      <c r="AA80" s="108"/>
      <c r="AB80" s="108"/>
      <c r="AC80" s="108"/>
      <c r="AD80" s="108"/>
      <c r="AE80" s="108"/>
      <c r="AF80" s="110"/>
      <c r="AG80" s="107"/>
      <c r="AH80" s="108"/>
      <c r="AI80" s="108"/>
      <c r="AJ80" s="108"/>
      <c r="AK80" s="108"/>
      <c r="AL80" s="108"/>
      <c r="AM80" s="110"/>
      <c r="AN80" s="107"/>
      <c r="AO80" s="108"/>
      <c r="AP80" s="108"/>
      <c r="AQ80" s="108"/>
      <c r="AR80" s="108"/>
      <c r="AS80" s="108"/>
      <c r="AT80" s="110"/>
      <c r="AU80" s="107"/>
      <c r="AV80" s="108"/>
      <c r="AW80" s="108"/>
      <c r="AX80" s="108"/>
      <c r="AY80" s="108"/>
      <c r="AZ80" s="108"/>
      <c r="BA80" s="110"/>
      <c r="BB80" s="107"/>
      <c r="BC80" s="108"/>
      <c r="BD80" s="108"/>
      <c r="BE80" s="108"/>
      <c r="BF80" s="108"/>
      <c r="BG80" s="108"/>
      <c r="BH80" s="110"/>
      <c r="BI80" s="107"/>
      <c r="BJ80" s="108"/>
      <c r="BK80" s="108"/>
      <c r="BL80" s="108"/>
      <c r="BM80" s="108"/>
      <c r="BN80" s="108"/>
      <c r="BO80" s="110"/>
      <c r="BP80" s="107"/>
      <c r="BQ80" s="108"/>
      <c r="BR80" s="108"/>
      <c r="BS80" s="108"/>
      <c r="BT80" s="108"/>
      <c r="BU80" s="108"/>
      <c r="BV80" s="110"/>
      <c r="BW80" s="107"/>
      <c r="BX80" s="108"/>
      <c r="BY80" s="108"/>
      <c r="BZ80" s="108"/>
      <c r="CA80" s="108"/>
      <c r="CB80" s="108"/>
      <c r="CC80" s="110"/>
      <c r="CD80" s="107"/>
      <c r="CE80" s="108"/>
      <c r="CF80" s="108"/>
      <c r="CG80" s="108"/>
      <c r="CH80" s="108"/>
      <c r="CI80" s="108"/>
      <c r="CJ80" s="110"/>
      <c r="CK80" s="107"/>
      <c r="CL80" s="108"/>
      <c r="CM80" s="108"/>
      <c r="CN80" s="108"/>
      <c r="CO80" s="108"/>
      <c r="CP80" s="108"/>
      <c r="CQ80" s="110"/>
      <c r="CU80" s="154"/>
    </row>
    <row r="81" spans="12:95" ht="14.25" customHeight="1" x14ac:dyDescent="0.2">
      <c r="L81" s="107"/>
      <c r="M81" s="108"/>
      <c r="N81" s="108"/>
      <c r="O81" s="108"/>
      <c r="P81" s="108"/>
      <c r="Q81" s="108"/>
      <c r="R81" s="110"/>
      <c r="S81" s="107"/>
      <c r="T81" s="108"/>
      <c r="U81" s="108"/>
      <c r="V81" s="108"/>
      <c r="W81" s="108"/>
      <c r="X81" s="108"/>
      <c r="Y81" s="110"/>
      <c r="Z81" s="107"/>
      <c r="AA81" s="108"/>
      <c r="AB81" s="108"/>
      <c r="AC81" s="108"/>
      <c r="AD81" s="108"/>
      <c r="AE81" s="108"/>
      <c r="AF81" s="110"/>
      <c r="AG81" s="107"/>
      <c r="AH81" s="108"/>
      <c r="AI81" s="108"/>
      <c r="AJ81" s="108"/>
      <c r="AK81" s="108"/>
      <c r="AL81" s="108"/>
      <c r="AM81" s="110"/>
      <c r="AN81" s="107"/>
      <c r="AO81" s="108"/>
      <c r="AP81" s="108"/>
      <c r="AQ81" s="108"/>
      <c r="AR81" s="108"/>
      <c r="AS81" s="108"/>
      <c r="AT81" s="110"/>
      <c r="AU81" s="107"/>
      <c r="AV81" s="108"/>
      <c r="AW81" s="108"/>
      <c r="AX81" s="108"/>
      <c r="AY81" s="108"/>
      <c r="AZ81" s="108"/>
      <c r="BA81" s="110"/>
      <c r="BB81" s="107"/>
      <c r="BC81" s="108"/>
      <c r="BD81" s="108"/>
      <c r="BE81" s="108"/>
      <c r="BF81" s="108"/>
      <c r="BG81" s="108"/>
      <c r="BH81" s="110"/>
      <c r="BI81" s="107"/>
      <c r="BJ81" s="108"/>
      <c r="BK81" s="108"/>
      <c r="BL81" s="108"/>
      <c r="BM81" s="108"/>
      <c r="BN81" s="108"/>
      <c r="BO81" s="110"/>
      <c r="BP81" s="107"/>
      <c r="BQ81" s="108"/>
      <c r="BR81" s="108"/>
      <c r="BS81" s="108"/>
      <c r="BT81" s="108"/>
      <c r="BU81" s="108"/>
      <c r="BV81" s="110"/>
      <c r="BW81" s="107"/>
      <c r="BX81" s="108"/>
      <c r="BY81" s="108"/>
      <c r="BZ81" s="108"/>
      <c r="CA81" s="108"/>
      <c r="CB81" s="108"/>
      <c r="CC81" s="110"/>
      <c r="CD81" s="107"/>
      <c r="CE81" s="108"/>
      <c r="CF81" s="108"/>
      <c r="CG81" s="108"/>
      <c r="CH81" s="108"/>
      <c r="CI81" s="108"/>
      <c r="CJ81" s="110"/>
      <c r="CK81" s="107"/>
      <c r="CL81" s="108"/>
      <c r="CM81" s="108"/>
      <c r="CN81" s="108"/>
      <c r="CO81" s="108"/>
      <c r="CP81" s="108"/>
      <c r="CQ81" s="110"/>
    </row>
    <row r="82" spans="12:95" ht="14.25" customHeight="1" x14ac:dyDescent="0.2">
      <c r="L82" s="107" t="s">
        <v>82</v>
      </c>
      <c r="M82" s="108"/>
      <c r="N82" s="108"/>
      <c r="O82" s="108"/>
      <c r="P82" s="108"/>
      <c r="Q82" s="108"/>
      <c r="R82" s="110">
        <f>SUM(R61:R81)</f>
        <v>16366.720000000001</v>
      </c>
      <c r="S82" s="107" t="s">
        <v>82</v>
      </c>
      <c r="T82" s="108"/>
      <c r="U82" s="108"/>
      <c r="V82" s="108"/>
      <c r="W82" s="108"/>
      <c r="X82" s="108"/>
      <c r="Y82" s="110">
        <f>SUM(Y61:Y81)</f>
        <v>10172.659999999998</v>
      </c>
      <c r="Z82" s="107" t="s">
        <v>82</v>
      </c>
      <c r="AA82" s="108"/>
      <c r="AB82" s="108"/>
      <c r="AC82" s="108"/>
      <c r="AD82" s="108"/>
      <c r="AE82" s="108"/>
      <c r="AF82" s="110">
        <f>SUM(AF61:AF81)</f>
        <v>8416.42</v>
      </c>
      <c r="AG82" s="107" t="s">
        <v>82</v>
      </c>
      <c r="AH82" s="108"/>
      <c r="AI82" s="108"/>
      <c r="AJ82" s="108"/>
      <c r="AK82" s="108"/>
      <c r="AL82" s="108"/>
      <c r="AM82" s="110">
        <f>SUM(AM61:AM81)</f>
        <v>11568.67</v>
      </c>
      <c r="AN82" s="107" t="s">
        <v>82</v>
      </c>
      <c r="AO82" s="108"/>
      <c r="AP82" s="108"/>
      <c r="AQ82" s="108"/>
      <c r="AR82" s="108"/>
      <c r="AS82" s="108"/>
      <c r="AT82" s="110">
        <f>SUM(AT61:AT81)</f>
        <v>0</v>
      </c>
      <c r="AU82" s="107" t="s">
        <v>82</v>
      </c>
      <c r="AV82" s="108"/>
      <c r="AW82" s="108"/>
      <c r="AX82" s="108"/>
      <c r="AY82" s="108"/>
      <c r="AZ82" s="108"/>
      <c r="BA82" s="110">
        <f>SUM(BA61:BA81)</f>
        <v>0</v>
      </c>
      <c r="BB82" s="107" t="s">
        <v>82</v>
      </c>
      <c r="BC82" s="108"/>
      <c r="BD82" s="108"/>
      <c r="BE82" s="108"/>
      <c r="BF82" s="108"/>
      <c r="BG82" s="108"/>
      <c r="BH82" s="110">
        <f>SUM(BH61:BH81)</f>
        <v>0</v>
      </c>
      <c r="BI82" s="107" t="s">
        <v>82</v>
      </c>
      <c r="BJ82" s="108"/>
      <c r="BK82" s="108"/>
      <c r="BL82" s="108"/>
      <c r="BM82" s="108"/>
      <c r="BN82" s="108"/>
      <c r="BO82" s="110">
        <f>SUM(BO61:BO81)</f>
        <v>0</v>
      </c>
      <c r="BP82" s="107" t="s">
        <v>82</v>
      </c>
      <c r="BQ82" s="108"/>
      <c r="BR82" s="108"/>
      <c r="BS82" s="108"/>
      <c r="BT82" s="108"/>
      <c r="BU82" s="108"/>
      <c r="BV82" s="110">
        <f>SUM(BV61:BV81)</f>
        <v>0</v>
      </c>
      <c r="BW82" s="107" t="s">
        <v>82</v>
      </c>
      <c r="BX82" s="108"/>
      <c r="BY82" s="108"/>
      <c r="BZ82" s="108"/>
      <c r="CA82" s="108"/>
      <c r="CB82" s="108"/>
      <c r="CC82" s="110">
        <f>SUM(CC61:CC81)</f>
        <v>0</v>
      </c>
      <c r="CD82" s="107" t="s">
        <v>82</v>
      </c>
      <c r="CE82" s="108"/>
      <c r="CF82" s="108"/>
      <c r="CG82" s="108"/>
      <c r="CH82" s="108"/>
      <c r="CI82" s="108"/>
      <c r="CJ82" s="110">
        <f>SUM(CJ61:CJ81)</f>
        <v>0</v>
      </c>
      <c r="CK82" s="107" t="s">
        <v>82</v>
      </c>
      <c r="CL82" s="108"/>
      <c r="CM82" s="108"/>
      <c r="CN82" s="108"/>
      <c r="CO82" s="108"/>
      <c r="CP82" s="108"/>
      <c r="CQ82" s="110">
        <f>SUM(CQ61:CQ81)</f>
        <v>0</v>
      </c>
    </row>
    <row r="83" spans="12:95" ht="14.25" customHeight="1" x14ac:dyDescent="0.2">
      <c r="AF83" s="104"/>
      <c r="BA83" s="155"/>
    </row>
    <row r="84" spans="12:95" ht="14.25" customHeight="1" x14ac:dyDescent="0.2">
      <c r="BA84" s="155"/>
    </row>
    <row r="85" spans="12:95" ht="14.25" customHeight="1" x14ac:dyDescent="0.2">
      <c r="BA85" s="155"/>
    </row>
    <row r="86" spans="12:95" ht="14.25" customHeight="1" x14ac:dyDescent="0.2"/>
    <row r="87" spans="12:95" ht="14.25" customHeight="1" x14ac:dyDescent="0.2"/>
    <row r="88" spans="12:95" ht="14.25" customHeight="1" x14ac:dyDescent="0.2"/>
    <row r="89" spans="12:95" ht="14.25" customHeight="1" x14ac:dyDescent="0.2"/>
    <row r="90" spans="12:95" ht="14.25" customHeight="1" x14ac:dyDescent="0.2"/>
    <row r="91" spans="12:95" ht="14.25" customHeight="1" x14ac:dyDescent="0.2"/>
    <row r="92" spans="12:95" ht="14.25" customHeight="1" x14ac:dyDescent="0.2"/>
    <row r="93" spans="12:95" ht="14.25" customHeight="1" x14ac:dyDescent="0.2"/>
    <row r="94" spans="12:95" ht="14.25" customHeight="1" x14ac:dyDescent="0.2"/>
    <row r="95" spans="12:95" ht="14.25" customHeight="1" x14ac:dyDescent="0.2"/>
    <row r="96" spans="12:95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spans="99:99" ht="14.25" customHeight="1" x14ac:dyDescent="0.2">
      <c r="CU193" s="154"/>
    </row>
    <row r="194" spans="99:99" ht="14.25" customHeight="1" x14ac:dyDescent="0.2">
      <c r="CU194" s="154"/>
    </row>
    <row r="195" spans="99:99" ht="14.25" customHeight="1" x14ac:dyDescent="0.2">
      <c r="CU195" s="154"/>
    </row>
    <row r="196" spans="99:99" ht="14.25" customHeight="1" x14ac:dyDescent="0.2">
      <c r="CU196" s="154"/>
    </row>
    <row r="197" spans="99:99" ht="14.25" customHeight="1" x14ac:dyDescent="0.2">
      <c r="CU197" s="154"/>
    </row>
    <row r="198" spans="99:99" ht="14.25" customHeight="1" x14ac:dyDescent="0.2">
      <c r="CU198" s="154"/>
    </row>
    <row r="199" spans="99:99" ht="14.25" customHeight="1" x14ac:dyDescent="0.2">
      <c r="CU199" s="154"/>
    </row>
    <row r="200" spans="99:99" ht="14.25" customHeight="1" x14ac:dyDescent="0.2">
      <c r="CU200" s="154"/>
    </row>
    <row r="201" spans="99:99" ht="14.25" customHeight="1" x14ac:dyDescent="0.2">
      <c r="CU201" s="154"/>
    </row>
    <row r="202" spans="99:99" ht="14.25" customHeight="1" x14ac:dyDescent="0.2">
      <c r="CU202" s="154"/>
    </row>
    <row r="203" spans="99:99" ht="14.25" customHeight="1" x14ac:dyDescent="0.2">
      <c r="CU203" s="154"/>
    </row>
    <row r="204" spans="99:99" ht="14.25" customHeight="1" x14ac:dyDescent="0.2">
      <c r="CU204" s="154"/>
    </row>
    <row r="205" spans="99:99" ht="14.25" customHeight="1" x14ac:dyDescent="0.2">
      <c r="CU205" s="154"/>
    </row>
    <row r="206" spans="99:99" ht="14.25" customHeight="1" x14ac:dyDescent="0.2">
      <c r="CU206" s="154"/>
    </row>
    <row r="207" spans="99:99" ht="14.25" customHeight="1" x14ac:dyDescent="0.2">
      <c r="CU207" s="154"/>
    </row>
    <row r="208" spans="99:99" ht="14.25" customHeight="1" x14ac:dyDescent="0.2">
      <c r="CU208" s="154"/>
    </row>
    <row r="209" spans="99:99" ht="14.25" customHeight="1" x14ac:dyDescent="0.2">
      <c r="CU209" s="154"/>
    </row>
    <row r="210" spans="99:99" ht="14.25" customHeight="1" x14ac:dyDescent="0.2">
      <c r="CU210" s="154"/>
    </row>
    <row r="211" spans="99:99" ht="14.25" customHeight="1" x14ac:dyDescent="0.2">
      <c r="CU211" s="154"/>
    </row>
    <row r="212" spans="99:99" ht="14.25" customHeight="1" x14ac:dyDescent="0.2">
      <c r="CU212" s="154"/>
    </row>
    <row r="213" spans="99:99" ht="14.25" customHeight="1" x14ac:dyDescent="0.2">
      <c r="CU213" s="154"/>
    </row>
    <row r="214" spans="99:99" ht="14.25" customHeight="1" x14ac:dyDescent="0.2">
      <c r="CU214" s="154"/>
    </row>
    <row r="215" spans="99:99" ht="14.25" customHeight="1" x14ac:dyDescent="0.2">
      <c r="CU215" s="154"/>
    </row>
    <row r="216" spans="99:99" ht="14.25" customHeight="1" x14ac:dyDescent="0.2">
      <c r="CU216" s="154"/>
    </row>
    <row r="217" spans="99:99" ht="14.25" customHeight="1" x14ac:dyDescent="0.2">
      <c r="CU217" s="154"/>
    </row>
    <row r="218" spans="99:99" ht="14.25" customHeight="1" x14ac:dyDescent="0.2">
      <c r="CU218" s="154"/>
    </row>
    <row r="219" spans="99:99" ht="14.25" customHeight="1" x14ac:dyDescent="0.2">
      <c r="CU219" s="154"/>
    </row>
    <row r="220" spans="99:99" ht="14.25" customHeight="1" x14ac:dyDescent="0.2">
      <c r="CU220" s="154"/>
    </row>
    <row r="221" spans="99:99" ht="14.25" customHeight="1" x14ac:dyDescent="0.2">
      <c r="CU221" s="154"/>
    </row>
    <row r="222" spans="99:99" ht="14.25" customHeight="1" x14ac:dyDescent="0.2">
      <c r="CU222" s="154"/>
    </row>
    <row r="223" spans="99:99" ht="14.25" customHeight="1" x14ac:dyDescent="0.2">
      <c r="CU223" s="154"/>
    </row>
    <row r="224" spans="99:99" ht="14.25" customHeight="1" x14ac:dyDescent="0.2">
      <c r="CU224" s="154"/>
    </row>
    <row r="225" spans="99:99" ht="14.25" customHeight="1" x14ac:dyDescent="0.2">
      <c r="CU225" s="154"/>
    </row>
    <row r="226" spans="99:99" ht="14.25" customHeight="1" x14ac:dyDescent="0.2">
      <c r="CU226" s="154"/>
    </row>
    <row r="227" spans="99:99" ht="14.25" customHeight="1" x14ac:dyDescent="0.2">
      <c r="CU227" s="154"/>
    </row>
    <row r="228" spans="99:99" ht="14.25" customHeight="1" x14ac:dyDescent="0.2">
      <c r="CU228" s="154"/>
    </row>
    <row r="229" spans="99:99" ht="14.25" customHeight="1" x14ac:dyDescent="0.2">
      <c r="CU229" s="154"/>
    </row>
    <row r="230" spans="99:99" ht="14.25" customHeight="1" x14ac:dyDescent="0.2">
      <c r="CU230" s="154"/>
    </row>
    <row r="231" spans="99:99" ht="14.25" customHeight="1" x14ac:dyDescent="0.2">
      <c r="CU231" s="154"/>
    </row>
    <row r="232" spans="99:99" ht="14.25" customHeight="1" x14ac:dyDescent="0.2">
      <c r="CU232" s="154"/>
    </row>
    <row r="233" spans="99:99" ht="14.25" customHeight="1" x14ac:dyDescent="0.2">
      <c r="CU233" s="154"/>
    </row>
    <row r="234" spans="99:99" ht="14.25" customHeight="1" x14ac:dyDescent="0.2">
      <c r="CU234" s="154"/>
    </row>
    <row r="235" spans="99:99" ht="14.25" customHeight="1" x14ac:dyDescent="0.2">
      <c r="CU235" s="154"/>
    </row>
    <row r="236" spans="99:99" ht="14.25" customHeight="1" x14ac:dyDescent="0.2">
      <c r="CU236" s="154"/>
    </row>
    <row r="237" spans="99:99" ht="14.25" customHeight="1" x14ac:dyDescent="0.2">
      <c r="CU237" s="154"/>
    </row>
    <row r="238" spans="99:99" ht="14.25" customHeight="1" x14ac:dyDescent="0.2">
      <c r="CU238" s="154"/>
    </row>
    <row r="239" spans="99:99" ht="14.25" customHeight="1" x14ac:dyDescent="0.2">
      <c r="CU239" s="154"/>
    </row>
    <row r="240" spans="99:99" ht="14.25" customHeight="1" x14ac:dyDescent="0.2">
      <c r="CU240" s="154"/>
    </row>
    <row r="241" spans="99:99" ht="14.25" customHeight="1" x14ac:dyDescent="0.2">
      <c r="CU241" s="154"/>
    </row>
    <row r="242" spans="99:99" ht="14.25" customHeight="1" x14ac:dyDescent="0.2">
      <c r="CU242" s="154"/>
    </row>
    <row r="243" spans="99:99" ht="14.25" customHeight="1" x14ac:dyDescent="0.2">
      <c r="CU243" s="154"/>
    </row>
    <row r="244" spans="99:99" ht="14.25" customHeight="1" x14ac:dyDescent="0.2">
      <c r="CU244" s="154"/>
    </row>
    <row r="245" spans="99:99" ht="14.25" customHeight="1" x14ac:dyDescent="0.2">
      <c r="CU245" s="154"/>
    </row>
    <row r="246" spans="99:99" ht="14.25" customHeight="1" x14ac:dyDescent="0.2">
      <c r="CU246" s="154"/>
    </row>
    <row r="247" spans="99:99" ht="14.25" customHeight="1" x14ac:dyDescent="0.2">
      <c r="CU247" s="154"/>
    </row>
    <row r="248" spans="99:99" ht="14.25" customHeight="1" x14ac:dyDescent="0.2">
      <c r="CU248" s="154"/>
    </row>
    <row r="249" spans="99:99" ht="14.25" customHeight="1" x14ac:dyDescent="0.2">
      <c r="CU249" s="154"/>
    </row>
    <row r="250" spans="99:99" ht="14.25" customHeight="1" x14ac:dyDescent="0.2">
      <c r="CU250" s="154"/>
    </row>
    <row r="251" spans="99:99" ht="14.25" customHeight="1" x14ac:dyDescent="0.2">
      <c r="CU251" s="154"/>
    </row>
    <row r="252" spans="99:99" ht="14.25" customHeight="1" x14ac:dyDescent="0.2">
      <c r="CU252" s="154"/>
    </row>
    <row r="253" spans="99:99" ht="14.25" customHeight="1" x14ac:dyDescent="0.2">
      <c r="CU253" s="154"/>
    </row>
    <row r="254" spans="99:99" ht="14.25" customHeight="1" x14ac:dyDescent="0.2">
      <c r="CU254" s="154"/>
    </row>
    <row r="255" spans="99:99" ht="14.25" customHeight="1" x14ac:dyDescent="0.2">
      <c r="CU255" s="154"/>
    </row>
    <row r="256" spans="99:99" ht="14.25" customHeight="1" x14ac:dyDescent="0.2">
      <c r="CU256" s="154"/>
    </row>
    <row r="257" spans="99:99" ht="14.25" customHeight="1" x14ac:dyDescent="0.2">
      <c r="CU257" s="154"/>
    </row>
    <row r="258" spans="99:99" ht="14.25" customHeight="1" x14ac:dyDescent="0.2">
      <c r="CU258" s="154"/>
    </row>
    <row r="259" spans="99:99" ht="14.25" customHeight="1" x14ac:dyDescent="0.2">
      <c r="CU259" s="154"/>
    </row>
    <row r="260" spans="99:99" ht="14.25" customHeight="1" x14ac:dyDescent="0.2">
      <c r="CU260" s="154"/>
    </row>
    <row r="261" spans="99:99" ht="14.25" customHeight="1" x14ac:dyDescent="0.2">
      <c r="CU261" s="154"/>
    </row>
    <row r="262" spans="99:99" ht="14.25" customHeight="1" x14ac:dyDescent="0.2">
      <c r="CU262" s="154"/>
    </row>
    <row r="263" spans="99:99" ht="14.25" customHeight="1" x14ac:dyDescent="0.2">
      <c r="CU263" s="154"/>
    </row>
    <row r="264" spans="99:99" ht="14.25" customHeight="1" x14ac:dyDescent="0.2">
      <c r="CU264" s="154"/>
    </row>
    <row r="265" spans="99:99" ht="14.25" customHeight="1" x14ac:dyDescent="0.2">
      <c r="CU265" s="154"/>
    </row>
    <row r="266" spans="99:99" ht="14.25" customHeight="1" x14ac:dyDescent="0.2">
      <c r="CU266" s="154"/>
    </row>
    <row r="267" spans="99:99" ht="14.25" customHeight="1" x14ac:dyDescent="0.2">
      <c r="CU267" s="154"/>
    </row>
    <row r="268" spans="99:99" ht="14.25" customHeight="1" x14ac:dyDescent="0.2">
      <c r="CU268" s="154"/>
    </row>
    <row r="269" spans="99:99" ht="14.25" customHeight="1" x14ac:dyDescent="0.2">
      <c r="CU269" s="154"/>
    </row>
    <row r="270" spans="99:99" ht="14.25" customHeight="1" x14ac:dyDescent="0.2">
      <c r="CU270" s="154"/>
    </row>
    <row r="271" spans="99:99" ht="14.25" customHeight="1" x14ac:dyDescent="0.2">
      <c r="CU271" s="154"/>
    </row>
    <row r="272" spans="99:99" ht="14.25" customHeight="1" x14ac:dyDescent="0.2">
      <c r="CU272" s="154"/>
    </row>
    <row r="273" spans="99:99" ht="14.25" customHeight="1" x14ac:dyDescent="0.2">
      <c r="CU273" s="154"/>
    </row>
    <row r="274" spans="99:99" ht="14.25" customHeight="1" x14ac:dyDescent="0.2">
      <c r="CU274" s="154"/>
    </row>
    <row r="275" spans="99:99" ht="14.25" customHeight="1" x14ac:dyDescent="0.2">
      <c r="CU275" s="154"/>
    </row>
    <row r="276" spans="99:99" ht="14.25" customHeight="1" x14ac:dyDescent="0.2">
      <c r="CU276" s="154"/>
    </row>
    <row r="277" spans="99:99" ht="14.25" customHeight="1" x14ac:dyDescent="0.2">
      <c r="CU277" s="154"/>
    </row>
    <row r="278" spans="99:99" ht="14.25" customHeight="1" x14ac:dyDescent="0.2">
      <c r="CU278" s="154"/>
    </row>
    <row r="279" spans="99:99" ht="14.25" customHeight="1" x14ac:dyDescent="0.2">
      <c r="CU279" s="154"/>
    </row>
    <row r="280" spans="99:99" ht="14.25" customHeight="1" x14ac:dyDescent="0.2">
      <c r="CU280" s="154"/>
    </row>
    <row r="281" spans="99:99" ht="14.25" customHeight="1" x14ac:dyDescent="0.2">
      <c r="CU281" s="154"/>
    </row>
    <row r="282" spans="99:99" ht="14.25" customHeight="1" x14ac:dyDescent="0.2">
      <c r="CU282" s="154"/>
    </row>
    <row r="283" spans="99:99" ht="14.25" customHeight="1" x14ac:dyDescent="0.2">
      <c r="CU283" s="154"/>
    </row>
    <row r="284" spans="99:99" ht="14.25" customHeight="1" x14ac:dyDescent="0.2">
      <c r="CU284" s="154"/>
    </row>
    <row r="285" spans="99:99" ht="14.25" customHeight="1" x14ac:dyDescent="0.2">
      <c r="CU285" s="154"/>
    </row>
    <row r="286" spans="99:99" ht="14.25" customHeight="1" x14ac:dyDescent="0.2">
      <c r="CU286" s="154"/>
    </row>
    <row r="287" spans="99:99" ht="14.25" customHeight="1" x14ac:dyDescent="0.2">
      <c r="CU287" s="154"/>
    </row>
    <row r="288" spans="99:99" ht="14.25" customHeight="1" x14ac:dyDescent="0.2">
      <c r="CU288" s="154"/>
    </row>
    <row r="289" spans="99:99" ht="14.25" customHeight="1" x14ac:dyDescent="0.2">
      <c r="CU289" s="154"/>
    </row>
    <row r="290" spans="99:99" ht="14.25" customHeight="1" x14ac:dyDescent="0.2">
      <c r="CU290" s="154"/>
    </row>
    <row r="291" spans="99:99" ht="14.25" customHeight="1" x14ac:dyDescent="0.2">
      <c r="CU291" s="154"/>
    </row>
    <row r="292" spans="99:99" ht="14.25" customHeight="1" x14ac:dyDescent="0.2">
      <c r="CU292" s="154"/>
    </row>
    <row r="293" spans="99:99" ht="14.25" customHeight="1" x14ac:dyDescent="0.2">
      <c r="CU293" s="154"/>
    </row>
    <row r="294" spans="99:99" ht="14.25" customHeight="1" x14ac:dyDescent="0.2">
      <c r="CU294" s="154"/>
    </row>
    <row r="295" spans="99:99" ht="14.25" customHeight="1" x14ac:dyDescent="0.2">
      <c r="CU295" s="154"/>
    </row>
    <row r="296" spans="99:99" ht="14.25" customHeight="1" x14ac:dyDescent="0.2">
      <c r="CU296" s="154"/>
    </row>
    <row r="297" spans="99:99" ht="14.25" customHeight="1" x14ac:dyDescent="0.2">
      <c r="CU297" s="154"/>
    </row>
    <row r="298" spans="99:99" ht="14.25" customHeight="1" x14ac:dyDescent="0.2">
      <c r="CU298" s="154"/>
    </row>
    <row r="299" spans="99:99" ht="14.25" customHeight="1" x14ac:dyDescent="0.2">
      <c r="CU299" s="154"/>
    </row>
    <row r="300" spans="99:99" ht="14.25" customHeight="1" x14ac:dyDescent="0.2">
      <c r="CU300" s="154"/>
    </row>
    <row r="301" spans="99:99" ht="14.25" customHeight="1" x14ac:dyDescent="0.2">
      <c r="CU301" s="154"/>
    </row>
    <row r="302" spans="99:99" ht="14.25" customHeight="1" x14ac:dyDescent="0.2">
      <c r="CU302" s="154"/>
    </row>
    <row r="303" spans="99:99" ht="14.25" customHeight="1" x14ac:dyDescent="0.2">
      <c r="CU303" s="154"/>
    </row>
    <row r="304" spans="99:99" ht="14.25" customHeight="1" x14ac:dyDescent="0.2">
      <c r="CU304" s="154"/>
    </row>
    <row r="305" spans="99:99" ht="14.25" customHeight="1" x14ac:dyDescent="0.2">
      <c r="CU305" s="154"/>
    </row>
    <row r="306" spans="99:99" ht="14.25" customHeight="1" x14ac:dyDescent="0.2">
      <c r="CU306" s="154"/>
    </row>
    <row r="307" spans="99:99" ht="14.25" customHeight="1" x14ac:dyDescent="0.2">
      <c r="CU307" s="154"/>
    </row>
    <row r="308" spans="99:99" ht="14.25" customHeight="1" x14ac:dyDescent="0.2">
      <c r="CU308" s="154"/>
    </row>
    <row r="309" spans="99:99" ht="14.25" customHeight="1" x14ac:dyDescent="0.2">
      <c r="CU309" s="154"/>
    </row>
    <row r="310" spans="99:99" ht="14.25" customHeight="1" x14ac:dyDescent="0.2">
      <c r="CU310" s="154"/>
    </row>
    <row r="311" spans="99:99" ht="14.25" customHeight="1" x14ac:dyDescent="0.2">
      <c r="CU311" s="154"/>
    </row>
    <row r="312" spans="99:99" ht="14.25" customHeight="1" x14ac:dyDescent="0.2">
      <c r="CU312" s="154"/>
    </row>
    <row r="313" spans="99:99" ht="14.25" customHeight="1" x14ac:dyDescent="0.2">
      <c r="CU313" s="154"/>
    </row>
    <row r="314" spans="99:99" ht="14.25" customHeight="1" x14ac:dyDescent="0.2">
      <c r="CU314" s="154"/>
    </row>
    <row r="315" spans="99:99" ht="14.25" customHeight="1" x14ac:dyDescent="0.2">
      <c r="CU315" s="154"/>
    </row>
    <row r="316" spans="99:99" ht="14.25" customHeight="1" x14ac:dyDescent="0.2">
      <c r="CU316" s="154"/>
    </row>
    <row r="317" spans="99:99" ht="14.25" customHeight="1" x14ac:dyDescent="0.2">
      <c r="CU317" s="154"/>
    </row>
    <row r="318" spans="99:99" ht="14.25" customHeight="1" x14ac:dyDescent="0.2">
      <c r="CU318" s="154"/>
    </row>
    <row r="319" spans="99:99" ht="14.25" customHeight="1" x14ac:dyDescent="0.2">
      <c r="CU319" s="154"/>
    </row>
    <row r="320" spans="99:99" ht="14.25" customHeight="1" x14ac:dyDescent="0.2">
      <c r="CU320" s="154"/>
    </row>
    <row r="321" spans="99:99" ht="14.25" customHeight="1" x14ac:dyDescent="0.2">
      <c r="CU321" s="154"/>
    </row>
    <row r="322" spans="99:99" ht="14.25" customHeight="1" x14ac:dyDescent="0.2">
      <c r="CU322" s="154"/>
    </row>
    <row r="323" spans="99:99" ht="14.25" customHeight="1" x14ac:dyDescent="0.2">
      <c r="CU323" s="154"/>
    </row>
    <row r="324" spans="99:99" ht="14.25" customHeight="1" x14ac:dyDescent="0.2">
      <c r="CU324" s="154"/>
    </row>
    <row r="325" spans="99:99" ht="14.25" customHeight="1" x14ac:dyDescent="0.2">
      <c r="CU325" s="154"/>
    </row>
    <row r="326" spans="99:99" ht="14.25" customHeight="1" x14ac:dyDescent="0.2">
      <c r="CU326" s="154"/>
    </row>
    <row r="327" spans="99:99" ht="14.25" customHeight="1" x14ac:dyDescent="0.2">
      <c r="CU327" s="154"/>
    </row>
    <row r="328" spans="99:99" ht="14.25" customHeight="1" x14ac:dyDescent="0.2">
      <c r="CU328" s="154"/>
    </row>
    <row r="329" spans="99:99" ht="14.25" customHeight="1" x14ac:dyDescent="0.2">
      <c r="CU329" s="154"/>
    </row>
    <row r="330" spans="99:99" ht="14.25" customHeight="1" x14ac:dyDescent="0.2">
      <c r="CU330" s="154"/>
    </row>
    <row r="331" spans="99:99" ht="14.25" customHeight="1" x14ac:dyDescent="0.2">
      <c r="CU331" s="154"/>
    </row>
    <row r="332" spans="99:99" ht="14.25" customHeight="1" x14ac:dyDescent="0.2">
      <c r="CU332" s="154"/>
    </row>
    <row r="333" spans="99:99" ht="14.25" customHeight="1" x14ac:dyDescent="0.2">
      <c r="CU333" s="154"/>
    </row>
    <row r="334" spans="99:99" ht="14.25" customHeight="1" x14ac:dyDescent="0.2">
      <c r="CU334" s="154"/>
    </row>
    <row r="335" spans="99:99" ht="14.25" customHeight="1" x14ac:dyDescent="0.2">
      <c r="CU335" s="154"/>
    </row>
    <row r="336" spans="99:99" ht="14.25" customHeight="1" x14ac:dyDescent="0.2">
      <c r="CU336" s="154"/>
    </row>
    <row r="337" spans="99:99" ht="14.25" customHeight="1" x14ac:dyDescent="0.2">
      <c r="CU337" s="154"/>
    </row>
    <row r="338" spans="99:99" ht="14.25" customHeight="1" x14ac:dyDescent="0.2">
      <c r="CU338" s="154"/>
    </row>
    <row r="339" spans="99:99" ht="14.25" customHeight="1" x14ac:dyDescent="0.2">
      <c r="CU339" s="154"/>
    </row>
    <row r="340" spans="99:99" ht="14.25" customHeight="1" x14ac:dyDescent="0.2">
      <c r="CU340" s="154"/>
    </row>
    <row r="341" spans="99:99" ht="14.25" customHeight="1" x14ac:dyDescent="0.2">
      <c r="CU341" s="154"/>
    </row>
    <row r="342" spans="99:99" ht="14.25" customHeight="1" x14ac:dyDescent="0.2">
      <c r="CU342" s="154"/>
    </row>
    <row r="343" spans="99:99" ht="14.25" customHeight="1" x14ac:dyDescent="0.2">
      <c r="CU343" s="154"/>
    </row>
    <row r="344" spans="99:99" ht="14.25" customHeight="1" x14ac:dyDescent="0.2">
      <c r="CU344" s="154"/>
    </row>
    <row r="345" spans="99:99" ht="14.25" customHeight="1" x14ac:dyDescent="0.2">
      <c r="CU345" s="154"/>
    </row>
    <row r="346" spans="99:99" ht="14.25" customHeight="1" x14ac:dyDescent="0.2">
      <c r="CU346" s="154"/>
    </row>
    <row r="347" spans="99:99" ht="14.25" customHeight="1" x14ac:dyDescent="0.2">
      <c r="CU347" s="154"/>
    </row>
    <row r="348" spans="99:99" ht="14.25" customHeight="1" x14ac:dyDescent="0.2">
      <c r="CU348" s="154"/>
    </row>
    <row r="349" spans="99:99" ht="14.25" customHeight="1" x14ac:dyDescent="0.2">
      <c r="CU349" s="154"/>
    </row>
    <row r="350" spans="99:99" ht="14.25" customHeight="1" x14ac:dyDescent="0.2">
      <c r="CU350" s="154"/>
    </row>
    <row r="351" spans="99:99" ht="14.25" customHeight="1" x14ac:dyDescent="0.2">
      <c r="CU351" s="154"/>
    </row>
    <row r="352" spans="99:99" ht="14.25" customHeight="1" x14ac:dyDescent="0.2">
      <c r="CU352" s="154"/>
    </row>
    <row r="353" spans="99:99" ht="14.25" customHeight="1" x14ac:dyDescent="0.2">
      <c r="CU353" s="154"/>
    </row>
    <row r="354" spans="99:99" ht="14.25" customHeight="1" x14ac:dyDescent="0.2">
      <c r="CU354" s="154"/>
    </row>
    <row r="355" spans="99:99" ht="14.25" customHeight="1" x14ac:dyDescent="0.2">
      <c r="CU355" s="154"/>
    </row>
    <row r="356" spans="99:99" ht="14.25" customHeight="1" x14ac:dyDescent="0.2">
      <c r="CU356" s="154"/>
    </row>
    <row r="357" spans="99:99" ht="14.25" customHeight="1" x14ac:dyDescent="0.2">
      <c r="CU357" s="154"/>
    </row>
    <row r="358" spans="99:99" ht="14.25" customHeight="1" x14ac:dyDescent="0.2">
      <c r="CU358" s="154"/>
    </row>
    <row r="359" spans="99:99" ht="14.25" customHeight="1" x14ac:dyDescent="0.2">
      <c r="CU359" s="154"/>
    </row>
    <row r="360" spans="99:99" ht="14.25" customHeight="1" x14ac:dyDescent="0.2">
      <c r="CU360" s="154"/>
    </row>
    <row r="361" spans="99:99" ht="14.25" customHeight="1" x14ac:dyDescent="0.2">
      <c r="CU361" s="154"/>
    </row>
    <row r="362" spans="99:99" ht="14.25" customHeight="1" x14ac:dyDescent="0.2">
      <c r="CU362" s="154"/>
    </row>
    <row r="363" spans="99:99" ht="14.25" customHeight="1" x14ac:dyDescent="0.2">
      <c r="CU363" s="154"/>
    </row>
    <row r="364" spans="99:99" ht="14.25" customHeight="1" x14ac:dyDescent="0.2">
      <c r="CU364" s="154"/>
    </row>
    <row r="365" spans="99:99" ht="14.25" customHeight="1" x14ac:dyDescent="0.2">
      <c r="CU365" s="154"/>
    </row>
    <row r="366" spans="99:99" ht="14.25" customHeight="1" x14ac:dyDescent="0.2">
      <c r="CU366" s="154"/>
    </row>
    <row r="367" spans="99:99" ht="14.25" customHeight="1" x14ac:dyDescent="0.2">
      <c r="CU367" s="154"/>
    </row>
    <row r="368" spans="99:99" ht="14.25" customHeight="1" x14ac:dyDescent="0.2">
      <c r="CU368" s="154"/>
    </row>
    <row r="369" spans="99:99" ht="14.25" customHeight="1" x14ac:dyDescent="0.2">
      <c r="CU369" s="154"/>
    </row>
    <row r="370" spans="99:99" ht="14.25" customHeight="1" x14ac:dyDescent="0.2">
      <c r="CU370" s="154"/>
    </row>
    <row r="371" spans="99:99" ht="14.25" customHeight="1" x14ac:dyDescent="0.2">
      <c r="CU371" s="154"/>
    </row>
    <row r="372" spans="99:99" ht="14.25" customHeight="1" x14ac:dyDescent="0.2">
      <c r="CU372" s="154"/>
    </row>
    <row r="373" spans="99:99" ht="14.25" customHeight="1" x14ac:dyDescent="0.2">
      <c r="CU373" s="154"/>
    </row>
    <row r="374" spans="99:99" ht="14.25" customHeight="1" x14ac:dyDescent="0.2">
      <c r="CU374" s="154"/>
    </row>
    <row r="375" spans="99:99" ht="14.25" customHeight="1" x14ac:dyDescent="0.2">
      <c r="CU375" s="154"/>
    </row>
    <row r="376" spans="99:99" ht="14.25" customHeight="1" x14ac:dyDescent="0.2">
      <c r="CU376" s="154"/>
    </row>
    <row r="377" spans="99:99" ht="14.25" customHeight="1" x14ac:dyDescent="0.2">
      <c r="CU377" s="154"/>
    </row>
    <row r="378" spans="99:99" ht="14.25" customHeight="1" x14ac:dyDescent="0.2">
      <c r="CU378" s="154"/>
    </row>
    <row r="379" spans="99:99" ht="14.25" customHeight="1" x14ac:dyDescent="0.2">
      <c r="CU379" s="154"/>
    </row>
    <row r="380" spans="99:99" ht="14.25" customHeight="1" x14ac:dyDescent="0.2">
      <c r="CU380" s="154"/>
    </row>
    <row r="381" spans="99:99" ht="14.25" customHeight="1" x14ac:dyDescent="0.2">
      <c r="CU381" s="154"/>
    </row>
    <row r="382" spans="99:99" ht="14.25" customHeight="1" x14ac:dyDescent="0.2">
      <c r="CU382" s="154"/>
    </row>
    <row r="383" spans="99:99" ht="14.25" customHeight="1" x14ac:dyDescent="0.2">
      <c r="CU383" s="154"/>
    </row>
    <row r="384" spans="99:99" ht="14.25" customHeight="1" x14ac:dyDescent="0.2">
      <c r="CU384" s="154"/>
    </row>
    <row r="385" spans="99:99" ht="14.25" customHeight="1" x14ac:dyDescent="0.2">
      <c r="CU385" s="154"/>
    </row>
    <row r="386" spans="99:99" ht="14.25" customHeight="1" x14ac:dyDescent="0.2">
      <c r="CU386" s="154"/>
    </row>
    <row r="387" spans="99:99" ht="14.25" customHeight="1" x14ac:dyDescent="0.2">
      <c r="CU387" s="154"/>
    </row>
    <row r="388" spans="99:99" ht="14.25" customHeight="1" x14ac:dyDescent="0.2">
      <c r="CU388" s="154"/>
    </row>
    <row r="389" spans="99:99" ht="14.25" customHeight="1" x14ac:dyDescent="0.2">
      <c r="CU389" s="154"/>
    </row>
    <row r="390" spans="99:99" ht="14.25" customHeight="1" x14ac:dyDescent="0.2">
      <c r="CU390" s="154"/>
    </row>
    <row r="391" spans="99:99" ht="14.25" customHeight="1" x14ac:dyDescent="0.2">
      <c r="CU391" s="154"/>
    </row>
    <row r="392" spans="99:99" ht="14.25" customHeight="1" x14ac:dyDescent="0.2">
      <c r="CU392" s="154"/>
    </row>
    <row r="393" spans="99:99" ht="14.25" customHeight="1" x14ac:dyDescent="0.2">
      <c r="CU393" s="154"/>
    </row>
    <row r="394" spans="99:99" ht="14.25" customHeight="1" x14ac:dyDescent="0.2">
      <c r="CU394" s="154"/>
    </row>
    <row r="395" spans="99:99" ht="14.25" customHeight="1" x14ac:dyDescent="0.2">
      <c r="CU395" s="154"/>
    </row>
    <row r="396" spans="99:99" ht="14.25" customHeight="1" x14ac:dyDescent="0.2">
      <c r="CU396" s="154"/>
    </row>
    <row r="397" spans="99:99" ht="14.25" customHeight="1" x14ac:dyDescent="0.2">
      <c r="CU397" s="154"/>
    </row>
    <row r="398" spans="99:99" ht="14.25" customHeight="1" x14ac:dyDescent="0.2">
      <c r="CU398" s="154"/>
    </row>
    <row r="399" spans="99:99" ht="14.25" customHeight="1" x14ac:dyDescent="0.2">
      <c r="CU399" s="154"/>
    </row>
    <row r="400" spans="99:99" ht="14.25" customHeight="1" x14ac:dyDescent="0.2">
      <c r="CU400" s="154"/>
    </row>
    <row r="401" spans="99:99" ht="14.25" customHeight="1" x14ac:dyDescent="0.2">
      <c r="CU401" s="154"/>
    </row>
    <row r="402" spans="99:99" ht="14.25" customHeight="1" x14ac:dyDescent="0.2">
      <c r="CU402" s="154"/>
    </row>
    <row r="403" spans="99:99" ht="14.25" customHeight="1" x14ac:dyDescent="0.2">
      <c r="CU403" s="154"/>
    </row>
    <row r="404" spans="99:99" ht="14.25" customHeight="1" x14ac:dyDescent="0.2">
      <c r="CU404" s="154"/>
    </row>
    <row r="405" spans="99:99" ht="14.25" customHeight="1" x14ac:dyDescent="0.2">
      <c r="CU405" s="154"/>
    </row>
    <row r="406" spans="99:99" ht="14.25" customHeight="1" x14ac:dyDescent="0.2">
      <c r="CU406" s="154"/>
    </row>
    <row r="407" spans="99:99" ht="14.25" customHeight="1" x14ac:dyDescent="0.2">
      <c r="CU407" s="154"/>
    </row>
    <row r="408" spans="99:99" ht="14.25" customHeight="1" x14ac:dyDescent="0.2">
      <c r="CU408" s="154"/>
    </row>
    <row r="409" spans="99:99" ht="14.25" customHeight="1" x14ac:dyDescent="0.2">
      <c r="CU409" s="154"/>
    </row>
    <row r="410" spans="99:99" ht="14.25" customHeight="1" x14ac:dyDescent="0.2">
      <c r="CU410" s="154"/>
    </row>
    <row r="411" spans="99:99" ht="14.25" customHeight="1" x14ac:dyDescent="0.2">
      <c r="CU411" s="154"/>
    </row>
    <row r="412" spans="99:99" ht="14.25" customHeight="1" x14ac:dyDescent="0.2">
      <c r="CU412" s="154"/>
    </row>
    <row r="413" spans="99:99" ht="14.25" customHeight="1" x14ac:dyDescent="0.2">
      <c r="CU413" s="154"/>
    </row>
    <row r="414" spans="99:99" ht="14.25" customHeight="1" x14ac:dyDescent="0.2">
      <c r="CU414" s="154"/>
    </row>
    <row r="415" spans="99:99" ht="14.25" customHeight="1" x14ac:dyDescent="0.2">
      <c r="CU415" s="154"/>
    </row>
    <row r="416" spans="99:99" ht="14.25" customHeight="1" x14ac:dyDescent="0.2">
      <c r="CU416" s="154"/>
    </row>
    <row r="417" spans="99:99" ht="14.25" customHeight="1" x14ac:dyDescent="0.2">
      <c r="CU417" s="154"/>
    </row>
    <row r="418" spans="99:99" ht="14.25" customHeight="1" x14ac:dyDescent="0.2">
      <c r="CU418" s="154"/>
    </row>
    <row r="419" spans="99:99" ht="14.25" customHeight="1" x14ac:dyDescent="0.2">
      <c r="CU419" s="154"/>
    </row>
    <row r="420" spans="99:99" ht="14.25" customHeight="1" x14ac:dyDescent="0.2">
      <c r="CU420" s="154"/>
    </row>
    <row r="421" spans="99:99" ht="14.25" customHeight="1" x14ac:dyDescent="0.2">
      <c r="CU421" s="154"/>
    </row>
    <row r="422" spans="99:99" ht="14.25" customHeight="1" x14ac:dyDescent="0.2">
      <c r="CU422" s="154"/>
    </row>
    <row r="423" spans="99:99" ht="14.25" customHeight="1" x14ac:dyDescent="0.2">
      <c r="CU423" s="154"/>
    </row>
    <row r="424" spans="99:99" ht="14.25" customHeight="1" x14ac:dyDescent="0.2">
      <c r="CU424" s="154"/>
    </row>
    <row r="425" spans="99:99" ht="14.25" customHeight="1" x14ac:dyDescent="0.2">
      <c r="CU425" s="154"/>
    </row>
    <row r="426" spans="99:99" ht="14.25" customHeight="1" x14ac:dyDescent="0.2">
      <c r="CU426" s="154"/>
    </row>
    <row r="427" spans="99:99" ht="14.25" customHeight="1" x14ac:dyDescent="0.2">
      <c r="CU427" s="154"/>
    </row>
    <row r="428" spans="99:99" ht="14.25" customHeight="1" x14ac:dyDescent="0.2">
      <c r="CU428" s="154"/>
    </row>
    <row r="429" spans="99:99" ht="14.25" customHeight="1" x14ac:dyDescent="0.2">
      <c r="CU429" s="154"/>
    </row>
    <row r="430" spans="99:99" ht="14.25" customHeight="1" x14ac:dyDescent="0.2">
      <c r="CU430" s="154"/>
    </row>
    <row r="431" spans="99:99" ht="14.25" customHeight="1" x14ac:dyDescent="0.2">
      <c r="CU431" s="154"/>
    </row>
    <row r="432" spans="99:99" ht="14.25" customHeight="1" x14ac:dyDescent="0.2">
      <c r="CU432" s="154"/>
    </row>
    <row r="433" spans="99:99" ht="14.25" customHeight="1" x14ac:dyDescent="0.2">
      <c r="CU433" s="154"/>
    </row>
    <row r="434" spans="99:99" ht="14.25" customHeight="1" x14ac:dyDescent="0.2">
      <c r="CU434" s="154"/>
    </row>
    <row r="435" spans="99:99" ht="14.25" customHeight="1" x14ac:dyDescent="0.2">
      <c r="CU435" s="154"/>
    </row>
    <row r="436" spans="99:99" ht="14.25" customHeight="1" x14ac:dyDescent="0.2">
      <c r="CU436" s="154"/>
    </row>
    <row r="437" spans="99:99" ht="14.25" customHeight="1" x14ac:dyDescent="0.2">
      <c r="CU437" s="154"/>
    </row>
    <row r="438" spans="99:99" ht="14.25" customHeight="1" x14ac:dyDescent="0.2">
      <c r="CU438" s="154"/>
    </row>
    <row r="439" spans="99:99" ht="14.25" customHeight="1" x14ac:dyDescent="0.2">
      <c r="CU439" s="154"/>
    </row>
    <row r="440" spans="99:99" ht="14.25" customHeight="1" x14ac:dyDescent="0.2">
      <c r="CU440" s="154"/>
    </row>
    <row r="441" spans="99:99" ht="14.25" customHeight="1" x14ac:dyDescent="0.2">
      <c r="CU441" s="154"/>
    </row>
    <row r="442" spans="99:99" ht="14.25" customHeight="1" x14ac:dyDescent="0.2">
      <c r="CU442" s="154"/>
    </row>
    <row r="443" spans="99:99" ht="14.25" customHeight="1" x14ac:dyDescent="0.2">
      <c r="CU443" s="154"/>
    </row>
    <row r="444" spans="99:99" ht="14.25" customHeight="1" x14ac:dyDescent="0.2">
      <c r="CU444" s="154"/>
    </row>
    <row r="445" spans="99:99" ht="14.25" customHeight="1" x14ac:dyDescent="0.2">
      <c r="CU445" s="154"/>
    </row>
    <row r="446" spans="99:99" ht="14.25" customHeight="1" x14ac:dyDescent="0.2">
      <c r="CU446" s="154"/>
    </row>
    <row r="447" spans="99:99" ht="14.25" customHeight="1" x14ac:dyDescent="0.2">
      <c r="CU447" s="154"/>
    </row>
    <row r="448" spans="99:99" ht="14.25" customHeight="1" x14ac:dyDescent="0.2">
      <c r="CU448" s="154"/>
    </row>
    <row r="449" spans="99:99" ht="14.25" customHeight="1" x14ac:dyDescent="0.2">
      <c r="CU449" s="154"/>
    </row>
    <row r="450" spans="99:99" ht="14.25" customHeight="1" x14ac:dyDescent="0.2">
      <c r="CU450" s="154"/>
    </row>
    <row r="451" spans="99:99" ht="14.25" customHeight="1" x14ac:dyDescent="0.2">
      <c r="CU451" s="154"/>
    </row>
    <row r="452" spans="99:99" ht="14.25" customHeight="1" x14ac:dyDescent="0.2">
      <c r="CU452" s="154"/>
    </row>
    <row r="453" spans="99:99" ht="14.25" customHeight="1" x14ac:dyDescent="0.2">
      <c r="CU453" s="154"/>
    </row>
    <row r="454" spans="99:99" ht="14.25" customHeight="1" x14ac:dyDescent="0.2">
      <c r="CU454" s="154"/>
    </row>
    <row r="455" spans="99:99" ht="14.25" customHeight="1" x14ac:dyDescent="0.2">
      <c r="CU455" s="154"/>
    </row>
    <row r="456" spans="99:99" ht="14.25" customHeight="1" x14ac:dyDescent="0.2">
      <c r="CU456" s="154"/>
    </row>
    <row r="457" spans="99:99" ht="14.25" customHeight="1" x14ac:dyDescent="0.2">
      <c r="CU457" s="154"/>
    </row>
    <row r="458" spans="99:99" ht="14.25" customHeight="1" x14ac:dyDescent="0.2">
      <c r="CU458" s="154"/>
    </row>
    <row r="459" spans="99:99" ht="14.25" customHeight="1" x14ac:dyDescent="0.2">
      <c r="CU459" s="154"/>
    </row>
    <row r="460" spans="99:99" ht="14.25" customHeight="1" x14ac:dyDescent="0.2">
      <c r="CU460" s="154"/>
    </row>
    <row r="461" spans="99:99" ht="14.25" customHeight="1" x14ac:dyDescent="0.2">
      <c r="CU461" s="154"/>
    </row>
    <row r="462" spans="99:99" ht="14.25" customHeight="1" x14ac:dyDescent="0.2">
      <c r="CU462" s="154"/>
    </row>
    <row r="463" spans="99:99" ht="14.25" customHeight="1" x14ac:dyDescent="0.2">
      <c r="CU463" s="154"/>
    </row>
    <row r="464" spans="99:99" ht="14.25" customHeight="1" x14ac:dyDescent="0.2">
      <c r="CU464" s="154"/>
    </row>
    <row r="465" spans="99:99" ht="14.25" customHeight="1" x14ac:dyDescent="0.2">
      <c r="CU465" s="154"/>
    </row>
    <row r="466" spans="99:99" ht="14.25" customHeight="1" x14ac:dyDescent="0.2">
      <c r="CU466" s="154"/>
    </row>
    <row r="467" spans="99:99" ht="14.25" customHeight="1" x14ac:dyDescent="0.2">
      <c r="CU467" s="154"/>
    </row>
    <row r="468" spans="99:99" ht="14.25" customHeight="1" x14ac:dyDescent="0.2">
      <c r="CU468" s="154"/>
    </row>
    <row r="469" spans="99:99" ht="14.25" customHeight="1" x14ac:dyDescent="0.2">
      <c r="CU469" s="154"/>
    </row>
    <row r="470" spans="99:99" ht="14.25" customHeight="1" x14ac:dyDescent="0.2">
      <c r="CU470" s="154"/>
    </row>
    <row r="471" spans="99:99" ht="14.25" customHeight="1" x14ac:dyDescent="0.2">
      <c r="CU471" s="154"/>
    </row>
    <row r="472" spans="99:99" ht="14.25" customHeight="1" x14ac:dyDescent="0.2">
      <c r="CU472" s="154"/>
    </row>
    <row r="473" spans="99:99" ht="14.25" customHeight="1" x14ac:dyDescent="0.2">
      <c r="CU473" s="154"/>
    </row>
    <row r="474" spans="99:99" ht="14.25" customHeight="1" x14ac:dyDescent="0.2">
      <c r="CU474" s="154"/>
    </row>
    <row r="475" spans="99:99" ht="14.25" customHeight="1" x14ac:dyDescent="0.2">
      <c r="CU475" s="154"/>
    </row>
    <row r="476" spans="99:99" ht="14.25" customHeight="1" x14ac:dyDescent="0.2">
      <c r="CU476" s="154"/>
    </row>
    <row r="477" spans="99:99" ht="14.25" customHeight="1" x14ac:dyDescent="0.2">
      <c r="CU477" s="154"/>
    </row>
    <row r="478" spans="99:99" ht="14.25" customHeight="1" x14ac:dyDescent="0.2">
      <c r="CU478" s="154"/>
    </row>
    <row r="479" spans="99:99" ht="14.25" customHeight="1" x14ac:dyDescent="0.2">
      <c r="CU479" s="154"/>
    </row>
    <row r="480" spans="99:99" ht="14.25" customHeight="1" x14ac:dyDescent="0.2">
      <c r="CU480" s="154"/>
    </row>
    <row r="481" spans="99:99" ht="14.25" customHeight="1" x14ac:dyDescent="0.2">
      <c r="CU481" s="154"/>
    </row>
    <row r="482" spans="99:99" ht="14.25" customHeight="1" x14ac:dyDescent="0.2">
      <c r="CU482" s="154"/>
    </row>
    <row r="483" spans="99:99" ht="14.25" customHeight="1" x14ac:dyDescent="0.2">
      <c r="CU483" s="154"/>
    </row>
    <row r="484" spans="99:99" ht="14.25" customHeight="1" x14ac:dyDescent="0.2">
      <c r="CU484" s="154"/>
    </row>
    <row r="485" spans="99:99" ht="14.25" customHeight="1" x14ac:dyDescent="0.2">
      <c r="CU485" s="154"/>
    </row>
    <row r="486" spans="99:99" ht="14.25" customHeight="1" x14ac:dyDescent="0.2">
      <c r="CU486" s="154"/>
    </row>
    <row r="487" spans="99:99" ht="14.25" customHeight="1" x14ac:dyDescent="0.2">
      <c r="CU487" s="154"/>
    </row>
    <row r="488" spans="99:99" ht="14.25" customHeight="1" x14ac:dyDescent="0.2">
      <c r="CU488" s="154"/>
    </row>
    <row r="489" spans="99:99" ht="14.25" customHeight="1" x14ac:dyDescent="0.2">
      <c r="CU489" s="154"/>
    </row>
    <row r="490" spans="99:99" ht="14.25" customHeight="1" x14ac:dyDescent="0.2">
      <c r="CU490" s="154"/>
    </row>
    <row r="491" spans="99:99" ht="14.25" customHeight="1" x14ac:dyDescent="0.2">
      <c r="CU491" s="154"/>
    </row>
    <row r="492" spans="99:99" ht="14.25" customHeight="1" x14ac:dyDescent="0.2">
      <c r="CU492" s="154"/>
    </row>
    <row r="493" spans="99:99" ht="14.25" customHeight="1" x14ac:dyDescent="0.2">
      <c r="CU493" s="154"/>
    </row>
    <row r="494" spans="99:99" ht="14.25" customHeight="1" x14ac:dyDescent="0.2">
      <c r="CU494" s="154"/>
    </row>
    <row r="495" spans="99:99" ht="14.25" customHeight="1" x14ac:dyDescent="0.2">
      <c r="CU495" s="154"/>
    </row>
    <row r="496" spans="99:99" ht="14.25" customHeight="1" x14ac:dyDescent="0.2">
      <c r="CU496" s="154"/>
    </row>
    <row r="497" spans="99:99" ht="14.25" customHeight="1" x14ac:dyDescent="0.2">
      <c r="CU497" s="154"/>
    </row>
    <row r="498" spans="99:99" ht="14.25" customHeight="1" x14ac:dyDescent="0.2">
      <c r="CU498" s="154"/>
    </row>
    <row r="499" spans="99:99" ht="14.25" customHeight="1" x14ac:dyDescent="0.2">
      <c r="CU499" s="154"/>
    </row>
    <row r="500" spans="99:99" ht="14.25" customHeight="1" x14ac:dyDescent="0.2">
      <c r="CU500" s="154"/>
    </row>
    <row r="501" spans="99:99" ht="14.25" customHeight="1" x14ac:dyDescent="0.2">
      <c r="CU501" s="154"/>
    </row>
    <row r="502" spans="99:99" ht="14.25" customHeight="1" x14ac:dyDescent="0.2">
      <c r="CU502" s="154"/>
    </row>
    <row r="503" spans="99:99" ht="14.25" customHeight="1" x14ac:dyDescent="0.2">
      <c r="CU503" s="154"/>
    </row>
    <row r="504" spans="99:99" ht="14.25" customHeight="1" x14ac:dyDescent="0.2">
      <c r="CU504" s="154"/>
    </row>
    <row r="505" spans="99:99" ht="14.25" customHeight="1" x14ac:dyDescent="0.2">
      <c r="CU505" s="154"/>
    </row>
    <row r="506" spans="99:99" ht="14.25" customHeight="1" x14ac:dyDescent="0.2">
      <c r="CU506" s="154"/>
    </row>
    <row r="507" spans="99:99" ht="14.25" customHeight="1" x14ac:dyDescent="0.2">
      <c r="CU507" s="154"/>
    </row>
    <row r="508" spans="99:99" ht="14.25" customHeight="1" x14ac:dyDescent="0.2">
      <c r="CU508" s="154"/>
    </row>
    <row r="509" spans="99:99" ht="14.25" customHeight="1" x14ac:dyDescent="0.2">
      <c r="CU509" s="154"/>
    </row>
    <row r="510" spans="99:99" ht="14.25" customHeight="1" x14ac:dyDescent="0.2">
      <c r="CU510" s="154"/>
    </row>
    <row r="511" spans="99:99" ht="14.25" customHeight="1" x14ac:dyDescent="0.2">
      <c r="CU511" s="154"/>
    </row>
    <row r="512" spans="99:99" ht="14.25" customHeight="1" x14ac:dyDescent="0.2">
      <c r="CU512" s="154"/>
    </row>
    <row r="513" spans="99:99" ht="14.25" customHeight="1" x14ac:dyDescent="0.2">
      <c r="CU513" s="154"/>
    </row>
    <row r="514" spans="99:99" ht="14.25" customHeight="1" x14ac:dyDescent="0.2">
      <c r="CU514" s="154"/>
    </row>
    <row r="515" spans="99:99" ht="14.25" customHeight="1" x14ac:dyDescent="0.2">
      <c r="CU515" s="154"/>
    </row>
    <row r="516" spans="99:99" ht="14.25" customHeight="1" x14ac:dyDescent="0.2">
      <c r="CU516" s="154"/>
    </row>
    <row r="517" spans="99:99" ht="14.25" customHeight="1" x14ac:dyDescent="0.2">
      <c r="CU517" s="154"/>
    </row>
    <row r="518" spans="99:99" ht="14.25" customHeight="1" x14ac:dyDescent="0.2">
      <c r="CU518" s="154"/>
    </row>
    <row r="519" spans="99:99" ht="14.25" customHeight="1" x14ac:dyDescent="0.2">
      <c r="CU519" s="154"/>
    </row>
    <row r="520" spans="99:99" ht="14.25" customHeight="1" x14ac:dyDescent="0.2">
      <c r="CU520" s="154"/>
    </row>
    <row r="521" spans="99:99" ht="14.25" customHeight="1" x14ac:dyDescent="0.2">
      <c r="CU521" s="154"/>
    </row>
    <row r="522" spans="99:99" ht="14.25" customHeight="1" x14ac:dyDescent="0.2">
      <c r="CU522" s="154"/>
    </row>
    <row r="523" spans="99:99" ht="14.25" customHeight="1" x14ac:dyDescent="0.2">
      <c r="CU523" s="154"/>
    </row>
    <row r="524" spans="99:99" ht="14.25" customHeight="1" x14ac:dyDescent="0.2">
      <c r="CU524" s="154"/>
    </row>
    <row r="525" spans="99:99" ht="14.25" customHeight="1" x14ac:dyDescent="0.2">
      <c r="CU525" s="154"/>
    </row>
    <row r="526" spans="99:99" ht="14.25" customHeight="1" x14ac:dyDescent="0.2">
      <c r="CU526" s="154"/>
    </row>
    <row r="527" spans="99:99" ht="14.25" customHeight="1" x14ac:dyDescent="0.2">
      <c r="CU527" s="154"/>
    </row>
    <row r="528" spans="99:99" ht="14.25" customHeight="1" x14ac:dyDescent="0.2">
      <c r="CU528" s="154"/>
    </row>
    <row r="529" spans="99:99" ht="14.25" customHeight="1" x14ac:dyDescent="0.2">
      <c r="CU529" s="154"/>
    </row>
    <row r="530" spans="99:99" ht="14.25" customHeight="1" x14ac:dyDescent="0.2">
      <c r="CU530" s="154"/>
    </row>
    <row r="531" spans="99:99" ht="14.25" customHeight="1" x14ac:dyDescent="0.2">
      <c r="CU531" s="154"/>
    </row>
    <row r="532" spans="99:99" ht="14.25" customHeight="1" x14ac:dyDescent="0.2">
      <c r="CU532" s="154"/>
    </row>
    <row r="533" spans="99:99" ht="14.25" customHeight="1" x14ac:dyDescent="0.2">
      <c r="CU533" s="154"/>
    </row>
    <row r="534" spans="99:99" ht="14.25" customHeight="1" x14ac:dyDescent="0.2">
      <c r="CU534" s="154"/>
    </row>
    <row r="535" spans="99:99" ht="14.25" customHeight="1" x14ac:dyDescent="0.2">
      <c r="CU535" s="154"/>
    </row>
    <row r="536" spans="99:99" ht="14.25" customHeight="1" x14ac:dyDescent="0.2">
      <c r="CU536" s="154"/>
    </row>
    <row r="537" spans="99:99" ht="14.25" customHeight="1" x14ac:dyDescent="0.2">
      <c r="CU537" s="154"/>
    </row>
    <row r="538" spans="99:99" ht="14.25" customHeight="1" x14ac:dyDescent="0.2">
      <c r="CU538" s="154"/>
    </row>
    <row r="539" spans="99:99" ht="14.25" customHeight="1" x14ac:dyDescent="0.2">
      <c r="CU539" s="154"/>
    </row>
    <row r="540" spans="99:99" ht="14.25" customHeight="1" x14ac:dyDescent="0.2">
      <c r="CU540" s="154"/>
    </row>
    <row r="541" spans="99:99" ht="14.25" customHeight="1" x14ac:dyDescent="0.2">
      <c r="CU541" s="154"/>
    </row>
    <row r="542" spans="99:99" ht="14.25" customHeight="1" x14ac:dyDescent="0.2">
      <c r="CU542" s="154"/>
    </row>
    <row r="543" spans="99:99" ht="14.25" customHeight="1" x14ac:dyDescent="0.2">
      <c r="CU543" s="154"/>
    </row>
    <row r="544" spans="99:99" ht="14.25" customHeight="1" x14ac:dyDescent="0.2">
      <c r="CU544" s="154"/>
    </row>
    <row r="545" spans="99:99" ht="14.25" customHeight="1" x14ac:dyDescent="0.2">
      <c r="CU545" s="154"/>
    </row>
    <row r="546" spans="99:99" ht="14.25" customHeight="1" x14ac:dyDescent="0.2">
      <c r="CU546" s="154"/>
    </row>
    <row r="547" spans="99:99" ht="14.25" customHeight="1" x14ac:dyDescent="0.2">
      <c r="CU547" s="154"/>
    </row>
    <row r="548" spans="99:99" ht="14.25" customHeight="1" x14ac:dyDescent="0.2">
      <c r="CU548" s="154"/>
    </row>
    <row r="549" spans="99:99" ht="14.25" customHeight="1" x14ac:dyDescent="0.2">
      <c r="CU549" s="154"/>
    </row>
    <row r="550" spans="99:99" ht="14.25" customHeight="1" x14ac:dyDescent="0.2">
      <c r="CU550" s="154"/>
    </row>
    <row r="551" spans="99:99" ht="14.25" customHeight="1" x14ac:dyDescent="0.2">
      <c r="CU551" s="154"/>
    </row>
    <row r="552" spans="99:99" ht="14.25" customHeight="1" x14ac:dyDescent="0.2">
      <c r="CU552" s="154"/>
    </row>
    <row r="553" spans="99:99" ht="14.25" customHeight="1" x14ac:dyDescent="0.2">
      <c r="CU553" s="154"/>
    </row>
    <row r="554" spans="99:99" ht="14.25" customHeight="1" x14ac:dyDescent="0.2">
      <c r="CU554" s="154"/>
    </row>
    <row r="555" spans="99:99" ht="14.25" customHeight="1" x14ac:dyDescent="0.2">
      <c r="CU555" s="154"/>
    </row>
    <row r="556" spans="99:99" ht="14.25" customHeight="1" x14ac:dyDescent="0.2">
      <c r="CU556" s="154"/>
    </row>
    <row r="557" spans="99:99" ht="14.25" customHeight="1" x14ac:dyDescent="0.2">
      <c r="CU557" s="154"/>
    </row>
    <row r="558" spans="99:99" ht="14.25" customHeight="1" x14ac:dyDescent="0.2">
      <c r="CU558" s="154"/>
    </row>
    <row r="559" spans="99:99" ht="14.25" customHeight="1" x14ac:dyDescent="0.2">
      <c r="CU559" s="154"/>
    </row>
    <row r="560" spans="99:99" ht="14.25" customHeight="1" x14ac:dyDescent="0.2">
      <c r="CU560" s="154"/>
    </row>
    <row r="561" spans="99:99" ht="14.25" customHeight="1" x14ac:dyDescent="0.2">
      <c r="CU561" s="154"/>
    </row>
    <row r="562" spans="99:99" ht="14.25" customHeight="1" x14ac:dyDescent="0.2">
      <c r="CU562" s="154"/>
    </row>
    <row r="563" spans="99:99" ht="14.25" customHeight="1" x14ac:dyDescent="0.2">
      <c r="CU563" s="154"/>
    </row>
    <row r="564" spans="99:99" ht="14.25" customHeight="1" x14ac:dyDescent="0.2">
      <c r="CU564" s="154"/>
    </row>
    <row r="565" spans="99:99" ht="14.25" customHeight="1" x14ac:dyDescent="0.2">
      <c r="CU565" s="154"/>
    </row>
    <row r="566" spans="99:99" ht="14.25" customHeight="1" x14ac:dyDescent="0.2">
      <c r="CU566" s="154"/>
    </row>
    <row r="567" spans="99:99" ht="14.25" customHeight="1" x14ac:dyDescent="0.2">
      <c r="CU567" s="154"/>
    </row>
    <row r="568" spans="99:99" ht="14.25" customHeight="1" x14ac:dyDescent="0.2">
      <c r="CU568" s="154"/>
    </row>
    <row r="569" spans="99:99" ht="14.25" customHeight="1" x14ac:dyDescent="0.2">
      <c r="CU569" s="154"/>
    </row>
    <row r="570" spans="99:99" ht="14.25" customHeight="1" x14ac:dyDescent="0.2">
      <c r="CU570" s="154"/>
    </row>
    <row r="571" spans="99:99" ht="14.25" customHeight="1" x14ac:dyDescent="0.2">
      <c r="CU571" s="154"/>
    </row>
    <row r="572" spans="99:99" ht="14.25" customHeight="1" x14ac:dyDescent="0.2">
      <c r="CU572" s="154"/>
    </row>
    <row r="573" spans="99:99" ht="14.25" customHeight="1" x14ac:dyDescent="0.2">
      <c r="CU573" s="154"/>
    </row>
    <row r="574" spans="99:99" ht="14.25" customHeight="1" x14ac:dyDescent="0.2">
      <c r="CU574" s="154"/>
    </row>
    <row r="575" spans="99:99" ht="14.25" customHeight="1" x14ac:dyDescent="0.2">
      <c r="CU575" s="154"/>
    </row>
    <row r="576" spans="99:99" ht="14.25" customHeight="1" x14ac:dyDescent="0.2">
      <c r="CU576" s="154"/>
    </row>
    <row r="577" spans="99:99" ht="14.25" customHeight="1" x14ac:dyDescent="0.2">
      <c r="CU577" s="154"/>
    </row>
    <row r="578" spans="99:99" ht="14.25" customHeight="1" x14ac:dyDescent="0.2">
      <c r="CU578" s="154"/>
    </row>
    <row r="579" spans="99:99" ht="14.25" customHeight="1" x14ac:dyDescent="0.2">
      <c r="CU579" s="154"/>
    </row>
    <row r="580" spans="99:99" ht="14.25" customHeight="1" x14ac:dyDescent="0.2">
      <c r="CU580" s="154"/>
    </row>
    <row r="581" spans="99:99" ht="14.25" customHeight="1" x14ac:dyDescent="0.2">
      <c r="CU581" s="154"/>
    </row>
    <row r="582" spans="99:99" ht="14.25" customHeight="1" x14ac:dyDescent="0.2">
      <c r="CU582" s="154"/>
    </row>
    <row r="583" spans="99:99" ht="14.25" customHeight="1" x14ac:dyDescent="0.2">
      <c r="CU583" s="154"/>
    </row>
    <row r="584" spans="99:99" ht="14.25" customHeight="1" x14ac:dyDescent="0.2">
      <c r="CU584" s="154"/>
    </row>
    <row r="585" spans="99:99" ht="14.25" customHeight="1" x14ac:dyDescent="0.2">
      <c r="CU585" s="154"/>
    </row>
    <row r="586" spans="99:99" ht="14.25" customHeight="1" x14ac:dyDescent="0.2">
      <c r="CU586" s="154"/>
    </row>
    <row r="587" spans="99:99" ht="14.25" customHeight="1" x14ac:dyDescent="0.2">
      <c r="CU587" s="154"/>
    </row>
    <row r="588" spans="99:99" ht="14.25" customHeight="1" x14ac:dyDescent="0.2">
      <c r="CU588" s="154"/>
    </row>
    <row r="589" spans="99:99" ht="14.25" customHeight="1" x14ac:dyDescent="0.2">
      <c r="CU589" s="154"/>
    </row>
    <row r="590" spans="99:99" ht="14.25" customHeight="1" x14ac:dyDescent="0.2">
      <c r="CU590" s="154"/>
    </row>
    <row r="591" spans="99:99" ht="14.25" customHeight="1" x14ac:dyDescent="0.2">
      <c r="CU591" s="154"/>
    </row>
    <row r="592" spans="99:99" ht="14.25" customHeight="1" x14ac:dyDescent="0.2">
      <c r="CU592" s="154"/>
    </row>
    <row r="593" spans="99:99" ht="14.25" customHeight="1" x14ac:dyDescent="0.2">
      <c r="CU593" s="154"/>
    </row>
    <row r="594" spans="99:99" ht="14.25" customHeight="1" x14ac:dyDescent="0.2">
      <c r="CU594" s="154"/>
    </row>
    <row r="595" spans="99:99" ht="14.25" customHeight="1" x14ac:dyDescent="0.2">
      <c r="CU595" s="154"/>
    </row>
    <row r="596" spans="99:99" ht="14.25" customHeight="1" x14ac:dyDescent="0.2">
      <c r="CU596" s="154"/>
    </row>
    <row r="597" spans="99:99" ht="14.25" customHeight="1" x14ac:dyDescent="0.2">
      <c r="CU597" s="154"/>
    </row>
    <row r="598" spans="99:99" ht="14.25" customHeight="1" x14ac:dyDescent="0.2">
      <c r="CU598" s="154"/>
    </row>
    <row r="599" spans="99:99" ht="14.25" customHeight="1" x14ac:dyDescent="0.2">
      <c r="CU599" s="154"/>
    </row>
    <row r="600" spans="99:99" ht="14.25" customHeight="1" x14ac:dyDescent="0.2">
      <c r="CU600" s="154"/>
    </row>
    <row r="601" spans="99:99" ht="14.25" customHeight="1" x14ac:dyDescent="0.2">
      <c r="CU601" s="154"/>
    </row>
    <row r="602" spans="99:99" ht="14.25" customHeight="1" x14ac:dyDescent="0.2">
      <c r="CU602" s="154"/>
    </row>
    <row r="603" spans="99:99" ht="14.25" customHeight="1" x14ac:dyDescent="0.2">
      <c r="CU603" s="154"/>
    </row>
    <row r="604" spans="99:99" ht="14.25" customHeight="1" x14ac:dyDescent="0.2">
      <c r="CU604" s="154"/>
    </row>
    <row r="605" spans="99:99" ht="14.25" customHeight="1" x14ac:dyDescent="0.2">
      <c r="CU605" s="154"/>
    </row>
    <row r="606" spans="99:99" ht="14.25" customHeight="1" x14ac:dyDescent="0.2">
      <c r="CU606" s="154"/>
    </row>
    <row r="607" spans="99:99" ht="14.25" customHeight="1" x14ac:dyDescent="0.2">
      <c r="CU607" s="154"/>
    </row>
    <row r="608" spans="99:99" ht="14.25" customHeight="1" x14ac:dyDescent="0.2">
      <c r="CU608" s="154"/>
    </row>
    <row r="609" spans="99:99" ht="14.25" customHeight="1" x14ac:dyDescent="0.2">
      <c r="CU609" s="154"/>
    </row>
    <row r="610" spans="99:99" ht="14.25" customHeight="1" x14ac:dyDescent="0.2">
      <c r="CU610" s="154"/>
    </row>
    <row r="611" spans="99:99" ht="14.25" customHeight="1" x14ac:dyDescent="0.2">
      <c r="CU611" s="154"/>
    </row>
    <row r="612" spans="99:99" ht="14.25" customHeight="1" x14ac:dyDescent="0.2">
      <c r="CU612" s="154"/>
    </row>
    <row r="613" spans="99:99" ht="14.25" customHeight="1" x14ac:dyDescent="0.2">
      <c r="CU613" s="154"/>
    </row>
    <row r="614" spans="99:99" ht="14.25" customHeight="1" x14ac:dyDescent="0.2">
      <c r="CU614" s="154"/>
    </row>
    <row r="615" spans="99:99" ht="14.25" customHeight="1" x14ac:dyDescent="0.2">
      <c r="CU615" s="154"/>
    </row>
    <row r="616" spans="99:99" ht="14.25" customHeight="1" x14ac:dyDescent="0.2">
      <c r="CU616" s="154"/>
    </row>
    <row r="617" spans="99:99" ht="14.25" customHeight="1" x14ac:dyDescent="0.2">
      <c r="CU617" s="154"/>
    </row>
    <row r="618" spans="99:99" ht="14.25" customHeight="1" x14ac:dyDescent="0.2">
      <c r="CU618" s="154"/>
    </row>
    <row r="619" spans="99:99" ht="14.25" customHeight="1" x14ac:dyDescent="0.2">
      <c r="CU619" s="154"/>
    </row>
    <row r="620" spans="99:99" ht="14.25" customHeight="1" x14ac:dyDescent="0.2">
      <c r="CU620" s="154"/>
    </row>
    <row r="621" spans="99:99" ht="14.25" customHeight="1" x14ac:dyDescent="0.2">
      <c r="CU621" s="154"/>
    </row>
    <row r="622" spans="99:99" ht="14.25" customHeight="1" x14ac:dyDescent="0.2">
      <c r="CU622" s="154"/>
    </row>
    <row r="623" spans="99:99" ht="14.25" customHeight="1" x14ac:dyDescent="0.2">
      <c r="CU623" s="154"/>
    </row>
    <row r="624" spans="99:99" ht="14.25" customHeight="1" x14ac:dyDescent="0.2">
      <c r="CU624" s="154"/>
    </row>
    <row r="625" spans="99:99" ht="14.25" customHeight="1" x14ac:dyDescent="0.2">
      <c r="CU625" s="154"/>
    </row>
    <row r="626" spans="99:99" ht="14.25" customHeight="1" x14ac:dyDescent="0.2">
      <c r="CU626" s="154"/>
    </row>
    <row r="627" spans="99:99" ht="14.25" customHeight="1" x14ac:dyDescent="0.2">
      <c r="CU627" s="154"/>
    </row>
    <row r="628" spans="99:99" ht="14.25" customHeight="1" x14ac:dyDescent="0.2">
      <c r="CU628" s="154"/>
    </row>
    <row r="629" spans="99:99" ht="14.25" customHeight="1" x14ac:dyDescent="0.2">
      <c r="CU629" s="154"/>
    </row>
    <row r="630" spans="99:99" ht="14.25" customHeight="1" x14ac:dyDescent="0.2">
      <c r="CU630" s="154"/>
    </row>
    <row r="631" spans="99:99" ht="14.25" customHeight="1" x14ac:dyDescent="0.2">
      <c r="CU631" s="154"/>
    </row>
    <row r="632" spans="99:99" ht="14.25" customHeight="1" x14ac:dyDescent="0.2">
      <c r="CU632" s="154"/>
    </row>
    <row r="633" spans="99:99" ht="14.25" customHeight="1" x14ac:dyDescent="0.2">
      <c r="CU633" s="154"/>
    </row>
    <row r="634" spans="99:99" ht="14.25" customHeight="1" x14ac:dyDescent="0.2">
      <c r="CU634" s="154"/>
    </row>
    <row r="635" spans="99:99" ht="14.25" customHeight="1" x14ac:dyDescent="0.2">
      <c r="CU635" s="154"/>
    </row>
    <row r="636" spans="99:99" ht="14.25" customHeight="1" x14ac:dyDescent="0.2">
      <c r="CU636" s="154"/>
    </row>
    <row r="637" spans="99:99" ht="14.25" customHeight="1" x14ac:dyDescent="0.2">
      <c r="CU637" s="154"/>
    </row>
    <row r="638" spans="99:99" ht="14.25" customHeight="1" x14ac:dyDescent="0.2">
      <c r="CU638" s="154"/>
    </row>
    <row r="639" spans="99:99" ht="14.25" customHeight="1" x14ac:dyDescent="0.2">
      <c r="CU639" s="154"/>
    </row>
    <row r="640" spans="99:99" ht="14.25" customHeight="1" x14ac:dyDescent="0.2">
      <c r="CU640" s="154"/>
    </row>
    <row r="641" spans="99:99" ht="14.25" customHeight="1" x14ac:dyDescent="0.2">
      <c r="CU641" s="154"/>
    </row>
    <row r="642" spans="99:99" ht="14.25" customHeight="1" x14ac:dyDescent="0.2">
      <c r="CU642" s="154"/>
    </row>
    <row r="643" spans="99:99" ht="14.25" customHeight="1" x14ac:dyDescent="0.2">
      <c r="CU643" s="154"/>
    </row>
    <row r="644" spans="99:99" ht="14.25" customHeight="1" x14ac:dyDescent="0.2">
      <c r="CU644" s="154"/>
    </row>
    <row r="645" spans="99:99" ht="14.25" customHeight="1" x14ac:dyDescent="0.2">
      <c r="CU645" s="154"/>
    </row>
    <row r="646" spans="99:99" ht="14.25" customHeight="1" x14ac:dyDescent="0.2">
      <c r="CU646" s="154"/>
    </row>
    <row r="647" spans="99:99" ht="14.25" customHeight="1" x14ac:dyDescent="0.2">
      <c r="CU647" s="154"/>
    </row>
    <row r="648" spans="99:99" ht="14.25" customHeight="1" x14ac:dyDescent="0.2">
      <c r="CU648" s="154"/>
    </row>
    <row r="649" spans="99:99" ht="14.25" customHeight="1" x14ac:dyDescent="0.2">
      <c r="CU649" s="154"/>
    </row>
    <row r="650" spans="99:99" ht="14.25" customHeight="1" x14ac:dyDescent="0.2">
      <c r="CU650" s="154"/>
    </row>
    <row r="651" spans="99:99" ht="14.25" customHeight="1" x14ac:dyDescent="0.2">
      <c r="CU651" s="154"/>
    </row>
    <row r="652" spans="99:99" ht="14.25" customHeight="1" x14ac:dyDescent="0.2">
      <c r="CU652" s="154"/>
    </row>
    <row r="653" spans="99:99" ht="14.25" customHeight="1" x14ac:dyDescent="0.2">
      <c r="CU653" s="154"/>
    </row>
    <row r="654" spans="99:99" ht="14.25" customHeight="1" x14ac:dyDescent="0.2">
      <c r="CU654" s="154"/>
    </row>
    <row r="655" spans="99:99" ht="14.25" customHeight="1" x14ac:dyDescent="0.2">
      <c r="CU655" s="154"/>
    </row>
    <row r="656" spans="99:99" ht="14.25" customHeight="1" x14ac:dyDescent="0.2">
      <c r="CU656" s="154"/>
    </row>
    <row r="657" spans="99:99" ht="14.25" customHeight="1" x14ac:dyDescent="0.2">
      <c r="CU657" s="154"/>
    </row>
    <row r="658" spans="99:99" ht="14.25" customHeight="1" x14ac:dyDescent="0.2">
      <c r="CU658" s="154"/>
    </row>
    <row r="659" spans="99:99" ht="14.25" customHeight="1" x14ac:dyDescent="0.2">
      <c r="CU659" s="154"/>
    </row>
    <row r="660" spans="99:99" ht="14.25" customHeight="1" x14ac:dyDescent="0.2">
      <c r="CU660" s="154"/>
    </row>
    <row r="661" spans="99:99" ht="14.25" customHeight="1" x14ac:dyDescent="0.2">
      <c r="CU661" s="154"/>
    </row>
    <row r="662" spans="99:99" ht="14.25" customHeight="1" x14ac:dyDescent="0.2">
      <c r="CU662" s="154"/>
    </row>
    <row r="663" spans="99:99" ht="14.25" customHeight="1" x14ac:dyDescent="0.2">
      <c r="CU663" s="154"/>
    </row>
    <row r="664" spans="99:99" ht="14.25" customHeight="1" x14ac:dyDescent="0.2">
      <c r="CU664" s="154"/>
    </row>
    <row r="665" spans="99:99" ht="14.25" customHeight="1" x14ac:dyDescent="0.2">
      <c r="CU665" s="154"/>
    </row>
    <row r="666" spans="99:99" ht="14.25" customHeight="1" x14ac:dyDescent="0.2">
      <c r="CU666" s="154"/>
    </row>
    <row r="667" spans="99:99" ht="14.25" customHeight="1" x14ac:dyDescent="0.2">
      <c r="CU667" s="154"/>
    </row>
    <row r="668" spans="99:99" ht="14.25" customHeight="1" x14ac:dyDescent="0.2">
      <c r="CU668" s="154"/>
    </row>
    <row r="669" spans="99:99" ht="14.25" customHeight="1" x14ac:dyDescent="0.2">
      <c r="CU669" s="154"/>
    </row>
    <row r="670" spans="99:99" ht="14.25" customHeight="1" x14ac:dyDescent="0.2">
      <c r="CU670" s="154"/>
    </row>
    <row r="671" spans="99:99" ht="14.25" customHeight="1" x14ac:dyDescent="0.2">
      <c r="CU671" s="154"/>
    </row>
    <row r="672" spans="99:99" ht="14.25" customHeight="1" x14ac:dyDescent="0.2">
      <c r="CU672" s="154"/>
    </row>
    <row r="673" spans="99:99" ht="14.25" customHeight="1" x14ac:dyDescent="0.2">
      <c r="CU673" s="154"/>
    </row>
    <row r="674" spans="99:99" ht="14.25" customHeight="1" x14ac:dyDescent="0.2">
      <c r="CU674" s="154"/>
    </row>
    <row r="675" spans="99:99" ht="14.25" customHeight="1" x14ac:dyDescent="0.2">
      <c r="CU675" s="154"/>
    </row>
    <row r="676" spans="99:99" ht="14.25" customHeight="1" x14ac:dyDescent="0.2">
      <c r="CU676" s="154"/>
    </row>
    <row r="677" spans="99:99" ht="14.25" customHeight="1" x14ac:dyDescent="0.2">
      <c r="CU677" s="154"/>
    </row>
    <row r="678" spans="99:99" ht="14.25" customHeight="1" x14ac:dyDescent="0.2">
      <c r="CU678" s="154"/>
    </row>
    <row r="679" spans="99:99" ht="14.25" customHeight="1" x14ac:dyDescent="0.2">
      <c r="CU679" s="154"/>
    </row>
    <row r="680" spans="99:99" ht="14.25" customHeight="1" x14ac:dyDescent="0.2">
      <c r="CU680" s="154"/>
    </row>
    <row r="681" spans="99:99" ht="14.25" customHeight="1" x14ac:dyDescent="0.2">
      <c r="CU681" s="154"/>
    </row>
    <row r="682" spans="99:99" ht="14.25" customHeight="1" x14ac:dyDescent="0.2">
      <c r="CU682" s="154"/>
    </row>
    <row r="683" spans="99:99" ht="14.25" customHeight="1" x14ac:dyDescent="0.2">
      <c r="CU683" s="154"/>
    </row>
    <row r="684" spans="99:99" ht="14.25" customHeight="1" x14ac:dyDescent="0.2">
      <c r="CU684" s="154"/>
    </row>
    <row r="685" spans="99:99" ht="14.25" customHeight="1" x14ac:dyDescent="0.2">
      <c r="CU685" s="154"/>
    </row>
    <row r="686" spans="99:99" ht="14.25" customHeight="1" x14ac:dyDescent="0.2">
      <c r="CU686" s="154"/>
    </row>
    <row r="687" spans="99:99" ht="14.25" customHeight="1" x14ac:dyDescent="0.2">
      <c r="CU687" s="154"/>
    </row>
    <row r="688" spans="99:99" ht="14.25" customHeight="1" x14ac:dyDescent="0.2">
      <c r="CU688" s="154"/>
    </row>
    <row r="689" spans="99:99" ht="14.25" customHeight="1" x14ac:dyDescent="0.2">
      <c r="CU689" s="154"/>
    </row>
    <row r="690" spans="99:99" ht="14.25" customHeight="1" x14ac:dyDescent="0.2">
      <c r="CU690" s="154"/>
    </row>
    <row r="691" spans="99:99" ht="14.25" customHeight="1" x14ac:dyDescent="0.2">
      <c r="CU691" s="154"/>
    </row>
    <row r="692" spans="99:99" ht="14.25" customHeight="1" x14ac:dyDescent="0.2">
      <c r="CU692" s="154"/>
    </row>
    <row r="693" spans="99:99" ht="14.25" customHeight="1" x14ac:dyDescent="0.2">
      <c r="CU693" s="154"/>
    </row>
    <row r="694" spans="99:99" ht="14.25" customHeight="1" x14ac:dyDescent="0.2">
      <c r="CU694" s="154"/>
    </row>
    <row r="695" spans="99:99" ht="14.25" customHeight="1" x14ac:dyDescent="0.2">
      <c r="CU695" s="154"/>
    </row>
    <row r="696" spans="99:99" ht="14.25" customHeight="1" x14ac:dyDescent="0.2">
      <c r="CU696" s="154"/>
    </row>
    <row r="697" spans="99:99" ht="14.25" customHeight="1" x14ac:dyDescent="0.2">
      <c r="CU697" s="154"/>
    </row>
    <row r="698" spans="99:99" ht="14.25" customHeight="1" x14ac:dyDescent="0.2">
      <c r="CU698" s="154"/>
    </row>
    <row r="699" spans="99:99" ht="14.25" customHeight="1" x14ac:dyDescent="0.2">
      <c r="CU699" s="154"/>
    </row>
    <row r="700" spans="99:99" ht="14.25" customHeight="1" x14ac:dyDescent="0.2">
      <c r="CU700" s="154"/>
    </row>
    <row r="701" spans="99:99" ht="14.25" customHeight="1" x14ac:dyDescent="0.2">
      <c r="CU701" s="154"/>
    </row>
    <row r="702" spans="99:99" ht="14.25" customHeight="1" x14ac:dyDescent="0.2">
      <c r="CU702" s="154"/>
    </row>
    <row r="703" spans="99:99" ht="14.25" customHeight="1" x14ac:dyDescent="0.2">
      <c r="CU703" s="154"/>
    </row>
    <row r="704" spans="99:99" ht="14.25" customHeight="1" x14ac:dyDescent="0.2">
      <c r="CU704" s="154"/>
    </row>
    <row r="705" spans="99:99" ht="14.25" customHeight="1" x14ac:dyDescent="0.2">
      <c r="CU705" s="154"/>
    </row>
    <row r="706" spans="99:99" ht="14.25" customHeight="1" x14ac:dyDescent="0.2">
      <c r="CU706" s="154"/>
    </row>
    <row r="707" spans="99:99" ht="14.25" customHeight="1" x14ac:dyDescent="0.2">
      <c r="CU707" s="154"/>
    </row>
    <row r="708" spans="99:99" ht="14.25" customHeight="1" x14ac:dyDescent="0.2">
      <c r="CU708" s="154"/>
    </row>
    <row r="709" spans="99:99" ht="14.25" customHeight="1" x14ac:dyDescent="0.2">
      <c r="CU709" s="154"/>
    </row>
    <row r="710" spans="99:99" ht="14.25" customHeight="1" x14ac:dyDescent="0.2">
      <c r="CU710" s="154"/>
    </row>
    <row r="711" spans="99:99" ht="14.25" customHeight="1" x14ac:dyDescent="0.2">
      <c r="CU711" s="154"/>
    </row>
    <row r="712" spans="99:99" ht="14.25" customHeight="1" x14ac:dyDescent="0.2">
      <c r="CU712" s="154"/>
    </row>
    <row r="713" spans="99:99" ht="14.25" customHeight="1" x14ac:dyDescent="0.2">
      <c r="CU713" s="154"/>
    </row>
    <row r="714" spans="99:99" ht="14.25" customHeight="1" x14ac:dyDescent="0.2">
      <c r="CU714" s="154"/>
    </row>
    <row r="715" spans="99:99" ht="14.25" customHeight="1" x14ac:dyDescent="0.2">
      <c r="CU715" s="154"/>
    </row>
    <row r="716" spans="99:99" ht="14.25" customHeight="1" x14ac:dyDescent="0.2">
      <c r="CU716" s="154"/>
    </row>
    <row r="717" spans="99:99" ht="14.25" customHeight="1" x14ac:dyDescent="0.2">
      <c r="CU717" s="154"/>
    </row>
    <row r="718" spans="99:99" ht="14.25" customHeight="1" x14ac:dyDescent="0.2">
      <c r="CU718" s="154"/>
    </row>
    <row r="719" spans="99:99" ht="14.25" customHeight="1" x14ac:dyDescent="0.2">
      <c r="CU719" s="154"/>
    </row>
    <row r="720" spans="99:99" ht="14.25" customHeight="1" x14ac:dyDescent="0.2">
      <c r="CU720" s="154"/>
    </row>
    <row r="721" spans="99:99" ht="14.25" customHeight="1" x14ac:dyDescent="0.2">
      <c r="CU721" s="154"/>
    </row>
    <row r="722" spans="99:99" ht="14.25" customHeight="1" x14ac:dyDescent="0.2">
      <c r="CU722" s="154"/>
    </row>
    <row r="723" spans="99:99" ht="14.25" customHeight="1" x14ac:dyDescent="0.2">
      <c r="CU723" s="154"/>
    </row>
    <row r="724" spans="99:99" ht="14.25" customHeight="1" x14ac:dyDescent="0.2">
      <c r="CU724" s="154"/>
    </row>
    <row r="725" spans="99:99" ht="14.25" customHeight="1" x14ac:dyDescent="0.2">
      <c r="CU725" s="154"/>
    </row>
    <row r="726" spans="99:99" ht="14.25" customHeight="1" x14ac:dyDescent="0.2">
      <c r="CU726" s="154"/>
    </row>
    <row r="727" spans="99:99" ht="14.25" customHeight="1" x14ac:dyDescent="0.2">
      <c r="CU727" s="154"/>
    </row>
    <row r="728" spans="99:99" ht="14.25" customHeight="1" x14ac:dyDescent="0.2">
      <c r="CU728" s="154"/>
    </row>
    <row r="729" spans="99:99" ht="14.25" customHeight="1" x14ac:dyDescent="0.2">
      <c r="CU729" s="154"/>
    </row>
    <row r="730" spans="99:99" ht="14.25" customHeight="1" x14ac:dyDescent="0.2">
      <c r="CU730" s="154"/>
    </row>
    <row r="731" spans="99:99" ht="14.25" customHeight="1" x14ac:dyDescent="0.2">
      <c r="CU731" s="154"/>
    </row>
    <row r="732" spans="99:99" ht="14.25" customHeight="1" x14ac:dyDescent="0.2">
      <c r="CU732" s="154"/>
    </row>
    <row r="733" spans="99:99" ht="14.25" customHeight="1" x14ac:dyDescent="0.2">
      <c r="CU733" s="154"/>
    </row>
    <row r="734" spans="99:99" ht="14.25" customHeight="1" x14ac:dyDescent="0.2">
      <c r="CU734" s="154"/>
    </row>
    <row r="735" spans="99:99" ht="14.25" customHeight="1" x14ac:dyDescent="0.2">
      <c r="CU735" s="154"/>
    </row>
    <row r="736" spans="99:99" ht="14.25" customHeight="1" x14ac:dyDescent="0.2">
      <c r="CU736" s="154"/>
    </row>
    <row r="737" spans="99:99" ht="14.25" customHeight="1" x14ac:dyDescent="0.2">
      <c r="CU737" s="154"/>
    </row>
    <row r="738" spans="99:99" ht="14.25" customHeight="1" x14ac:dyDescent="0.2">
      <c r="CU738" s="154"/>
    </row>
    <row r="739" spans="99:99" ht="14.25" customHeight="1" x14ac:dyDescent="0.2">
      <c r="CU739" s="154"/>
    </row>
    <row r="740" spans="99:99" ht="14.25" customHeight="1" x14ac:dyDescent="0.2">
      <c r="CU740" s="154"/>
    </row>
    <row r="741" spans="99:99" ht="14.25" customHeight="1" x14ac:dyDescent="0.2">
      <c r="CU741" s="154"/>
    </row>
    <row r="742" spans="99:99" ht="14.25" customHeight="1" x14ac:dyDescent="0.2">
      <c r="CU742" s="154"/>
    </row>
    <row r="743" spans="99:99" ht="14.25" customHeight="1" x14ac:dyDescent="0.2">
      <c r="CU743" s="154"/>
    </row>
    <row r="744" spans="99:99" ht="14.25" customHeight="1" x14ac:dyDescent="0.2">
      <c r="CU744" s="154"/>
    </row>
    <row r="745" spans="99:99" ht="14.25" customHeight="1" x14ac:dyDescent="0.2">
      <c r="CU745" s="154"/>
    </row>
    <row r="746" spans="99:99" ht="14.25" customHeight="1" x14ac:dyDescent="0.2">
      <c r="CU746" s="154"/>
    </row>
    <row r="747" spans="99:99" ht="14.25" customHeight="1" x14ac:dyDescent="0.2">
      <c r="CU747" s="154"/>
    </row>
    <row r="748" spans="99:99" ht="14.25" customHeight="1" x14ac:dyDescent="0.2">
      <c r="CU748" s="154"/>
    </row>
    <row r="749" spans="99:99" ht="14.25" customHeight="1" x14ac:dyDescent="0.2">
      <c r="CU749" s="154"/>
    </row>
    <row r="750" spans="99:99" ht="14.25" customHeight="1" x14ac:dyDescent="0.2">
      <c r="CU750" s="154"/>
    </row>
    <row r="751" spans="99:99" ht="14.25" customHeight="1" x14ac:dyDescent="0.2">
      <c r="CU751" s="154"/>
    </row>
    <row r="752" spans="99:99" ht="14.25" customHeight="1" x14ac:dyDescent="0.2">
      <c r="CU752" s="154"/>
    </row>
    <row r="753" spans="99:99" ht="14.25" customHeight="1" x14ac:dyDescent="0.2">
      <c r="CU753" s="154"/>
    </row>
    <row r="754" spans="99:99" ht="14.25" customHeight="1" x14ac:dyDescent="0.2">
      <c r="CU754" s="154"/>
    </row>
    <row r="755" spans="99:99" ht="14.25" customHeight="1" x14ac:dyDescent="0.2">
      <c r="CU755" s="154"/>
    </row>
    <row r="756" spans="99:99" ht="14.25" customHeight="1" x14ac:dyDescent="0.2">
      <c r="CU756" s="154"/>
    </row>
    <row r="757" spans="99:99" ht="14.25" customHeight="1" x14ac:dyDescent="0.2">
      <c r="CU757" s="154"/>
    </row>
    <row r="758" spans="99:99" ht="14.25" customHeight="1" x14ac:dyDescent="0.2">
      <c r="CU758" s="154"/>
    </row>
    <row r="759" spans="99:99" ht="14.25" customHeight="1" x14ac:dyDescent="0.2">
      <c r="CU759" s="154"/>
    </row>
    <row r="760" spans="99:99" ht="14.25" customHeight="1" x14ac:dyDescent="0.2">
      <c r="CU760" s="154"/>
    </row>
    <row r="761" spans="99:99" ht="14.25" customHeight="1" x14ac:dyDescent="0.2">
      <c r="CU761" s="154"/>
    </row>
    <row r="762" spans="99:99" ht="14.25" customHeight="1" x14ac:dyDescent="0.2">
      <c r="CU762" s="154"/>
    </row>
    <row r="763" spans="99:99" ht="14.25" customHeight="1" x14ac:dyDescent="0.2">
      <c r="CU763" s="154"/>
    </row>
    <row r="764" spans="99:99" ht="14.25" customHeight="1" x14ac:dyDescent="0.2">
      <c r="CU764" s="154"/>
    </row>
    <row r="765" spans="99:99" ht="14.25" customHeight="1" x14ac:dyDescent="0.2">
      <c r="CU765" s="154"/>
    </row>
    <row r="766" spans="99:99" ht="14.25" customHeight="1" x14ac:dyDescent="0.2">
      <c r="CU766" s="154"/>
    </row>
    <row r="767" spans="99:99" ht="14.25" customHeight="1" x14ac:dyDescent="0.2">
      <c r="CU767" s="154"/>
    </row>
    <row r="768" spans="99:99" ht="14.25" customHeight="1" x14ac:dyDescent="0.2">
      <c r="CU768" s="154"/>
    </row>
    <row r="769" spans="99:99" ht="14.25" customHeight="1" x14ac:dyDescent="0.2">
      <c r="CU769" s="154"/>
    </row>
    <row r="770" spans="99:99" ht="14.25" customHeight="1" x14ac:dyDescent="0.2">
      <c r="CU770" s="154"/>
    </row>
    <row r="771" spans="99:99" ht="14.25" customHeight="1" x14ac:dyDescent="0.2">
      <c r="CU771" s="154"/>
    </row>
    <row r="772" spans="99:99" ht="14.25" customHeight="1" x14ac:dyDescent="0.2">
      <c r="CU772" s="154"/>
    </row>
    <row r="773" spans="99:99" ht="14.25" customHeight="1" x14ac:dyDescent="0.2">
      <c r="CU773" s="154"/>
    </row>
    <row r="774" spans="99:99" ht="14.25" customHeight="1" x14ac:dyDescent="0.2">
      <c r="CU774" s="154"/>
    </row>
    <row r="775" spans="99:99" ht="14.25" customHeight="1" x14ac:dyDescent="0.2">
      <c r="CU775" s="154"/>
    </row>
    <row r="776" spans="99:99" ht="14.25" customHeight="1" x14ac:dyDescent="0.2">
      <c r="CU776" s="154"/>
    </row>
    <row r="777" spans="99:99" ht="14.25" customHeight="1" x14ac:dyDescent="0.2">
      <c r="CU777" s="154"/>
    </row>
    <row r="778" spans="99:99" ht="14.25" customHeight="1" x14ac:dyDescent="0.2">
      <c r="CU778" s="154"/>
    </row>
    <row r="779" spans="99:99" ht="14.25" customHeight="1" x14ac:dyDescent="0.2">
      <c r="CU779" s="154"/>
    </row>
    <row r="780" spans="99:99" ht="14.25" customHeight="1" x14ac:dyDescent="0.2">
      <c r="CU780" s="154"/>
    </row>
    <row r="781" spans="99:99" ht="14.25" customHeight="1" x14ac:dyDescent="0.2">
      <c r="CU781" s="154"/>
    </row>
    <row r="782" spans="99:99" ht="14.25" customHeight="1" x14ac:dyDescent="0.2">
      <c r="CU782" s="154"/>
    </row>
    <row r="783" spans="99:99" ht="14.25" customHeight="1" x14ac:dyDescent="0.2">
      <c r="CU783" s="154"/>
    </row>
    <row r="784" spans="99:99" ht="14.25" customHeight="1" x14ac:dyDescent="0.2">
      <c r="CU784" s="154"/>
    </row>
    <row r="785" spans="99:99" ht="14.25" customHeight="1" x14ac:dyDescent="0.2">
      <c r="CU785" s="154"/>
    </row>
    <row r="786" spans="99:99" ht="14.25" customHeight="1" x14ac:dyDescent="0.2">
      <c r="CU786" s="154"/>
    </row>
    <row r="787" spans="99:99" ht="14.25" customHeight="1" x14ac:dyDescent="0.2">
      <c r="CU787" s="154"/>
    </row>
    <row r="788" spans="99:99" ht="14.25" customHeight="1" x14ac:dyDescent="0.2">
      <c r="CU788" s="154"/>
    </row>
    <row r="789" spans="99:99" ht="14.25" customHeight="1" x14ac:dyDescent="0.2">
      <c r="CU789" s="154"/>
    </row>
    <row r="790" spans="99:99" ht="14.25" customHeight="1" x14ac:dyDescent="0.2">
      <c r="CU790" s="154"/>
    </row>
    <row r="791" spans="99:99" ht="14.25" customHeight="1" x14ac:dyDescent="0.2">
      <c r="CU791" s="154"/>
    </row>
    <row r="792" spans="99:99" ht="14.25" customHeight="1" x14ac:dyDescent="0.2">
      <c r="CU792" s="154"/>
    </row>
    <row r="793" spans="99:99" ht="14.25" customHeight="1" x14ac:dyDescent="0.2">
      <c r="CU793" s="154"/>
    </row>
    <row r="794" spans="99:99" ht="14.25" customHeight="1" x14ac:dyDescent="0.2">
      <c r="CU794" s="154"/>
    </row>
    <row r="795" spans="99:99" ht="14.25" customHeight="1" x14ac:dyDescent="0.2">
      <c r="CU795" s="154"/>
    </row>
    <row r="796" spans="99:99" ht="14.25" customHeight="1" x14ac:dyDescent="0.2">
      <c r="CU796" s="154"/>
    </row>
    <row r="797" spans="99:99" ht="14.25" customHeight="1" x14ac:dyDescent="0.2">
      <c r="CU797" s="154"/>
    </row>
    <row r="798" spans="99:99" ht="14.25" customHeight="1" x14ac:dyDescent="0.2">
      <c r="CU798" s="154"/>
    </row>
    <row r="799" spans="99:99" ht="14.25" customHeight="1" x14ac:dyDescent="0.2">
      <c r="CU799" s="154"/>
    </row>
    <row r="800" spans="99:99" ht="14.25" customHeight="1" x14ac:dyDescent="0.2">
      <c r="CU800" s="154"/>
    </row>
    <row r="801" spans="99:99" ht="14.25" customHeight="1" x14ac:dyDescent="0.2">
      <c r="CU801" s="154"/>
    </row>
    <row r="802" spans="99:99" ht="14.25" customHeight="1" x14ac:dyDescent="0.2">
      <c r="CU802" s="154"/>
    </row>
    <row r="803" spans="99:99" ht="14.25" customHeight="1" x14ac:dyDescent="0.2">
      <c r="CU803" s="154"/>
    </row>
    <row r="804" spans="99:99" ht="14.25" customHeight="1" x14ac:dyDescent="0.2">
      <c r="CU804" s="154"/>
    </row>
    <row r="805" spans="99:99" ht="14.25" customHeight="1" x14ac:dyDescent="0.2">
      <c r="CU805" s="154"/>
    </row>
    <row r="806" spans="99:99" ht="14.25" customHeight="1" x14ac:dyDescent="0.2">
      <c r="CU806" s="154"/>
    </row>
    <row r="807" spans="99:99" ht="14.25" customHeight="1" x14ac:dyDescent="0.2">
      <c r="CU807" s="154"/>
    </row>
    <row r="808" spans="99:99" ht="14.25" customHeight="1" x14ac:dyDescent="0.2">
      <c r="CU808" s="154"/>
    </row>
    <row r="809" spans="99:99" ht="14.25" customHeight="1" x14ac:dyDescent="0.2">
      <c r="CU809" s="154"/>
    </row>
    <row r="810" spans="99:99" ht="14.25" customHeight="1" x14ac:dyDescent="0.2">
      <c r="CU810" s="154"/>
    </row>
    <row r="811" spans="99:99" ht="14.25" customHeight="1" x14ac:dyDescent="0.2">
      <c r="CU811" s="154"/>
    </row>
    <row r="812" spans="99:99" ht="14.25" customHeight="1" x14ac:dyDescent="0.2">
      <c r="CU812" s="154"/>
    </row>
    <row r="813" spans="99:99" ht="14.25" customHeight="1" x14ac:dyDescent="0.2">
      <c r="CU813" s="154"/>
    </row>
    <row r="814" spans="99:99" ht="14.25" customHeight="1" x14ac:dyDescent="0.2">
      <c r="CU814" s="154"/>
    </row>
    <row r="815" spans="99:99" ht="14.25" customHeight="1" x14ac:dyDescent="0.2">
      <c r="CU815" s="154"/>
    </row>
    <row r="816" spans="99:99" ht="14.25" customHeight="1" x14ac:dyDescent="0.2">
      <c r="CU816" s="154"/>
    </row>
    <row r="817" spans="99:99" ht="14.25" customHeight="1" x14ac:dyDescent="0.2">
      <c r="CU817" s="154"/>
    </row>
    <row r="818" spans="99:99" ht="14.25" customHeight="1" x14ac:dyDescent="0.2">
      <c r="CU818" s="154"/>
    </row>
    <row r="819" spans="99:99" ht="14.25" customHeight="1" x14ac:dyDescent="0.2">
      <c r="CU819" s="154"/>
    </row>
    <row r="820" spans="99:99" ht="14.25" customHeight="1" x14ac:dyDescent="0.2">
      <c r="CU820" s="154"/>
    </row>
    <row r="821" spans="99:99" ht="14.25" customHeight="1" x14ac:dyDescent="0.2">
      <c r="CU821" s="154"/>
    </row>
    <row r="822" spans="99:99" ht="14.25" customHeight="1" x14ac:dyDescent="0.2">
      <c r="CU822" s="154"/>
    </row>
    <row r="823" spans="99:99" ht="14.25" customHeight="1" x14ac:dyDescent="0.2">
      <c r="CU823" s="154"/>
    </row>
    <row r="824" spans="99:99" ht="14.25" customHeight="1" x14ac:dyDescent="0.2">
      <c r="CU824" s="154"/>
    </row>
    <row r="825" spans="99:99" ht="14.25" customHeight="1" x14ac:dyDescent="0.2">
      <c r="CU825" s="154"/>
    </row>
    <row r="826" spans="99:99" ht="14.25" customHeight="1" x14ac:dyDescent="0.2">
      <c r="CU826" s="154"/>
    </row>
    <row r="827" spans="99:99" ht="14.25" customHeight="1" x14ac:dyDescent="0.2">
      <c r="CU827" s="154"/>
    </row>
    <row r="828" spans="99:99" ht="14.25" customHeight="1" x14ac:dyDescent="0.2">
      <c r="CU828" s="154"/>
    </row>
    <row r="829" spans="99:99" ht="14.25" customHeight="1" x14ac:dyDescent="0.2">
      <c r="CU829" s="154"/>
    </row>
    <row r="830" spans="99:99" ht="14.25" customHeight="1" x14ac:dyDescent="0.2">
      <c r="CU830" s="154"/>
    </row>
    <row r="831" spans="99:99" ht="14.25" customHeight="1" x14ac:dyDescent="0.2">
      <c r="CU831" s="154"/>
    </row>
    <row r="832" spans="99:99" ht="14.25" customHeight="1" x14ac:dyDescent="0.2">
      <c r="CU832" s="154"/>
    </row>
    <row r="833" spans="99:99" ht="14.25" customHeight="1" x14ac:dyDescent="0.2">
      <c r="CU833" s="154"/>
    </row>
    <row r="834" spans="99:99" ht="14.25" customHeight="1" x14ac:dyDescent="0.2">
      <c r="CU834" s="154"/>
    </row>
    <row r="835" spans="99:99" ht="14.25" customHeight="1" x14ac:dyDescent="0.2">
      <c r="CU835" s="154"/>
    </row>
    <row r="836" spans="99:99" ht="14.25" customHeight="1" x14ac:dyDescent="0.2">
      <c r="CU836" s="154"/>
    </row>
    <row r="837" spans="99:99" ht="14.25" customHeight="1" x14ac:dyDescent="0.2">
      <c r="CU837" s="154"/>
    </row>
    <row r="838" spans="99:99" ht="14.25" customHeight="1" x14ac:dyDescent="0.2">
      <c r="CU838" s="154"/>
    </row>
    <row r="839" spans="99:99" ht="14.25" customHeight="1" x14ac:dyDescent="0.2">
      <c r="CU839" s="154"/>
    </row>
    <row r="840" spans="99:99" ht="14.25" customHeight="1" x14ac:dyDescent="0.2">
      <c r="CU840" s="154"/>
    </row>
    <row r="841" spans="99:99" ht="14.25" customHeight="1" x14ac:dyDescent="0.2">
      <c r="CU841" s="154"/>
    </row>
    <row r="842" spans="99:99" ht="14.25" customHeight="1" x14ac:dyDescent="0.2">
      <c r="CU842" s="154"/>
    </row>
    <row r="843" spans="99:99" ht="14.25" customHeight="1" x14ac:dyDescent="0.2">
      <c r="CU843" s="154"/>
    </row>
    <row r="844" spans="99:99" ht="14.25" customHeight="1" x14ac:dyDescent="0.2">
      <c r="CU844" s="154"/>
    </row>
    <row r="845" spans="99:99" ht="14.25" customHeight="1" x14ac:dyDescent="0.2">
      <c r="CU845" s="154"/>
    </row>
    <row r="846" spans="99:99" ht="14.25" customHeight="1" x14ac:dyDescent="0.2">
      <c r="CU846" s="154"/>
    </row>
    <row r="847" spans="99:99" ht="14.25" customHeight="1" x14ac:dyDescent="0.2">
      <c r="CU847" s="154"/>
    </row>
    <row r="848" spans="99:99" ht="14.25" customHeight="1" x14ac:dyDescent="0.2">
      <c r="CU848" s="154"/>
    </row>
    <row r="849" spans="99:99" ht="14.25" customHeight="1" x14ac:dyDescent="0.2">
      <c r="CU849" s="154"/>
    </row>
    <row r="850" spans="99:99" ht="14.25" customHeight="1" x14ac:dyDescent="0.2">
      <c r="CU850" s="154"/>
    </row>
    <row r="851" spans="99:99" ht="14.25" customHeight="1" x14ac:dyDescent="0.2">
      <c r="CU851" s="154"/>
    </row>
    <row r="852" spans="99:99" ht="14.25" customHeight="1" x14ac:dyDescent="0.2">
      <c r="CU852" s="154"/>
    </row>
    <row r="853" spans="99:99" ht="14.25" customHeight="1" x14ac:dyDescent="0.2">
      <c r="CU853" s="154"/>
    </row>
    <row r="854" spans="99:99" ht="14.25" customHeight="1" x14ac:dyDescent="0.2">
      <c r="CU854" s="154"/>
    </row>
    <row r="855" spans="99:99" ht="14.25" customHeight="1" x14ac:dyDescent="0.2">
      <c r="CU855" s="154"/>
    </row>
    <row r="856" spans="99:99" ht="14.25" customHeight="1" x14ac:dyDescent="0.2">
      <c r="CU856" s="154"/>
    </row>
    <row r="857" spans="99:99" ht="14.25" customHeight="1" x14ac:dyDescent="0.2">
      <c r="CU857" s="154"/>
    </row>
    <row r="858" spans="99:99" ht="14.25" customHeight="1" x14ac:dyDescent="0.2">
      <c r="CU858" s="154"/>
    </row>
    <row r="859" spans="99:99" ht="14.25" customHeight="1" x14ac:dyDescent="0.2">
      <c r="CU859" s="154"/>
    </row>
    <row r="860" spans="99:99" ht="14.25" customHeight="1" x14ac:dyDescent="0.2">
      <c r="CU860" s="154"/>
    </row>
    <row r="861" spans="99:99" ht="14.25" customHeight="1" x14ac:dyDescent="0.2">
      <c r="CU861" s="154"/>
    </row>
    <row r="862" spans="99:99" ht="14.25" customHeight="1" x14ac:dyDescent="0.2">
      <c r="CU862" s="154"/>
    </row>
    <row r="863" spans="99:99" ht="14.25" customHeight="1" x14ac:dyDescent="0.2">
      <c r="CU863" s="154"/>
    </row>
    <row r="864" spans="99:99" ht="14.25" customHeight="1" x14ac:dyDescent="0.2">
      <c r="CU864" s="154"/>
    </row>
    <row r="865" spans="99:99" ht="14.25" customHeight="1" x14ac:dyDescent="0.2">
      <c r="CU865" s="154"/>
    </row>
    <row r="866" spans="99:99" ht="14.25" customHeight="1" x14ac:dyDescent="0.2">
      <c r="CU866" s="154"/>
    </row>
    <row r="867" spans="99:99" ht="14.25" customHeight="1" x14ac:dyDescent="0.2">
      <c r="CU867" s="154"/>
    </row>
    <row r="868" spans="99:99" ht="14.25" customHeight="1" x14ac:dyDescent="0.2">
      <c r="CU868" s="154"/>
    </row>
    <row r="869" spans="99:99" ht="14.25" customHeight="1" x14ac:dyDescent="0.2">
      <c r="CU869" s="154"/>
    </row>
    <row r="870" spans="99:99" ht="14.25" customHeight="1" x14ac:dyDescent="0.2">
      <c r="CU870" s="154"/>
    </row>
    <row r="871" spans="99:99" ht="14.25" customHeight="1" x14ac:dyDescent="0.2">
      <c r="CU871" s="154"/>
    </row>
    <row r="872" spans="99:99" ht="14.25" customHeight="1" x14ac:dyDescent="0.2">
      <c r="CU872" s="154"/>
    </row>
    <row r="873" spans="99:99" ht="14.25" customHeight="1" x14ac:dyDescent="0.2">
      <c r="CU873" s="154"/>
    </row>
    <row r="874" spans="99:99" ht="14.25" customHeight="1" x14ac:dyDescent="0.2">
      <c r="CU874" s="154"/>
    </row>
    <row r="875" spans="99:99" ht="14.25" customHeight="1" x14ac:dyDescent="0.2">
      <c r="CU875" s="154"/>
    </row>
    <row r="876" spans="99:99" ht="14.25" customHeight="1" x14ac:dyDescent="0.2">
      <c r="CU876" s="154"/>
    </row>
    <row r="877" spans="99:99" ht="14.25" customHeight="1" x14ac:dyDescent="0.2">
      <c r="CU877" s="154"/>
    </row>
    <row r="878" spans="99:99" ht="14.25" customHeight="1" x14ac:dyDescent="0.2">
      <c r="CU878" s="154"/>
    </row>
    <row r="879" spans="99:99" ht="14.25" customHeight="1" x14ac:dyDescent="0.2">
      <c r="CU879" s="154"/>
    </row>
    <row r="880" spans="99:99" ht="14.25" customHeight="1" x14ac:dyDescent="0.2">
      <c r="CU880" s="154"/>
    </row>
    <row r="881" spans="99:99" ht="14.25" customHeight="1" x14ac:dyDescent="0.2">
      <c r="CU881" s="154"/>
    </row>
    <row r="882" spans="99:99" ht="14.25" customHeight="1" x14ac:dyDescent="0.2">
      <c r="CU882" s="154"/>
    </row>
    <row r="883" spans="99:99" ht="14.25" customHeight="1" x14ac:dyDescent="0.2">
      <c r="CU883" s="154"/>
    </row>
    <row r="884" spans="99:99" ht="14.25" customHeight="1" x14ac:dyDescent="0.2">
      <c r="CU884" s="154"/>
    </row>
    <row r="885" spans="99:99" ht="14.25" customHeight="1" x14ac:dyDescent="0.2">
      <c r="CU885" s="154"/>
    </row>
    <row r="886" spans="99:99" ht="14.25" customHeight="1" x14ac:dyDescent="0.2">
      <c r="CU886" s="154"/>
    </row>
    <row r="887" spans="99:99" ht="14.25" customHeight="1" x14ac:dyDescent="0.2">
      <c r="CU887" s="154"/>
    </row>
    <row r="888" spans="99:99" ht="14.25" customHeight="1" x14ac:dyDescent="0.2">
      <c r="CU888" s="154"/>
    </row>
    <row r="889" spans="99:99" ht="14.25" customHeight="1" x14ac:dyDescent="0.2">
      <c r="CU889" s="154"/>
    </row>
    <row r="890" spans="99:99" ht="14.25" customHeight="1" x14ac:dyDescent="0.2">
      <c r="CU890" s="154"/>
    </row>
    <row r="891" spans="99:99" ht="14.25" customHeight="1" x14ac:dyDescent="0.2">
      <c r="CU891" s="154"/>
    </row>
    <row r="892" spans="99:99" ht="14.25" customHeight="1" x14ac:dyDescent="0.2">
      <c r="CU892" s="154"/>
    </row>
    <row r="893" spans="99:99" ht="14.25" customHeight="1" x14ac:dyDescent="0.2">
      <c r="CU893" s="154"/>
    </row>
    <row r="894" spans="99:99" ht="14.25" customHeight="1" x14ac:dyDescent="0.2">
      <c r="CU894" s="154"/>
    </row>
    <row r="895" spans="99:99" ht="14.25" customHeight="1" x14ac:dyDescent="0.2">
      <c r="CU895" s="154"/>
    </row>
    <row r="896" spans="99:99" ht="14.25" customHeight="1" x14ac:dyDescent="0.2">
      <c r="CU896" s="154"/>
    </row>
    <row r="897" spans="99:99" ht="14.25" customHeight="1" x14ac:dyDescent="0.2">
      <c r="CU897" s="154"/>
    </row>
    <row r="898" spans="99:99" ht="14.25" customHeight="1" x14ac:dyDescent="0.2">
      <c r="CU898" s="154"/>
    </row>
    <row r="899" spans="99:99" ht="14.25" customHeight="1" x14ac:dyDescent="0.2">
      <c r="CU899" s="154"/>
    </row>
    <row r="900" spans="99:99" ht="14.25" customHeight="1" x14ac:dyDescent="0.2">
      <c r="CU900" s="154"/>
    </row>
    <row r="901" spans="99:99" ht="14.25" customHeight="1" x14ac:dyDescent="0.2">
      <c r="CU901" s="154"/>
    </row>
    <row r="902" spans="99:99" ht="14.25" customHeight="1" x14ac:dyDescent="0.2">
      <c r="CU902" s="154"/>
    </row>
    <row r="903" spans="99:99" ht="14.25" customHeight="1" x14ac:dyDescent="0.2">
      <c r="CU903" s="154"/>
    </row>
    <row r="904" spans="99:99" ht="14.25" customHeight="1" x14ac:dyDescent="0.2">
      <c r="CU904" s="154"/>
    </row>
    <row r="905" spans="99:99" ht="14.25" customHeight="1" x14ac:dyDescent="0.2">
      <c r="CU905" s="154"/>
    </row>
    <row r="906" spans="99:99" ht="14.25" customHeight="1" x14ac:dyDescent="0.2">
      <c r="CU906" s="154"/>
    </row>
    <row r="907" spans="99:99" ht="14.25" customHeight="1" x14ac:dyDescent="0.2">
      <c r="CU907" s="154"/>
    </row>
    <row r="908" spans="99:99" ht="14.25" customHeight="1" x14ac:dyDescent="0.2">
      <c r="CU908" s="154"/>
    </row>
    <row r="909" spans="99:99" ht="14.25" customHeight="1" x14ac:dyDescent="0.2">
      <c r="CU909" s="154"/>
    </row>
    <row r="910" spans="99:99" ht="14.25" customHeight="1" x14ac:dyDescent="0.2">
      <c r="CU910" s="154"/>
    </row>
    <row r="911" spans="99:99" ht="14.25" customHeight="1" x14ac:dyDescent="0.2">
      <c r="CU911" s="154"/>
    </row>
    <row r="912" spans="99:99" ht="14.25" customHeight="1" x14ac:dyDescent="0.2">
      <c r="CU912" s="154"/>
    </row>
    <row r="913" spans="99:99" ht="14.25" customHeight="1" x14ac:dyDescent="0.2">
      <c r="CU913" s="154"/>
    </row>
    <row r="914" spans="99:99" ht="14.25" customHeight="1" x14ac:dyDescent="0.2">
      <c r="CU914" s="154"/>
    </row>
    <row r="915" spans="99:99" ht="14.25" customHeight="1" x14ac:dyDescent="0.2">
      <c r="CU915" s="154"/>
    </row>
    <row r="916" spans="99:99" ht="14.25" customHeight="1" x14ac:dyDescent="0.2">
      <c r="CU916" s="154"/>
    </row>
    <row r="917" spans="99:99" ht="14.25" customHeight="1" x14ac:dyDescent="0.2">
      <c r="CU917" s="154"/>
    </row>
    <row r="918" spans="99:99" ht="14.25" customHeight="1" x14ac:dyDescent="0.2">
      <c r="CU918" s="154"/>
    </row>
    <row r="919" spans="99:99" ht="14.25" customHeight="1" x14ac:dyDescent="0.2">
      <c r="CU919" s="154"/>
    </row>
    <row r="920" spans="99:99" ht="14.25" customHeight="1" x14ac:dyDescent="0.2">
      <c r="CU920" s="154"/>
    </row>
    <row r="921" spans="99:99" ht="14.25" customHeight="1" x14ac:dyDescent="0.2">
      <c r="CU921" s="154"/>
    </row>
    <row r="922" spans="99:99" ht="14.25" customHeight="1" x14ac:dyDescent="0.2">
      <c r="CU922" s="154"/>
    </row>
    <row r="923" spans="99:99" ht="14.25" customHeight="1" x14ac:dyDescent="0.2">
      <c r="CU923" s="154"/>
    </row>
    <row r="924" spans="99:99" ht="14.25" customHeight="1" x14ac:dyDescent="0.2">
      <c r="CU924" s="154"/>
    </row>
    <row r="925" spans="99:99" ht="14.25" customHeight="1" x14ac:dyDescent="0.2">
      <c r="CU925" s="154"/>
    </row>
    <row r="926" spans="99:99" ht="14.25" customHeight="1" x14ac:dyDescent="0.2">
      <c r="CU926" s="154"/>
    </row>
    <row r="927" spans="99:99" ht="14.25" customHeight="1" x14ac:dyDescent="0.2">
      <c r="CU927" s="154"/>
    </row>
    <row r="928" spans="99:99" ht="14.25" customHeight="1" x14ac:dyDescent="0.2">
      <c r="CU928" s="154"/>
    </row>
    <row r="929" spans="99:99" ht="14.25" customHeight="1" x14ac:dyDescent="0.2">
      <c r="CU929" s="154"/>
    </row>
    <row r="930" spans="99:99" ht="14.25" customHeight="1" x14ac:dyDescent="0.2">
      <c r="CU930" s="154"/>
    </row>
    <row r="931" spans="99:99" ht="14.25" customHeight="1" x14ac:dyDescent="0.2">
      <c r="CU931" s="154"/>
    </row>
    <row r="932" spans="99:99" ht="14.25" customHeight="1" x14ac:dyDescent="0.2">
      <c r="CU932" s="154"/>
    </row>
    <row r="933" spans="99:99" ht="14.25" customHeight="1" x14ac:dyDescent="0.2">
      <c r="CU933" s="154"/>
    </row>
    <row r="934" spans="99:99" ht="14.25" customHeight="1" x14ac:dyDescent="0.2">
      <c r="CU934" s="154"/>
    </row>
    <row r="935" spans="99:99" ht="14.25" customHeight="1" x14ac:dyDescent="0.2">
      <c r="CU935" s="154"/>
    </row>
    <row r="936" spans="99:99" ht="14.25" customHeight="1" x14ac:dyDescent="0.2">
      <c r="CU936" s="154"/>
    </row>
    <row r="937" spans="99:99" ht="14.25" customHeight="1" x14ac:dyDescent="0.2">
      <c r="CU937" s="154"/>
    </row>
    <row r="938" spans="99:99" ht="14.25" customHeight="1" x14ac:dyDescent="0.2">
      <c r="CU938" s="154"/>
    </row>
    <row r="939" spans="99:99" ht="14.25" customHeight="1" x14ac:dyDescent="0.2">
      <c r="CU939" s="154"/>
    </row>
    <row r="940" spans="99:99" ht="14.25" customHeight="1" x14ac:dyDescent="0.2">
      <c r="CU940" s="154"/>
    </row>
    <row r="941" spans="99:99" ht="14.25" customHeight="1" x14ac:dyDescent="0.2">
      <c r="CU941" s="154"/>
    </row>
    <row r="942" spans="99:99" ht="14.25" customHeight="1" x14ac:dyDescent="0.2">
      <c r="CU942" s="154"/>
    </row>
    <row r="943" spans="99:99" ht="14.25" customHeight="1" x14ac:dyDescent="0.2">
      <c r="CU943" s="154"/>
    </row>
    <row r="944" spans="99:99" ht="14.25" customHeight="1" x14ac:dyDescent="0.2">
      <c r="CU944" s="154"/>
    </row>
    <row r="945" spans="99:99" ht="14.25" customHeight="1" x14ac:dyDescent="0.2">
      <c r="CU945" s="154"/>
    </row>
    <row r="946" spans="99:99" ht="14.25" customHeight="1" x14ac:dyDescent="0.2">
      <c r="CU946" s="154"/>
    </row>
    <row r="947" spans="99:99" ht="14.25" customHeight="1" x14ac:dyDescent="0.2">
      <c r="CU947" s="154"/>
    </row>
    <row r="948" spans="99:99" ht="14.25" customHeight="1" x14ac:dyDescent="0.2">
      <c r="CU948" s="154"/>
    </row>
    <row r="949" spans="99:99" ht="14.25" customHeight="1" x14ac:dyDescent="0.2">
      <c r="CU949" s="154"/>
    </row>
    <row r="950" spans="99:99" ht="14.25" customHeight="1" x14ac:dyDescent="0.2">
      <c r="CU950" s="154"/>
    </row>
    <row r="951" spans="99:99" ht="14.25" customHeight="1" x14ac:dyDescent="0.2">
      <c r="CU951" s="154"/>
    </row>
    <row r="952" spans="99:99" ht="14.25" customHeight="1" x14ac:dyDescent="0.2">
      <c r="CU952" s="154"/>
    </row>
    <row r="953" spans="99:99" ht="14.25" customHeight="1" x14ac:dyDescent="0.2">
      <c r="CU953" s="154"/>
    </row>
    <row r="954" spans="99:99" ht="14.25" customHeight="1" x14ac:dyDescent="0.2">
      <c r="CU954" s="154"/>
    </row>
    <row r="955" spans="99:99" ht="14.25" customHeight="1" x14ac:dyDescent="0.2">
      <c r="CU955" s="154"/>
    </row>
    <row r="956" spans="99:99" ht="14.25" customHeight="1" x14ac:dyDescent="0.2">
      <c r="CU956" s="154"/>
    </row>
    <row r="957" spans="99:99" ht="14.25" customHeight="1" x14ac:dyDescent="0.2">
      <c r="CU957" s="154"/>
    </row>
    <row r="958" spans="99:99" ht="14.25" customHeight="1" x14ac:dyDescent="0.2">
      <c r="CU958" s="154"/>
    </row>
    <row r="959" spans="99:99" ht="14.25" customHeight="1" x14ac:dyDescent="0.2">
      <c r="CU959" s="154"/>
    </row>
    <row r="960" spans="99:99" ht="14.25" customHeight="1" x14ac:dyDescent="0.2">
      <c r="CU960" s="154"/>
    </row>
    <row r="961" spans="99:99" ht="14.25" customHeight="1" x14ac:dyDescent="0.2">
      <c r="CU961" s="154"/>
    </row>
    <row r="962" spans="99:99" ht="14.25" customHeight="1" x14ac:dyDescent="0.2">
      <c r="CU962" s="154"/>
    </row>
    <row r="963" spans="99:99" ht="14.25" customHeight="1" x14ac:dyDescent="0.2">
      <c r="CU963" s="154"/>
    </row>
    <row r="964" spans="99:99" ht="14.25" customHeight="1" x14ac:dyDescent="0.2">
      <c r="CU964" s="154"/>
    </row>
    <row r="965" spans="99:99" ht="14.25" customHeight="1" x14ac:dyDescent="0.2">
      <c r="CU965" s="154"/>
    </row>
    <row r="966" spans="99:99" ht="14.25" customHeight="1" x14ac:dyDescent="0.2">
      <c r="CU966" s="154"/>
    </row>
    <row r="967" spans="99:99" ht="14.25" customHeight="1" x14ac:dyDescent="0.2">
      <c r="CU967" s="154"/>
    </row>
    <row r="968" spans="99:99" ht="14.25" customHeight="1" x14ac:dyDescent="0.2">
      <c r="CU968" s="154"/>
    </row>
    <row r="969" spans="99:99" ht="14.25" customHeight="1" x14ac:dyDescent="0.2">
      <c r="CU969" s="154"/>
    </row>
    <row r="970" spans="99:99" ht="14.25" customHeight="1" x14ac:dyDescent="0.2">
      <c r="CU970" s="154"/>
    </row>
    <row r="971" spans="99:99" ht="14.25" customHeight="1" x14ac:dyDescent="0.2">
      <c r="CU971" s="154"/>
    </row>
    <row r="972" spans="99:99" ht="14.25" customHeight="1" x14ac:dyDescent="0.2">
      <c r="CU972" s="154"/>
    </row>
    <row r="973" spans="99:99" ht="14.25" customHeight="1" x14ac:dyDescent="0.2">
      <c r="CU973" s="154"/>
    </row>
    <row r="974" spans="99:99" ht="14.25" customHeight="1" x14ac:dyDescent="0.2">
      <c r="CU974" s="154"/>
    </row>
    <row r="975" spans="99:99" ht="14.25" customHeight="1" x14ac:dyDescent="0.2">
      <c r="CU975" s="154"/>
    </row>
    <row r="976" spans="99:99" ht="14.25" customHeight="1" x14ac:dyDescent="0.2">
      <c r="CU976" s="154"/>
    </row>
    <row r="977" spans="99:99" ht="14.25" customHeight="1" x14ac:dyDescent="0.2">
      <c r="CU977" s="154"/>
    </row>
    <row r="978" spans="99:99" ht="14.25" customHeight="1" x14ac:dyDescent="0.2">
      <c r="CU978" s="154"/>
    </row>
    <row r="979" spans="99:99" ht="14.25" customHeight="1" x14ac:dyDescent="0.2">
      <c r="CU979" s="154"/>
    </row>
    <row r="980" spans="99:99" ht="14.25" customHeight="1" x14ac:dyDescent="0.2">
      <c r="CU980" s="154"/>
    </row>
    <row r="981" spans="99:99" ht="14.25" customHeight="1" x14ac:dyDescent="0.2">
      <c r="CU981" s="154"/>
    </row>
    <row r="982" spans="99:99" ht="14.25" customHeight="1" x14ac:dyDescent="0.2">
      <c r="CU982" s="154"/>
    </row>
    <row r="983" spans="99:99" ht="14.25" customHeight="1" x14ac:dyDescent="0.2">
      <c r="CU983" s="154"/>
    </row>
    <row r="984" spans="99:99" ht="14.25" customHeight="1" x14ac:dyDescent="0.2">
      <c r="CU984" s="154"/>
    </row>
    <row r="985" spans="99:99" ht="14.25" customHeight="1" x14ac:dyDescent="0.2">
      <c r="CU985" s="154"/>
    </row>
    <row r="986" spans="99:99" ht="14.25" customHeight="1" x14ac:dyDescent="0.2">
      <c r="CU986" s="154"/>
    </row>
    <row r="987" spans="99:99" ht="14.25" customHeight="1" x14ac:dyDescent="0.2">
      <c r="CU987" s="154"/>
    </row>
    <row r="988" spans="99:99" ht="14.25" customHeight="1" x14ac:dyDescent="0.2">
      <c r="CU988" s="154"/>
    </row>
    <row r="989" spans="99:99" ht="14.25" customHeight="1" x14ac:dyDescent="0.2">
      <c r="CU989" s="154"/>
    </row>
    <row r="990" spans="99:99" ht="14.25" customHeight="1" x14ac:dyDescent="0.2">
      <c r="CU990" s="154"/>
    </row>
    <row r="991" spans="99:99" ht="14.25" customHeight="1" x14ac:dyDescent="0.2">
      <c r="CU991" s="154"/>
    </row>
    <row r="992" spans="99:99" ht="14.25" customHeight="1" x14ac:dyDescent="0.2">
      <c r="CU992" s="154"/>
    </row>
    <row r="993" spans="99:99" ht="14.25" customHeight="1" x14ac:dyDescent="0.2">
      <c r="CU993" s="154"/>
    </row>
    <row r="994" spans="99:99" ht="14.25" customHeight="1" x14ac:dyDescent="0.2">
      <c r="CU994" s="154"/>
    </row>
    <row r="995" spans="99:99" ht="14.25" customHeight="1" x14ac:dyDescent="0.2">
      <c r="CU995" s="154"/>
    </row>
    <row r="996" spans="99:99" ht="14.25" customHeight="1" x14ac:dyDescent="0.2">
      <c r="CU996" s="154"/>
    </row>
    <row r="997" spans="99:99" ht="14.25" customHeight="1" x14ac:dyDescent="0.2">
      <c r="CU997" s="154"/>
    </row>
    <row r="998" spans="99:99" ht="14.25" customHeight="1" x14ac:dyDescent="0.2">
      <c r="CU998" s="154"/>
    </row>
    <row r="999" spans="99:99" ht="14.25" customHeight="1" x14ac:dyDescent="0.2">
      <c r="CU999" s="154"/>
    </row>
    <row r="1000" spans="99:99" ht="14.25" customHeight="1" x14ac:dyDescent="0.2">
      <c r="CU1000" s="154"/>
    </row>
  </sheetData>
  <mergeCells count="25">
    <mergeCell ref="BP2:BV2"/>
    <mergeCell ref="BW2:CC2"/>
    <mergeCell ref="CD2:CJ2"/>
    <mergeCell ref="B2:K2"/>
    <mergeCell ref="L2:R2"/>
    <mergeCell ref="S2:Y2"/>
    <mergeCell ref="Z2:AF2"/>
    <mergeCell ref="AG2:AM2"/>
    <mergeCell ref="AN2:AT2"/>
    <mergeCell ref="BW60:CC60"/>
    <mergeCell ref="CD60:CJ60"/>
    <mergeCell ref="CK60:CQ60"/>
    <mergeCell ref="CK2:CQ2"/>
    <mergeCell ref="L60:R60"/>
    <mergeCell ref="S60:Y60"/>
    <mergeCell ref="Z60:AF60"/>
    <mergeCell ref="AG60:AM60"/>
    <mergeCell ref="AN60:AT60"/>
    <mergeCell ref="AU60:BA60"/>
    <mergeCell ref="BB60:BH60"/>
    <mergeCell ref="BI60:BO60"/>
    <mergeCell ref="BP60:BV60"/>
    <mergeCell ref="AU2:BA2"/>
    <mergeCell ref="BB2:BH2"/>
    <mergeCell ref="BI2:BO2"/>
  </mergeCells>
  <printOptions horizontalCentered="1"/>
  <pageMargins left="9.8425196850393706E-2" right="9.8425196850393706E-2" top="0.59055118110236227" bottom="0.39370078740157483" header="0" footer="0"/>
  <pageSetup paperSize="9" scale="43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296CB-A71E-B447-BE9A-5F98D9423869}">
  <sheetPr>
    <pageSetUpPr fitToPage="1"/>
  </sheetPr>
  <dimension ref="A1:DF1000"/>
  <sheetViews>
    <sheetView zoomScale="70" zoomScaleNormal="70" workbookViewId="0">
      <pane xSplit="1" ySplit="3" topLeftCell="B9" activePane="bottomRight" state="frozen"/>
      <selection pane="topRight" activeCell="B1" sqref="B1"/>
      <selection pane="bottomLeft" activeCell="A4" sqref="A4"/>
      <selection pane="bottomRight" activeCell="AZ56" sqref="AZ56:AZ57"/>
    </sheetView>
  </sheetViews>
  <sheetFormatPr baseColWidth="10" defaultColWidth="14.5" defaultRowHeight="15" customHeight="1" x14ac:dyDescent="0.2"/>
  <cols>
    <col min="1" max="1" width="32.33203125" customWidth="1"/>
    <col min="2" max="96" width="11.5" customWidth="1"/>
    <col min="97" max="104" width="10.5" customWidth="1"/>
    <col min="105" max="105" width="13.5" customWidth="1"/>
    <col min="106" max="106" width="9.1640625" customWidth="1"/>
    <col min="107" max="110" width="9.83203125" customWidth="1"/>
  </cols>
  <sheetData>
    <row r="1" spans="1:110" ht="20" customHeight="1" thickBot="1" x14ac:dyDescent="0.25">
      <c r="A1" s="1" t="s">
        <v>190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45"/>
      <c r="DB1" s="4"/>
      <c r="DC1" s="4"/>
      <c r="DD1" s="4"/>
      <c r="DE1" s="194"/>
      <c r="DF1" s="194"/>
    </row>
    <row r="2" spans="1:110" ht="14.25" customHeight="1" thickBot="1" x14ac:dyDescent="0.25">
      <c r="A2" s="5"/>
      <c r="B2" s="245"/>
      <c r="C2" s="246"/>
      <c r="D2" s="246"/>
      <c r="E2" s="247"/>
      <c r="F2" s="247"/>
      <c r="G2" s="247"/>
      <c r="H2" s="247"/>
      <c r="I2" s="247"/>
      <c r="J2" s="247"/>
      <c r="K2" s="248"/>
      <c r="L2" s="245" t="s">
        <v>2</v>
      </c>
      <c r="M2" s="246"/>
      <c r="N2" s="246"/>
      <c r="O2" s="246"/>
      <c r="P2" s="246"/>
      <c r="Q2" s="247"/>
      <c r="R2" s="248"/>
      <c r="S2" s="245" t="s">
        <v>3</v>
      </c>
      <c r="T2" s="246"/>
      <c r="U2" s="246"/>
      <c r="V2" s="246"/>
      <c r="W2" s="246"/>
      <c r="X2" s="247"/>
      <c r="Y2" s="248"/>
      <c r="Z2" s="245" t="s">
        <v>4</v>
      </c>
      <c r="AA2" s="246"/>
      <c r="AB2" s="246"/>
      <c r="AC2" s="246"/>
      <c r="AD2" s="246"/>
      <c r="AE2" s="247"/>
      <c r="AF2" s="248"/>
      <c r="AG2" s="245" t="s">
        <v>5</v>
      </c>
      <c r="AH2" s="246"/>
      <c r="AI2" s="246"/>
      <c r="AJ2" s="246"/>
      <c r="AK2" s="246"/>
      <c r="AL2" s="247"/>
      <c r="AM2" s="248"/>
      <c r="AN2" s="245" t="s">
        <v>6</v>
      </c>
      <c r="AO2" s="246"/>
      <c r="AP2" s="246"/>
      <c r="AQ2" s="246"/>
      <c r="AR2" s="246"/>
      <c r="AS2" s="247"/>
      <c r="AT2" s="248"/>
      <c r="AU2" s="245" t="s">
        <v>7</v>
      </c>
      <c r="AV2" s="246"/>
      <c r="AW2" s="246"/>
      <c r="AX2" s="246"/>
      <c r="AY2" s="246"/>
      <c r="AZ2" s="247"/>
      <c r="BA2" s="248"/>
      <c r="BB2" s="245" t="s">
        <v>8</v>
      </c>
      <c r="BC2" s="246"/>
      <c r="BD2" s="246"/>
      <c r="BE2" s="246"/>
      <c r="BF2" s="246"/>
      <c r="BG2" s="247"/>
      <c r="BH2" s="248"/>
      <c r="BI2" s="245" t="s">
        <v>9</v>
      </c>
      <c r="BJ2" s="246"/>
      <c r="BK2" s="246"/>
      <c r="BL2" s="246"/>
      <c r="BM2" s="246"/>
      <c r="BN2" s="247"/>
      <c r="BO2" s="248"/>
      <c r="BP2" s="245" t="s">
        <v>10</v>
      </c>
      <c r="BQ2" s="246"/>
      <c r="BR2" s="246"/>
      <c r="BS2" s="246"/>
      <c r="BT2" s="246"/>
      <c r="BU2" s="247"/>
      <c r="BV2" s="248"/>
      <c r="BW2" s="245" t="s">
        <v>11</v>
      </c>
      <c r="BX2" s="246"/>
      <c r="BY2" s="246"/>
      <c r="BZ2" s="246"/>
      <c r="CA2" s="246"/>
      <c r="CB2" s="247"/>
      <c r="CC2" s="248"/>
      <c r="CD2" s="245" t="s">
        <v>12</v>
      </c>
      <c r="CE2" s="246"/>
      <c r="CF2" s="246"/>
      <c r="CG2" s="246"/>
      <c r="CH2" s="246"/>
      <c r="CI2" s="247"/>
      <c r="CJ2" s="248"/>
      <c r="CK2" s="245" t="s">
        <v>13</v>
      </c>
      <c r="CL2" s="246"/>
      <c r="CM2" s="246"/>
      <c r="CN2" s="246"/>
      <c r="CO2" s="246"/>
      <c r="CP2" s="247"/>
      <c r="CQ2" s="248"/>
      <c r="CS2" s="195" t="s">
        <v>176</v>
      </c>
      <c r="CT2" s="195" t="s">
        <v>177</v>
      </c>
      <c r="CU2" s="195" t="s">
        <v>178</v>
      </c>
      <c r="CV2" s="195" t="s">
        <v>179</v>
      </c>
      <c r="CW2" s="195" t="s">
        <v>180</v>
      </c>
      <c r="CX2" s="195" t="s">
        <v>181</v>
      </c>
      <c r="CY2" s="195" t="s">
        <v>182</v>
      </c>
      <c r="CZ2" s="195" t="s">
        <v>183</v>
      </c>
      <c r="DA2" s="195" t="s">
        <v>184</v>
      </c>
      <c r="DB2" s="195" t="s">
        <v>185</v>
      </c>
      <c r="DC2" s="195" t="s">
        <v>186</v>
      </c>
      <c r="DD2" s="195" t="s">
        <v>187</v>
      </c>
      <c r="DE2" s="196"/>
      <c r="DF2" s="196"/>
    </row>
    <row r="3" spans="1:110" ht="45" customHeight="1" thickBot="1" x14ac:dyDescent="0.25">
      <c r="A3" s="5"/>
      <c r="B3" s="8" t="s">
        <v>14</v>
      </c>
      <c r="C3" s="9" t="s">
        <v>15</v>
      </c>
      <c r="D3" s="10" t="s">
        <v>16</v>
      </c>
      <c r="E3" s="8" t="s">
        <v>17</v>
      </c>
      <c r="F3" s="11" t="s">
        <v>18</v>
      </c>
      <c r="G3" s="12" t="s">
        <v>19</v>
      </c>
      <c r="H3" s="13" t="s">
        <v>20</v>
      </c>
      <c r="I3" s="14" t="s">
        <v>21</v>
      </c>
      <c r="J3" s="14" t="s">
        <v>22</v>
      </c>
      <c r="K3" s="15" t="s">
        <v>23</v>
      </c>
      <c r="L3" s="6" t="s">
        <v>24</v>
      </c>
      <c r="M3" s="14" t="s">
        <v>25</v>
      </c>
      <c r="N3" s="14" t="s">
        <v>26</v>
      </c>
      <c r="O3" s="14" t="s">
        <v>20</v>
      </c>
      <c r="P3" s="14" t="s">
        <v>21</v>
      </c>
      <c r="Q3" s="14" t="s">
        <v>27</v>
      </c>
      <c r="R3" s="15" t="s">
        <v>23</v>
      </c>
      <c r="S3" s="6" t="s">
        <v>24</v>
      </c>
      <c r="T3" s="14" t="s">
        <v>25</v>
      </c>
      <c r="U3" s="14" t="s">
        <v>26</v>
      </c>
      <c r="V3" s="14" t="s">
        <v>20</v>
      </c>
      <c r="W3" s="14" t="s">
        <v>21</v>
      </c>
      <c r="X3" s="14" t="s">
        <v>27</v>
      </c>
      <c r="Y3" s="15" t="s">
        <v>23</v>
      </c>
      <c r="Z3" s="6" t="s">
        <v>24</v>
      </c>
      <c r="AA3" s="14" t="s">
        <v>25</v>
      </c>
      <c r="AB3" s="14" t="s">
        <v>26</v>
      </c>
      <c r="AC3" s="14" t="s">
        <v>20</v>
      </c>
      <c r="AD3" s="14" t="s">
        <v>21</v>
      </c>
      <c r="AE3" s="14" t="s">
        <v>22</v>
      </c>
      <c r="AF3" s="15" t="s">
        <v>23</v>
      </c>
      <c r="AG3" s="6" t="s">
        <v>24</v>
      </c>
      <c r="AH3" s="14" t="s">
        <v>25</v>
      </c>
      <c r="AI3" s="14" t="s">
        <v>26</v>
      </c>
      <c r="AJ3" s="14" t="s">
        <v>20</v>
      </c>
      <c r="AK3" s="14" t="s">
        <v>21</v>
      </c>
      <c r="AL3" s="14" t="s">
        <v>22</v>
      </c>
      <c r="AM3" s="15" t="s">
        <v>23</v>
      </c>
      <c r="AN3" s="6" t="s">
        <v>24</v>
      </c>
      <c r="AO3" s="14" t="s">
        <v>25</v>
      </c>
      <c r="AP3" s="14" t="s">
        <v>26</v>
      </c>
      <c r="AQ3" s="14" t="s">
        <v>20</v>
      </c>
      <c r="AR3" s="14" t="s">
        <v>21</v>
      </c>
      <c r="AS3" s="14" t="s">
        <v>22</v>
      </c>
      <c r="AT3" s="15" t="s">
        <v>23</v>
      </c>
      <c r="AU3" s="6" t="s">
        <v>24</v>
      </c>
      <c r="AV3" s="14" t="s">
        <v>25</v>
      </c>
      <c r="AW3" s="14" t="s">
        <v>26</v>
      </c>
      <c r="AX3" s="14" t="s">
        <v>20</v>
      </c>
      <c r="AY3" s="14" t="s">
        <v>21</v>
      </c>
      <c r="AZ3" s="14" t="s">
        <v>22</v>
      </c>
      <c r="BA3" s="15" t="s">
        <v>23</v>
      </c>
      <c r="BB3" s="6" t="s">
        <v>24</v>
      </c>
      <c r="BC3" s="14" t="s">
        <v>25</v>
      </c>
      <c r="BD3" s="14" t="s">
        <v>26</v>
      </c>
      <c r="BE3" s="14" t="s">
        <v>20</v>
      </c>
      <c r="BF3" s="14" t="s">
        <v>21</v>
      </c>
      <c r="BG3" s="14" t="s">
        <v>22</v>
      </c>
      <c r="BH3" s="15" t="s">
        <v>23</v>
      </c>
      <c r="BI3" s="6" t="s">
        <v>24</v>
      </c>
      <c r="BJ3" s="14" t="s">
        <v>25</v>
      </c>
      <c r="BK3" s="14" t="s">
        <v>26</v>
      </c>
      <c r="BL3" s="14" t="s">
        <v>20</v>
      </c>
      <c r="BM3" s="14" t="s">
        <v>21</v>
      </c>
      <c r="BN3" s="14" t="s">
        <v>22</v>
      </c>
      <c r="BO3" s="15" t="s">
        <v>23</v>
      </c>
      <c r="BP3" s="6" t="s">
        <v>24</v>
      </c>
      <c r="BQ3" s="14" t="s">
        <v>25</v>
      </c>
      <c r="BR3" s="14" t="s">
        <v>26</v>
      </c>
      <c r="BS3" s="14" t="s">
        <v>20</v>
      </c>
      <c r="BT3" s="14" t="s">
        <v>21</v>
      </c>
      <c r="BU3" s="14" t="s">
        <v>22</v>
      </c>
      <c r="BV3" s="15" t="s">
        <v>23</v>
      </c>
      <c r="BW3" s="6" t="s">
        <v>24</v>
      </c>
      <c r="BX3" s="14" t="s">
        <v>25</v>
      </c>
      <c r="BY3" s="14" t="s">
        <v>26</v>
      </c>
      <c r="BZ3" s="14" t="s">
        <v>20</v>
      </c>
      <c r="CA3" s="14" t="s">
        <v>21</v>
      </c>
      <c r="CB3" s="14" t="s">
        <v>22</v>
      </c>
      <c r="CC3" s="15" t="s">
        <v>23</v>
      </c>
      <c r="CD3" s="6" t="s">
        <v>24</v>
      </c>
      <c r="CE3" s="14" t="s">
        <v>25</v>
      </c>
      <c r="CF3" s="14" t="s">
        <v>26</v>
      </c>
      <c r="CG3" s="14" t="s">
        <v>20</v>
      </c>
      <c r="CH3" s="14" t="s">
        <v>21</v>
      </c>
      <c r="CI3" s="14" t="s">
        <v>22</v>
      </c>
      <c r="CJ3" s="15" t="s">
        <v>23</v>
      </c>
      <c r="CK3" s="6" t="s">
        <v>24</v>
      </c>
      <c r="CL3" s="14" t="s">
        <v>25</v>
      </c>
      <c r="CM3" s="14" t="s">
        <v>26</v>
      </c>
      <c r="CN3" s="14" t="s">
        <v>20</v>
      </c>
      <c r="CO3" s="14" t="s">
        <v>21</v>
      </c>
      <c r="CP3" s="14" t="s">
        <v>22</v>
      </c>
      <c r="CQ3" s="15" t="s">
        <v>23</v>
      </c>
      <c r="DE3" s="196"/>
      <c r="DF3" s="196"/>
    </row>
    <row r="4" spans="1:110" s="26" customFormat="1" ht="14.25" customHeight="1" x14ac:dyDescent="0.2">
      <c r="A4" s="16" t="s">
        <v>28</v>
      </c>
      <c r="B4" s="17">
        <f t="shared" ref="B4:D35" si="0">+L4+S4+Z4+AG4+AN4+AU4+BB4+BI4+BP4+BW4+CD4+CK4</f>
        <v>514347.41950726381</v>
      </c>
      <c r="C4" s="18">
        <f t="shared" si="0"/>
        <v>504009.03637516807</v>
      </c>
      <c r="D4" s="19">
        <f t="shared" si="0"/>
        <v>10338.383132096003</v>
      </c>
      <c r="E4" s="17">
        <f>+L4+S4+Z4+AG4</f>
        <v>179608.40778943998</v>
      </c>
      <c r="F4" s="20">
        <f>+M4+T4+AA4+AH4</f>
        <v>175998.27879287227</v>
      </c>
      <c r="G4" s="21">
        <f>+N4+U4+AB4+AI4</f>
        <v>3610.1289965677433</v>
      </c>
      <c r="H4" s="18">
        <f t="shared" ref="H4:J35" si="1">+O4+V4+AC4+AJ4+AQ4+AX4+BE4+BL4+BS4+BZ4+CG4+CN4</f>
        <v>288054.26957121457</v>
      </c>
      <c r="I4" s="20">
        <f t="shared" si="1"/>
        <v>5908.654779448324</v>
      </c>
      <c r="J4" s="20">
        <f t="shared" si="1"/>
        <v>293962.92435066291</v>
      </c>
      <c r="K4" s="25">
        <f t="shared" ref="K4:K54" si="2">IF(E4=0,"",(+J4/E4-1))</f>
        <v>0.6366879923309825</v>
      </c>
      <c r="L4" s="23">
        <f>'[1]CB I'!$E4</f>
        <v>39849.882347359999</v>
      </c>
      <c r="M4" s="18">
        <f>L4-N4</f>
        <v>39048.899712178063</v>
      </c>
      <c r="N4" s="18">
        <f>+L4*2.01%</f>
        <v>800.98263518193585</v>
      </c>
      <c r="O4" s="18">
        <f>+Q4-P4</f>
        <v>38130.906941789799</v>
      </c>
      <c r="P4" s="18">
        <f>+Q4*2.01%</f>
        <v>782.15249467290005</v>
      </c>
      <c r="Q4" s="18">
        <f>CS4*'[2]CAMBARÁ - CITROS'!$U$5</f>
        <v>38913.059436462696</v>
      </c>
      <c r="R4" s="18">
        <f t="shared" ref="R4:R54" si="3">IF(L4=0,"",(+Q4/L4-1))</f>
        <v>-2.350879991893795E-2</v>
      </c>
      <c r="S4" s="18">
        <f>'[1]CB I'!$F4</f>
        <v>60058.76074736</v>
      </c>
      <c r="T4" s="18">
        <f>S4-U4</f>
        <v>58851.579656338065</v>
      </c>
      <c r="U4" s="18">
        <f>+S4*2.01%</f>
        <v>1207.1810910219358</v>
      </c>
      <c r="V4" s="18">
        <f>+X4-W4</f>
        <v>36996.60929405153</v>
      </c>
      <c r="W4" s="18">
        <f>+X4*2.01%</f>
        <v>758.88544423965266</v>
      </c>
      <c r="X4" s="18">
        <f>CT4*'[2]CAMBARÁ - CITROS'!$U$5</f>
        <v>37755.494738291185</v>
      </c>
      <c r="Y4" s="18">
        <f t="shared" ref="Y4:Y54" si="4">IF(S4=0,"",(+X4/S4-1))</f>
        <v>-0.37135741283255164</v>
      </c>
      <c r="Z4" s="18">
        <f>'[1]CB I'!$G4</f>
        <v>39849.882347359999</v>
      </c>
      <c r="AA4" s="18">
        <f>Z4-AB4</f>
        <v>39048.899712178063</v>
      </c>
      <c r="AB4" s="18">
        <f>+Z4*2.01%</f>
        <v>800.98263518193585</v>
      </c>
      <c r="AC4" s="18">
        <f>+AE4-AD4</f>
        <v>47884.118021052767</v>
      </c>
      <c r="AD4" s="18">
        <f>+AE4*2.01%</f>
        <v>982.2132587235028</v>
      </c>
      <c r="AE4" s="18">
        <f>CU4*'[2]CAMBARÁ - CITROS'!$U$5</f>
        <v>48866.33127977627</v>
      </c>
      <c r="AF4" s="18">
        <f t="shared" ref="AF4:AF54" si="5">IF(Z4=0,"",(+AE4/Z4-1))</f>
        <v>0.22626036518307568</v>
      </c>
      <c r="AG4" s="18">
        <f>'[1]CB I'!$H4</f>
        <v>39849.882347359999</v>
      </c>
      <c r="AH4" s="18">
        <f>AG4-AI4</f>
        <v>39048.899712178063</v>
      </c>
      <c r="AI4" s="18">
        <f>+AG4*2.01%</f>
        <v>800.98263518193585</v>
      </c>
      <c r="AJ4" s="18">
        <f>+AL4-AK4</f>
        <v>74058.330203648642</v>
      </c>
      <c r="AK4" s="18">
        <f>+AL4*2.01%</f>
        <v>1519.1064772868021</v>
      </c>
      <c r="AL4" s="18">
        <f>CV4*'[2]CAMBARÁ - CITROS'!$U$5</f>
        <v>75577.43668093544</v>
      </c>
      <c r="AM4" s="18">
        <f t="shared" ref="AM4:AM54" si="6">IF(AG4=0,"",(+AL4/AG4-1))</f>
        <v>0.89655357127904645</v>
      </c>
      <c r="AN4" s="18">
        <f>'[1]CB I'!$I4</f>
        <v>39849.882347359999</v>
      </c>
      <c r="AO4" s="18">
        <f>AN4-AP4</f>
        <v>39048.899712178063</v>
      </c>
      <c r="AP4" s="18">
        <f>+AN4*2.01%</f>
        <v>800.98263518193585</v>
      </c>
      <c r="AQ4" s="18">
        <f>+AS4-AR4</f>
        <v>48652.263833343888</v>
      </c>
      <c r="AR4" s="18">
        <f>+AS4*2.01%</f>
        <v>997.96969389755282</v>
      </c>
      <c r="AS4" s="18">
        <v>49650.233527241442</v>
      </c>
      <c r="AT4" s="18">
        <f t="shared" ref="AT4:AT54" si="7">IF(AN4=0,"",(+AS4/AN4-1))</f>
        <v>0.24593174691093411</v>
      </c>
      <c r="AU4" s="18">
        <f>'[1]CB I'!$J4</f>
        <v>39849.882347359999</v>
      </c>
      <c r="AV4" s="18">
        <f>AU4-AW4</f>
        <v>39048.899712178063</v>
      </c>
      <c r="AW4" s="18">
        <f>+AU4*2.01%</f>
        <v>800.98263518193585</v>
      </c>
      <c r="AX4" s="18">
        <f>+AZ4-AY4</f>
        <v>42332.041277327968</v>
      </c>
      <c r="AY4" s="18">
        <f>+AZ4*2.01%</f>
        <v>868.32741062791308</v>
      </c>
      <c r="AZ4" s="18">
        <v>43200.368687955881</v>
      </c>
      <c r="BA4" s="18">
        <f t="shared" ref="BA4:BA54" si="8">IF(AU4=0,"",(+AZ4/AU4-1))</f>
        <v>8.4077697178392086E-2</v>
      </c>
      <c r="BB4" s="18">
        <f>'[1]CB I'!$K4</f>
        <v>39849.882347359999</v>
      </c>
      <c r="BC4" s="18">
        <f>BB4-BD4</f>
        <v>39048.899712178063</v>
      </c>
      <c r="BD4" s="18">
        <f>+BB4*2.01%</f>
        <v>800.98263518193585</v>
      </c>
      <c r="BE4" s="18">
        <f>+BG4-BF4</f>
        <v>0</v>
      </c>
      <c r="BF4" s="18">
        <f>+BG4*2.01%</f>
        <v>0</v>
      </c>
      <c r="BG4" s="18">
        <f>CY4*'[3]CAMBARÁ - CITROS'!$U$5</f>
        <v>0</v>
      </c>
      <c r="BH4" s="18">
        <f t="shared" ref="BH4:BH54" si="9">IF(BB4=0,"",(+BG4/BB4-1))</f>
        <v>-1</v>
      </c>
      <c r="BI4" s="18">
        <f>'[1]CB I'!$L4</f>
        <v>43037.8729351488</v>
      </c>
      <c r="BJ4" s="18">
        <f>BI4-BK4</f>
        <v>42172.81168915231</v>
      </c>
      <c r="BK4" s="18">
        <f>+BI4*2.01%</f>
        <v>865.0612459964907</v>
      </c>
      <c r="BL4" s="18">
        <f>+BN4-BM4</f>
        <v>0</v>
      </c>
      <c r="BM4" s="18">
        <f>+BN4*2.01%</f>
        <v>0</v>
      </c>
      <c r="BN4" s="18">
        <f>CZ4*'[3]CAMBARÁ - CITROS'!$U$5</f>
        <v>0</v>
      </c>
      <c r="BO4" s="18">
        <f t="shared" ref="BO4:BO54" si="10">IF(BI4=0,"",(+BN4/BI4-1))</f>
        <v>-1</v>
      </c>
      <c r="BP4" s="18">
        <f>'[1]CB I'!$M4</f>
        <v>43037.8729351488</v>
      </c>
      <c r="BQ4" s="18">
        <f>BP4-BR4</f>
        <v>42172.81168915231</v>
      </c>
      <c r="BR4" s="18">
        <f>+BP4*2.01%</f>
        <v>865.0612459964907</v>
      </c>
      <c r="BS4" s="18">
        <f>+BU4-BT4</f>
        <v>0</v>
      </c>
      <c r="BT4" s="18">
        <f>+BU4*2.01%</f>
        <v>0</v>
      </c>
      <c r="BU4" s="18">
        <f>DA4*'[3]CAMBARÁ - CITROS'!$U$5</f>
        <v>0</v>
      </c>
      <c r="BV4" s="18">
        <f t="shared" ref="BV4:BV54" si="11">IF(BP4=0,"",(+BU4/BP4-1))</f>
        <v>-1</v>
      </c>
      <c r="BW4" s="18">
        <f>'[1]CB I'!$N4</f>
        <v>43037.8729351488</v>
      </c>
      <c r="BX4" s="18">
        <f>BW4-BY4</f>
        <v>42172.81168915231</v>
      </c>
      <c r="BY4" s="18">
        <f>+BW4*2.01%</f>
        <v>865.0612459964907</v>
      </c>
      <c r="BZ4" s="18">
        <f>+CB4-CA4</f>
        <v>0</v>
      </c>
      <c r="CA4" s="18">
        <f>+CB4*2.01%</f>
        <v>0</v>
      </c>
      <c r="CB4" s="18">
        <f>DB4*'[3]CAMBARÁ - CITROS'!$U$5</f>
        <v>0</v>
      </c>
      <c r="CC4" s="18">
        <f t="shared" ref="CC4:CC54" si="12">IF(BW4=0,"",(+CB4/BW4-1))</f>
        <v>-1</v>
      </c>
      <c r="CD4" s="18">
        <f>'[1]CB I'!$O4</f>
        <v>43037.8729351488</v>
      </c>
      <c r="CE4" s="18">
        <f>CD4-CF4</f>
        <v>42172.81168915231</v>
      </c>
      <c r="CF4" s="18">
        <f>+CD4*2.01%</f>
        <v>865.0612459964907</v>
      </c>
      <c r="CG4" s="18">
        <f>+CI4-CH4</f>
        <v>0</v>
      </c>
      <c r="CH4" s="18">
        <f>+CI4*2.01%</f>
        <v>0</v>
      </c>
      <c r="CI4" s="18">
        <f>DC4*'[3]CAMBARÁ - CITROS'!$U$5</f>
        <v>0</v>
      </c>
      <c r="CJ4" s="18">
        <f t="shared" ref="CJ4:CJ54" si="13">IF(CD4=0,"",(+CI4/CD4-1))</f>
        <v>-1</v>
      </c>
      <c r="CK4" s="18">
        <f>'[1]CB I'!$P4</f>
        <v>43037.8729351488</v>
      </c>
      <c r="CL4" s="18">
        <f>CK4-CM4</f>
        <v>42172.81168915231</v>
      </c>
      <c r="CM4" s="18">
        <f>+CK4*2.01%</f>
        <v>865.0612459964907</v>
      </c>
      <c r="CN4" s="18">
        <f>+CP4-CO4</f>
        <v>0</v>
      </c>
      <c r="CO4" s="18">
        <f>+CP4*2.01%</f>
        <v>0</v>
      </c>
      <c r="CP4" s="18">
        <f>DD4*'[3]CAMBARÁ - CITROS'!$U$5</f>
        <v>0</v>
      </c>
      <c r="CQ4" s="18">
        <f t="shared" ref="CQ4:CQ54" si="14">IF(CK4=0,"",(+CP4/CK4-1))</f>
        <v>-1</v>
      </c>
      <c r="CS4" s="197">
        <f>93379.87-CS5-CS6-CS7-CS8-CS9</f>
        <v>63235.649999999994</v>
      </c>
      <c r="CT4" s="197">
        <f>82989.13-CT5-CT6-CT7-CT8-CT9</f>
        <v>61354.550000000017</v>
      </c>
      <c r="CU4" s="197">
        <f>94552.43-CU5-CU6-CU7-CU8-CU9</f>
        <v>79410.209999999992</v>
      </c>
      <c r="CV4" s="197">
        <f>141647.66-CV5-CV6-CV7-CV8-CV9</f>
        <v>122817.08000000002</v>
      </c>
      <c r="CW4" s="197"/>
      <c r="CX4" s="197"/>
      <c r="CY4" s="33"/>
      <c r="CZ4" s="27"/>
      <c r="DA4" s="197"/>
      <c r="DB4" s="197"/>
      <c r="DC4" s="197"/>
      <c r="DD4" s="197"/>
      <c r="DE4" s="198"/>
      <c r="DF4" s="198"/>
    </row>
    <row r="5" spans="1:110" s="26" customFormat="1" ht="14.25" customHeight="1" x14ac:dyDescent="0.2">
      <c r="A5" s="29" t="s">
        <v>29</v>
      </c>
      <c r="B5" s="30">
        <f t="shared" si="0"/>
        <v>22363.199999999997</v>
      </c>
      <c r="C5" s="31">
        <f t="shared" si="0"/>
        <v>21913.699680000005</v>
      </c>
      <c r="D5" s="32">
        <f t="shared" si="0"/>
        <v>449.50031999999982</v>
      </c>
      <c r="E5" s="30">
        <f t="shared" ref="E5:G36" si="15">+L5+S5+Z5+AG5</f>
        <v>7454.4</v>
      </c>
      <c r="F5" s="33">
        <f t="shared" si="15"/>
        <v>7304.5665599999993</v>
      </c>
      <c r="G5" s="34">
        <f t="shared" si="15"/>
        <v>149.83343999999997</v>
      </c>
      <c r="H5" s="31">
        <f t="shared" si="1"/>
        <v>12575.574695284373</v>
      </c>
      <c r="I5" s="33">
        <f t="shared" si="1"/>
        <v>257.95392527320729</v>
      </c>
      <c r="J5" s="33">
        <f t="shared" si="1"/>
        <v>12833.528620557579</v>
      </c>
      <c r="K5" s="37">
        <f t="shared" si="2"/>
        <v>0.72160450479684224</v>
      </c>
      <c r="L5" s="36">
        <f>'[1]CB I'!$E5</f>
        <v>1863.6</v>
      </c>
      <c r="M5" s="31">
        <f t="shared" ref="M5:M54" si="16">L5-N5</f>
        <v>1826.1416399999998</v>
      </c>
      <c r="N5" s="31">
        <f t="shared" ref="N5:N58" si="17">+L5*2.01%</f>
        <v>37.458359999999992</v>
      </c>
      <c r="O5" s="31">
        <f t="shared" ref="O5:O54" si="18">+Q5-P5</f>
        <v>1479.1998690733108</v>
      </c>
      <c r="P5" s="31">
        <f t="shared" ref="P5:P54" si="19">+Q5*2.01%</f>
        <v>30.341787292962081</v>
      </c>
      <c r="Q5" s="31">
        <f>CS5*'[2]CAMBARÁ - CITROS'!$U$5</f>
        <v>1509.5416563662729</v>
      </c>
      <c r="R5" s="31">
        <f t="shared" si="3"/>
        <v>-0.18998623290069061</v>
      </c>
      <c r="S5" s="31">
        <f>'[1]CB I'!$F5</f>
        <v>1863.6</v>
      </c>
      <c r="T5" s="31">
        <f t="shared" ref="T5:T54" si="20">S5-U5</f>
        <v>1826.1416399999998</v>
      </c>
      <c r="U5" s="31">
        <f t="shared" ref="U5:U58" si="21">+S5*2.01%</f>
        <v>37.458359999999992</v>
      </c>
      <c r="V5" s="31">
        <f t="shared" ref="V5:V54" si="22">+X5-W5</f>
        <v>1369.4122061507087</v>
      </c>
      <c r="W5" s="31">
        <f t="shared" ref="W5:W54" si="23">+X5*2.01%</f>
        <v>28.089790125144646</v>
      </c>
      <c r="X5" s="31">
        <f>CT5*'[2]CAMBARÁ - CITROS'!$U$5</f>
        <v>1397.5019962758533</v>
      </c>
      <c r="Y5" s="31">
        <f t="shared" si="4"/>
        <v>-0.2501062479738928</v>
      </c>
      <c r="Z5" s="31">
        <f>'[1]CB I'!$G5</f>
        <v>1863.6</v>
      </c>
      <c r="AA5" s="31">
        <f t="shared" ref="AA5:AA54" si="24">Z5-AB5</f>
        <v>1826.1416399999998</v>
      </c>
      <c r="AB5" s="31">
        <f t="shared" ref="AB5:AB58" si="25">+Z5*2.01%</f>
        <v>37.458359999999992</v>
      </c>
      <c r="AC5" s="31">
        <f t="shared" ref="AC5:AC54" si="26">+AE5-AD5</f>
        <v>624.45765829635809</v>
      </c>
      <c r="AD5" s="31">
        <f t="shared" ref="AD5:AD54" si="27">+AE5*2.01%</f>
        <v>12.80906105904357</v>
      </c>
      <c r="AE5" s="31">
        <f>CU5*'[2]CAMBARÁ - CITROS'!$U$5</f>
        <v>637.26671935540162</v>
      </c>
      <c r="AF5" s="31">
        <f t="shared" si="5"/>
        <v>-0.65804533196211545</v>
      </c>
      <c r="AG5" s="31">
        <f>'[1]CB I'!$H5</f>
        <v>1863.6</v>
      </c>
      <c r="AH5" s="31">
        <f t="shared" ref="AH5:AH54" si="28">AG5-AI5</f>
        <v>1826.1416399999998</v>
      </c>
      <c r="AI5" s="31">
        <f t="shared" ref="AI5:AI58" si="29">+AG5*2.01%</f>
        <v>37.458359999999992</v>
      </c>
      <c r="AJ5" s="31">
        <f t="shared" ref="AJ5:AJ54" si="30">+AL5-AK5</f>
        <v>2831.1975220016066</v>
      </c>
      <c r="AK5" s="31">
        <f t="shared" ref="AK5:AK54" si="31">+AL5*2.01%</f>
        <v>58.074364927270416</v>
      </c>
      <c r="AL5" s="31">
        <f>CV5*'[2]CAMBARÁ - CITROS'!$U$5</f>
        <v>2889.2718869288769</v>
      </c>
      <c r="AM5" s="31">
        <f t="shared" si="6"/>
        <v>0.55037126364502953</v>
      </c>
      <c r="AN5" s="31">
        <f>'[1]CB I'!$I5</f>
        <v>1863.6</v>
      </c>
      <c r="AO5" s="31">
        <f t="shared" ref="AO5:AO54" si="32">AN5-AP5</f>
        <v>1826.1416399999998</v>
      </c>
      <c r="AP5" s="31">
        <f t="shared" ref="AP5:AP58" si="33">+AN5*2.01%</f>
        <v>37.458359999999992</v>
      </c>
      <c r="AQ5" s="31">
        <f t="shared" ref="AQ5:AQ54" si="34">+AS5-AR5</f>
        <v>3343.0997611672287</v>
      </c>
      <c r="AR5" s="31">
        <f t="shared" ref="AR5:AR54" si="35">+AS5*2.01%</f>
        <v>68.574655780652392</v>
      </c>
      <c r="AS5" s="31">
        <v>3411.6744169478811</v>
      </c>
      <c r="AT5" s="31">
        <f t="shared" si="7"/>
        <v>0.83069028597761396</v>
      </c>
      <c r="AU5" s="31">
        <f>'[1]CB I'!$J5</f>
        <v>1863.6</v>
      </c>
      <c r="AV5" s="31">
        <f t="shared" ref="AV5:AV54" si="36">AU5-AW5</f>
        <v>1826.1416399999998</v>
      </c>
      <c r="AW5" s="31">
        <f t="shared" ref="AW5:AW58" si="37">+AU5*2.01%</f>
        <v>37.458359999999992</v>
      </c>
      <c r="AX5" s="31">
        <f t="shared" ref="AX5:AX54" si="38">+AZ5-AY5</f>
        <v>2928.2076785951599</v>
      </c>
      <c r="AY5" s="31">
        <f t="shared" ref="AY5:AY54" si="39">+AZ5*2.01%</f>
        <v>60.064266088134197</v>
      </c>
      <c r="AZ5" s="31">
        <v>2988.2719446832939</v>
      </c>
      <c r="BA5" s="31">
        <f t="shared" si="8"/>
        <v>0.60349428240142422</v>
      </c>
      <c r="BB5" s="31">
        <f>'[1]CB I'!$K5</f>
        <v>1863.6</v>
      </c>
      <c r="BC5" s="31">
        <f t="shared" ref="BC5:BC54" si="40">BB5-BD5</f>
        <v>1826.1416399999998</v>
      </c>
      <c r="BD5" s="31">
        <f t="shared" ref="BD5:BD58" si="41">+BB5*2.01%</f>
        <v>37.458359999999992</v>
      </c>
      <c r="BE5" s="31">
        <f t="shared" ref="BE5:BE54" si="42">+BG5-BF5</f>
        <v>0</v>
      </c>
      <c r="BF5" s="31">
        <f t="shared" ref="BF5:BF54" si="43">+BG5*2.01%</f>
        <v>0</v>
      </c>
      <c r="BG5" s="31">
        <f>CY5*'[3]CAMBARÁ - CITROS'!$U$5</f>
        <v>0</v>
      </c>
      <c r="BH5" s="31">
        <f t="shared" si="9"/>
        <v>-1</v>
      </c>
      <c r="BI5" s="31">
        <f>'[1]CB I'!$L5</f>
        <v>1863.6</v>
      </c>
      <c r="BJ5" s="31">
        <f t="shared" ref="BJ5:BJ54" si="44">BI5-BK5</f>
        <v>1826.1416399999998</v>
      </c>
      <c r="BK5" s="31">
        <f t="shared" ref="BK5:BK58" si="45">+BI5*2.01%</f>
        <v>37.458359999999992</v>
      </c>
      <c r="BL5" s="31">
        <f t="shared" ref="BL5:BL54" si="46">+BN5-BM5</f>
        <v>0</v>
      </c>
      <c r="BM5" s="31">
        <f t="shared" ref="BM5:BM54" si="47">+BN5*2.01%</f>
        <v>0</v>
      </c>
      <c r="BN5" s="31">
        <f>CZ5*'[3]CAMBARÁ - CITROS'!$U$5</f>
        <v>0</v>
      </c>
      <c r="BO5" s="31">
        <f t="shared" si="10"/>
        <v>-1</v>
      </c>
      <c r="BP5" s="31">
        <f>'[1]CB I'!$M5</f>
        <v>1863.6</v>
      </c>
      <c r="BQ5" s="31">
        <f t="shared" ref="BQ5:BQ54" si="48">BP5-BR5</f>
        <v>1826.1416399999998</v>
      </c>
      <c r="BR5" s="31">
        <f t="shared" ref="BR5:BR58" si="49">+BP5*2.01%</f>
        <v>37.458359999999992</v>
      </c>
      <c r="BS5" s="31">
        <f t="shared" ref="BS5:BS54" si="50">+BU5-BT5</f>
        <v>0</v>
      </c>
      <c r="BT5" s="31">
        <f t="shared" ref="BT5:BT54" si="51">+BU5*2.01%</f>
        <v>0</v>
      </c>
      <c r="BU5" s="31">
        <f>DA5*'[3]CAMBARÁ - CITROS'!$U$5</f>
        <v>0</v>
      </c>
      <c r="BV5" s="31">
        <f t="shared" si="11"/>
        <v>-1</v>
      </c>
      <c r="BW5" s="31">
        <f>'[1]CB I'!$N5</f>
        <v>1863.6</v>
      </c>
      <c r="BX5" s="31">
        <f t="shared" ref="BX5:BX54" si="52">BW5-BY5</f>
        <v>1826.1416399999998</v>
      </c>
      <c r="BY5" s="31">
        <f t="shared" ref="BY5:BY58" si="53">+BW5*2.01%</f>
        <v>37.458359999999992</v>
      </c>
      <c r="BZ5" s="31">
        <f t="shared" ref="BZ5:BZ54" si="54">+CB5-CA5</f>
        <v>0</v>
      </c>
      <c r="CA5" s="31">
        <f t="shared" ref="CA5:CA54" si="55">+CB5*2.01%</f>
        <v>0</v>
      </c>
      <c r="CB5" s="31">
        <f>DB5*'[3]CAMBARÁ - CITROS'!$U$5</f>
        <v>0</v>
      </c>
      <c r="CC5" s="31">
        <f t="shared" si="12"/>
        <v>-1</v>
      </c>
      <c r="CD5" s="31">
        <f>'[1]CB I'!$O5</f>
        <v>1863.6</v>
      </c>
      <c r="CE5" s="31">
        <f t="shared" ref="CE5:CE54" si="56">CD5-CF5</f>
        <v>1826.1416399999998</v>
      </c>
      <c r="CF5" s="31">
        <f t="shared" ref="CF5:CF58" si="57">+CD5*2.01%</f>
        <v>37.458359999999992</v>
      </c>
      <c r="CG5" s="31">
        <f t="shared" ref="CG5:CG54" si="58">+CI5-CH5</f>
        <v>0</v>
      </c>
      <c r="CH5" s="31">
        <f t="shared" ref="CH5:CH54" si="59">+CI5*2.01%</f>
        <v>0</v>
      </c>
      <c r="CI5" s="31">
        <f>DC5*'[3]CAMBARÁ - CITROS'!$U$5</f>
        <v>0</v>
      </c>
      <c r="CJ5" s="31">
        <f t="shared" si="13"/>
        <v>-1</v>
      </c>
      <c r="CK5" s="31">
        <f>'[1]CB I'!$P5</f>
        <v>1863.6</v>
      </c>
      <c r="CL5" s="31">
        <f t="shared" ref="CL5:CL54" si="60">CK5-CM5</f>
        <v>1826.1416399999998</v>
      </c>
      <c r="CM5" s="31">
        <f t="shared" ref="CM5:CM58" si="61">+CK5*2.01%</f>
        <v>37.458359999999992</v>
      </c>
      <c r="CN5" s="31">
        <f t="shared" ref="CN5:CN54" si="62">+CP5-CO5</f>
        <v>0</v>
      </c>
      <c r="CO5" s="31">
        <f t="shared" ref="CO5:CO54" si="63">+CP5*2.01%</f>
        <v>0</v>
      </c>
      <c r="CP5" s="31">
        <f>DD5*'[3]CAMBARÁ - CITROS'!$U$5</f>
        <v>0</v>
      </c>
      <c r="CQ5" s="31">
        <f t="shared" si="14"/>
        <v>-1</v>
      </c>
      <c r="CS5" s="197">
        <f>2453.08</f>
        <v>2453.08</v>
      </c>
      <c r="CT5" s="197">
        <f>2271.01</f>
        <v>2271.0100000000002</v>
      </c>
      <c r="CU5" s="197">
        <f>1035.59</f>
        <v>1035.5899999999999</v>
      </c>
      <c r="CV5" s="197">
        <f>3574.49+1120.72</f>
        <v>4695.21</v>
      </c>
      <c r="CW5" s="197"/>
      <c r="CX5" s="197"/>
      <c r="CY5" s="33"/>
      <c r="CZ5" s="27"/>
      <c r="DA5" s="197"/>
      <c r="DB5" s="197"/>
      <c r="DC5" s="197"/>
      <c r="DD5" s="197"/>
      <c r="DE5" s="198"/>
      <c r="DF5" s="198"/>
    </row>
    <row r="6" spans="1:110" s="26" customFormat="1" ht="14.25" customHeight="1" x14ac:dyDescent="0.2">
      <c r="A6" s="29" t="s">
        <v>30</v>
      </c>
      <c r="B6" s="30">
        <f t="shared" si="0"/>
        <v>64898.555948307214</v>
      </c>
      <c r="C6" s="31">
        <f t="shared" si="0"/>
        <v>63594.094973746229</v>
      </c>
      <c r="D6" s="32">
        <f t="shared" si="0"/>
        <v>1304.4609745609744</v>
      </c>
      <c r="E6" s="30">
        <f t="shared" si="15"/>
        <v>20962.911931711998</v>
      </c>
      <c r="F6" s="33">
        <f t="shared" si="15"/>
        <v>20541.557401884587</v>
      </c>
      <c r="G6" s="34">
        <f t="shared" si="15"/>
        <v>421.35452982741111</v>
      </c>
      <c r="H6" s="31">
        <f t="shared" si="1"/>
        <v>30259.601244898484</v>
      </c>
      <c r="I6" s="33">
        <f t="shared" si="1"/>
        <v>620.69393307731343</v>
      </c>
      <c r="J6" s="33">
        <f t="shared" si="1"/>
        <v>30880.2951779758</v>
      </c>
      <c r="K6" s="37">
        <f t="shared" si="2"/>
        <v>0.4730918719007311</v>
      </c>
      <c r="L6" s="36">
        <f>'[1]CB I'!$E6</f>
        <v>5240.7279829279996</v>
      </c>
      <c r="M6" s="31">
        <f t="shared" si="16"/>
        <v>5135.3893504711468</v>
      </c>
      <c r="N6" s="31">
        <f t="shared" si="17"/>
        <v>105.33863245685278</v>
      </c>
      <c r="O6" s="31">
        <f t="shared" si="18"/>
        <v>4938.093143235692</v>
      </c>
      <c r="P6" s="31">
        <f t="shared" si="19"/>
        <v>101.29163402289763</v>
      </c>
      <c r="Q6" s="31">
        <f>CS6*'[2]CAMBARÁ - CITROS'!$U$5</f>
        <v>5039.3847772585896</v>
      </c>
      <c r="R6" s="31">
        <f t="shared" si="3"/>
        <v>-3.8418938423306459E-2</v>
      </c>
      <c r="S6" s="31">
        <f>'[1]CB I'!$F6</f>
        <v>5240.7279829279996</v>
      </c>
      <c r="T6" s="31">
        <f t="shared" si="20"/>
        <v>5135.3893504711468</v>
      </c>
      <c r="U6" s="31">
        <f t="shared" si="21"/>
        <v>105.33863245685278</v>
      </c>
      <c r="V6" s="31">
        <f t="shared" si="22"/>
        <v>4661.6431407998361</v>
      </c>
      <c r="W6" s="31">
        <f t="shared" si="23"/>
        <v>95.621009419406761</v>
      </c>
      <c r="X6" s="31">
        <f>CT6*'[2]CAMBARÁ - CITROS'!$U$5</f>
        <v>4757.2641502192428</v>
      </c>
      <c r="Y6" s="31">
        <f t="shared" si="4"/>
        <v>-9.2251273922949406E-2</v>
      </c>
      <c r="Z6" s="31">
        <f>'[1]CB I'!$G6</f>
        <v>5240.7279829279996</v>
      </c>
      <c r="AA6" s="31">
        <f t="shared" si="24"/>
        <v>5135.3893504711468</v>
      </c>
      <c r="AB6" s="31">
        <f t="shared" si="25"/>
        <v>105.33863245685278</v>
      </c>
      <c r="AC6" s="31">
        <f t="shared" si="26"/>
        <v>4957.467436692621</v>
      </c>
      <c r="AD6" s="31">
        <f t="shared" si="27"/>
        <v>101.68904528780658</v>
      </c>
      <c r="AE6" s="31">
        <f>CU6*'[2]CAMBARÁ - CITROS'!$U$5</f>
        <v>5059.156481980428</v>
      </c>
      <c r="AF6" s="31">
        <f t="shared" si="5"/>
        <v>-3.4646236465439961E-2</v>
      </c>
      <c r="AG6" s="31">
        <f>'[1]CB I'!$H6</f>
        <v>5240.7279829279996</v>
      </c>
      <c r="AH6" s="31">
        <f t="shared" si="28"/>
        <v>5135.3893504711468</v>
      </c>
      <c r="AI6" s="31">
        <f t="shared" si="29"/>
        <v>105.33863245685278</v>
      </c>
      <c r="AJ6" s="31">
        <f t="shared" si="30"/>
        <v>5034.5907523832957</v>
      </c>
      <c r="AK6" s="31">
        <f t="shared" si="31"/>
        <v>103.27102165823474</v>
      </c>
      <c r="AL6" s="31">
        <f>CV6*'[2]CAMBARÁ - CITROS'!$U$5</f>
        <v>5137.8617740415302</v>
      </c>
      <c r="AM6" s="31">
        <f t="shared" si="6"/>
        <v>-1.9628228982989104E-2</v>
      </c>
      <c r="AN6" s="31">
        <f>'[1]CB I'!$I6</f>
        <v>5240.7279829279996</v>
      </c>
      <c r="AO6" s="31">
        <f t="shared" si="32"/>
        <v>5135.3893504711468</v>
      </c>
      <c r="AP6" s="31">
        <f t="shared" si="33"/>
        <v>105.33863245685278</v>
      </c>
      <c r="AQ6" s="31">
        <f t="shared" si="34"/>
        <v>5496.1125925969573</v>
      </c>
      <c r="AR6" s="31">
        <f t="shared" si="35"/>
        <v>112.7378947966107</v>
      </c>
      <c r="AS6" s="31">
        <v>5608.8504873935681</v>
      </c>
      <c r="AT6" s="31">
        <f t="shared" si="7"/>
        <v>7.0242627677824743E-2</v>
      </c>
      <c r="AU6" s="31">
        <f>'[1]CB I'!$J6</f>
        <v>5240.7279829279996</v>
      </c>
      <c r="AV6" s="31">
        <f t="shared" si="36"/>
        <v>5135.3893504711468</v>
      </c>
      <c r="AW6" s="31">
        <f t="shared" si="37"/>
        <v>105.33863245685278</v>
      </c>
      <c r="AX6" s="31">
        <f t="shared" si="38"/>
        <v>5171.6941791900836</v>
      </c>
      <c r="AY6" s="31">
        <f t="shared" si="39"/>
        <v>106.08332789235705</v>
      </c>
      <c r="AZ6" s="31">
        <v>5277.7775070824409</v>
      </c>
      <c r="BA6" s="31">
        <f t="shared" si="8"/>
        <v>7.069537719784913E-3</v>
      </c>
      <c r="BB6" s="31">
        <f>'[1]CB I'!$K6</f>
        <v>5240.7279829279996</v>
      </c>
      <c r="BC6" s="31">
        <f t="shared" si="40"/>
        <v>5135.3893504711468</v>
      </c>
      <c r="BD6" s="31">
        <f t="shared" si="41"/>
        <v>105.33863245685278</v>
      </c>
      <c r="BE6" s="31">
        <f t="shared" si="42"/>
        <v>0</v>
      </c>
      <c r="BF6" s="31">
        <f t="shared" si="43"/>
        <v>0</v>
      </c>
      <c r="BG6" s="31">
        <f>CY6*'[3]CAMBARÁ - CITROS'!$U$5</f>
        <v>0</v>
      </c>
      <c r="BH6" s="31">
        <f t="shared" si="9"/>
        <v>-1</v>
      </c>
      <c r="BI6" s="31">
        <f>'[1]CB I'!$L6</f>
        <v>5642.6920135622404</v>
      </c>
      <c r="BJ6" s="31">
        <f t="shared" si="44"/>
        <v>5529.2739040896395</v>
      </c>
      <c r="BK6" s="31">
        <f t="shared" si="45"/>
        <v>113.41810947260102</v>
      </c>
      <c r="BL6" s="31">
        <f t="shared" si="46"/>
        <v>0</v>
      </c>
      <c r="BM6" s="31">
        <f t="shared" si="47"/>
        <v>0</v>
      </c>
      <c r="BN6" s="31">
        <f>CZ6*'[3]CAMBARÁ - CITROS'!$U$5</f>
        <v>0</v>
      </c>
      <c r="BO6" s="31">
        <f t="shared" si="10"/>
        <v>-1</v>
      </c>
      <c r="BP6" s="31">
        <f>'[1]CB I'!$M6</f>
        <v>5642.6920135622404</v>
      </c>
      <c r="BQ6" s="31">
        <f t="shared" si="48"/>
        <v>5529.2739040896395</v>
      </c>
      <c r="BR6" s="31">
        <f t="shared" si="49"/>
        <v>113.41810947260102</v>
      </c>
      <c r="BS6" s="31">
        <f t="shared" si="50"/>
        <v>0</v>
      </c>
      <c r="BT6" s="31">
        <f t="shared" si="51"/>
        <v>0</v>
      </c>
      <c r="BU6" s="31">
        <f>DA6*'[3]CAMBARÁ - CITROS'!$U$5</f>
        <v>0</v>
      </c>
      <c r="BV6" s="31">
        <f t="shared" si="11"/>
        <v>-1</v>
      </c>
      <c r="BW6" s="31">
        <f>'[1]CB I'!$N6</f>
        <v>5642.6920135622404</v>
      </c>
      <c r="BX6" s="31">
        <f t="shared" si="52"/>
        <v>5529.2739040896395</v>
      </c>
      <c r="BY6" s="31">
        <f t="shared" si="53"/>
        <v>113.41810947260102</v>
      </c>
      <c r="BZ6" s="31">
        <f t="shared" si="54"/>
        <v>0</v>
      </c>
      <c r="CA6" s="31">
        <f t="shared" si="55"/>
        <v>0</v>
      </c>
      <c r="CB6" s="31">
        <f>DB6*'[3]CAMBARÁ - CITROS'!$U$5</f>
        <v>0</v>
      </c>
      <c r="CC6" s="31">
        <f t="shared" si="12"/>
        <v>-1</v>
      </c>
      <c r="CD6" s="31">
        <f>'[1]CB I'!$O6</f>
        <v>5642.6920135622404</v>
      </c>
      <c r="CE6" s="31">
        <f t="shared" si="56"/>
        <v>5529.2739040896395</v>
      </c>
      <c r="CF6" s="31">
        <f t="shared" si="57"/>
        <v>113.41810947260102</v>
      </c>
      <c r="CG6" s="31">
        <f t="shared" si="58"/>
        <v>0</v>
      </c>
      <c r="CH6" s="31">
        <f t="shared" si="59"/>
        <v>0</v>
      </c>
      <c r="CI6" s="31">
        <f>DC6*'[3]CAMBARÁ - CITROS'!$U$5</f>
        <v>0</v>
      </c>
      <c r="CJ6" s="31">
        <f t="shared" si="13"/>
        <v>-1</v>
      </c>
      <c r="CK6" s="31">
        <f>'[1]CB I'!$P6</f>
        <v>5642.6920135622404</v>
      </c>
      <c r="CL6" s="31">
        <f t="shared" si="60"/>
        <v>5529.2739040896395</v>
      </c>
      <c r="CM6" s="31">
        <f t="shared" si="61"/>
        <v>113.41810947260102</v>
      </c>
      <c r="CN6" s="31">
        <f t="shared" si="62"/>
        <v>0</v>
      </c>
      <c r="CO6" s="31">
        <f t="shared" si="63"/>
        <v>0</v>
      </c>
      <c r="CP6" s="31">
        <f>DD6*'[3]CAMBARÁ - CITROS'!$U$5</f>
        <v>0</v>
      </c>
      <c r="CQ6" s="31">
        <f t="shared" si="14"/>
        <v>-1</v>
      </c>
      <c r="CS6" s="197">
        <v>8189.25</v>
      </c>
      <c r="CT6" s="197">
        <v>7730.79</v>
      </c>
      <c r="CU6" s="197">
        <v>8221.3799999999992</v>
      </c>
      <c r="CV6" s="197">
        <f>8066.17+283.11</f>
        <v>8349.2800000000007</v>
      </c>
      <c r="CW6" s="197"/>
      <c r="CX6" s="197"/>
      <c r="CY6" s="197"/>
      <c r="CZ6" s="27"/>
      <c r="DA6" s="197"/>
      <c r="DB6" s="197"/>
      <c r="DC6" s="197"/>
      <c r="DD6" s="197"/>
      <c r="DE6" s="198"/>
      <c r="DF6" s="198"/>
    </row>
    <row r="7" spans="1:110" s="26" customFormat="1" ht="14.25" customHeight="1" x14ac:dyDescent="0.2">
      <c r="A7" s="29" t="s">
        <v>31</v>
      </c>
      <c r="B7" s="30">
        <f t="shared" si="0"/>
        <v>50352.327890927991</v>
      </c>
      <c r="C7" s="31">
        <f t="shared" si="0"/>
        <v>49340.246100320335</v>
      </c>
      <c r="D7" s="32">
        <f t="shared" si="0"/>
        <v>1012.0817906076522</v>
      </c>
      <c r="E7" s="30">
        <f t="shared" si="15"/>
        <v>16264.328222879998</v>
      </c>
      <c r="F7" s="33">
        <f t="shared" si="15"/>
        <v>15937.415225600111</v>
      </c>
      <c r="G7" s="34">
        <f t="shared" si="15"/>
        <v>326.91299727988792</v>
      </c>
      <c r="H7" s="31">
        <f t="shared" si="1"/>
        <v>21149.757809702471</v>
      </c>
      <c r="I7" s="33">
        <f t="shared" si="1"/>
        <v>433.83011733342141</v>
      </c>
      <c r="J7" s="33">
        <f t="shared" si="1"/>
        <v>21583.587927035893</v>
      </c>
      <c r="K7" s="37">
        <f t="shared" si="2"/>
        <v>0.32705068609430632</v>
      </c>
      <c r="L7" s="36">
        <f>'[1]CB I'!$E7</f>
        <v>4066.0820557199995</v>
      </c>
      <c r="M7" s="31">
        <f t="shared" si="16"/>
        <v>3984.3538064000277</v>
      </c>
      <c r="N7" s="31">
        <f t="shared" si="17"/>
        <v>81.72824931997198</v>
      </c>
      <c r="O7" s="31">
        <f t="shared" si="18"/>
        <v>3584.5156381798788</v>
      </c>
      <c r="P7" s="31">
        <f t="shared" si="19"/>
        <v>73.526649992259976</v>
      </c>
      <c r="Q7" s="31">
        <f>CS7*'[2]CAMBARÁ - CITROS'!$U$5</f>
        <v>3658.0422881721388</v>
      </c>
      <c r="R7" s="31">
        <f t="shared" si="3"/>
        <v>-0.10035207404972235</v>
      </c>
      <c r="S7" s="31">
        <f>'[1]CB I'!$F7</f>
        <v>4066.0820557199995</v>
      </c>
      <c r="T7" s="31">
        <f t="shared" si="20"/>
        <v>3984.3538064000277</v>
      </c>
      <c r="U7" s="31">
        <f t="shared" si="21"/>
        <v>81.72824931997198</v>
      </c>
      <c r="V7" s="31">
        <f t="shared" si="22"/>
        <v>3254.597892176454</v>
      </c>
      <c r="W7" s="31">
        <f t="shared" si="23"/>
        <v>66.7592791435317</v>
      </c>
      <c r="X7" s="31">
        <f>CT7*'[2]CAMBARÁ - CITROS'!$U$5</f>
        <v>3321.3571713199858</v>
      </c>
      <c r="Y7" s="31">
        <f t="shared" si="4"/>
        <v>-0.18315539976680129</v>
      </c>
      <c r="Z7" s="31">
        <f>'[1]CB I'!$G7</f>
        <v>4066.0820557199995</v>
      </c>
      <c r="AA7" s="31">
        <f t="shared" si="24"/>
        <v>3984.3538064000277</v>
      </c>
      <c r="AB7" s="31">
        <f t="shared" si="25"/>
        <v>81.72824931997198</v>
      </c>
      <c r="AC7" s="31">
        <f t="shared" si="26"/>
        <v>3405.8476284914782</v>
      </c>
      <c r="AD7" s="31">
        <f t="shared" si="27"/>
        <v>69.861758682190725</v>
      </c>
      <c r="AE7" s="31">
        <f>CU7*'[2]CAMBARÁ - CITROS'!$U$5</f>
        <v>3475.7093871736688</v>
      </c>
      <c r="AF7" s="31">
        <f t="shared" si="5"/>
        <v>-0.14519447971194244</v>
      </c>
      <c r="AG7" s="31">
        <f>'[1]CB I'!$H7</f>
        <v>4066.0820557199995</v>
      </c>
      <c r="AH7" s="31">
        <f t="shared" si="28"/>
        <v>3984.3538064000277</v>
      </c>
      <c r="AI7" s="31">
        <f t="shared" si="29"/>
        <v>81.72824931997198</v>
      </c>
      <c r="AJ7" s="31">
        <f t="shared" si="30"/>
        <v>3488.9948841645578</v>
      </c>
      <c r="AK7" s="31">
        <f t="shared" si="31"/>
        <v>71.567299899691392</v>
      </c>
      <c r="AL7" s="31">
        <f>CV7*'[2]CAMBARÁ - CITROS'!$U$5</f>
        <v>3560.5621840642493</v>
      </c>
      <c r="AM7" s="31">
        <f t="shared" si="6"/>
        <v>-0.12432603787338858</v>
      </c>
      <c r="AN7" s="31">
        <f>'[1]CB I'!$I7</f>
        <v>4066.0820557199995</v>
      </c>
      <c r="AO7" s="31">
        <f t="shared" si="32"/>
        <v>3984.3538064000277</v>
      </c>
      <c r="AP7" s="31">
        <f t="shared" si="33"/>
        <v>81.72824931997198</v>
      </c>
      <c r="AQ7" s="31">
        <f t="shared" si="34"/>
        <v>3822.2713234314465</v>
      </c>
      <c r="AR7" s="31">
        <f t="shared" si="35"/>
        <v>78.403565262753403</v>
      </c>
      <c r="AS7" s="31">
        <v>3900.6748886942</v>
      </c>
      <c r="AT7" s="31">
        <f t="shared" si="7"/>
        <v>-4.0679741519999868E-2</v>
      </c>
      <c r="AU7" s="31">
        <f>'[1]CB I'!$J7</f>
        <v>4066.0820557199995</v>
      </c>
      <c r="AV7" s="31">
        <f t="shared" si="36"/>
        <v>3984.3538064000277</v>
      </c>
      <c r="AW7" s="31">
        <f t="shared" si="37"/>
        <v>81.72824931997198</v>
      </c>
      <c r="AX7" s="31">
        <f t="shared" si="38"/>
        <v>3593.5304432586554</v>
      </c>
      <c r="AY7" s="31">
        <f t="shared" si="39"/>
        <v>73.711564352994145</v>
      </c>
      <c r="AZ7" s="31">
        <v>3667.2420076116496</v>
      </c>
      <c r="BA7" s="31">
        <f t="shared" si="8"/>
        <v>-9.8089522700919862E-2</v>
      </c>
      <c r="BB7" s="31">
        <f>'[1]CB I'!$K7</f>
        <v>4066.0820557199995</v>
      </c>
      <c r="BC7" s="31">
        <f t="shared" si="40"/>
        <v>3984.3538064000277</v>
      </c>
      <c r="BD7" s="31">
        <f t="shared" si="41"/>
        <v>81.72824931997198</v>
      </c>
      <c r="BE7" s="31">
        <f t="shared" si="42"/>
        <v>0</v>
      </c>
      <c r="BF7" s="31">
        <f t="shared" si="43"/>
        <v>0</v>
      </c>
      <c r="BG7" s="31">
        <f>CY7*'[3]CAMBARÁ - CITROS'!$U$5</f>
        <v>0</v>
      </c>
      <c r="BH7" s="31">
        <f t="shared" si="9"/>
        <v>-1</v>
      </c>
      <c r="BI7" s="31">
        <f>'[1]CB I'!$L7</f>
        <v>4377.9507001775992</v>
      </c>
      <c r="BJ7" s="31">
        <f t="shared" si="44"/>
        <v>4289.953891104029</v>
      </c>
      <c r="BK7" s="31">
        <f t="shared" si="45"/>
        <v>87.996809073569722</v>
      </c>
      <c r="BL7" s="31">
        <f t="shared" si="46"/>
        <v>0</v>
      </c>
      <c r="BM7" s="31">
        <f t="shared" si="47"/>
        <v>0</v>
      </c>
      <c r="BN7" s="31">
        <f>CZ7*'[3]CAMBARÁ - CITROS'!$U$5</f>
        <v>0</v>
      </c>
      <c r="BO7" s="31">
        <f t="shared" si="10"/>
        <v>-1</v>
      </c>
      <c r="BP7" s="31">
        <f>'[1]CB I'!$M7</f>
        <v>4377.9507001775992</v>
      </c>
      <c r="BQ7" s="31">
        <f t="shared" si="48"/>
        <v>4289.953891104029</v>
      </c>
      <c r="BR7" s="31">
        <f t="shared" si="49"/>
        <v>87.996809073569722</v>
      </c>
      <c r="BS7" s="31">
        <f t="shared" si="50"/>
        <v>0</v>
      </c>
      <c r="BT7" s="31">
        <f t="shared" si="51"/>
        <v>0</v>
      </c>
      <c r="BU7" s="31">
        <f>DA7*'[3]CAMBARÁ - CITROS'!$U$5</f>
        <v>0</v>
      </c>
      <c r="BV7" s="31">
        <f t="shared" si="11"/>
        <v>-1</v>
      </c>
      <c r="BW7" s="31">
        <f>'[1]CB I'!$N7</f>
        <v>4377.9507001775992</v>
      </c>
      <c r="BX7" s="31">
        <f t="shared" si="52"/>
        <v>4289.953891104029</v>
      </c>
      <c r="BY7" s="31">
        <f t="shared" si="53"/>
        <v>87.996809073569722</v>
      </c>
      <c r="BZ7" s="31">
        <f t="shared" si="54"/>
        <v>0</v>
      </c>
      <c r="CA7" s="31">
        <f t="shared" si="55"/>
        <v>0</v>
      </c>
      <c r="CB7" s="31">
        <f>DB7*'[3]CAMBARÁ - CITROS'!$U$5</f>
        <v>0</v>
      </c>
      <c r="CC7" s="31">
        <f t="shared" si="12"/>
        <v>-1</v>
      </c>
      <c r="CD7" s="31">
        <f>'[1]CB I'!$O7</f>
        <v>4377.9507001775992</v>
      </c>
      <c r="CE7" s="31">
        <f t="shared" si="56"/>
        <v>4289.953891104029</v>
      </c>
      <c r="CF7" s="31">
        <f t="shared" si="57"/>
        <v>87.996809073569722</v>
      </c>
      <c r="CG7" s="31">
        <f t="shared" si="58"/>
        <v>0</v>
      </c>
      <c r="CH7" s="31">
        <f t="shared" si="59"/>
        <v>0</v>
      </c>
      <c r="CI7" s="31">
        <f>DC7*'[3]CAMBARÁ - CITROS'!$U$5</f>
        <v>0</v>
      </c>
      <c r="CJ7" s="31">
        <f t="shared" si="13"/>
        <v>-1</v>
      </c>
      <c r="CK7" s="31">
        <f>'[1]CB I'!$P7</f>
        <v>4377.9507001775992</v>
      </c>
      <c r="CL7" s="31">
        <f t="shared" si="60"/>
        <v>4289.953891104029</v>
      </c>
      <c r="CM7" s="31">
        <f t="shared" si="61"/>
        <v>87.996809073569722</v>
      </c>
      <c r="CN7" s="31">
        <f t="shared" si="62"/>
        <v>0</v>
      </c>
      <c r="CO7" s="31">
        <f t="shared" si="63"/>
        <v>0</v>
      </c>
      <c r="CP7" s="31">
        <f>DD7*'[3]CAMBARÁ - CITROS'!$U$5</f>
        <v>0</v>
      </c>
      <c r="CQ7" s="31">
        <f t="shared" si="14"/>
        <v>-1</v>
      </c>
      <c r="CS7" s="197">
        <v>5944.5</v>
      </c>
      <c r="CT7" s="197">
        <v>5397.37</v>
      </c>
      <c r="CU7" s="197">
        <v>5648.2</v>
      </c>
      <c r="CV7" s="197">
        <f>5786.09</f>
        <v>5786.09</v>
      </c>
      <c r="CW7" s="197"/>
      <c r="CX7" s="197"/>
      <c r="CY7" s="197"/>
      <c r="CZ7" s="27"/>
      <c r="DA7" s="197"/>
      <c r="DB7" s="197"/>
      <c r="DC7" s="197"/>
      <c r="DD7" s="197"/>
      <c r="DE7" s="198"/>
      <c r="DF7" s="198"/>
    </row>
    <row r="8" spans="1:110" s="26" customFormat="1" ht="14.25" customHeight="1" x14ac:dyDescent="0.2">
      <c r="A8" s="38" t="s">
        <v>32</v>
      </c>
      <c r="B8" s="30">
        <f t="shared" si="0"/>
        <v>45918.263147407197</v>
      </c>
      <c r="C8" s="31">
        <f t="shared" si="0"/>
        <v>44995.306058144313</v>
      </c>
      <c r="D8" s="32">
        <f t="shared" si="0"/>
        <v>922.95708926288444</v>
      </c>
      <c r="E8" s="30">
        <f t="shared" si="15"/>
        <v>0</v>
      </c>
      <c r="F8" s="33">
        <f t="shared" si="15"/>
        <v>0</v>
      </c>
      <c r="G8" s="34">
        <f t="shared" si="15"/>
        <v>0</v>
      </c>
      <c r="H8" s="31">
        <f t="shared" si="1"/>
        <v>2085.0430101267366</v>
      </c>
      <c r="I8" s="33">
        <f t="shared" si="1"/>
        <v>42.769021842583321</v>
      </c>
      <c r="J8" s="33">
        <f t="shared" si="1"/>
        <v>2127.8120319693198</v>
      </c>
      <c r="K8" s="37" t="str">
        <f t="shared" si="2"/>
        <v/>
      </c>
      <c r="L8" s="36">
        <f>'[1]CB I'!$E8</f>
        <v>0</v>
      </c>
      <c r="M8" s="31">
        <f t="shared" si="16"/>
        <v>0</v>
      </c>
      <c r="N8" s="31">
        <f t="shared" si="17"/>
        <v>0</v>
      </c>
      <c r="O8" s="31">
        <f t="shared" si="18"/>
        <v>0</v>
      </c>
      <c r="P8" s="31">
        <f t="shared" si="19"/>
        <v>0</v>
      </c>
      <c r="Q8" s="31">
        <f>CS8*'[2]CAMBARÁ - CITROS'!$U$5</f>
        <v>0</v>
      </c>
      <c r="R8" s="31" t="str">
        <f t="shared" si="3"/>
        <v/>
      </c>
      <c r="S8" s="31">
        <f>'[1]CB I'!$F8</f>
        <v>0</v>
      </c>
      <c r="T8" s="31">
        <f t="shared" si="20"/>
        <v>0</v>
      </c>
      <c r="U8" s="31">
        <f t="shared" si="21"/>
        <v>0</v>
      </c>
      <c r="V8" s="31">
        <f t="shared" si="22"/>
        <v>0</v>
      </c>
      <c r="W8" s="31">
        <f t="shared" si="23"/>
        <v>0</v>
      </c>
      <c r="X8" s="31">
        <f>CT8*'[2]CAMBARÁ - CITROS'!$U$5</f>
        <v>0</v>
      </c>
      <c r="Y8" s="31" t="str">
        <f t="shared" si="4"/>
        <v/>
      </c>
      <c r="Z8" s="31">
        <f>'[1]CB I'!$G8</f>
        <v>0</v>
      </c>
      <c r="AA8" s="31">
        <f t="shared" si="24"/>
        <v>0</v>
      </c>
      <c r="AB8" s="31">
        <f t="shared" si="25"/>
        <v>0</v>
      </c>
      <c r="AC8" s="31">
        <f t="shared" si="26"/>
        <v>0</v>
      </c>
      <c r="AD8" s="31">
        <f t="shared" si="27"/>
        <v>0</v>
      </c>
      <c r="AE8" s="31">
        <f>CU8*'[2]CAMBARÁ - CITROS'!$U$5</f>
        <v>0</v>
      </c>
      <c r="AF8" s="31" t="str">
        <f t="shared" si="5"/>
        <v/>
      </c>
      <c r="AG8" s="31">
        <f>'[1]CB I'!$H8</f>
        <v>0</v>
      </c>
      <c r="AH8" s="31">
        <f t="shared" si="28"/>
        <v>0</v>
      </c>
      <c r="AI8" s="31">
        <f t="shared" si="29"/>
        <v>0</v>
      </c>
      <c r="AJ8" s="31">
        <f t="shared" si="30"/>
        <v>0</v>
      </c>
      <c r="AK8" s="31">
        <f t="shared" si="31"/>
        <v>0</v>
      </c>
      <c r="AL8" s="31">
        <f>CV8*'[2]CAMBARÁ - CITROS'!$U$5</f>
        <v>0</v>
      </c>
      <c r="AM8" s="31" t="str">
        <f t="shared" si="6"/>
        <v/>
      </c>
      <c r="AN8" s="31">
        <f>'[1]CB I'!$I8</f>
        <v>0</v>
      </c>
      <c r="AO8" s="31">
        <f t="shared" si="32"/>
        <v>0</v>
      </c>
      <c r="AP8" s="31">
        <f t="shared" si="33"/>
        <v>0</v>
      </c>
      <c r="AQ8" s="31">
        <f t="shared" si="34"/>
        <v>2085.0430101267366</v>
      </c>
      <c r="AR8" s="31">
        <f t="shared" si="35"/>
        <v>42.769021842583321</v>
      </c>
      <c r="AS8" s="31">
        <v>2127.8120319693198</v>
      </c>
      <c r="AT8" s="31" t="str">
        <f t="shared" si="7"/>
        <v/>
      </c>
      <c r="AU8" s="31">
        <f>'[1]CB I'!$J8</f>
        <v>0</v>
      </c>
      <c r="AV8" s="31">
        <f t="shared" si="36"/>
        <v>0</v>
      </c>
      <c r="AW8" s="31">
        <f t="shared" si="37"/>
        <v>0</v>
      </c>
      <c r="AX8" s="31">
        <f t="shared" si="38"/>
        <v>0</v>
      </c>
      <c r="AY8" s="31">
        <f t="shared" si="39"/>
        <v>0</v>
      </c>
      <c r="AZ8" s="31">
        <v>0</v>
      </c>
      <c r="BA8" s="31" t="str">
        <f t="shared" si="8"/>
        <v/>
      </c>
      <c r="BB8" s="31">
        <f>'[1]CB I'!$K8</f>
        <v>45918.263147407197</v>
      </c>
      <c r="BC8" s="31">
        <f t="shared" si="40"/>
        <v>44995.306058144313</v>
      </c>
      <c r="BD8" s="31">
        <f t="shared" si="41"/>
        <v>922.95708926288444</v>
      </c>
      <c r="BE8" s="31">
        <f t="shared" si="42"/>
        <v>0</v>
      </c>
      <c r="BF8" s="31">
        <f t="shared" si="43"/>
        <v>0</v>
      </c>
      <c r="BG8" s="31">
        <f>CY8*'[3]CAMBARÁ - CITROS'!$U$5</f>
        <v>0</v>
      </c>
      <c r="BH8" s="31">
        <f t="shared" si="9"/>
        <v>-1</v>
      </c>
      <c r="BI8" s="31">
        <f>'[1]CB I'!$L8</f>
        <v>0</v>
      </c>
      <c r="BJ8" s="31">
        <f t="shared" si="44"/>
        <v>0</v>
      </c>
      <c r="BK8" s="31">
        <f t="shared" si="45"/>
        <v>0</v>
      </c>
      <c r="BL8" s="31">
        <f t="shared" si="46"/>
        <v>0</v>
      </c>
      <c r="BM8" s="31">
        <f t="shared" si="47"/>
        <v>0</v>
      </c>
      <c r="BN8" s="31">
        <f>CZ8*'[3]CAMBARÁ - CITROS'!$U$5</f>
        <v>0</v>
      </c>
      <c r="BO8" s="31" t="str">
        <f t="shared" si="10"/>
        <v/>
      </c>
      <c r="BP8" s="31">
        <f>'[1]CB I'!$M8</f>
        <v>0</v>
      </c>
      <c r="BQ8" s="31">
        <f t="shared" si="48"/>
        <v>0</v>
      </c>
      <c r="BR8" s="31">
        <f t="shared" si="49"/>
        <v>0</v>
      </c>
      <c r="BS8" s="31">
        <f t="shared" si="50"/>
        <v>0</v>
      </c>
      <c r="BT8" s="31">
        <f t="shared" si="51"/>
        <v>0</v>
      </c>
      <c r="BU8" s="31">
        <f>DA8*'[3]CAMBARÁ - CITROS'!$U$5</f>
        <v>0</v>
      </c>
      <c r="BV8" s="31" t="str">
        <f t="shared" si="11"/>
        <v/>
      </c>
      <c r="BW8" s="31">
        <f>'[1]CB I'!$N8</f>
        <v>0</v>
      </c>
      <c r="BX8" s="31">
        <f t="shared" si="52"/>
        <v>0</v>
      </c>
      <c r="BY8" s="31">
        <f t="shared" si="53"/>
        <v>0</v>
      </c>
      <c r="BZ8" s="31">
        <f t="shared" si="54"/>
        <v>0</v>
      </c>
      <c r="CA8" s="31">
        <f t="shared" si="55"/>
        <v>0</v>
      </c>
      <c r="CB8" s="31">
        <f>DB8*'[3]CAMBARÁ - CITROS'!$U$5</f>
        <v>0</v>
      </c>
      <c r="CC8" s="31" t="str">
        <f t="shared" si="12"/>
        <v/>
      </c>
      <c r="CD8" s="31">
        <f>'[1]CB I'!$O8</f>
        <v>0</v>
      </c>
      <c r="CE8" s="31">
        <f t="shared" si="56"/>
        <v>0</v>
      </c>
      <c r="CF8" s="31">
        <f t="shared" si="57"/>
        <v>0</v>
      </c>
      <c r="CG8" s="31">
        <f t="shared" si="58"/>
        <v>0</v>
      </c>
      <c r="CH8" s="31">
        <f t="shared" si="59"/>
        <v>0</v>
      </c>
      <c r="CI8" s="31">
        <f>DC8*'[3]CAMBARÁ - CITROS'!$U$5</f>
        <v>0</v>
      </c>
      <c r="CJ8" s="31" t="str">
        <f t="shared" si="13"/>
        <v/>
      </c>
      <c r="CK8" s="31">
        <f>'[1]CB I'!$P8</f>
        <v>0</v>
      </c>
      <c r="CL8" s="31">
        <f t="shared" si="60"/>
        <v>0</v>
      </c>
      <c r="CM8" s="31">
        <f t="shared" si="61"/>
        <v>0</v>
      </c>
      <c r="CN8" s="31">
        <f t="shared" si="62"/>
        <v>0</v>
      </c>
      <c r="CO8" s="31">
        <f t="shared" si="63"/>
        <v>0</v>
      </c>
      <c r="CP8" s="31">
        <f>DD8*'[3]CAMBARÁ - CITROS'!$U$5</f>
        <v>0</v>
      </c>
      <c r="CQ8" s="31" t="str">
        <f t="shared" si="14"/>
        <v/>
      </c>
      <c r="CS8" s="197"/>
      <c r="CT8" s="197"/>
      <c r="CU8" s="197"/>
      <c r="CV8" s="197"/>
      <c r="CW8" s="197"/>
      <c r="CX8" s="197"/>
      <c r="CY8" s="197"/>
      <c r="CZ8" s="27"/>
      <c r="DA8" s="197"/>
      <c r="DB8" s="197"/>
      <c r="DC8" s="197"/>
      <c r="DD8" s="197"/>
      <c r="DE8" s="198"/>
      <c r="DF8" s="198"/>
    </row>
    <row r="9" spans="1:110" s="26" customFormat="1" ht="14.25" customHeight="1" x14ac:dyDescent="0.2">
      <c r="A9" s="38" t="s">
        <v>33</v>
      </c>
      <c r="B9" s="30">
        <f t="shared" si="0"/>
        <v>37484.510763246391</v>
      </c>
      <c r="C9" s="31">
        <f t="shared" si="0"/>
        <v>36731.072096905147</v>
      </c>
      <c r="D9" s="32">
        <f t="shared" si="0"/>
        <v>753.43866634125243</v>
      </c>
      <c r="E9" s="30">
        <f t="shared" si="15"/>
        <v>12107.888788144001</v>
      </c>
      <c r="F9" s="33">
        <f t="shared" si="15"/>
        <v>11864.520223502306</v>
      </c>
      <c r="G9" s="34">
        <f t="shared" si="15"/>
        <v>243.36856464169438</v>
      </c>
      <c r="H9" s="31">
        <f t="shared" si="1"/>
        <v>12077.939365026032</v>
      </c>
      <c r="I9" s="33">
        <f t="shared" si="1"/>
        <v>247.74628149507416</v>
      </c>
      <c r="J9" s="33">
        <f t="shared" si="1"/>
        <v>12325.685646521106</v>
      </c>
      <c r="K9" s="37">
        <f t="shared" si="2"/>
        <v>1.7988012789675656E-2</v>
      </c>
      <c r="L9" s="36">
        <f>'[1]CB I'!$E9</f>
        <v>3026.9721970360001</v>
      </c>
      <c r="M9" s="31">
        <f t="shared" si="16"/>
        <v>2966.1300558755765</v>
      </c>
      <c r="N9" s="31">
        <f t="shared" si="17"/>
        <v>60.842141160423594</v>
      </c>
      <c r="O9" s="31">
        <f t="shared" si="18"/>
        <v>8175.0654332414006</v>
      </c>
      <c r="P9" s="31">
        <f t="shared" si="19"/>
        <v>167.68937157684672</v>
      </c>
      <c r="Q9" s="31">
        <f>CS9*'[2]CAMBARÁ - CITROS'!$U$5</f>
        <v>8342.7548048182471</v>
      </c>
      <c r="R9" s="31">
        <f t="shared" si="3"/>
        <v>1.7561385641359513</v>
      </c>
      <c r="S9" s="31">
        <f>'[1]CB I'!$F9</f>
        <v>3026.9721970360001</v>
      </c>
      <c r="T9" s="31">
        <f t="shared" si="20"/>
        <v>2966.1300558755765</v>
      </c>
      <c r="U9" s="31">
        <f t="shared" si="21"/>
        <v>60.842141160423594</v>
      </c>
      <c r="V9" s="31">
        <f t="shared" si="22"/>
        <v>3759.9334940639578</v>
      </c>
      <c r="W9" s="31">
        <f t="shared" si="23"/>
        <v>77.124873181636431</v>
      </c>
      <c r="X9" s="31">
        <f>CT9*'[2]CAMBARÁ - CITROS'!$U$5</f>
        <v>3837.0583672455941</v>
      </c>
      <c r="Y9" s="31">
        <f t="shared" si="4"/>
        <v>0.26762260023492357</v>
      </c>
      <c r="Z9" s="31">
        <f>'[1]CB I'!$G9</f>
        <v>3026.9721970360001</v>
      </c>
      <c r="AA9" s="31">
        <f t="shared" si="24"/>
        <v>2966.1300558755765</v>
      </c>
      <c r="AB9" s="31">
        <f t="shared" si="25"/>
        <v>60.842141160423594</v>
      </c>
      <c r="AC9" s="31">
        <f t="shared" si="26"/>
        <v>142.94043772067292</v>
      </c>
      <c r="AD9" s="31">
        <f t="shared" si="27"/>
        <v>2.9320367365910047</v>
      </c>
      <c r="AE9" s="31">
        <f>CU9*'[2]CAMBARÁ - CITROS'!$U$5</f>
        <v>145.87247445726393</v>
      </c>
      <c r="AF9" s="31">
        <f t="shared" si="5"/>
        <v>-0.95180911321217232</v>
      </c>
      <c r="AG9" s="31">
        <f>'[1]CB I'!$H9</f>
        <v>3026.9721970360001</v>
      </c>
      <c r="AH9" s="31">
        <f t="shared" si="28"/>
        <v>2966.1300558755765</v>
      </c>
      <c r="AI9" s="31">
        <f t="shared" si="29"/>
        <v>60.842141160423594</v>
      </c>
      <c r="AJ9" s="31">
        <f t="shared" si="30"/>
        <v>0</v>
      </c>
      <c r="AK9" s="31">
        <f t="shared" si="31"/>
        <v>0</v>
      </c>
      <c r="AL9" s="31">
        <f>CV9*'[2]CAMBARÁ - CITROS'!$U$5</f>
        <v>0</v>
      </c>
      <c r="AM9" s="31">
        <f t="shared" si="6"/>
        <v>-1</v>
      </c>
      <c r="AN9" s="31">
        <f>'[1]CB I'!$I9</f>
        <v>3026.9721970360001</v>
      </c>
      <c r="AO9" s="31">
        <f t="shared" si="32"/>
        <v>2966.1300558755765</v>
      </c>
      <c r="AP9" s="31">
        <f t="shared" si="33"/>
        <v>60.842141160423594</v>
      </c>
      <c r="AQ9" s="31">
        <f t="shared" si="34"/>
        <v>0</v>
      </c>
      <c r="AR9" s="31">
        <f t="shared" si="35"/>
        <v>0</v>
      </c>
      <c r="AS9" s="31">
        <v>0</v>
      </c>
      <c r="AT9" s="31">
        <f t="shared" si="7"/>
        <v>-1</v>
      </c>
      <c r="AU9" s="31">
        <f>'[1]CB I'!$J9</f>
        <v>3026.9721970360001</v>
      </c>
      <c r="AV9" s="31">
        <f t="shared" si="36"/>
        <v>2966.1300558755765</v>
      </c>
      <c r="AW9" s="31">
        <f t="shared" si="37"/>
        <v>60.842141160423594</v>
      </c>
      <c r="AX9" s="31">
        <f t="shared" si="38"/>
        <v>0</v>
      </c>
      <c r="AY9" s="31">
        <f t="shared" si="39"/>
        <v>0</v>
      </c>
      <c r="AZ9" s="31">
        <v>0</v>
      </c>
      <c r="BA9" s="31">
        <f t="shared" si="8"/>
        <v>-1</v>
      </c>
      <c r="BB9" s="31">
        <f>'[1]CB I'!$K9</f>
        <v>3026.9721970360001</v>
      </c>
      <c r="BC9" s="31">
        <f t="shared" si="40"/>
        <v>2966.1300558755765</v>
      </c>
      <c r="BD9" s="31">
        <f t="shared" si="41"/>
        <v>60.842141160423594</v>
      </c>
      <c r="BE9" s="31">
        <f t="shared" si="42"/>
        <v>0</v>
      </c>
      <c r="BF9" s="31">
        <f t="shared" si="43"/>
        <v>0</v>
      </c>
      <c r="BG9" s="31">
        <f>CY9*'[3]CAMBARÁ - CITROS'!$U$5</f>
        <v>0</v>
      </c>
      <c r="BH9" s="31">
        <f t="shared" si="9"/>
        <v>-1</v>
      </c>
      <c r="BI9" s="31">
        <f>'[1]CB I'!$L9</f>
        <v>3259.14107679888</v>
      </c>
      <c r="BJ9" s="31">
        <f t="shared" si="44"/>
        <v>3193.6323411552225</v>
      </c>
      <c r="BK9" s="31">
        <f t="shared" si="45"/>
        <v>65.508735643657474</v>
      </c>
      <c r="BL9" s="31">
        <f t="shared" si="46"/>
        <v>0</v>
      </c>
      <c r="BM9" s="31">
        <f t="shared" si="47"/>
        <v>0</v>
      </c>
      <c r="BN9" s="31">
        <f>CZ9*'[3]CAMBARÁ - CITROS'!$U$5</f>
        <v>0</v>
      </c>
      <c r="BO9" s="31">
        <f t="shared" si="10"/>
        <v>-1</v>
      </c>
      <c r="BP9" s="31">
        <f>'[1]CB I'!$M9</f>
        <v>3259.14107679888</v>
      </c>
      <c r="BQ9" s="31">
        <f t="shared" si="48"/>
        <v>3193.6323411552225</v>
      </c>
      <c r="BR9" s="31">
        <f t="shared" si="49"/>
        <v>65.508735643657474</v>
      </c>
      <c r="BS9" s="31">
        <f t="shared" si="50"/>
        <v>0</v>
      </c>
      <c r="BT9" s="31">
        <f t="shared" si="51"/>
        <v>0</v>
      </c>
      <c r="BU9" s="31">
        <f>DA9*'[3]CAMBARÁ - CITROS'!$U$5</f>
        <v>0</v>
      </c>
      <c r="BV9" s="31">
        <f t="shared" si="11"/>
        <v>-1</v>
      </c>
      <c r="BW9" s="31">
        <f>'[1]CB I'!$N9</f>
        <v>3259.14107679888</v>
      </c>
      <c r="BX9" s="31">
        <f t="shared" si="52"/>
        <v>3193.6323411552225</v>
      </c>
      <c r="BY9" s="31">
        <f t="shared" si="53"/>
        <v>65.508735643657474</v>
      </c>
      <c r="BZ9" s="31">
        <f t="shared" si="54"/>
        <v>0</v>
      </c>
      <c r="CA9" s="31">
        <f t="shared" si="55"/>
        <v>0</v>
      </c>
      <c r="CB9" s="31">
        <f>DB9*'[3]CAMBARÁ - CITROS'!$U$5</f>
        <v>0</v>
      </c>
      <c r="CC9" s="31">
        <f t="shared" si="12"/>
        <v>-1</v>
      </c>
      <c r="CD9" s="31">
        <f>'[1]CB I'!$O9</f>
        <v>3259.14107679888</v>
      </c>
      <c r="CE9" s="31">
        <f t="shared" si="56"/>
        <v>3193.6323411552225</v>
      </c>
      <c r="CF9" s="31">
        <f t="shared" si="57"/>
        <v>65.508735643657474</v>
      </c>
      <c r="CG9" s="31">
        <f t="shared" si="58"/>
        <v>0</v>
      </c>
      <c r="CH9" s="31">
        <f t="shared" si="59"/>
        <v>0</v>
      </c>
      <c r="CI9" s="31">
        <f>DC9*'[3]CAMBARÁ - CITROS'!$U$5</f>
        <v>0</v>
      </c>
      <c r="CJ9" s="31">
        <f t="shared" si="13"/>
        <v>-1</v>
      </c>
      <c r="CK9" s="31">
        <f>'[1]CB I'!$P9</f>
        <v>3259.14107679888</v>
      </c>
      <c r="CL9" s="31">
        <f t="shared" si="60"/>
        <v>3193.6323411552225</v>
      </c>
      <c r="CM9" s="31">
        <f t="shared" si="61"/>
        <v>65.508735643657474</v>
      </c>
      <c r="CN9" s="31">
        <f t="shared" si="62"/>
        <v>0</v>
      </c>
      <c r="CO9" s="31">
        <f t="shared" si="63"/>
        <v>0</v>
      </c>
      <c r="CP9" s="31">
        <f>DD9*'[3]CAMBARÁ - CITROS'!$U$5</f>
        <v>0</v>
      </c>
      <c r="CQ9" s="31">
        <f t="shared" si="14"/>
        <v>-1</v>
      </c>
      <c r="CS9" s="197">
        <v>13557.39</v>
      </c>
      <c r="CT9" s="197">
        <f>6235.41</f>
        <v>6235.41</v>
      </c>
      <c r="CU9" s="197">
        <f>237.05</f>
        <v>237.05</v>
      </c>
      <c r="CV9" s="197"/>
      <c r="CW9" s="197"/>
      <c r="CX9" s="197"/>
      <c r="CY9" s="197"/>
      <c r="CZ9" s="27"/>
      <c r="DA9" s="197"/>
      <c r="DB9" s="197"/>
      <c r="DC9" s="197"/>
      <c r="DD9" s="197"/>
      <c r="DE9" s="198"/>
      <c r="DF9" s="198"/>
    </row>
    <row r="10" spans="1:110" s="26" customFormat="1" ht="14.25" customHeight="1" x14ac:dyDescent="0.2">
      <c r="A10" s="38" t="s">
        <v>34</v>
      </c>
      <c r="B10" s="30">
        <f t="shared" si="0"/>
        <v>17145.12</v>
      </c>
      <c r="C10" s="31">
        <f t="shared" si="0"/>
        <v>16800.503088000005</v>
      </c>
      <c r="D10" s="32">
        <f t="shared" si="0"/>
        <v>344.6169119999999</v>
      </c>
      <c r="E10" s="30">
        <f t="shared" si="15"/>
        <v>5715.04</v>
      </c>
      <c r="F10" s="33">
        <f t="shared" si="15"/>
        <v>5600.1676960000004</v>
      </c>
      <c r="G10" s="34">
        <f t="shared" si="15"/>
        <v>114.87230399999997</v>
      </c>
      <c r="H10" s="31">
        <f t="shared" si="1"/>
        <v>3744.6113404150137</v>
      </c>
      <c r="I10" s="33">
        <f t="shared" si="1"/>
        <v>76.810580612656153</v>
      </c>
      <c r="J10" s="33">
        <f t="shared" si="1"/>
        <v>3821.4219210276697</v>
      </c>
      <c r="K10" s="37">
        <f t="shared" si="2"/>
        <v>-0.33133942701579167</v>
      </c>
      <c r="L10" s="36">
        <f>'[1]CB I'!$E10</f>
        <v>1428.76</v>
      </c>
      <c r="M10" s="31">
        <f t="shared" si="16"/>
        <v>1400.0419240000001</v>
      </c>
      <c r="N10" s="31">
        <f t="shared" si="17"/>
        <v>28.718075999999993</v>
      </c>
      <c r="O10" s="31">
        <f t="shared" si="18"/>
        <v>0</v>
      </c>
      <c r="P10" s="31">
        <f t="shared" si="19"/>
        <v>0</v>
      </c>
      <c r="Q10" s="31">
        <f>CS10*'[2]CAMBARÁ - CITROS'!$U$5</f>
        <v>0</v>
      </c>
      <c r="R10" s="31">
        <f t="shared" si="3"/>
        <v>-1</v>
      </c>
      <c r="S10" s="31">
        <f>'[1]CB I'!$F10</f>
        <v>1428.76</v>
      </c>
      <c r="T10" s="31">
        <f t="shared" si="20"/>
        <v>1400.0419240000001</v>
      </c>
      <c r="U10" s="31">
        <f t="shared" si="21"/>
        <v>28.718075999999993</v>
      </c>
      <c r="V10" s="31">
        <f t="shared" si="22"/>
        <v>814.04594356848122</v>
      </c>
      <c r="W10" s="31">
        <f t="shared" si="23"/>
        <v>16.697952307099161</v>
      </c>
      <c r="X10" s="31">
        <f>CT10*'[2]CAMBARÁ - CITROS'!$U$5</f>
        <v>830.74389587558039</v>
      </c>
      <c r="Y10" s="31">
        <f t="shared" si="4"/>
        <v>-0.41855602349199272</v>
      </c>
      <c r="Z10" s="31">
        <f>'[1]CB I'!$G10</f>
        <v>1428.76</v>
      </c>
      <c r="AA10" s="31">
        <f t="shared" si="24"/>
        <v>1400.0419240000001</v>
      </c>
      <c r="AB10" s="31">
        <f t="shared" si="25"/>
        <v>28.718075999999993</v>
      </c>
      <c r="AC10" s="31">
        <f t="shared" si="26"/>
        <v>976.85513228217746</v>
      </c>
      <c r="AD10" s="31">
        <f t="shared" si="27"/>
        <v>20.037542768518996</v>
      </c>
      <c r="AE10" s="31">
        <f>CU10*'[2]CAMBARÁ - CITROS'!$U$5</f>
        <v>996.89267505069643</v>
      </c>
      <c r="AF10" s="31">
        <f t="shared" si="5"/>
        <v>-0.30226722819039131</v>
      </c>
      <c r="AG10" s="31">
        <f>'[1]CB I'!$H10</f>
        <v>1428.76</v>
      </c>
      <c r="AH10" s="31">
        <f t="shared" si="28"/>
        <v>1400.0419240000001</v>
      </c>
      <c r="AI10" s="31">
        <f t="shared" si="29"/>
        <v>28.718075999999993</v>
      </c>
      <c r="AJ10" s="31">
        <f t="shared" si="30"/>
        <v>1953.7102645643549</v>
      </c>
      <c r="AK10" s="31">
        <f t="shared" si="31"/>
        <v>40.075085537037992</v>
      </c>
      <c r="AL10" s="31">
        <f>CV10*'[2]CAMBARÁ - CITROS'!$U$5</f>
        <v>1993.7853501013929</v>
      </c>
      <c r="AM10" s="31">
        <f t="shared" si="6"/>
        <v>0.39546554361921737</v>
      </c>
      <c r="AN10" s="31">
        <f>'[1]CB I'!$I10</f>
        <v>1428.76</v>
      </c>
      <c r="AO10" s="31">
        <f t="shared" si="32"/>
        <v>1400.0419240000001</v>
      </c>
      <c r="AP10" s="31">
        <f t="shared" si="33"/>
        <v>28.718075999999993</v>
      </c>
      <c r="AQ10" s="31">
        <f t="shared" si="34"/>
        <v>0</v>
      </c>
      <c r="AR10" s="31">
        <f t="shared" si="35"/>
        <v>0</v>
      </c>
      <c r="AS10" s="31">
        <v>0</v>
      </c>
      <c r="AT10" s="31">
        <f t="shared" si="7"/>
        <v>-1</v>
      </c>
      <c r="AU10" s="31">
        <f>'[1]CB I'!$J10</f>
        <v>1428.76</v>
      </c>
      <c r="AV10" s="31">
        <f t="shared" si="36"/>
        <v>1400.0419240000001</v>
      </c>
      <c r="AW10" s="31">
        <f t="shared" si="37"/>
        <v>28.718075999999993</v>
      </c>
      <c r="AX10" s="31">
        <f t="shared" si="38"/>
        <v>0</v>
      </c>
      <c r="AY10" s="31">
        <f t="shared" si="39"/>
        <v>0</v>
      </c>
      <c r="AZ10" s="31">
        <v>0</v>
      </c>
      <c r="BA10" s="31">
        <f t="shared" si="8"/>
        <v>-1</v>
      </c>
      <c r="BB10" s="31">
        <f>'[1]CB I'!$K10</f>
        <v>1428.76</v>
      </c>
      <c r="BC10" s="31">
        <f t="shared" si="40"/>
        <v>1400.0419240000001</v>
      </c>
      <c r="BD10" s="31">
        <f t="shared" si="41"/>
        <v>28.718075999999993</v>
      </c>
      <c r="BE10" s="31">
        <f t="shared" si="42"/>
        <v>0</v>
      </c>
      <c r="BF10" s="31">
        <f t="shared" si="43"/>
        <v>0</v>
      </c>
      <c r="BG10" s="31">
        <f>CY10*'[3]CAMBARÁ - CITROS'!$U$5</f>
        <v>0</v>
      </c>
      <c r="BH10" s="31">
        <f t="shared" si="9"/>
        <v>-1</v>
      </c>
      <c r="BI10" s="31">
        <f>'[1]CB I'!$L10</f>
        <v>1428.76</v>
      </c>
      <c r="BJ10" s="31">
        <f t="shared" si="44"/>
        <v>1400.0419240000001</v>
      </c>
      <c r="BK10" s="31">
        <f t="shared" si="45"/>
        <v>28.718075999999993</v>
      </c>
      <c r="BL10" s="31">
        <f t="shared" si="46"/>
        <v>0</v>
      </c>
      <c r="BM10" s="31">
        <f t="shared" si="47"/>
        <v>0</v>
      </c>
      <c r="BN10" s="31">
        <f>CZ10*'[3]CAMBARÁ - CITROS'!$U$5</f>
        <v>0</v>
      </c>
      <c r="BO10" s="31">
        <f t="shared" si="10"/>
        <v>-1</v>
      </c>
      <c r="BP10" s="31">
        <f>'[1]CB I'!$M10</f>
        <v>1428.76</v>
      </c>
      <c r="BQ10" s="31">
        <f t="shared" si="48"/>
        <v>1400.0419240000001</v>
      </c>
      <c r="BR10" s="31">
        <f t="shared" si="49"/>
        <v>28.718075999999993</v>
      </c>
      <c r="BS10" s="31">
        <f t="shared" si="50"/>
        <v>0</v>
      </c>
      <c r="BT10" s="31">
        <f t="shared" si="51"/>
        <v>0</v>
      </c>
      <c r="BU10" s="31">
        <f>DA10*'[3]CAMBARÁ - CITROS'!$U$5</f>
        <v>0</v>
      </c>
      <c r="BV10" s="31">
        <f t="shared" si="11"/>
        <v>-1</v>
      </c>
      <c r="BW10" s="31">
        <f>'[1]CB I'!$N10</f>
        <v>1428.76</v>
      </c>
      <c r="BX10" s="31">
        <f t="shared" si="52"/>
        <v>1400.0419240000001</v>
      </c>
      <c r="BY10" s="31">
        <f t="shared" si="53"/>
        <v>28.718075999999993</v>
      </c>
      <c r="BZ10" s="31">
        <f t="shared" si="54"/>
        <v>0</v>
      </c>
      <c r="CA10" s="31">
        <f t="shared" si="55"/>
        <v>0</v>
      </c>
      <c r="CB10" s="31">
        <f>DB10*'[3]CAMBARÁ - CITROS'!$U$5</f>
        <v>0</v>
      </c>
      <c r="CC10" s="31">
        <f t="shared" si="12"/>
        <v>-1</v>
      </c>
      <c r="CD10" s="31">
        <f>'[1]CB I'!$O10</f>
        <v>1428.76</v>
      </c>
      <c r="CE10" s="31">
        <f t="shared" si="56"/>
        <v>1400.0419240000001</v>
      </c>
      <c r="CF10" s="31">
        <f t="shared" si="57"/>
        <v>28.718075999999993</v>
      </c>
      <c r="CG10" s="31">
        <f t="shared" si="58"/>
        <v>0</v>
      </c>
      <c r="CH10" s="31">
        <f t="shared" si="59"/>
        <v>0</v>
      </c>
      <c r="CI10" s="31">
        <f>DC10*'[3]CAMBARÁ - CITROS'!$U$5</f>
        <v>0</v>
      </c>
      <c r="CJ10" s="31">
        <f t="shared" si="13"/>
        <v>-1</v>
      </c>
      <c r="CK10" s="31">
        <f>'[1]CB I'!$P10</f>
        <v>1428.76</v>
      </c>
      <c r="CL10" s="31">
        <f t="shared" si="60"/>
        <v>1400.0419240000001</v>
      </c>
      <c r="CM10" s="31">
        <f t="shared" si="61"/>
        <v>28.718075999999993</v>
      </c>
      <c r="CN10" s="31">
        <f t="shared" si="62"/>
        <v>0</v>
      </c>
      <c r="CO10" s="31">
        <f t="shared" si="63"/>
        <v>0</v>
      </c>
      <c r="CP10" s="31">
        <f>DD10*'[3]CAMBARÁ - CITROS'!$U$5</f>
        <v>0</v>
      </c>
      <c r="CQ10" s="31">
        <f t="shared" si="14"/>
        <v>-1</v>
      </c>
      <c r="CS10" s="197"/>
      <c r="CT10" s="197">
        <f>1350</f>
        <v>1350</v>
      </c>
      <c r="CU10" s="197">
        <v>1620</v>
      </c>
      <c r="CV10" s="197">
        <f>1350+1620+270</f>
        <v>3240</v>
      </c>
      <c r="CW10" s="197"/>
      <c r="CX10" s="197"/>
      <c r="CY10" s="197"/>
      <c r="CZ10" s="197"/>
      <c r="DA10" s="197"/>
      <c r="DB10" s="197"/>
      <c r="DC10" s="197"/>
      <c r="DD10" s="197"/>
      <c r="DE10" s="198"/>
      <c r="DF10" s="198"/>
    </row>
    <row r="11" spans="1:110" s="26" customFormat="1" ht="14.25" customHeight="1" x14ac:dyDescent="0.2">
      <c r="A11" s="38" t="s">
        <v>35</v>
      </c>
      <c r="B11" s="30">
        <f t="shared" si="0"/>
        <v>0</v>
      </c>
      <c r="C11" s="31">
        <f t="shared" si="0"/>
        <v>0</v>
      </c>
      <c r="D11" s="32">
        <f t="shared" si="0"/>
        <v>0</v>
      </c>
      <c r="E11" s="30">
        <f t="shared" si="15"/>
        <v>0</v>
      </c>
      <c r="F11" s="33">
        <f t="shared" si="15"/>
        <v>0</v>
      </c>
      <c r="G11" s="34">
        <f t="shared" si="15"/>
        <v>0</v>
      </c>
      <c r="H11" s="31">
        <f t="shared" si="1"/>
        <v>0</v>
      </c>
      <c r="I11" s="33">
        <f t="shared" si="1"/>
        <v>0</v>
      </c>
      <c r="J11" s="33">
        <f t="shared" si="1"/>
        <v>0</v>
      </c>
      <c r="K11" s="37" t="str">
        <f t="shared" si="2"/>
        <v/>
      </c>
      <c r="L11" s="36">
        <f>'[1]CB I'!$E11</f>
        <v>0</v>
      </c>
      <c r="M11" s="31">
        <f t="shared" si="16"/>
        <v>0</v>
      </c>
      <c r="N11" s="31">
        <f t="shared" si="17"/>
        <v>0</v>
      </c>
      <c r="O11" s="31">
        <f t="shared" si="18"/>
        <v>0</v>
      </c>
      <c r="P11" s="31">
        <f t="shared" si="19"/>
        <v>0</v>
      </c>
      <c r="Q11" s="31">
        <f>CS11*'[2]CAMBARÁ - CITROS'!$U$5</f>
        <v>0</v>
      </c>
      <c r="R11" s="31" t="str">
        <f t="shared" si="3"/>
        <v/>
      </c>
      <c r="S11" s="31">
        <f>'[1]CB I'!$F11</f>
        <v>0</v>
      </c>
      <c r="T11" s="31">
        <f t="shared" si="20"/>
        <v>0</v>
      </c>
      <c r="U11" s="31">
        <f t="shared" si="21"/>
        <v>0</v>
      </c>
      <c r="V11" s="31">
        <f t="shared" si="22"/>
        <v>0</v>
      </c>
      <c r="W11" s="31">
        <f t="shared" si="23"/>
        <v>0</v>
      </c>
      <c r="X11" s="31">
        <f>CT11*'[2]CAMBARÁ - CITROS'!$U$5</f>
        <v>0</v>
      </c>
      <c r="Y11" s="31" t="str">
        <f t="shared" si="4"/>
        <v/>
      </c>
      <c r="Z11" s="31">
        <f>'[1]CB I'!$G11</f>
        <v>0</v>
      </c>
      <c r="AA11" s="31">
        <f t="shared" si="24"/>
        <v>0</v>
      </c>
      <c r="AB11" s="31">
        <f t="shared" si="25"/>
        <v>0</v>
      </c>
      <c r="AC11" s="31">
        <f t="shared" si="26"/>
        <v>0</v>
      </c>
      <c r="AD11" s="31">
        <f t="shared" si="27"/>
        <v>0</v>
      </c>
      <c r="AE11" s="31">
        <f>CU11*'[2]CAMBARÁ - CITROS'!$U$5</f>
        <v>0</v>
      </c>
      <c r="AF11" s="31" t="str">
        <f t="shared" si="5"/>
        <v/>
      </c>
      <c r="AG11" s="31">
        <f>'[1]CB I'!$H11</f>
        <v>0</v>
      </c>
      <c r="AH11" s="31">
        <f t="shared" si="28"/>
        <v>0</v>
      </c>
      <c r="AI11" s="31">
        <f t="shared" si="29"/>
        <v>0</v>
      </c>
      <c r="AJ11" s="31">
        <f t="shared" si="30"/>
        <v>0</v>
      </c>
      <c r="AK11" s="31">
        <f t="shared" si="31"/>
        <v>0</v>
      </c>
      <c r="AL11" s="31">
        <f>CV11*'[2]CAMBARÁ - CITROS'!$U$5</f>
        <v>0</v>
      </c>
      <c r="AM11" s="31" t="str">
        <f t="shared" si="6"/>
        <v/>
      </c>
      <c r="AN11" s="31">
        <f>'[1]CB I'!$I11</f>
        <v>0</v>
      </c>
      <c r="AO11" s="31">
        <f t="shared" si="32"/>
        <v>0</v>
      </c>
      <c r="AP11" s="31">
        <f t="shared" si="33"/>
        <v>0</v>
      </c>
      <c r="AQ11" s="31">
        <f t="shared" si="34"/>
        <v>0</v>
      </c>
      <c r="AR11" s="31">
        <f t="shared" si="35"/>
        <v>0</v>
      </c>
      <c r="AS11" s="31">
        <v>0</v>
      </c>
      <c r="AT11" s="31" t="str">
        <f t="shared" si="7"/>
        <v/>
      </c>
      <c r="AU11" s="31">
        <f>'[1]CB I'!$J11</f>
        <v>0</v>
      </c>
      <c r="AV11" s="31">
        <f t="shared" si="36"/>
        <v>0</v>
      </c>
      <c r="AW11" s="31">
        <f t="shared" si="37"/>
        <v>0</v>
      </c>
      <c r="AX11" s="31">
        <f t="shared" si="38"/>
        <v>0</v>
      </c>
      <c r="AY11" s="31">
        <f t="shared" si="39"/>
        <v>0</v>
      </c>
      <c r="AZ11" s="31">
        <v>0</v>
      </c>
      <c r="BA11" s="31" t="str">
        <f t="shared" si="8"/>
        <v/>
      </c>
      <c r="BB11" s="31">
        <f>'[1]CB I'!$K11</f>
        <v>0</v>
      </c>
      <c r="BC11" s="31">
        <f t="shared" si="40"/>
        <v>0</v>
      </c>
      <c r="BD11" s="31">
        <f t="shared" si="41"/>
        <v>0</v>
      </c>
      <c r="BE11" s="31">
        <f t="shared" si="42"/>
        <v>0</v>
      </c>
      <c r="BF11" s="31">
        <f t="shared" si="43"/>
        <v>0</v>
      </c>
      <c r="BG11" s="31">
        <f>CY11*'[3]CAMBARÁ - CITROS'!$U$5</f>
        <v>0</v>
      </c>
      <c r="BH11" s="31" t="str">
        <f t="shared" si="9"/>
        <v/>
      </c>
      <c r="BI11" s="31">
        <f>'[1]CB I'!$L11</f>
        <v>0</v>
      </c>
      <c r="BJ11" s="31">
        <f t="shared" si="44"/>
        <v>0</v>
      </c>
      <c r="BK11" s="31">
        <f t="shared" si="45"/>
        <v>0</v>
      </c>
      <c r="BL11" s="31">
        <f t="shared" si="46"/>
        <v>0</v>
      </c>
      <c r="BM11" s="31">
        <f t="shared" si="47"/>
        <v>0</v>
      </c>
      <c r="BN11" s="31">
        <f>CZ11*'[3]CAMBARÁ - CITROS'!$U$5</f>
        <v>0</v>
      </c>
      <c r="BO11" s="31" t="str">
        <f t="shared" si="10"/>
        <v/>
      </c>
      <c r="BP11" s="31">
        <f>'[1]CB I'!$M11</f>
        <v>0</v>
      </c>
      <c r="BQ11" s="31">
        <f t="shared" si="48"/>
        <v>0</v>
      </c>
      <c r="BR11" s="31">
        <f t="shared" si="49"/>
        <v>0</v>
      </c>
      <c r="BS11" s="31">
        <f t="shared" si="50"/>
        <v>0</v>
      </c>
      <c r="BT11" s="31">
        <f t="shared" si="51"/>
        <v>0</v>
      </c>
      <c r="BU11" s="31">
        <f>DA11*'[3]CAMBARÁ - CITROS'!$U$5</f>
        <v>0</v>
      </c>
      <c r="BV11" s="31" t="str">
        <f t="shared" si="11"/>
        <v/>
      </c>
      <c r="BW11" s="31">
        <f>'[1]CB I'!$N11</f>
        <v>0</v>
      </c>
      <c r="BX11" s="31">
        <f t="shared" si="52"/>
        <v>0</v>
      </c>
      <c r="BY11" s="31">
        <f t="shared" si="53"/>
        <v>0</v>
      </c>
      <c r="BZ11" s="31">
        <f t="shared" si="54"/>
        <v>0</v>
      </c>
      <c r="CA11" s="31">
        <f t="shared" si="55"/>
        <v>0</v>
      </c>
      <c r="CB11" s="31">
        <f>DB11*'[3]CAMBARÁ - CITROS'!$U$5</f>
        <v>0</v>
      </c>
      <c r="CC11" s="31" t="str">
        <f t="shared" si="12"/>
        <v/>
      </c>
      <c r="CD11" s="31">
        <f>'[1]CB I'!$O11</f>
        <v>0</v>
      </c>
      <c r="CE11" s="31">
        <f t="shared" si="56"/>
        <v>0</v>
      </c>
      <c r="CF11" s="31">
        <f t="shared" si="57"/>
        <v>0</v>
      </c>
      <c r="CG11" s="31">
        <f t="shared" si="58"/>
        <v>0</v>
      </c>
      <c r="CH11" s="31">
        <f t="shared" si="59"/>
        <v>0</v>
      </c>
      <c r="CI11" s="31">
        <f>DC11*'[3]CAMBARÁ - CITROS'!$U$5</f>
        <v>0</v>
      </c>
      <c r="CJ11" s="31" t="str">
        <f t="shared" si="13"/>
        <v/>
      </c>
      <c r="CK11" s="31">
        <f>'[1]CB I'!$P11</f>
        <v>0</v>
      </c>
      <c r="CL11" s="31">
        <f t="shared" si="60"/>
        <v>0</v>
      </c>
      <c r="CM11" s="31">
        <f t="shared" si="61"/>
        <v>0</v>
      </c>
      <c r="CN11" s="31">
        <f t="shared" si="62"/>
        <v>0</v>
      </c>
      <c r="CO11" s="31">
        <f t="shared" si="63"/>
        <v>0</v>
      </c>
      <c r="CP11" s="31">
        <f>DD11*'[3]CAMBARÁ - CITROS'!$U$5</f>
        <v>0</v>
      </c>
      <c r="CQ11" s="31" t="str">
        <f t="shared" si="14"/>
        <v/>
      </c>
      <c r="CS11" s="197"/>
      <c r="CT11" s="197"/>
      <c r="CU11" s="197"/>
      <c r="CV11" s="197"/>
      <c r="CW11" s="197"/>
      <c r="CX11" s="197"/>
      <c r="CY11" s="197"/>
      <c r="CZ11" s="197"/>
      <c r="DA11" s="197"/>
      <c r="DB11" s="197"/>
      <c r="DC11" s="197"/>
      <c r="DD11" s="197"/>
      <c r="DE11" s="198"/>
      <c r="DF11" s="198"/>
    </row>
    <row r="12" spans="1:110" s="26" customFormat="1" ht="14.25" customHeight="1" x14ac:dyDescent="0.2">
      <c r="A12" s="29" t="s">
        <v>36</v>
      </c>
      <c r="B12" s="30">
        <f t="shared" si="0"/>
        <v>23145.912000000008</v>
      </c>
      <c r="C12" s="31">
        <f t="shared" si="0"/>
        <v>22680.679168799994</v>
      </c>
      <c r="D12" s="32">
        <f t="shared" si="0"/>
        <v>465.23283119999979</v>
      </c>
      <c r="E12" s="30">
        <f t="shared" si="15"/>
        <v>7715.3040000000001</v>
      </c>
      <c r="F12" s="33">
        <f t="shared" si="15"/>
        <v>7560.2263896000004</v>
      </c>
      <c r="G12" s="34">
        <f t="shared" si="15"/>
        <v>155.07761039999997</v>
      </c>
      <c r="H12" s="31">
        <f t="shared" si="1"/>
        <v>9229.4117093813456</v>
      </c>
      <c r="I12" s="33">
        <f t="shared" si="1"/>
        <v>189.316435716466</v>
      </c>
      <c r="J12" s="33">
        <f t="shared" si="1"/>
        <v>9418.7281450978116</v>
      </c>
      <c r="K12" s="37">
        <f t="shared" si="2"/>
        <v>0.22078509739834118</v>
      </c>
      <c r="L12" s="36">
        <f>'[1]CB I'!$E12</f>
        <v>1928.826</v>
      </c>
      <c r="M12" s="31">
        <f t="shared" si="16"/>
        <v>1890.0565974000001</v>
      </c>
      <c r="N12" s="31">
        <f t="shared" si="17"/>
        <v>38.769402599999992</v>
      </c>
      <c r="O12" s="31">
        <f t="shared" si="18"/>
        <v>1745.6160015084415</v>
      </c>
      <c r="P12" s="31">
        <f t="shared" si="19"/>
        <v>35.806594173201013</v>
      </c>
      <c r="Q12" s="31">
        <f>CS12*'[2]CAMBARÁ - CITROS'!$U$5</f>
        <v>1781.4225956816426</v>
      </c>
      <c r="R12" s="31">
        <f t="shared" si="3"/>
        <v>-7.6421307219187939E-2</v>
      </c>
      <c r="S12" s="31">
        <f>'[1]CB I'!$F12</f>
        <v>1928.826</v>
      </c>
      <c r="T12" s="31">
        <f t="shared" si="20"/>
        <v>1890.0565974000001</v>
      </c>
      <c r="U12" s="31">
        <f t="shared" si="21"/>
        <v>38.769402599999992</v>
      </c>
      <c r="V12" s="31">
        <f t="shared" si="22"/>
        <v>0</v>
      </c>
      <c r="W12" s="31">
        <f t="shared" si="23"/>
        <v>0</v>
      </c>
      <c r="X12" s="31">
        <f>CT12*'[2]CAMBARÁ - CITROS'!$U$5</f>
        <v>0</v>
      </c>
      <c r="Y12" s="31">
        <f t="shared" si="4"/>
        <v>-1</v>
      </c>
      <c r="Z12" s="31">
        <f>'[1]CB I'!$G12</f>
        <v>1928.826</v>
      </c>
      <c r="AA12" s="31">
        <f t="shared" si="24"/>
        <v>1890.0565974000001</v>
      </c>
      <c r="AB12" s="31">
        <f t="shared" si="25"/>
        <v>38.769402599999992</v>
      </c>
      <c r="AC12" s="31">
        <f t="shared" si="26"/>
        <v>1870.948926968226</v>
      </c>
      <c r="AD12" s="31">
        <f t="shared" si="27"/>
        <v>38.377460385816242</v>
      </c>
      <c r="AE12" s="31">
        <f>CU12*'[2]CAMBARÁ - CITROS'!$U$5</f>
        <v>1909.3263873540423</v>
      </c>
      <c r="AF12" s="31">
        <f t="shared" si="5"/>
        <v>-1.0109575796861781E-2</v>
      </c>
      <c r="AG12" s="31">
        <f>'[1]CB I'!$H12</f>
        <v>1928.826</v>
      </c>
      <c r="AH12" s="31">
        <f t="shared" si="28"/>
        <v>1890.0565974000001</v>
      </c>
      <c r="AI12" s="31">
        <f t="shared" si="29"/>
        <v>38.769402599999992</v>
      </c>
      <c r="AJ12" s="31">
        <f t="shared" si="30"/>
        <v>1870.948926968226</v>
      </c>
      <c r="AK12" s="31">
        <f t="shared" si="31"/>
        <v>38.377460385816242</v>
      </c>
      <c r="AL12" s="31">
        <f>CV12*'[2]CAMBARÁ - CITROS'!$U$5</f>
        <v>1909.3263873540423</v>
      </c>
      <c r="AM12" s="31">
        <f t="shared" si="6"/>
        <v>-1.0109575796861781E-2</v>
      </c>
      <c r="AN12" s="31">
        <f>'[1]CB I'!$I12</f>
        <v>1928.826</v>
      </c>
      <c r="AO12" s="31">
        <f t="shared" si="32"/>
        <v>1890.0565974000001</v>
      </c>
      <c r="AP12" s="31">
        <f t="shared" si="33"/>
        <v>38.769402599999992</v>
      </c>
      <c r="AQ12" s="31">
        <f t="shared" si="34"/>
        <v>1870.948926968226</v>
      </c>
      <c r="AR12" s="31">
        <f t="shared" si="35"/>
        <v>38.377460385816242</v>
      </c>
      <c r="AS12" s="31">
        <v>1909.3263873540423</v>
      </c>
      <c r="AT12" s="31">
        <f t="shared" si="7"/>
        <v>-1.0109575796861781E-2</v>
      </c>
      <c r="AU12" s="31">
        <f>'[1]CB I'!$J12</f>
        <v>1928.826</v>
      </c>
      <c r="AV12" s="31">
        <f t="shared" si="36"/>
        <v>1890.0565974000001</v>
      </c>
      <c r="AW12" s="31">
        <f t="shared" si="37"/>
        <v>38.769402599999992</v>
      </c>
      <c r="AX12" s="31">
        <f t="shared" si="38"/>
        <v>1870.948926968226</v>
      </c>
      <c r="AY12" s="31">
        <f t="shared" si="39"/>
        <v>38.377460385816242</v>
      </c>
      <c r="AZ12" s="31">
        <v>1909.3263873540423</v>
      </c>
      <c r="BA12" s="31">
        <f t="shared" si="8"/>
        <v>-1.0109575796861781E-2</v>
      </c>
      <c r="BB12" s="31">
        <f>'[1]CB I'!$K12</f>
        <v>1928.826</v>
      </c>
      <c r="BC12" s="31">
        <f t="shared" si="40"/>
        <v>1890.0565974000001</v>
      </c>
      <c r="BD12" s="31">
        <f t="shared" si="41"/>
        <v>38.769402599999992</v>
      </c>
      <c r="BE12" s="31">
        <f t="shared" si="42"/>
        <v>0</v>
      </c>
      <c r="BF12" s="31">
        <f t="shared" si="43"/>
        <v>0</v>
      </c>
      <c r="BG12" s="31">
        <f>CY12*'[3]CAMBARÁ - CITROS'!$U$5</f>
        <v>0</v>
      </c>
      <c r="BH12" s="31">
        <f t="shared" si="9"/>
        <v>-1</v>
      </c>
      <c r="BI12" s="31">
        <f>'[1]CB I'!$L12</f>
        <v>1928.826</v>
      </c>
      <c r="BJ12" s="31">
        <f t="shared" si="44"/>
        <v>1890.0565974000001</v>
      </c>
      <c r="BK12" s="31">
        <f t="shared" si="45"/>
        <v>38.769402599999992</v>
      </c>
      <c r="BL12" s="31">
        <f t="shared" si="46"/>
        <v>0</v>
      </c>
      <c r="BM12" s="31">
        <f t="shared" si="47"/>
        <v>0</v>
      </c>
      <c r="BN12" s="31">
        <f>CZ12*'[3]CAMBARÁ - CITROS'!$U$5</f>
        <v>0</v>
      </c>
      <c r="BO12" s="31">
        <f t="shared" si="10"/>
        <v>-1</v>
      </c>
      <c r="BP12" s="31">
        <f>'[1]CB I'!$M12</f>
        <v>1928.826</v>
      </c>
      <c r="BQ12" s="31">
        <f t="shared" si="48"/>
        <v>1890.0565974000001</v>
      </c>
      <c r="BR12" s="31">
        <f t="shared" si="49"/>
        <v>38.769402599999992</v>
      </c>
      <c r="BS12" s="31">
        <f t="shared" si="50"/>
        <v>0</v>
      </c>
      <c r="BT12" s="31">
        <f t="shared" si="51"/>
        <v>0</v>
      </c>
      <c r="BU12" s="31">
        <f>DA12*'[3]CAMBARÁ - CITROS'!$U$5</f>
        <v>0</v>
      </c>
      <c r="BV12" s="31">
        <f t="shared" si="11"/>
        <v>-1</v>
      </c>
      <c r="BW12" s="31">
        <f>'[1]CB I'!$N12</f>
        <v>1928.826</v>
      </c>
      <c r="BX12" s="31">
        <f t="shared" si="52"/>
        <v>1890.0565974000001</v>
      </c>
      <c r="BY12" s="31">
        <f t="shared" si="53"/>
        <v>38.769402599999992</v>
      </c>
      <c r="BZ12" s="31">
        <f t="shared" si="54"/>
        <v>0</v>
      </c>
      <c r="CA12" s="31">
        <f t="shared" si="55"/>
        <v>0</v>
      </c>
      <c r="CB12" s="31">
        <f>DB12*'[3]CAMBARÁ - CITROS'!$U$5</f>
        <v>0</v>
      </c>
      <c r="CC12" s="31">
        <f t="shared" si="12"/>
        <v>-1</v>
      </c>
      <c r="CD12" s="31">
        <f>'[1]CB I'!$O12</f>
        <v>1928.826</v>
      </c>
      <c r="CE12" s="31">
        <f t="shared" si="56"/>
        <v>1890.0565974000001</v>
      </c>
      <c r="CF12" s="31">
        <f t="shared" si="57"/>
        <v>38.769402599999992</v>
      </c>
      <c r="CG12" s="31">
        <f t="shared" si="58"/>
        <v>0</v>
      </c>
      <c r="CH12" s="31">
        <f t="shared" si="59"/>
        <v>0</v>
      </c>
      <c r="CI12" s="31">
        <f>DC12*'[3]CAMBARÁ - CITROS'!$U$5</f>
        <v>0</v>
      </c>
      <c r="CJ12" s="31">
        <f t="shared" si="13"/>
        <v>-1</v>
      </c>
      <c r="CK12" s="31">
        <f>'[1]CB I'!$P12</f>
        <v>1928.826</v>
      </c>
      <c r="CL12" s="31">
        <f t="shared" si="60"/>
        <v>1890.0565974000001</v>
      </c>
      <c r="CM12" s="31">
        <f t="shared" si="61"/>
        <v>38.769402599999992</v>
      </c>
      <c r="CN12" s="31">
        <f t="shared" si="62"/>
        <v>0</v>
      </c>
      <c r="CO12" s="31">
        <f t="shared" si="63"/>
        <v>0</v>
      </c>
      <c r="CP12" s="31">
        <f>DD12*'[3]CAMBARÁ - CITROS'!$U$5</f>
        <v>0</v>
      </c>
      <c r="CQ12" s="31">
        <f t="shared" si="14"/>
        <v>-1</v>
      </c>
      <c r="CS12" s="197">
        <f>2894.9</f>
        <v>2894.9</v>
      </c>
      <c r="CT12" s="197"/>
      <c r="CU12" s="197">
        <f>3102.75</f>
        <v>3102.75</v>
      </c>
      <c r="CV12" s="197">
        <f>3102.75</f>
        <v>3102.75</v>
      </c>
      <c r="CW12" s="197"/>
      <c r="CX12" s="197"/>
      <c r="CY12" s="197"/>
      <c r="CZ12" s="197"/>
      <c r="DA12" s="197"/>
      <c r="DB12" s="197"/>
      <c r="DC12" s="197"/>
      <c r="DD12" s="197"/>
      <c r="DE12" s="198"/>
      <c r="DF12" s="198"/>
    </row>
    <row r="13" spans="1:110" s="26" customFormat="1" ht="16" customHeight="1" x14ac:dyDescent="0.2">
      <c r="A13" s="38" t="s">
        <v>37</v>
      </c>
      <c r="B13" s="30">
        <f t="shared" si="0"/>
        <v>0</v>
      </c>
      <c r="C13" s="31">
        <f t="shared" si="0"/>
        <v>0</v>
      </c>
      <c r="D13" s="32">
        <f t="shared" si="0"/>
        <v>0</v>
      </c>
      <c r="E13" s="30">
        <f t="shared" si="15"/>
        <v>0</v>
      </c>
      <c r="F13" s="33">
        <f t="shared" si="15"/>
        <v>0</v>
      </c>
      <c r="G13" s="34">
        <f t="shared" si="15"/>
        <v>0</v>
      </c>
      <c r="H13" s="31">
        <f t="shared" si="1"/>
        <v>0</v>
      </c>
      <c r="I13" s="33">
        <f t="shared" si="1"/>
        <v>0</v>
      </c>
      <c r="J13" s="33">
        <f t="shared" si="1"/>
        <v>0</v>
      </c>
      <c r="K13" s="37" t="str">
        <f t="shared" si="2"/>
        <v/>
      </c>
      <c r="L13" s="36">
        <f>'[1]CB I'!$E13</f>
        <v>0</v>
      </c>
      <c r="M13" s="31">
        <f t="shared" si="16"/>
        <v>0</v>
      </c>
      <c r="N13" s="31">
        <f t="shared" si="17"/>
        <v>0</v>
      </c>
      <c r="O13" s="31">
        <f t="shared" si="18"/>
        <v>0</v>
      </c>
      <c r="P13" s="31">
        <f t="shared" si="19"/>
        <v>0</v>
      </c>
      <c r="Q13" s="31">
        <f>CS13*'[2]CAMBARÁ - CITROS'!$U$5</f>
        <v>0</v>
      </c>
      <c r="R13" s="31" t="str">
        <f t="shared" si="3"/>
        <v/>
      </c>
      <c r="S13" s="31">
        <f>'[1]CB I'!$F13</f>
        <v>0</v>
      </c>
      <c r="T13" s="31">
        <f t="shared" si="20"/>
        <v>0</v>
      </c>
      <c r="U13" s="31">
        <f t="shared" si="21"/>
        <v>0</v>
      </c>
      <c r="V13" s="31">
        <f t="shared" si="22"/>
        <v>0</v>
      </c>
      <c r="W13" s="31">
        <f t="shared" si="23"/>
        <v>0</v>
      </c>
      <c r="X13" s="31">
        <f>CT13*'[2]CAMBARÁ - CITROS'!$U$5</f>
        <v>0</v>
      </c>
      <c r="Y13" s="31" t="str">
        <f t="shared" si="4"/>
        <v/>
      </c>
      <c r="Z13" s="31">
        <f>'[1]CB I'!$G13</f>
        <v>0</v>
      </c>
      <c r="AA13" s="31">
        <f t="shared" si="24"/>
        <v>0</v>
      </c>
      <c r="AB13" s="31">
        <f t="shared" si="25"/>
        <v>0</v>
      </c>
      <c r="AC13" s="31">
        <f t="shared" si="26"/>
        <v>0</v>
      </c>
      <c r="AD13" s="31">
        <f t="shared" si="27"/>
        <v>0</v>
      </c>
      <c r="AE13" s="31">
        <f>CU13*'[2]CAMBARÁ - CITROS'!$U$5</f>
        <v>0</v>
      </c>
      <c r="AF13" s="31" t="str">
        <f t="shared" si="5"/>
        <v/>
      </c>
      <c r="AG13" s="31">
        <f>'[1]CB I'!$H13</f>
        <v>0</v>
      </c>
      <c r="AH13" s="31">
        <f t="shared" si="28"/>
        <v>0</v>
      </c>
      <c r="AI13" s="31">
        <f t="shared" si="29"/>
        <v>0</v>
      </c>
      <c r="AJ13" s="31">
        <f t="shared" si="30"/>
        <v>0</v>
      </c>
      <c r="AK13" s="31">
        <f t="shared" si="31"/>
        <v>0</v>
      </c>
      <c r="AL13" s="31">
        <f>CV13*'[2]CAMBARÁ - CITROS'!$U$5</f>
        <v>0</v>
      </c>
      <c r="AM13" s="31" t="str">
        <f t="shared" si="6"/>
        <v/>
      </c>
      <c r="AN13" s="31">
        <f>'[1]CB I'!$I13</f>
        <v>0</v>
      </c>
      <c r="AO13" s="31">
        <f t="shared" si="32"/>
        <v>0</v>
      </c>
      <c r="AP13" s="31">
        <f t="shared" si="33"/>
        <v>0</v>
      </c>
      <c r="AQ13" s="31">
        <f t="shared" si="34"/>
        <v>0</v>
      </c>
      <c r="AR13" s="31">
        <f t="shared" si="35"/>
        <v>0</v>
      </c>
      <c r="AS13" s="31">
        <v>0</v>
      </c>
      <c r="AT13" s="31" t="str">
        <f t="shared" si="7"/>
        <v/>
      </c>
      <c r="AU13" s="31">
        <f>'[1]CB I'!$J13</f>
        <v>0</v>
      </c>
      <c r="AV13" s="31">
        <f t="shared" si="36"/>
        <v>0</v>
      </c>
      <c r="AW13" s="31">
        <f t="shared" si="37"/>
        <v>0</v>
      </c>
      <c r="AX13" s="31">
        <f t="shared" si="38"/>
        <v>0</v>
      </c>
      <c r="AY13" s="31">
        <f t="shared" si="39"/>
        <v>0</v>
      </c>
      <c r="AZ13" s="31">
        <v>0</v>
      </c>
      <c r="BA13" s="31" t="str">
        <f t="shared" si="8"/>
        <v/>
      </c>
      <c r="BB13" s="31">
        <f>'[1]CB I'!$K13</f>
        <v>0</v>
      </c>
      <c r="BC13" s="31">
        <f t="shared" si="40"/>
        <v>0</v>
      </c>
      <c r="BD13" s="31">
        <f t="shared" si="41"/>
        <v>0</v>
      </c>
      <c r="BE13" s="31">
        <f t="shared" si="42"/>
        <v>0</v>
      </c>
      <c r="BF13" s="31">
        <f t="shared" si="43"/>
        <v>0</v>
      </c>
      <c r="BG13" s="31">
        <f>CY13*'[3]CAMBARÁ - CITROS'!$U$5</f>
        <v>0</v>
      </c>
      <c r="BH13" s="31" t="str">
        <f t="shared" si="9"/>
        <v/>
      </c>
      <c r="BI13" s="31">
        <f>'[1]CB I'!$L13</f>
        <v>0</v>
      </c>
      <c r="BJ13" s="31">
        <f t="shared" si="44"/>
        <v>0</v>
      </c>
      <c r="BK13" s="31">
        <f t="shared" si="45"/>
        <v>0</v>
      </c>
      <c r="BL13" s="31">
        <f t="shared" si="46"/>
        <v>0</v>
      </c>
      <c r="BM13" s="31">
        <f t="shared" si="47"/>
        <v>0</v>
      </c>
      <c r="BN13" s="31">
        <f>CZ13*'[3]CAMBARÁ - CITROS'!$U$5</f>
        <v>0</v>
      </c>
      <c r="BO13" s="31" t="str">
        <f t="shared" si="10"/>
        <v/>
      </c>
      <c r="BP13" s="31">
        <f>'[1]CB I'!$M13</f>
        <v>0</v>
      </c>
      <c r="BQ13" s="31">
        <f t="shared" si="48"/>
        <v>0</v>
      </c>
      <c r="BR13" s="31">
        <f t="shared" si="49"/>
        <v>0</v>
      </c>
      <c r="BS13" s="31">
        <f t="shared" si="50"/>
        <v>0</v>
      </c>
      <c r="BT13" s="31">
        <f t="shared" si="51"/>
        <v>0</v>
      </c>
      <c r="BU13" s="31">
        <f>DA13*'[3]CAMBARÁ - CITROS'!$U$5</f>
        <v>0</v>
      </c>
      <c r="BV13" s="31" t="str">
        <f t="shared" si="11"/>
        <v/>
      </c>
      <c r="BW13" s="31">
        <f>'[1]CB I'!$N13</f>
        <v>0</v>
      </c>
      <c r="BX13" s="31">
        <f t="shared" si="52"/>
        <v>0</v>
      </c>
      <c r="BY13" s="31">
        <f t="shared" si="53"/>
        <v>0</v>
      </c>
      <c r="BZ13" s="31">
        <f t="shared" si="54"/>
        <v>0</v>
      </c>
      <c r="CA13" s="31">
        <f t="shared" si="55"/>
        <v>0</v>
      </c>
      <c r="CB13" s="31">
        <f>DB13*'[3]CAMBARÁ - CITROS'!$U$5</f>
        <v>0</v>
      </c>
      <c r="CC13" s="31" t="str">
        <f t="shared" si="12"/>
        <v/>
      </c>
      <c r="CD13" s="31">
        <f>'[1]CB I'!$O13</f>
        <v>0</v>
      </c>
      <c r="CE13" s="31">
        <f t="shared" si="56"/>
        <v>0</v>
      </c>
      <c r="CF13" s="31">
        <f t="shared" si="57"/>
        <v>0</v>
      </c>
      <c r="CG13" s="31">
        <f t="shared" si="58"/>
        <v>0</v>
      </c>
      <c r="CH13" s="31">
        <f t="shared" si="59"/>
        <v>0</v>
      </c>
      <c r="CI13" s="31">
        <f>DC13*'[3]CAMBARÁ - CITROS'!$U$5</f>
        <v>0</v>
      </c>
      <c r="CJ13" s="31" t="str">
        <f t="shared" si="13"/>
        <v/>
      </c>
      <c r="CK13" s="31">
        <f>'[1]CB I'!$P13</f>
        <v>0</v>
      </c>
      <c r="CL13" s="31">
        <f t="shared" si="60"/>
        <v>0</v>
      </c>
      <c r="CM13" s="31">
        <f t="shared" si="61"/>
        <v>0</v>
      </c>
      <c r="CN13" s="31">
        <f t="shared" si="62"/>
        <v>0</v>
      </c>
      <c r="CO13" s="31">
        <f t="shared" si="63"/>
        <v>0</v>
      </c>
      <c r="CP13" s="31">
        <f>DD13*'[3]CAMBARÁ - CITROS'!$U$5</f>
        <v>0</v>
      </c>
      <c r="CQ13" s="31" t="str">
        <f t="shared" si="14"/>
        <v/>
      </c>
      <c r="CS13" s="197"/>
      <c r="CT13" s="197"/>
      <c r="CU13" s="197"/>
      <c r="CV13" s="197"/>
      <c r="CW13" s="197"/>
      <c r="CX13" s="197"/>
      <c r="CY13" s="197"/>
      <c r="CZ13" s="197"/>
      <c r="DA13" s="197"/>
      <c r="DB13" s="197"/>
      <c r="DC13" s="197"/>
      <c r="DD13" s="197"/>
      <c r="DE13" s="198"/>
      <c r="DF13" s="198"/>
    </row>
    <row r="14" spans="1:110" s="26" customFormat="1" ht="16" customHeight="1" x14ac:dyDescent="0.2">
      <c r="A14" s="39" t="s">
        <v>38</v>
      </c>
      <c r="B14" s="30">
        <f t="shared" si="0"/>
        <v>24702.316175999997</v>
      </c>
      <c r="C14" s="31">
        <f t="shared" si="0"/>
        <v>24205.799620862399</v>
      </c>
      <c r="D14" s="32">
        <f t="shared" si="0"/>
        <v>496.51655513759982</v>
      </c>
      <c r="E14" s="30">
        <f t="shared" si="15"/>
        <v>8234.1053919999995</v>
      </c>
      <c r="F14" s="33">
        <f t="shared" si="15"/>
        <v>8068.5998736207994</v>
      </c>
      <c r="G14" s="34">
        <f t="shared" si="15"/>
        <v>165.50551837919997</v>
      </c>
      <c r="H14" s="31">
        <f t="shared" si="1"/>
        <v>17675.482082191622</v>
      </c>
      <c r="I14" s="33">
        <f t="shared" si="1"/>
        <v>362.56474114914943</v>
      </c>
      <c r="J14" s="33">
        <f t="shared" si="1"/>
        <v>18038.046823340774</v>
      </c>
      <c r="K14" s="37">
        <f t="shared" si="2"/>
        <v>1.1906504671249385</v>
      </c>
      <c r="L14" s="36">
        <f>'[1]CB I'!$E14</f>
        <v>2058.5263479999999</v>
      </c>
      <c r="M14" s="31">
        <f t="shared" si="16"/>
        <v>2017.1499684051998</v>
      </c>
      <c r="N14" s="31">
        <f t="shared" si="17"/>
        <v>41.376379594799992</v>
      </c>
      <c r="O14" s="31">
        <f t="shared" si="18"/>
        <v>2076.8844607811948</v>
      </c>
      <c r="P14" s="31">
        <f t="shared" si="19"/>
        <v>42.601671253905508</v>
      </c>
      <c r="Q14" s="31">
        <f>CS14*'[2]CAMBARÁ - CITROS'!$U$5</f>
        <v>2119.4861320351001</v>
      </c>
      <c r="R14" s="31">
        <f t="shared" si="3"/>
        <v>2.9613312501113764E-2</v>
      </c>
      <c r="S14" s="31">
        <f>'[1]CB I'!$F14</f>
        <v>2058.5263479999999</v>
      </c>
      <c r="T14" s="31">
        <f t="shared" si="20"/>
        <v>2017.1499684051998</v>
      </c>
      <c r="U14" s="31">
        <f t="shared" si="21"/>
        <v>41.376379594799992</v>
      </c>
      <c r="V14" s="31">
        <f t="shared" si="22"/>
        <v>6170.8843201758</v>
      </c>
      <c r="W14" s="31">
        <f t="shared" si="23"/>
        <v>126.57901299676861</v>
      </c>
      <c r="X14" s="31">
        <f>CT14*'[2]CAMBARÁ - CITROS'!$U$5</f>
        <v>6297.463333172569</v>
      </c>
      <c r="Y14" s="31">
        <f t="shared" si="4"/>
        <v>2.0592094870638835</v>
      </c>
      <c r="Z14" s="31">
        <f>'[1]CB I'!$G14</f>
        <v>2058.5263479999999</v>
      </c>
      <c r="AA14" s="31">
        <f t="shared" si="24"/>
        <v>2017.1499684051998</v>
      </c>
      <c r="AB14" s="31">
        <f t="shared" si="25"/>
        <v>41.376379594799992</v>
      </c>
      <c r="AC14" s="31">
        <f t="shared" si="26"/>
        <v>2393.1081450228116</v>
      </c>
      <c r="AD14" s="31">
        <f t="shared" si="27"/>
        <v>49.088145438267681</v>
      </c>
      <c r="AE14" s="31">
        <f>CU14*'[2]CAMBARÁ - CITROS'!$U$5</f>
        <v>2442.1962904610791</v>
      </c>
      <c r="AF14" s="31">
        <f t="shared" si="5"/>
        <v>0.18638087524788838</v>
      </c>
      <c r="AG14" s="31">
        <f>'[1]CB I'!$H14</f>
        <v>2058.5263479999999</v>
      </c>
      <c r="AH14" s="31">
        <f t="shared" si="28"/>
        <v>2017.1499684051998</v>
      </c>
      <c r="AI14" s="31">
        <f t="shared" si="29"/>
        <v>41.376379594799992</v>
      </c>
      <c r="AJ14" s="31">
        <f t="shared" si="30"/>
        <v>2381.0482051180934</v>
      </c>
      <c r="AK14" s="31">
        <f t="shared" si="31"/>
        <v>48.840768367051396</v>
      </c>
      <c r="AL14" s="31">
        <f>CV14*'[2]CAMBARÁ - CITROS'!$U$5</f>
        <v>2429.8889734851446</v>
      </c>
      <c r="AM14" s="31">
        <f t="shared" si="6"/>
        <v>0.18040217257648861</v>
      </c>
      <c r="AN14" s="31">
        <f>'[1]CB I'!$I14</f>
        <v>2058.5263479999999</v>
      </c>
      <c r="AO14" s="31">
        <f t="shared" si="32"/>
        <v>2017.1499684051998</v>
      </c>
      <c r="AP14" s="31">
        <f t="shared" si="33"/>
        <v>41.376379594799992</v>
      </c>
      <c r="AQ14" s="31">
        <f t="shared" si="34"/>
        <v>2148.894361952267</v>
      </c>
      <c r="AR14" s="31">
        <f t="shared" si="35"/>
        <v>44.078759746137933</v>
      </c>
      <c r="AS14" s="31">
        <v>2192.9731216984051</v>
      </c>
      <c r="AT14" s="31">
        <f t="shared" si="7"/>
        <v>6.5312146152042061E-2</v>
      </c>
      <c r="AU14" s="31">
        <f>'[1]CB I'!$J14</f>
        <v>2058.5263479999999</v>
      </c>
      <c r="AV14" s="31">
        <f t="shared" si="36"/>
        <v>2017.1499684051998</v>
      </c>
      <c r="AW14" s="31">
        <f t="shared" si="37"/>
        <v>41.376379594799992</v>
      </c>
      <c r="AX14" s="31">
        <f t="shared" si="38"/>
        <v>2504.6625891414551</v>
      </c>
      <c r="AY14" s="31">
        <f t="shared" si="39"/>
        <v>51.376383347018312</v>
      </c>
      <c r="AZ14" s="31">
        <v>2556.0389724884735</v>
      </c>
      <c r="BA14" s="31">
        <f t="shared" si="8"/>
        <v>0.24168387495833676</v>
      </c>
      <c r="BB14" s="31">
        <f>'[1]CB I'!$K14</f>
        <v>2058.5263479999999</v>
      </c>
      <c r="BC14" s="31">
        <f t="shared" si="40"/>
        <v>2017.1499684051998</v>
      </c>
      <c r="BD14" s="31">
        <f t="shared" si="41"/>
        <v>41.376379594799992</v>
      </c>
      <c r="BE14" s="31">
        <f t="shared" si="42"/>
        <v>0</v>
      </c>
      <c r="BF14" s="31">
        <f t="shared" si="43"/>
        <v>0</v>
      </c>
      <c r="BG14" s="31">
        <f>CY14*'[3]CAMBARÁ - CITROS'!$U$5</f>
        <v>0</v>
      </c>
      <c r="BH14" s="31">
        <f t="shared" si="9"/>
        <v>-1</v>
      </c>
      <c r="BI14" s="31">
        <f>'[1]CB I'!$L14</f>
        <v>2058.5263479999999</v>
      </c>
      <c r="BJ14" s="31">
        <f t="shared" si="44"/>
        <v>2017.1499684051998</v>
      </c>
      <c r="BK14" s="31">
        <f t="shared" si="45"/>
        <v>41.376379594799992</v>
      </c>
      <c r="BL14" s="31">
        <f t="shared" si="46"/>
        <v>0</v>
      </c>
      <c r="BM14" s="31">
        <f t="shared" si="47"/>
        <v>0</v>
      </c>
      <c r="BN14" s="31">
        <f>CZ14*'[3]CAMBARÁ - CITROS'!$U$5</f>
        <v>0</v>
      </c>
      <c r="BO14" s="31">
        <f t="shared" si="10"/>
        <v>-1</v>
      </c>
      <c r="BP14" s="31">
        <f>'[1]CB I'!$M14</f>
        <v>2058.5263479999999</v>
      </c>
      <c r="BQ14" s="31">
        <f t="shared" si="48"/>
        <v>2017.1499684051998</v>
      </c>
      <c r="BR14" s="31">
        <f t="shared" si="49"/>
        <v>41.376379594799992</v>
      </c>
      <c r="BS14" s="31">
        <f t="shared" si="50"/>
        <v>0</v>
      </c>
      <c r="BT14" s="31">
        <f t="shared" si="51"/>
        <v>0</v>
      </c>
      <c r="BU14" s="31">
        <f>DA14*'[3]CAMBARÁ - CITROS'!$U$5</f>
        <v>0</v>
      </c>
      <c r="BV14" s="31">
        <f t="shared" si="11"/>
        <v>-1</v>
      </c>
      <c r="BW14" s="31">
        <f>'[1]CB I'!$N14</f>
        <v>2058.5263479999999</v>
      </c>
      <c r="BX14" s="31">
        <f t="shared" si="52"/>
        <v>2017.1499684051998</v>
      </c>
      <c r="BY14" s="31">
        <f t="shared" si="53"/>
        <v>41.376379594799992</v>
      </c>
      <c r="BZ14" s="31">
        <f t="shared" si="54"/>
        <v>0</v>
      </c>
      <c r="CA14" s="31">
        <f t="shared" si="55"/>
        <v>0</v>
      </c>
      <c r="CB14" s="31">
        <f>DB14*'[3]CAMBARÁ - CITROS'!$U$5</f>
        <v>0</v>
      </c>
      <c r="CC14" s="31">
        <f t="shared" si="12"/>
        <v>-1</v>
      </c>
      <c r="CD14" s="31">
        <f>'[1]CB I'!$O14</f>
        <v>2058.5263479999999</v>
      </c>
      <c r="CE14" s="31">
        <f t="shared" si="56"/>
        <v>2017.1499684051998</v>
      </c>
      <c r="CF14" s="31">
        <f t="shared" si="57"/>
        <v>41.376379594799992</v>
      </c>
      <c r="CG14" s="31">
        <f t="shared" si="58"/>
        <v>0</v>
      </c>
      <c r="CH14" s="31">
        <f t="shared" si="59"/>
        <v>0</v>
      </c>
      <c r="CI14" s="31">
        <f>DC14*'[3]CAMBARÁ - CITROS'!$U$5</f>
        <v>0</v>
      </c>
      <c r="CJ14" s="31">
        <f t="shared" si="13"/>
        <v>-1</v>
      </c>
      <c r="CK14" s="31">
        <f>'[1]CB I'!$P14</f>
        <v>2058.5263479999999</v>
      </c>
      <c r="CL14" s="31">
        <f t="shared" si="60"/>
        <v>2017.1499684051998</v>
      </c>
      <c r="CM14" s="31">
        <f t="shared" si="61"/>
        <v>41.376379594799992</v>
      </c>
      <c r="CN14" s="31">
        <f t="shared" si="62"/>
        <v>0</v>
      </c>
      <c r="CO14" s="31">
        <f t="shared" si="63"/>
        <v>0</v>
      </c>
      <c r="CP14" s="31">
        <f>DD14*'[3]CAMBARÁ - CITROS'!$U$5</f>
        <v>0</v>
      </c>
      <c r="CQ14" s="31">
        <f t="shared" si="14"/>
        <v>-1</v>
      </c>
      <c r="CS14" s="197">
        <f>3444.27</f>
        <v>3444.27</v>
      </c>
      <c r="CT14" s="197">
        <f>10233.69</f>
        <v>10233.69</v>
      </c>
      <c r="CU14" s="197">
        <f>3968.69</f>
        <v>3968.69</v>
      </c>
      <c r="CV14" s="197">
        <f>3948.69</f>
        <v>3948.69</v>
      </c>
      <c r="CW14" s="197"/>
      <c r="CX14" s="197"/>
      <c r="CY14" s="197"/>
      <c r="CZ14" s="197"/>
      <c r="DA14" s="197"/>
      <c r="DB14" s="197"/>
      <c r="DC14" s="197"/>
      <c r="DD14" s="197"/>
      <c r="DE14" s="198"/>
      <c r="DF14" s="198"/>
    </row>
    <row r="15" spans="1:110" s="26" customFormat="1" ht="16" customHeight="1" x14ac:dyDescent="0.2">
      <c r="A15" s="38" t="s">
        <v>39</v>
      </c>
      <c r="B15" s="30">
        <f t="shared" si="0"/>
        <v>57867.326920000007</v>
      </c>
      <c r="C15" s="31">
        <f t="shared" si="0"/>
        <v>56704.193648907982</v>
      </c>
      <c r="D15" s="32">
        <f t="shared" si="0"/>
        <v>1163.1332710919996</v>
      </c>
      <c r="E15" s="30">
        <f t="shared" si="15"/>
        <v>19164.516959999997</v>
      </c>
      <c r="F15" s="33">
        <f t="shared" si="15"/>
        <v>18779.310169103996</v>
      </c>
      <c r="G15" s="34">
        <f t="shared" si="15"/>
        <v>385.20679089599986</v>
      </c>
      <c r="H15" s="31">
        <f t="shared" si="1"/>
        <v>32873.352020448066</v>
      </c>
      <c r="I15" s="33">
        <f t="shared" si="1"/>
        <v>674.30796572201871</v>
      </c>
      <c r="J15" s="33">
        <f t="shared" si="1"/>
        <v>33547.659986170082</v>
      </c>
      <c r="K15" s="37">
        <f t="shared" si="2"/>
        <v>0.7505090295878809</v>
      </c>
      <c r="L15" s="36">
        <f>'[1]CB I'!$E15</f>
        <v>4791.1292399999993</v>
      </c>
      <c r="M15" s="40">
        <f t="shared" si="16"/>
        <v>4694.8275422759989</v>
      </c>
      <c r="N15" s="40">
        <f t="shared" si="17"/>
        <v>96.301697723999965</v>
      </c>
      <c r="O15" s="40">
        <f t="shared" si="18"/>
        <v>4238.6528085817481</v>
      </c>
      <c r="P15" s="40">
        <f t="shared" si="19"/>
        <v>86.944506023566817</v>
      </c>
      <c r="Q15" s="40">
        <f>CS15*'[2]CAMBARÁ - CITROS'!$U$5</f>
        <v>4325.5973146053148</v>
      </c>
      <c r="R15" s="40">
        <f t="shared" si="3"/>
        <v>-9.7165386712608215E-2</v>
      </c>
      <c r="S15" s="40">
        <f>'[1]CB I'!$F15</f>
        <v>4791.1292399999993</v>
      </c>
      <c r="T15" s="40">
        <f t="shared" si="20"/>
        <v>4694.8275422759989</v>
      </c>
      <c r="U15" s="40">
        <f t="shared" si="21"/>
        <v>96.301697723999965</v>
      </c>
      <c r="V15" s="40">
        <f t="shared" si="22"/>
        <v>4152.16494955506</v>
      </c>
      <c r="W15" s="40">
        <f t="shared" si="23"/>
        <v>85.1704413573392</v>
      </c>
      <c r="X15" s="40">
        <f>CT15*'[2]CAMBARÁ - CITROS'!$U$5</f>
        <v>4237.3353909123989</v>
      </c>
      <c r="Y15" s="40">
        <f t="shared" si="4"/>
        <v>-0.11558733261964782</v>
      </c>
      <c r="Z15" s="40">
        <f>'[1]CB I'!$G15</f>
        <v>4791.1292399999993</v>
      </c>
      <c r="AA15" s="40">
        <f t="shared" si="24"/>
        <v>4694.8275422759989</v>
      </c>
      <c r="AB15" s="40">
        <f t="shared" si="25"/>
        <v>96.301697723999965</v>
      </c>
      <c r="AC15" s="40">
        <f t="shared" si="26"/>
        <v>6220.2456542058117</v>
      </c>
      <c r="AD15" s="40">
        <f t="shared" si="27"/>
        <v>127.59152734925685</v>
      </c>
      <c r="AE15" s="40">
        <f>CU15*'[2]CAMBARÁ - CITROS'!$U$5</f>
        <v>6347.8371815550681</v>
      </c>
      <c r="AF15" s="40">
        <f t="shared" si="5"/>
        <v>0.32491462107898994</v>
      </c>
      <c r="AG15" s="40">
        <f>'[1]CB I'!$H15</f>
        <v>4791.1292399999993</v>
      </c>
      <c r="AH15" s="40">
        <f t="shared" si="28"/>
        <v>4694.8275422759989</v>
      </c>
      <c r="AI15" s="40">
        <f t="shared" si="29"/>
        <v>96.301697723999965</v>
      </c>
      <c r="AJ15" s="40">
        <f t="shared" si="30"/>
        <v>7341.916544863845</v>
      </c>
      <c r="AK15" s="40">
        <f t="shared" si="31"/>
        <v>150.59957398894099</v>
      </c>
      <c r="AL15" s="40">
        <f>CV15*'[2]CAMBARÁ - CITROS'!$U$5</f>
        <v>7492.5161188527863</v>
      </c>
      <c r="AM15" s="40">
        <f t="shared" si="6"/>
        <v>0.56383093494943748</v>
      </c>
      <c r="AN15" s="40">
        <f>'[1]CB I'!$I15</f>
        <v>4791.1292399999993</v>
      </c>
      <c r="AO15" s="40">
        <f t="shared" si="32"/>
        <v>4694.8275422759989</v>
      </c>
      <c r="AP15" s="40">
        <f t="shared" si="33"/>
        <v>96.301697723999965</v>
      </c>
      <c r="AQ15" s="40">
        <f t="shared" si="34"/>
        <v>5892.2936784068561</v>
      </c>
      <c r="AR15" s="40">
        <f t="shared" si="35"/>
        <v>120.86447896313685</v>
      </c>
      <c r="AS15" s="40">
        <v>6013.1581573699932</v>
      </c>
      <c r="AT15" s="40">
        <f t="shared" si="7"/>
        <v>0.25506072914242539</v>
      </c>
      <c r="AU15" s="40">
        <f>'[1]CB I'!$J15</f>
        <v>4791.1292399999993</v>
      </c>
      <c r="AV15" s="40">
        <f t="shared" si="36"/>
        <v>4694.8275422759989</v>
      </c>
      <c r="AW15" s="40">
        <f t="shared" si="37"/>
        <v>96.301697723999965</v>
      </c>
      <c r="AX15" s="40">
        <f t="shared" si="38"/>
        <v>5028.0783848347482</v>
      </c>
      <c r="AY15" s="40">
        <f t="shared" si="39"/>
        <v>103.13743803977796</v>
      </c>
      <c r="AZ15" s="40">
        <v>5131.2158228745266</v>
      </c>
      <c r="BA15" s="40">
        <f t="shared" si="8"/>
        <v>7.0982552512928621E-2</v>
      </c>
      <c r="BB15" s="40">
        <f>'[1]CB I'!$K15</f>
        <v>5164.9052799999999</v>
      </c>
      <c r="BC15" s="40">
        <f t="shared" si="40"/>
        <v>5061.0906838720002</v>
      </c>
      <c r="BD15" s="40">
        <f t="shared" si="41"/>
        <v>103.81459612799998</v>
      </c>
      <c r="BE15" s="40">
        <f t="shared" si="42"/>
        <v>0</v>
      </c>
      <c r="BF15" s="40">
        <f t="shared" si="43"/>
        <v>0</v>
      </c>
      <c r="BG15" s="40">
        <f>CY15*'[3]CAMBARÁ - CITROS'!$U$5</f>
        <v>0</v>
      </c>
      <c r="BH15" s="40">
        <f t="shared" si="9"/>
        <v>-1</v>
      </c>
      <c r="BI15" s="40">
        <f>'[1]CB I'!$L15</f>
        <v>4791.1292399999993</v>
      </c>
      <c r="BJ15" s="40">
        <f t="shared" si="44"/>
        <v>4694.8275422759989</v>
      </c>
      <c r="BK15" s="40">
        <f t="shared" si="45"/>
        <v>96.301697723999965</v>
      </c>
      <c r="BL15" s="40">
        <f t="shared" si="46"/>
        <v>0</v>
      </c>
      <c r="BM15" s="40">
        <f t="shared" si="47"/>
        <v>0</v>
      </c>
      <c r="BN15" s="40">
        <f>CZ15*'[3]CAMBARÁ - CITROS'!$U$5</f>
        <v>0</v>
      </c>
      <c r="BO15" s="40">
        <f t="shared" si="10"/>
        <v>-1</v>
      </c>
      <c r="BP15" s="40">
        <f>'[1]CB I'!$M15</f>
        <v>4791.1292399999993</v>
      </c>
      <c r="BQ15" s="40">
        <f t="shared" si="48"/>
        <v>4694.8275422759989</v>
      </c>
      <c r="BR15" s="40">
        <f t="shared" si="49"/>
        <v>96.301697723999965</v>
      </c>
      <c r="BS15" s="40">
        <f t="shared" si="50"/>
        <v>0</v>
      </c>
      <c r="BT15" s="40">
        <f t="shared" si="51"/>
        <v>0</v>
      </c>
      <c r="BU15" s="40">
        <f>DA15*'[3]CAMBARÁ - CITROS'!$U$5</f>
        <v>0</v>
      </c>
      <c r="BV15" s="40">
        <f t="shared" si="11"/>
        <v>-1</v>
      </c>
      <c r="BW15" s="40">
        <f>'[1]CB I'!$N15</f>
        <v>4791.1292399999993</v>
      </c>
      <c r="BX15" s="40">
        <f t="shared" si="52"/>
        <v>4694.8275422759989</v>
      </c>
      <c r="BY15" s="40">
        <f t="shared" si="53"/>
        <v>96.301697723999965</v>
      </c>
      <c r="BZ15" s="40">
        <f t="shared" si="54"/>
        <v>0</v>
      </c>
      <c r="CA15" s="40">
        <f t="shared" si="55"/>
        <v>0</v>
      </c>
      <c r="CB15" s="40">
        <f>DB15*'[3]CAMBARÁ - CITROS'!$U$5</f>
        <v>0</v>
      </c>
      <c r="CC15" s="40">
        <f t="shared" si="12"/>
        <v>-1</v>
      </c>
      <c r="CD15" s="40">
        <f>'[1]CB I'!$O15</f>
        <v>4791.1292399999993</v>
      </c>
      <c r="CE15" s="40">
        <f t="shared" si="56"/>
        <v>4694.8275422759989</v>
      </c>
      <c r="CF15" s="40">
        <f t="shared" si="57"/>
        <v>96.301697723999965</v>
      </c>
      <c r="CG15" s="40">
        <f t="shared" si="58"/>
        <v>0</v>
      </c>
      <c r="CH15" s="40">
        <f t="shared" si="59"/>
        <v>0</v>
      </c>
      <c r="CI15" s="40">
        <f>DC15*'[3]CAMBARÁ - CITROS'!$U$5</f>
        <v>0</v>
      </c>
      <c r="CJ15" s="40">
        <f t="shared" si="13"/>
        <v>-1</v>
      </c>
      <c r="CK15" s="40">
        <f>'[1]CB I'!$P15</f>
        <v>4791.1292399999993</v>
      </c>
      <c r="CL15" s="40">
        <f t="shared" si="60"/>
        <v>4694.8275422759989</v>
      </c>
      <c r="CM15" s="40">
        <f t="shared" si="61"/>
        <v>96.301697723999965</v>
      </c>
      <c r="CN15" s="40">
        <f t="shared" si="62"/>
        <v>0</v>
      </c>
      <c r="CO15" s="40">
        <f t="shared" si="63"/>
        <v>0</v>
      </c>
      <c r="CP15" s="40">
        <f>DD15*'[3]CAMBARÁ - CITROS'!$U$5</f>
        <v>0</v>
      </c>
      <c r="CQ15" s="40">
        <f t="shared" si="14"/>
        <v>-1</v>
      </c>
      <c r="CS15" s="197">
        <f>529.64+11524.89-(8.13+5017.09)</f>
        <v>7029.3099999999986</v>
      </c>
      <c r="CT15" s="197">
        <f>535.78+67287.4-(18245.78+42691.52)</f>
        <v>6885.8799999999974</v>
      </c>
      <c r="CU15" s="197">
        <f>529.64+9785.91</f>
        <v>10315.549999999999</v>
      </c>
      <c r="CV15" s="197">
        <f>533.56+11642.15</f>
        <v>12175.71</v>
      </c>
      <c r="CW15" s="197"/>
      <c r="CX15" s="197"/>
      <c r="CY15" s="197"/>
      <c r="CZ15" s="197"/>
      <c r="DA15" s="197"/>
      <c r="DB15" s="197"/>
      <c r="DC15" s="197"/>
      <c r="DD15" s="197"/>
      <c r="DE15" s="198"/>
      <c r="DF15" s="198"/>
    </row>
    <row r="16" spans="1:110" s="26" customFormat="1" ht="16" customHeight="1" x14ac:dyDescent="0.2">
      <c r="A16" s="29" t="s">
        <v>40</v>
      </c>
      <c r="B16" s="30">
        <f t="shared" si="0"/>
        <v>11181.599999999999</v>
      </c>
      <c r="C16" s="31">
        <f t="shared" si="0"/>
        <v>10956.849840000003</v>
      </c>
      <c r="D16" s="32">
        <f t="shared" si="0"/>
        <v>224.75015999999991</v>
      </c>
      <c r="E16" s="30">
        <f t="shared" si="15"/>
        <v>3727.2</v>
      </c>
      <c r="F16" s="33">
        <f t="shared" si="15"/>
        <v>3652.2832799999996</v>
      </c>
      <c r="G16" s="34">
        <f t="shared" si="15"/>
        <v>74.916719999999984</v>
      </c>
      <c r="H16" s="31">
        <f t="shared" si="1"/>
        <v>6593.1329660897482</v>
      </c>
      <c r="I16" s="33">
        <f t="shared" si="1"/>
        <v>135.24030270272874</v>
      </c>
      <c r="J16" s="33">
        <f t="shared" si="1"/>
        <v>6728.3732687924758</v>
      </c>
      <c r="K16" s="37">
        <f t="shared" si="2"/>
        <v>0.80520853959875405</v>
      </c>
      <c r="L16" s="36">
        <f>'[1]CB I'!$E16</f>
        <v>931.8</v>
      </c>
      <c r="M16" s="31">
        <f t="shared" si="16"/>
        <v>913.07081999999991</v>
      </c>
      <c r="N16" s="31">
        <f t="shared" si="17"/>
        <v>18.729179999999996</v>
      </c>
      <c r="O16" s="31">
        <f t="shared" si="18"/>
        <v>1007.728578438256</v>
      </c>
      <c r="P16" s="31">
        <f t="shared" si="19"/>
        <v>20.67082807083268</v>
      </c>
      <c r="Q16" s="31">
        <f>CS16*'[2]CAMBARÁ - CITROS'!$U$5</f>
        <v>1028.3994065090887</v>
      </c>
      <c r="R16" s="31">
        <f t="shared" si="3"/>
        <v>0.10366967858884824</v>
      </c>
      <c r="S16" s="31">
        <f>'[1]CB I'!$F16</f>
        <v>931.8</v>
      </c>
      <c r="T16" s="31">
        <f t="shared" si="20"/>
        <v>913.07081999999991</v>
      </c>
      <c r="U16" s="31">
        <f t="shared" si="21"/>
        <v>18.729179999999996</v>
      </c>
      <c r="V16" s="31">
        <f t="shared" si="22"/>
        <v>949.99161614441755</v>
      </c>
      <c r="W16" s="31">
        <f t="shared" si="23"/>
        <v>19.486510342384722</v>
      </c>
      <c r="X16" s="31">
        <f>CT16*'[2]CAMBARÁ - CITROS'!$U$5</f>
        <v>969.47812648680224</v>
      </c>
      <c r="Y16" s="31">
        <f t="shared" si="4"/>
        <v>4.0435851563427994E-2</v>
      </c>
      <c r="Z16" s="31">
        <f>'[1]CB I'!$G16</f>
        <v>931.8</v>
      </c>
      <c r="AA16" s="31">
        <f t="shared" si="24"/>
        <v>913.07081999999991</v>
      </c>
      <c r="AB16" s="31">
        <f t="shared" si="25"/>
        <v>18.729179999999996</v>
      </c>
      <c r="AC16" s="31">
        <f t="shared" si="26"/>
        <v>1188.1030696231744</v>
      </c>
      <c r="AD16" s="31">
        <f t="shared" si="27"/>
        <v>24.37072323647903</v>
      </c>
      <c r="AE16" s="31">
        <f>CU16*'[2]CAMBARÁ - CITROS'!$U$5</f>
        <v>1212.4737928596535</v>
      </c>
      <c r="AF16" s="31">
        <f t="shared" si="5"/>
        <v>0.30121677705479022</v>
      </c>
      <c r="AG16" s="31">
        <f>'[1]CB I'!$H16</f>
        <v>931.8</v>
      </c>
      <c r="AH16" s="31">
        <f t="shared" si="28"/>
        <v>913.07081999999991</v>
      </c>
      <c r="AI16" s="31">
        <f t="shared" si="29"/>
        <v>18.729179999999996</v>
      </c>
      <c r="AJ16" s="31">
        <f t="shared" si="30"/>
        <v>957.95117648153166</v>
      </c>
      <c r="AK16" s="31">
        <f t="shared" si="31"/>
        <v>19.649779209387471</v>
      </c>
      <c r="AL16" s="31">
        <f>CV16*'[2]CAMBARÁ - CITROS'!$U$5</f>
        <v>977.60095569091914</v>
      </c>
      <c r="AM16" s="31">
        <f t="shared" si="6"/>
        <v>4.9153204218629787E-2</v>
      </c>
      <c r="AN16" s="31">
        <f>'[1]CB I'!$I16</f>
        <v>931.8</v>
      </c>
      <c r="AO16" s="31">
        <f t="shared" si="32"/>
        <v>913.07081999999991</v>
      </c>
      <c r="AP16" s="31">
        <f t="shared" si="33"/>
        <v>18.729179999999996</v>
      </c>
      <c r="AQ16" s="31">
        <f t="shared" si="34"/>
        <v>947.60977801323577</v>
      </c>
      <c r="AR16" s="31">
        <f t="shared" si="35"/>
        <v>19.437653370819508</v>
      </c>
      <c r="AS16" s="31">
        <v>967.04743138405524</v>
      </c>
      <c r="AT16" s="31">
        <f t="shared" si="7"/>
        <v>3.7827249821909437E-2</v>
      </c>
      <c r="AU16" s="31">
        <f>'[1]CB I'!$J16</f>
        <v>931.8</v>
      </c>
      <c r="AV16" s="31">
        <f t="shared" si="36"/>
        <v>913.07081999999991</v>
      </c>
      <c r="AW16" s="31">
        <f t="shared" si="37"/>
        <v>18.729179999999996</v>
      </c>
      <c r="AX16" s="31">
        <f t="shared" si="38"/>
        <v>1541.7487473891319</v>
      </c>
      <c r="AY16" s="31">
        <f t="shared" si="39"/>
        <v>31.624808472825336</v>
      </c>
      <c r="AZ16" s="31">
        <v>1573.3735558619574</v>
      </c>
      <c r="BA16" s="31">
        <f t="shared" si="8"/>
        <v>0.68853139714741096</v>
      </c>
      <c r="BB16" s="31">
        <f>'[1]CB I'!$K16</f>
        <v>931.8</v>
      </c>
      <c r="BC16" s="31">
        <f t="shared" si="40"/>
        <v>913.07081999999991</v>
      </c>
      <c r="BD16" s="31">
        <f t="shared" si="41"/>
        <v>18.729179999999996</v>
      </c>
      <c r="BE16" s="31">
        <f t="shared" si="42"/>
        <v>0</v>
      </c>
      <c r="BF16" s="31">
        <f t="shared" si="43"/>
        <v>0</v>
      </c>
      <c r="BG16" s="31">
        <f>CY16*'[3]CAMBARÁ - CITROS'!$U$5</f>
        <v>0</v>
      </c>
      <c r="BH16" s="31">
        <f t="shared" si="9"/>
        <v>-1</v>
      </c>
      <c r="BI16" s="31">
        <f>'[1]CB I'!$L16</f>
        <v>931.8</v>
      </c>
      <c r="BJ16" s="31">
        <f t="shared" si="44"/>
        <v>913.07081999999991</v>
      </c>
      <c r="BK16" s="31">
        <f t="shared" si="45"/>
        <v>18.729179999999996</v>
      </c>
      <c r="BL16" s="31">
        <f t="shared" si="46"/>
        <v>0</v>
      </c>
      <c r="BM16" s="31">
        <f t="shared" si="47"/>
        <v>0</v>
      </c>
      <c r="BN16" s="31">
        <f>CZ16*'[3]CAMBARÁ - CITROS'!$U$5</f>
        <v>0</v>
      </c>
      <c r="BO16" s="31">
        <f t="shared" si="10"/>
        <v>-1</v>
      </c>
      <c r="BP16" s="31">
        <f>'[1]CB I'!$M16</f>
        <v>931.8</v>
      </c>
      <c r="BQ16" s="31">
        <f t="shared" si="48"/>
        <v>913.07081999999991</v>
      </c>
      <c r="BR16" s="31">
        <f t="shared" si="49"/>
        <v>18.729179999999996</v>
      </c>
      <c r="BS16" s="31">
        <f t="shared" si="50"/>
        <v>0</v>
      </c>
      <c r="BT16" s="31">
        <f t="shared" si="51"/>
        <v>0</v>
      </c>
      <c r="BU16" s="31">
        <f>DA16*'[3]CAMBARÁ - CITROS'!$U$5</f>
        <v>0</v>
      </c>
      <c r="BV16" s="31">
        <f t="shared" si="11"/>
        <v>-1</v>
      </c>
      <c r="BW16" s="31">
        <f>'[1]CB I'!$N16</f>
        <v>931.8</v>
      </c>
      <c r="BX16" s="31">
        <f t="shared" si="52"/>
        <v>913.07081999999991</v>
      </c>
      <c r="BY16" s="31">
        <f t="shared" si="53"/>
        <v>18.729179999999996</v>
      </c>
      <c r="BZ16" s="31">
        <f t="shared" si="54"/>
        <v>0</v>
      </c>
      <c r="CA16" s="31">
        <f t="shared" si="55"/>
        <v>0</v>
      </c>
      <c r="CB16" s="31">
        <f>DB16*'[3]CAMBARÁ - CITROS'!$U$5</f>
        <v>0</v>
      </c>
      <c r="CC16" s="31">
        <f t="shared" si="12"/>
        <v>-1</v>
      </c>
      <c r="CD16" s="31">
        <f>'[1]CB I'!$O16</f>
        <v>931.8</v>
      </c>
      <c r="CE16" s="31">
        <f t="shared" si="56"/>
        <v>913.07081999999991</v>
      </c>
      <c r="CF16" s="31">
        <f t="shared" si="57"/>
        <v>18.729179999999996</v>
      </c>
      <c r="CG16" s="31">
        <f t="shared" si="58"/>
        <v>0</v>
      </c>
      <c r="CH16" s="31">
        <f t="shared" si="59"/>
        <v>0</v>
      </c>
      <c r="CI16" s="31">
        <f>DC16*'[3]CAMBARÁ - CITROS'!$U$5</f>
        <v>0</v>
      </c>
      <c r="CJ16" s="31">
        <f t="shared" si="13"/>
        <v>-1</v>
      </c>
      <c r="CK16" s="31">
        <f>'[1]CB I'!$P16</f>
        <v>931.8</v>
      </c>
      <c r="CL16" s="31">
        <f t="shared" si="60"/>
        <v>913.07081999999991</v>
      </c>
      <c r="CM16" s="31">
        <f t="shared" si="61"/>
        <v>18.729179999999996</v>
      </c>
      <c r="CN16" s="31">
        <f t="shared" si="62"/>
        <v>0</v>
      </c>
      <c r="CO16" s="31">
        <f t="shared" si="63"/>
        <v>0</v>
      </c>
      <c r="CP16" s="31">
        <f>DD16*'[3]CAMBARÁ - CITROS'!$U$5</f>
        <v>0</v>
      </c>
      <c r="CQ16" s="31">
        <f t="shared" si="14"/>
        <v>-1</v>
      </c>
      <c r="CS16" s="197">
        <f>1671.2</f>
        <v>1671.2</v>
      </c>
      <c r="CT16" s="197">
        <f>1575.45</f>
        <v>1575.45</v>
      </c>
      <c r="CU16" s="197">
        <v>1970.33</v>
      </c>
      <c r="CV16" s="197">
        <f>1588.65</f>
        <v>1588.65</v>
      </c>
      <c r="CW16" s="197"/>
      <c r="CX16" s="197"/>
      <c r="CY16" s="197"/>
      <c r="CZ16" s="197"/>
      <c r="DA16" s="197"/>
      <c r="DB16" s="197"/>
      <c r="DC16" s="197"/>
      <c r="DD16" s="197"/>
      <c r="DE16" s="198"/>
      <c r="DF16" s="198"/>
    </row>
    <row r="17" spans="1:110" s="26" customFormat="1" ht="16" customHeight="1" x14ac:dyDescent="0.2">
      <c r="A17" s="38" t="s">
        <v>41</v>
      </c>
      <c r="B17" s="30">
        <f t="shared" si="0"/>
        <v>331869.88800000004</v>
      </c>
      <c r="C17" s="31">
        <f t="shared" si="0"/>
        <v>325199.30325120001</v>
      </c>
      <c r="D17" s="32">
        <f t="shared" si="0"/>
        <v>6670.584748799999</v>
      </c>
      <c r="E17" s="30">
        <f t="shared" si="15"/>
        <v>110623.296</v>
      </c>
      <c r="F17" s="33">
        <f t="shared" si="15"/>
        <v>108399.7677504</v>
      </c>
      <c r="G17" s="34">
        <f t="shared" si="15"/>
        <v>2223.5282495999995</v>
      </c>
      <c r="H17" s="31">
        <f t="shared" si="1"/>
        <v>250416.12952018471</v>
      </c>
      <c r="I17" s="33">
        <f t="shared" si="1"/>
        <v>5136.6100656757953</v>
      </c>
      <c r="J17" s="33">
        <f t="shared" si="1"/>
        <v>255552.73958586052</v>
      </c>
      <c r="K17" s="37">
        <f t="shared" si="2"/>
        <v>1.3101168454234133</v>
      </c>
      <c r="L17" s="36">
        <f>'[1]CB I'!$E17</f>
        <v>27655.824000000001</v>
      </c>
      <c r="M17" s="31">
        <f t="shared" si="16"/>
        <v>27099.941937600001</v>
      </c>
      <c r="N17" s="31">
        <f t="shared" si="17"/>
        <v>555.88206239999988</v>
      </c>
      <c r="O17" s="31">
        <f t="shared" si="18"/>
        <v>24548.661084726409</v>
      </c>
      <c r="P17" s="31">
        <f t="shared" si="19"/>
        <v>503.54943137361028</v>
      </c>
      <c r="Q17" s="31">
        <v>25052.210516100018</v>
      </c>
      <c r="R17" s="31">
        <f t="shared" si="3"/>
        <v>-9.4143406607591351E-2</v>
      </c>
      <c r="S17" s="31">
        <f>'[1]CB I'!$F17</f>
        <v>27655.824000000001</v>
      </c>
      <c r="T17" s="31">
        <f t="shared" si="20"/>
        <v>27099.941937600001</v>
      </c>
      <c r="U17" s="31">
        <f t="shared" si="21"/>
        <v>555.88206239999988</v>
      </c>
      <c r="V17" s="31">
        <f t="shared" si="22"/>
        <v>69476.625970512046</v>
      </c>
      <c r="W17" s="31">
        <f t="shared" si="23"/>
        <v>1425.1251984970834</v>
      </c>
      <c r="X17" s="31">
        <v>70901.751169009134</v>
      </c>
      <c r="Y17" s="31">
        <f t="shared" si="4"/>
        <v>1.5637186282719013</v>
      </c>
      <c r="Z17" s="31">
        <f>'[1]CB I'!$G17</f>
        <v>27655.824000000001</v>
      </c>
      <c r="AA17" s="31">
        <f t="shared" si="24"/>
        <v>27099.941937600001</v>
      </c>
      <c r="AB17" s="31">
        <f t="shared" si="25"/>
        <v>555.88206239999988</v>
      </c>
      <c r="AC17" s="31">
        <f t="shared" si="26"/>
        <v>28885.241455528925</v>
      </c>
      <c r="AD17" s="31">
        <f t="shared" si="27"/>
        <v>592.50265665489462</v>
      </c>
      <c r="AE17" s="31">
        <v>29477.74411218382</v>
      </c>
      <c r="AF17" s="31">
        <f t="shared" si="5"/>
        <v>6.5878352139636887E-2</v>
      </c>
      <c r="AG17" s="31">
        <f>'[1]CB I'!$H17</f>
        <v>27655.824000000001</v>
      </c>
      <c r="AH17" s="31">
        <f t="shared" si="28"/>
        <v>27099.941937600001</v>
      </c>
      <c r="AI17" s="31">
        <f t="shared" si="29"/>
        <v>555.88206239999988</v>
      </c>
      <c r="AJ17" s="31">
        <f t="shared" si="30"/>
        <v>29869.108471125845</v>
      </c>
      <c r="AK17" s="31">
        <f t="shared" si="31"/>
        <v>612.68402925770931</v>
      </c>
      <c r="AL17" s="31">
        <v>30481.792500383555</v>
      </c>
      <c r="AM17" s="31">
        <f t="shared" si="6"/>
        <v>0.10218348585034231</v>
      </c>
      <c r="AN17" s="31">
        <f>'[1]CB I'!$I17</f>
        <v>27655.824000000001</v>
      </c>
      <c r="AO17" s="31">
        <f t="shared" si="32"/>
        <v>27099.941937600001</v>
      </c>
      <c r="AP17" s="31">
        <f t="shared" si="33"/>
        <v>555.88206239999988</v>
      </c>
      <c r="AQ17" s="31">
        <f t="shared" si="34"/>
        <v>60387.835112612796</v>
      </c>
      <c r="AR17" s="31">
        <f t="shared" si="35"/>
        <v>1238.6932194749636</v>
      </c>
      <c r="AS17" s="31">
        <v>61626.528332087757</v>
      </c>
      <c r="AT17" s="31">
        <f t="shared" si="7"/>
        <v>1.2283381732573853</v>
      </c>
      <c r="AU17" s="31">
        <f>'[1]CB I'!$J17</f>
        <v>27655.824000000001</v>
      </c>
      <c r="AV17" s="31">
        <f t="shared" si="36"/>
        <v>27099.941937600001</v>
      </c>
      <c r="AW17" s="31">
        <f t="shared" si="37"/>
        <v>555.88206239999988</v>
      </c>
      <c r="AX17" s="31">
        <f t="shared" si="38"/>
        <v>37248.657425678699</v>
      </c>
      <c r="AY17" s="31">
        <f t="shared" si="39"/>
        <v>764.05553041753421</v>
      </c>
      <c r="AZ17" s="31">
        <v>38012.712956096235</v>
      </c>
      <c r="BA17" s="31">
        <f t="shared" si="8"/>
        <v>0.37449214878197923</v>
      </c>
      <c r="BB17" s="31">
        <f>'[1]CB I'!$K17</f>
        <v>27655.824000000001</v>
      </c>
      <c r="BC17" s="31">
        <f t="shared" si="40"/>
        <v>27099.941937600001</v>
      </c>
      <c r="BD17" s="31">
        <f t="shared" si="41"/>
        <v>555.88206239999988</v>
      </c>
      <c r="BE17" s="31">
        <f t="shared" si="42"/>
        <v>0</v>
      </c>
      <c r="BF17" s="31">
        <f t="shared" si="43"/>
        <v>0</v>
      </c>
      <c r="BG17" s="31"/>
      <c r="BH17" s="31">
        <f t="shared" si="9"/>
        <v>-1</v>
      </c>
      <c r="BI17" s="31">
        <f>'[1]CB I'!$L17</f>
        <v>27655.824000000001</v>
      </c>
      <c r="BJ17" s="31">
        <f t="shared" si="44"/>
        <v>27099.941937600001</v>
      </c>
      <c r="BK17" s="31">
        <f t="shared" si="45"/>
        <v>555.88206239999988</v>
      </c>
      <c r="BL17" s="31">
        <f t="shared" si="46"/>
        <v>0</v>
      </c>
      <c r="BM17" s="31">
        <f t="shared" si="47"/>
        <v>0</v>
      </c>
      <c r="BN17" s="31"/>
      <c r="BO17" s="31">
        <f t="shared" si="10"/>
        <v>-1</v>
      </c>
      <c r="BP17" s="31">
        <f>'[1]CB I'!$M17</f>
        <v>27655.824000000001</v>
      </c>
      <c r="BQ17" s="31">
        <f t="shared" si="48"/>
        <v>27099.941937600001</v>
      </c>
      <c r="BR17" s="31">
        <f t="shared" si="49"/>
        <v>555.88206239999988</v>
      </c>
      <c r="BS17" s="31">
        <f t="shared" si="50"/>
        <v>0</v>
      </c>
      <c r="BT17" s="31">
        <f t="shared" si="51"/>
        <v>0</v>
      </c>
      <c r="BU17" s="31"/>
      <c r="BV17" s="31">
        <f t="shared" si="11"/>
        <v>-1</v>
      </c>
      <c r="BW17" s="31">
        <f>'[1]CB I'!$N17</f>
        <v>27655.824000000001</v>
      </c>
      <c r="BX17" s="31">
        <f t="shared" si="52"/>
        <v>27099.941937600001</v>
      </c>
      <c r="BY17" s="31">
        <f t="shared" si="53"/>
        <v>555.88206239999988</v>
      </c>
      <c r="BZ17" s="31">
        <f t="shared" si="54"/>
        <v>0</v>
      </c>
      <c r="CA17" s="31">
        <f t="shared" si="55"/>
        <v>0</v>
      </c>
      <c r="CB17" s="31"/>
      <c r="CC17" s="31">
        <f t="shared" si="12"/>
        <v>-1</v>
      </c>
      <c r="CD17" s="31">
        <f>'[1]CB I'!$O17</f>
        <v>27655.824000000001</v>
      </c>
      <c r="CE17" s="31">
        <f t="shared" si="56"/>
        <v>27099.941937600001</v>
      </c>
      <c r="CF17" s="31">
        <f t="shared" si="57"/>
        <v>555.88206239999988</v>
      </c>
      <c r="CG17" s="31">
        <f t="shared" si="58"/>
        <v>0</v>
      </c>
      <c r="CH17" s="31">
        <f t="shared" si="59"/>
        <v>0</v>
      </c>
      <c r="CI17" s="31"/>
      <c r="CJ17" s="31">
        <f t="shared" si="13"/>
        <v>-1</v>
      </c>
      <c r="CK17" s="31">
        <f>'[1]CB I'!$P17</f>
        <v>27655.824000000001</v>
      </c>
      <c r="CL17" s="31">
        <f t="shared" si="60"/>
        <v>27099.941937600001</v>
      </c>
      <c r="CM17" s="31">
        <f t="shared" si="61"/>
        <v>555.88206239999988</v>
      </c>
      <c r="CN17" s="31">
        <f t="shared" si="62"/>
        <v>0</v>
      </c>
      <c r="CO17" s="31">
        <f t="shared" si="63"/>
        <v>0</v>
      </c>
      <c r="CP17" s="31"/>
      <c r="CQ17" s="31">
        <f t="shared" si="14"/>
        <v>-1</v>
      </c>
      <c r="CS17" s="197"/>
      <c r="CT17" s="197"/>
      <c r="CU17" s="197"/>
      <c r="CV17" s="197"/>
      <c r="CW17" s="197"/>
      <c r="CX17" s="197"/>
      <c r="CY17" s="197"/>
      <c r="CZ17" s="197"/>
      <c r="DA17" s="197"/>
      <c r="DB17" s="197"/>
      <c r="DC17" s="197"/>
      <c r="DD17" s="197"/>
      <c r="DE17" s="198"/>
      <c r="DF17" s="198"/>
    </row>
    <row r="18" spans="1:110" s="26" customFormat="1" ht="16" customHeight="1" x14ac:dyDescent="0.2">
      <c r="A18" s="38" t="s">
        <v>42</v>
      </c>
      <c r="B18" s="30">
        <f t="shared" si="0"/>
        <v>50889.847008000004</v>
      </c>
      <c r="C18" s="31">
        <f t="shared" si="0"/>
        <v>49866.961083139213</v>
      </c>
      <c r="D18" s="32">
        <f t="shared" si="0"/>
        <v>1022.8859248607999</v>
      </c>
      <c r="E18" s="30">
        <f t="shared" si="15"/>
        <v>16963.282336</v>
      </c>
      <c r="F18" s="33">
        <f t="shared" si="15"/>
        <v>16622.320361046401</v>
      </c>
      <c r="G18" s="34">
        <f t="shared" si="15"/>
        <v>340.96197495359996</v>
      </c>
      <c r="H18" s="31">
        <f t="shared" si="1"/>
        <v>34012.775480024036</v>
      </c>
      <c r="I18" s="33">
        <f t="shared" si="1"/>
        <v>697.68015833093477</v>
      </c>
      <c r="J18" s="33">
        <f t="shared" si="1"/>
        <v>34710.455638354972</v>
      </c>
      <c r="K18" s="37">
        <f t="shared" si="2"/>
        <v>1.0462110428175433</v>
      </c>
      <c r="L18" s="36">
        <f>'[1]CB I'!$E18</f>
        <v>4240.8205840000001</v>
      </c>
      <c r="M18" s="31">
        <f t="shared" si="16"/>
        <v>4155.5800902616002</v>
      </c>
      <c r="N18" s="31">
        <f t="shared" si="17"/>
        <v>85.240493738399991</v>
      </c>
      <c r="O18" s="31">
        <f t="shared" si="18"/>
        <v>8277.7791727734566</v>
      </c>
      <c r="P18" s="31">
        <f t="shared" si="19"/>
        <v>169.79626632589697</v>
      </c>
      <c r="Q18" s="31">
        <v>8447.5754390993534</v>
      </c>
      <c r="R18" s="31">
        <f t="shared" si="3"/>
        <v>0.99196718459885536</v>
      </c>
      <c r="S18" s="31">
        <f>'[1]CB I'!$F18</f>
        <v>4240.8205840000001</v>
      </c>
      <c r="T18" s="31">
        <f t="shared" si="20"/>
        <v>4155.5800902616002</v>
      </c>
      <c r="U18" s="31">
        <f t="shared" si="21"/>
        <v>85.240493738399991</v>
      </c>
      <c r="V18" s="31">
        <f t="shared" si="22"/>
        <v>0</v>
      </c>
      <c r="W18" s="31">
        <f t="shared" si="23"/>
        <v>0</v>
      </c>
      <c r="X18" s="31">
        <v>0</v>
      </c>
      <c r="Y18" s="31">
        <f t="shared" si="4"/>
        <v>-1</v>
      </c>
      <c r="Z18" s="31">
        <f>'[1]CB I'!$G18</f>
        <v>4240.8205840000001</v>
      </c>
      <c r="AA18" s="31">
        <f t="shared" si="24"/>
        <v>4155.5800902616002</v>
      </c>
      <c r="AB18" s="31">
        <f t="shared" si="25"/>
        <v>85.240493738399991</v>
      </c>
      <c r="AC18" s="31">
        <f t="shared" si="26"/>
        <v>16252.473937874842</v>
      </c>
      <c r="AD18" s="31">
        <f t="shared" si="27"/>
        <v>333.3755752130669</v>
      </c>
      <c r="AE18" s="31">
        <v>16585.849513087909</v>
      </c>
      <c r="AF18" s="31">
        <f t="shared" si="5"/>
        <v>2.9110000492979848</v>
      </c>
      <c r="AG18" s="31">
        <f>'[1]CB I'!$H18</f>
        <v>4240.8205840000001</v>
      </c>
      <c r="AH18" s="31">
        <f t="shared" si="28"/>
        <v>4155.5800902616002</v>
      </c>
      <c r="AI18" s="31">
        <f t="shared" si="29"/>
        <v>85.240493738399991</v>
      </c>
      <c r="AJ18" s="31">
        <f t="shared" si="30"/>
        <v>0</v>
      </c>
      <c r="AK18" s="31">
        <f t="shared" si="31"/>
        <v>0</v>
      </c>
      <c r="AL18" s="31">
        <v>0</v>
      </c>
      <c r="AM18" s="31">
        <f t="shared" si="6"/>
        <v>-1</v>
      </c>
      <c r="AN18" s="31">
        <f>'[1]CB I'!$I18</f>
        <v>4240.8205840000001</v>
      </c>
      <c r="AO18" s="31">
        <f t="shared" si="32"/>
        <v>4155.5800902616002</v>
      </c>
      <c r="AP18" s="31">
        <f t="shared" si="33"/>
        <v>85.240493738399991</v>
      </c>
      <c r="AQ18" s="31">
        <f t="shared" si="34"/>
        <v>8450.9261588827649</v>
      </c>
      <c r="AR18" s="31">
        <f t="shared" si="35"/>
        <v>173.34790875961173</v>
      </c>
      <c r="AS18" s="31">
        <v>8624.2740676423764</v>
      </c>
      <c r="AT18" s="31">
        <f t="shared" si="7"/>
        <v>1.0336333256305417</v>
      </c>
      <c r="AU18" s="31">
        <f>'[1]CB I'!$J18</f>
        <v>4240.8205840000001</v>
      </c>
      <c r="AV18" s="31">
        <f t="shared" si="36"/>
        <v>4155.5800902616002</v>
      </c>
      <c r="AW18" s="31">
        <f t="shared" si="37"/>
        <v>85.240493738399991</v>
      </c>
      <c r="AX18" s="31">
        <f t="shared" si="38"/>
        <v>1031.5962104929749</v>
      </c>
      <c r="AY18" s="31">
        <f t="shared" si="39"/>
        <v>21.160408032359211</v>
      </c>
      <c r="AZ18" s="31">
        <v>1052.756618525334</v>
      </c>
      <c r="BA18" s="31">
        <f t="shared" si="8"/>
        <v>-0.75175638825720859</v>
      </c>
      <c r="BB18" s="31">
        <f>'[1]CB I'!$K18</f>
        <v>4240.8205840000001</v>
      </c>
      <c r="BC18" s="31">
        <f t="shared" si="40"/>
        <v>4155.5800902616002</v>
      </c>
      <c r="BD18" s="31">
        <f t="shared" si="41"/>
        <v>85.240493738399991</v>
      </c>
      <c r="BE18" s="31">
        <f t="shared" si="42"/>
        <v>0</v>
      </c>
      <c r="BF18" s="31">
        <f t="shared" si="43"/>
        <v>0</v>
      </c>
      <c r="BG18" s="31"/>
      <c r="BH18" s="31">
        <f t="shared" si="9"/>
        <v>-1</v>
      </c>
      <c r="BI18" s="31">
        <f>'[1]CB I'!$L18</f>
        <v>4240.8205840000001</v>
      </c>
      <c r="BJ18" s="31">
        <f t="shared" si="44"/>
        <v>4155.5800902616002</v>
      </c>
      <c r="BK18" s="31">
        <f t="shared" si="45"/>
        <v>85.240493738399991</v>
      </c>
      <c r="BL18" s="31">
        <f t="shared" si="46"/>
        <v>0</v>
      </c>
      <c r="BM18" s="31">
        <f t="shared" si="47"/>
        <v>0</v>
      </c>
      <c r="BN18" s="31"/>
      <c r="BO18" s="31">
        <f t="shared" si="10"/>
        <v>-1</v>
      </c>
      <c r="BP18" s="31">
        <f>'[1]CB I'!$M18</f>
        <v>4240.8205840000001</v>
      </c>
      <c r="BQ18" s="31">
        <f t="shared" si="48"/>
        <v>4155.5800902616002</v>
      </c>
      <c r="BR18" s="31">
        <f t="shared" si="49"/>
        <v>85.240493738399991</v>
      </c>
      <c r="BS18" s="31">
        <f t="shared" si="50"/>
        <v>0</v>
      </c>
      <c r="BT18" s="31">
        <f t="shared" si="51"/>
        <v>0</v>
      </c>
      <c r="BU18" s="31"/>
      <c r="BV18" s="31">
        <f t="shared" si="11"/>
        <v>-1</v>
      </c>
      <c r="BW18" s="31">
        <f>'[1]CB I'!$N18</f>
        <v>4240.8205840000001</v>
      </c>
      <c r="BX18" s="31">
        <f t="shared" si="52"/>
        <v>4155.5800902616002</v>
      </c>
      <c r="BY18" s="31">
        <f t="shared" si="53"/>
        <v>85.240493738399991</v>
      </c>
      <c r="BZ18" s="31">
        <f t="shared" si="54"/>
        <v>0</v>
      </c>
      <c r="CA18" s="31">
        <f t="shared" si="55"/>
        <v>0</v>
      </c>
      <c r="CB18" s="31"/>
      <c r="CC18" s="31">
        <f t="shared" si="12"/>
        <v>-1</v>
      </c>
      <c r="CD18" s="31">
        <f>'[1]CB I'!$O18</f>
        <v>4240.8205840000001</v>
      </c>
      <c r="CE18" s="31">
        <f t="shared" si="56"/>
        <v>4155.5800902616002</v>
      </c>
      <c r="CF18" s="31">
        <f t="shared" si="57"/>
        <v>85.240493738399991</v>
      </c>
      <c r="CG18" s="31">
        <f t="shared" si="58"/>
        <v>0</v>
      </c>
      <c r="CH18" s="31">
        <f t="shared" si="59"/>
        <v>0</v>
      </c>
      <c r="CI18" s="31"/>
      <c r="CJ18" s="31">
        <f t="shared" si="13"/>
        <v>-1</v>
      </c>
      <c r="CK18" s="31">
        <f>'[1]CB I'!$P18</f>
        <v>4240.8205840000001</v>
      </c>
      <c r="CL18" s="31">
        <f t="shared" si="60"/>
        <v>4155.5800902616002</v>
      </c>
      <c r="CM18" s="31">
        <f t="shared" si="61"/>
        <v>85.240493738399991</v>
      </c>
      <c r="CN18" s="31">
        <f t="shared" si="62"/>
        <v>0</v>
      </c>
      <c r="CO18" s="31">
        <f t="shared" si="63"/>
        <v>0</v>
      </c>
      <c r="CP18" s="31"/>
      <c r="CQ18" s="31">
        <f t="shared" si="14"/>
        <v>-1</v>
      </c>
      <c r="CS18" s="197"/>
      <c r="CT18" s="197"/>
      <c r="CU18" s="197"/>
      <c r="CV18" s="197"/>
      <c r="CW18" s="197"/>
      <c r="CX18" s="197"/>
      <c r="CY18" s="197"/>
      <c r="CZ18" s="197"/>
      <c r="DA18" s="197"/>
      <c r="DB18" s="197"/>
      <c r="DC18" s="197"/>
      <c r="DD18" s="197"/>
      <c r="DE18" s="198"/>
      <c r="DF18" s="198"/>
    </row>
    <row r="19" spans="1:110" s="26" customFormat="1" ht="16" customHeight="1" x14ac:dyDescent="0.2">
      <c r="A19" s="38" t="s">
        <v>43</v>
      </c>
      <c r="B19" s="30">
        <f t="shared" si="0"/>
        <v>21742</v>
      </c>
      <c r="C19" s="31">
        <f t="shared" si="0"/>
        <v>21304.985800000006</v>
      </c>
      <c r="D19" s="32">
        <f t="shared" si="0"/>
        <v>437.0141999999999</v>
      </c>
      <c r="E19" s="30">
        <f t="shared" si="15"/>
        <v>7247.333333333333</v>
      </c>
      <c r="F19" s="33">
        <f t="shared" si="15"/>
        <v>7101.6619333333329</v>
      </c>
      <c r="G19" s="34">
        <f t="shared" si="15"/>
        <v>145.67139999999998</v>
      </c>
      <c r="H19" s="31">
        <f t="shared" si="1"/>
        <v>13559.691653635376</v>
      </c>
      <c r="I19" s="33">
        <f t="shared" si="1"/>
        <v>278.14042477607006</v>
      </c>
      <c r="J19" s="33">
        <f t="shared" si="1"/>
        <v>13837.832078411448</v>
      </c>
      <c r="K19" s="37">
        <f t="shared" si="2"/>
        <v>0.90936879014048122</v>
      </c>
      <c r="L19" s="36">
        <f>'[1]CB I'!$E19</f>
        <v>1811.8333333333333</v>
      </c>
      <c r="M19" s="31">
        <f t="shared" si="16"/>
        <v>1775.4154833333332</v>
      </c>
      <c r="N19" s="31">
        <f t="shared" si="17"/>
        <v>36.417849999999994</v>
      </c>
      <c r="O19" s="31">
        <f t="shared" si="18"/>
        <v>2657.521481542472</v>
      </c>
      <c r="P19" s="31">
        <f t="shared" si="19"/>
        <v>54.51187037351125</v>
      </c>
      <c r="Q19" s="31">
        <v>2712.0333519159831</v>
      </c>
      <c r="R19" s="31">
        <f t="shared" si="3"/>
        <v>0.49684482674049302</v>
      </c>
      <c r="S19" s="31">
        <f>'[1]CB I'!$F19</f>
        <v>1811.8333333333333</v>
      </c>
      <c r="T19" s="31">
        <f t="shared" si="20"/>
        <v>1775.4154833333332</v>
      </c>
      <c r="U19" s="31">
        <f t="shared" si="21"/>
        <v>36.417849999999994</v>
      </c>
      <c r="V19" s="31">
        <f t="shared" si="22"/>
        <v>1680.5638040131378</v>
      </c>
      <c r="W19" s="31">
        <f t="shared" si="23"/>
        <v>34.472224166408886</v>
      </c>
      <c r="X19" s="31">
        <v>1715.0360281795467</v>
      </c>
      <c r="Y19" s="31">
        <f t="shared" si="4"/>
        <v>-5.3425060336925734E-2</v>
      </c>
      <c r="Z19" s="31">
        <f>'[1]CB I'!$G19</f>
        <v>1811.8333333333333</v>
      </c>
      <c r="AA19" s="31">
        <f t="shared" si="24"/>
        <v>1775.4154833333332</v>
      </c>
      <c r="AB19" s="31">
        <f t="shared" si="25"/>
        <v>36.417849999999994</v>
      </c>
      <c r="AC19" s="31">
        <f t="shared" si="26"/>
        <v>2004.7676415898511</v>
      </c>
      <c r="AD19" s="31">
        <f t="shared" si="27"/>
        <v>41.12238962746811</v>
      </c>
      <c r="AE19" s="31">
        <v>2045.8900312173191</v>
      </c>
      <c r="AF19" s="31">
        <f t="shared" si="5"/>
        <v>0.12918224517559707</v>
      </c>
      <c r="AG19" s="31">
        <f>'[1]CB I'!$H19</f>
        <v>1811.8333333333333</v>
      </c>
      <c r="AH19" s="31">
        <f t="shared" si="28"/>
        <v>1775.4154833333332</v>
      </c>
      <c r="AI19" s="31">
        <f t="shared" si="29"/>
        <v>36.417849999999994</v>
      </c>
      <c r="AJ19" s="31">
        <f t="shared" si="30"/>
        <v>1641.520500955698</v>
      </c>
      <c r="AK19" s="31">
        <f t="shared" si="31"/>
        <v>33.671356331472118</v>
      </c>
      <c r="AL19" s="31">
        <v>1675.1918572871703</v>
      </c>
      <c r="AM19" s="31">
        <f t="shared" si="6"/>
        <v>-7.5416139847022223E-2</v>
      </c>
      <c r="AN19" s="31">
        <f>'[1]CB I'!$I19</f>
        <v>1811.8333333333333</v>
      </c>
      <c r="AO19" s="31">
        <f t="shared" si="32"/>
        <v>1775.4154833333332</v>
      </c>
      <c r="AP19" s="31">
        <f t="shared" si="33"/>
        <v>36.417849999999994</v>
      </c>
      <c r="AQ19" s="31">
        <f t="shared" si="34"/>
        <v>1497.641538715777</v>
      </c>
      <c r="AR19" s="31">
        <f t="shared" si="35"/>
        <v>30.720068301037976</v>
      </c>
      <c r="AS19" s="31">
        <v>1528.361607016815</v>
      </c>
      <c r="AT19" s="31">
        <f t="shared" si="7"/>
        <v>-0.15645574076893654</v>
      </c>
      <c r="AU19" s="31">
        <f>'[1]CB I'!$J19</f>
        <v>1811.8333333333333</v>
      </c>
      <c r="AV19" s="31">
        <f t="shared" si="36"/>
        <v>1775.4154833333332</v>
      </c>
      <c r="AW19" s="31">
        <f t="shared" si="37"/>
        <v>36.417849999999994</v>
      </c>
      <c r="AX19" s="31">
        <f t="shared" si="38"/>
        <v>4077.6766868184409</v>
      </c>
      <c r="AY19" s="31">
        <f t="shared" si="39"/>
        <v>83.642515976171694</v>
      </c>
      <c r="AZ19" s="31">
        <v>4161.3192027946125</v>
      </c>
      <c r="BA19" s="31">
        <f t="shared" si="8"/>
        <v>1.2967450295987191</v>
      </c>
      <c r="BB19" s="31">
        <f>'[1]CB I'!$K19</f>
        <v>1811.8333333333333</v>
      </c>
      <c r="BC19" s="31">
        <f t="shared" si="40"/>
        <v>1775.4154833333332</v>
      </c>
      <c r="BD19" s="31">
        <f t="shared" si="41"/>
        <v>36.417849999999994</v>
      </c>
      <c r="BE19" s="31">
        <f t="shared" si="42"/>
        <v>0</v>
      </c>
      <c r="BF19" s="31">
        <f t="shared" si="43"/>
        <v>0</v>
      </c>
      <c r="BG19" s="31"/>
      <c r="BH19" s="31">
        <f t="shared" si="9"/>
        <v>-1</v>
      </c>
      <c r="BI19" s="31">
        <f>'[1]CB I'!$L19</f>
        <v>1811.8333333333333</v>
      </c>
      <c r="BJ19" s="31">
        <f t="shared" si="44"/>
        <v>1775.4154833333332</v>
      </c>
      <c r="BK19" s="31">
        <f t="shared" si="45"/>
        <v>36.417849999999994</v>
      </c>
      <c r="BL19" s="31">
        <f t="shared" si="46"/>
        <v>0</v>
      </c>
      <c r="BM19" s="31">
        <f t="shared" si="47"/>
        <v>0</v>
      </c>
      <c r="BN19" s="31"/>
      <c r="BO19" s="31">
        <f t="shared" si="10"/>
        <v>-1</v>
      </c>
      <c r="BP19" s="31">
        <f>'[1]CB I'!$M19</f>
        <v>1811.8333333333333</v>
      </c>
      <c r="BQ19" s="31">
        <f t="shared" si="48"/>
        <v>1775.4154833333332</v>
      </c>
      <c r="BR19" s="31">
        <f t="shared" si="49"/>
        <v>36.417849999999994</v>
      </c>
      <c r="BS19" s="31">
        <f t="shared" si="50"/>
        <v>0</v>
      </c>
      <c r="BT19" s="31">
        <f t="shared" si="51"/>
        <v>0</v>
      </c>
      <c r="BU19" s="31"/>
      <c r="BV19" s="31">
        <f t="shared" si="11"/>
        <v>-1</v>
      </c>
      <c r="BW19" s="31">
        <f>'[1]CB I'!$N19</f>
        <v>1811.8333333333333</v>
      </c>
      <c r="BX19" s="31">
        <f t="shared" si="52"/>
        <v>1775.4154833333332</v>
      </c>
      <c r="BY19" s="31">
        <f t="shared" si="53"/>
        <v>36.417849999999994</v>
      </c>
      <c r="BZ19" s="31">
        <f t="shared" si="54"/>
        <v>0</v>
      </c>
      <c r="CA19" s="31">
        <f t="shared" si="55"/>
        <v>0</v>
      </c>
      <c r="CB19" s="31"/>
      <c r="CC19" s="31">
        <f t="shared" si="12"/>
        <v>-1</v>
      </c>
      <c r="CD19" s="31">
        <f>'[1]CB I'!$O19</f>
        <v>1811.8333333333333</v>
      </c>
      <c r="CE19" s="31">
        <f t="shared" si="56"/>
        <v>1775.4154833333332</v>
      </c>
      <c r="CF19" s="31">
        <f t="shared" si="57"/>
        <v>36.417849999999994</v>
      </c>
      <c r="CG19" s="31">
        <f t="shared" si="58"/>
        <v>0</v>
      </c>
      <c r="CH19" s="31">
        <f t="shared" si="59"/>
        <v>0</v>
      </c>
      <c r="CI19" s="31"/>
      <c r="CJ19" s="31">
        <f t="shared" si="13"/>
        <v>-1</v>
      </c>
      <c r="CK19" s="31">
        <f>'[1]CB I'!$P19</f>
        <v>1811.8333333333333</v>
      </c>
      <c r="CL19" s="31">
        <f t="shared" si="60"/>
        <v>1775.4154833333332</v>
      </c>
      <c r="CM19" s="31">
        <f t="shared" si="61"/>
        <v>36.417849999999994</v>
      </c>
      <c r="CN19" s="31">
        <f t="shared" si="62"/>
        <v>0</v>
      </c>
      <c r="CO19" s="31">
        <f t="shared" si="63"/>
        <v>0</v>
      </c>
      <c r="CP19" s="31"/>
      <c r="CQ19" s="31">
        <f t="shared" si="14"/>
        <v>-1</v>
      </c>
      <c r="CS19" s="197"/>
      <c r="CT19" s="197"/>
      <c r="CU19" s="197"/>
      <c r="CV19" s="197"/>
      <c r="CW19" s="197"/>
      <c r="CX19" s="197"/>
      <c r="CY19" s="197"/>
      <c r="CZ19" s="197"/>
      <c r="DA19" s="197"/>
      <c r="DB19" s="197"/>
      <c r="DC19" s="197"/>
      <c r="DD19" s="197"/>
      <c r="DE19" s="198"/>
      <c r="DF19" s="198"/>
    </row>
    <row r="20" spans="1:110" s="26" customFormat="1" ht="16" customHeight="1" x14ac:dyDescent="0.2">
      <c r="A20" s="29" t="s">
        <v>44</v>
      </c>
      <c r="B20" s="30">
        <f t="shared" si="0"/>
        <v>399926.67632281478</v>
      </c>
      <c r="C20" s="31">
        <f t="shared" si="0"/>
        <v>391888.15012872627</v>
      </c>
      <c r="D20" s="32">
        <f t="shared" si="0"/>
        <v>8038.5261940885766</v>
      </c>
      <c r="E20" s="30">
        <f t="shared" si="15"/>
        <v>187758.39127135999</v>
      </c>
      <c r="F20" s="33">
        <f t="shared" si="15"/>
        <v>183984.44760680565</v>
      </c>
      <c r="G20" s="34">
        <f t="shared" si="15"/>
        <v>3773.9436645543351</v>
      </c>
      <c r="H20" s="31">
        <f t="shared" si="1"/>
        <v>149918.82060000001</v>
      </c>
      <c r="I20" s="33">
        <f t="shared" si="1"/>
        <v>3075.1793999999995</v>
      </c>
      <c r="J20" s="33">
        <f t="shared" si="1"/>
        <v>152994.00000000003</v>
      </c>
      <c r="K20" s="37">
        <f t="shared" si="2"/>
        <v>-0.18515492722301996</v>
      </c>
      <c r="L20" s="36">
        <f>'[1]CB I'!$E20</f>
        <v>0</v>
      </c>
      <c r="M20" s="31">
        <f t="shared" si="16"/>
        <v>0</v>
      </c>
      <c r="N20" s="31">
        <f t="shared" si="17"/>
        <v>0</v>
      </c>
      <c r="O20" s="31">
        <f t="shared" si="18"/>
        <v>0</v>
      </c>
      <c r="P20" s="31">
        <f t="shared" si="19"/>
        <v>0</v>
      </c>
      <c r="Q20" s="31">
        <v>0</v>
      </c>
      <c r="R20" s="31" t="str">
        <f t="shared" si="3"/>
        <v/>
      </c>
      <c r="S20" s="31">
        <f>'[1]CB I'!$F20</f>
        <v>0</v>
      </c>
      <c r="T20" s="31">
        <f t="shared" si="20"/>
        <v>0</v>
      </c>
      <c r="U20" s="31">
        <f t="shared" si="21"/>
        <v>0</v>
      </c>
      <c r="V20" s="31">
        <f t="shared" si="22"/>
        <v>880.155979</v>
      </c>
      <c r="W20" s="31">
        <f t="shared" si="23"/>
        <v>18.054020999999999</v>
      </c>
      <c r="X20" s="31">
        <v>898.21</v>
      </c>
      <c r="Y20" s="31" t="str">
        <f t="shared" si="4"/>
        <v/>
      </c>
      <c r="Z20" s="31">
        <f>'[1]CB I'!$G20</f>
        <v>187758.39127135999</v>
      </c>
      <c r="AA20" s="31">
        <f t="shared" si="24"/>
        <v>183984.44760680565</v>
      </c>
      <c r="AB20" s="31">
        <f t="shared" si="25"/>
        <v>3773.9436645543351</v>
      </c>
      <c r="AC20" s="31">
        <f t="shared" si="26"/>
        <v>63268.076414999996</v>
      </c>
      <c r="AD20" s="31">
        <f t="shared" si="27"/>
        <v>1297.7735849999997</v>
      </c>
      <c r="AE20" s="31">
        <v>64565.85</v>
      </c>
      <c r="AF20" s="31">
        <f t="shared" si="5"/>
        <v>-0.65612269277123569</v>
      </c>
      <c r="AG20" s="31">
        <f>'[1]CB I'!$H20</f>
        <v>0</v>
      </c>
      <c r="AH20" s="31">
        <f t="shared" si="28"/>
        <v>0</v>
      </c>
      <c r="AI20" s="31">
        <f t="shared" si="29"/>
        <v>0</v>
      </c>
      <c r="AJ20" s="31">
        <f t="shared" si="30"/>
        <v>68591.049998999995</v>
      </c>
      <c r="AK20" s="31">
        <f t="shared" si="31"/>
        <v>1406.9600009999997</v>
      </c>
      <c r="AL20" s="31">
        <v>69998.009999999995</v>
      </c>
      <c r="AM20" s="31" t="str">
        <f t="shared" si="6"/>
        <v/>
      </c>
      <c r="AN20" s="31">
        <f>'[1]CB I'!$I20</f>
        <v>4637.3932725120003</v>
      </c>
      <c r="AO20" s="31">
        <f t="shared" si="32"/>
        <v>4544.1816677345087</v>
      </c>
      <c r="AP20" s="31">
        <f t="shared" si="33"/>
        <v>93.211604777491189</v>
      </c>
      <c r="AQ20" s="31">
        <f t="shared" si="34"/>
        <v>800.40191799999991</v>
      </c>
      <c r="AR20" s="31">
        <f t="shared" si="35"/>
        <v>16.418081999999995</v>
      </c>
      <c r="AS20" s="31">
        <v>816.81999999999994</v>
      </c>
      <c r="AT20" s="31">
        <f t="shared" si="7"/>
        <v>-0.82386225364114052</v>
      </c>
      <c r="AU20" s="31">
        <f>'[1]CB I'!$J20</f>
        <v>4637.3932725120003</v>
      </c>
      <c r="AV20" s="31">
        <f t="shared" si="36"/>
        <v>4544.1816677345087</v>
      </c>
      <c r="AW20" s="31">
        <f t="shared" si="37"/>
        <v>93.211604777491189</v>
      </c>
      <c r="AX20" s="31">
        <f t="shared" si="38"/>
        <v>16379.136289000004</v>
      </c>
      <c r="AY20" s="31">
        <f t="shared" si="39"/>
        <v>335.97371100000004</v>
      </c>
      <c r="AZ20" s="31">
        <v>16715.110000000004</v>
      </c>
      <c r="BA20" s="31">
        <f t="shared" si="8"/>
        <v>2.6044193402958258</v>
      </c>
      <c r="BB20" s="31">
        <f>'[1]CB I'!$K20</f>
        <v>88405.592072511383</v>
      </c>
      <c r="BC20" s="31">
        <f t="shared" si="40"/>
        <v>86628.639671853904</v>
      </c>
      <c r="BD20" s="31">
        <f t="shared" si="41"/>
        <v>1776.9524006574784</v>
      </c>
      <c r="BE20" s="31">
        <f t="shared" si="42"/>
        <v>0</v>
      </c>
      <c r="BF20" s="31">
        <f t="shared" si="43"/>
        <v>0</v>
      </c>
      <c r="BG20" s="31"/>
      <c r="BH20" s="31">
        <f t="shared" si="9"/>
        <v>-1</v>
      </c>
      <c r="BI20" s="31">
        <f>'[1]CB I'!$L20</f>
        <v>12170.134543871998</v>
      </c>
      <c r="BJ20" s="31">
        <f t="shared" si="44"/>
        <v>11925.51483954017</v>
      </c>
      <c r="BK20" s="31">
        <f t="shared" si="45"/>
        <v>244.61970433182711</v>
      </c>
      <c r="BL20" s="31">
        <f t="shared" si="46"/>
        <v>0</v>
      </c>
      <c r="BM20" s="31">
        <f t="shared" si="47"/>
        <v>0</v>
      </c>
      <c r="BN20" s="31"/>
      <c r="BO20" s="31">
        <f t="shared" si="10"/>
        <v>-1</v>
      </c>
      <c r="BP20" s="31">
        <f>'[1]CB I'!$M20</f>
        <v>88405.592072511383</v>
      </c>
      <c r="BQ20" s="31">
        <f t="shared" si="48"/>
        <v>86628.639671853904</v>
      </c>
      <c r="BR20" s="31">
        <f t="shared" si="49"/>
        <v>1776.9524006574784</v>
      </c>
      <c r="BS20" s="31">
        <f t="shared" si="50"/>
        <v>0</v>
      </c>
      <c r="BT20" s="31">
        <f t="shared" si="51"/>
        <v>0</v>
      </c>
      <c r="BU20" s="31"/>
      <c r="BV20" s="31">
        <f t="shared" si="11"/>
        <v>-1</v>
      </c>
      <c r="BW20" s="31">
        <f>'[1]CB I'!$N20</f>
        <v>4637.3932725120003</v>
      </c>
      <c r="BX20" s="31">
        <f t="shared" si="52"/>
        <v>4544.1816677345087</v>
      </c>
      <c r="BY20" s="31">
        <f t="shared" si="53"/>
        <v>93.211604777491189</v>
      </c>
      <c r="BZ20" s="31">
        <f t="shared" si="54"/>
        <v>0</v>
      </c>
      <c r="CA20" s="31">
        <f t="shared" si="55"/>
        <v>0</v>
      </c>
      <c r="CB20" s="31"/>
      <c r="CC20" s="31">
        <f t="shared" si="12"/>
        <v>-1</v>
      </c>
      <c r="CD20" s="31">
        <f>'[1]CB I'!$O20</f>
        <v>4637.3932725120003</v>
      </c>
      <c r="CE20" s="31">
        <f t="shared" si="56"/>
        <v>4544.1816677345087</v>
      </c>
      <c r="CF20" s="31">
        <f t="shared" si="57"/>
        <v>93.211604777491189</v>
      </c>
      <c r="CG20" s="31">
        <f t="shared" si="58"/>
        <v>0</v>
      </c>
      <c r="CH20" s="31">
        <f t="shared" si="59"/>
        <v>0</v>
      </c>
      <c r="CI20" s="31"/>
      <c r="CJ20" s="31">
        <f t="shared" si="13"/>
        <v>-1</v>
      </c>
      <c r="CK20" s="31">
        <f>'[1]CB I'!$P20</f>
        <v>4637.3932725120003</v>
      </c>
      <c r="CL20" s="31">
        <f t="shared" si="60"/>
        <v>4544.1816677345087</v>
      </c>
      <c r="CM20" s="31">
        <f t="shared" si="61"/>
        <v>93.211604777491189</v>
      </c>
      <c r="CN20" s="31">
        <f t="shared" si="62"/>
        <v>0</v>
      </c>
      <c r="CO20" s="31">
        <f t="shared" si="63"/>
        <v>0</v>
      </c>
      <c r="CP20" s="31"/>
      <c r="CQ20" s="31">
        <f t="shared" si="14"/>
        <v>-1</v>
      </c>
      <c r="CS20" s="197"/>
      <c r="CT20" s="197"/>
      <c r="CU20" s="197"/>
      <c r="CV20" s="197"/>
      <c r="CW20" s="197"/>
      <c r="CX20" s="197"/>
      <c r="CY20" s="197"/>
      <c r="CZ20" s="197"/>
      <c r="DA20" s="197"/>
      <c r="DB20" s="197"/>
      <c r="DC20" s="197"/>
      <c r="DD20" s="197"/>
      <c r="DE20" s="198"/>
      <c r="DF20" s="198"/>
    </row>
    <row r="21" spans="1:110" s="26" customFormat="1" ht="16" customHeight="1" x14ac:dyDescent="0.2">
      <c r="A21" s="38" t="s">
        <v>45</v>
      </c>
      <c r="B21" s="30">
        <f t="shared" si="0"/>
        <v>20436.083853</v>
      </c>
      <c r="C21" s="31">
        <f t="shared" si="0"/>
        <v>20025.318567554699</v>
      </c>
      <c r="D21" s="32">
        <f t="shared" si="0"/>
        <v>410.76528544529992</v>
      </c>
      <c r="E21" s="30">
        <f t="shared" si="15"/>
        <v>20436.083853</v>
      </c>
      <c r="F21" s="33">
        <f t="shared" si="15"/>
        <v>20025.318567554699</v>
      </c>
      <c r="G21" s="34">
        <f t="shared" si="15"/>
        <v>410.76528544529992</v>
      </c>
      <c r="H21" s="31">
        <f t="shared" si="1"/>
        <v>7643.22</v>
      </c>
      <c r="I21" s="33">
        <f t="shared" si="1"/>
        <v>156.77999999999997</v>
      </c>
      <c r="J21" s="33">
        <f t="shared" si="1"/>
        <v>7800</v>
      </c>
      <c r="K21" s="37">
        <f t="shared" si="2"/>
        <v>-0.61832217678755674</v>
      </c>
      <c r="L21" s="36">
        <f>'[1]CB I'!$E21</f>
        <v>20436.083853</v>
      </c>
      <c r="M21" s="31">
        <f t="shared" si="16"/>
        <v>20025.318567554699</v>
      </c>
      <c r="N21" s="31">
        <f t="shared" si="17"/>
        <v>410.76528544529992</v>
      </c>
      <c r="O21" s="31">
        <f t="shared" si="18"/>
        <v>6993.5463</v>
      </c>
      <c r="P21" s="31">
        <f t="shared" si="19"/>
        <v>143.45369999999997</v>
      </c>
      <c r="Q21" s="31">
        <v>7137</v>
      </c>
      <c r="R21" s="31">
        <f t="shared" si="3"/>
        <v>-0.65076479176061441</v>
      </c>
      <c r="S21" s="31">
        <f>'[1]CB I'!$F21</f>
        <v>0</v>
      </c>
      <c r="T21" s="31">
        <f t="shared" si="20"/>
        <v>0</v>
      </c>
      <c r="U21" s="31">
        <f t="shared" si="21"/>
        <v>0</v>
      </c>
      <c r="V21" s="31">
        <f t="shared" si="22"/>
        <v>649.67370000000005</v>
      </c>
      <c r="W21" s="31">
        <f t="shared" si="23"/>
        <v>13.326299999999998</v>
      </c>
      <c r="X21" s="31">
        <v>663</v>
      </c>
      <c r="Y21" s="31" t="str">
        <f t="shared" si="4"/>
        <v/>
      </c>
      <c r="Z21" s="31">
        <f>'[1]CB I'!$G21</f>
        <v>0</v>
      </c>
      <c r="AA21" s="31">
        <f t="shared" si="24"/>
        <v>0</v>
      </c>
      <c r="AB21" s="31">
        <f t="shared" si="25"/>
        <v>0</v>
      </c>
      <c r="AC21" s="31">
        <f t="shared" si="26"/>
        <v>0</v>
      </c>
      <c r="AD21" s="31">
        <f t="shared" si="27"/>
        <v>0</v>
      </c>
      <c r="AE21" s="31">
        <v>0</v>
      </c>
      <c r="AF21" s="31" t="str">
        <f t="shared" si="5"/>
        <v/>
      </c>
      <c r="AG21" s="31">
        <f>'[1]CB I'!$H21</f>
        <v>0</v>
      </c>
      <c r="AH21" s="31">
        <f t="shared" si="28"/>
        <v>0</v>
      </c>
      <c r="AI21" s="31">
        <f t="shared" si="29"/>
        <v>0</v>
      </c>
      <c r="AJ21" s="31">
        <f t="shared" si="30"/>
        <v>0</v>
      </c>
      <c r="AK21" s="31">
        <f t="shared" si="31"/>
        <v>0</v>
      </c>
      <c r="AL21" s="31">
        <v>0</v>
      </c>
      <c r="AM21" s="31" t="str">
        <f t="shared" si="6"/>
        <v/>
      </c>
      <c r="AN21" s="31">
        <f>'[1]CB I'!$I21</f>
        <v>0</v>
      </c>
      <c r="AO21" s="31">
        <f t="shared" si="32"/>
        <v>0</v>
      </c>
      <c r="AP21" s="31">
        <f t="shared" si="33"/>
        <v>0</v>
      </c>
      <c r="AQ21" s="31">
        <f t="shared" si="34"/>
        <v>0</v>
      </c>
      <c r="AR21" s="31">
        <f t="shared" si="35"/>
        <v>0</v>
      </c>
      <c r="AS21" s="31">
        <v>0</v>
      </c>
      <c r="AT21" s="31" t="str">
        <f t="shared" si="7"/>
        <v/>
      </c>
      <c r="AU21" s="31">
        <f>'[1]CB I'!$J21</f>
        <v>0</v>
      </c>
      <c r="AV21" s="31">
        <f t="shared" si="36"/>
        <v>0</v>
      </c>
      <c r="AW21" s="31">
        <f t="shared" si="37"/>
        <v>0</v>
      </c>
      <c r="AX21" s="31">
        <f t="shared" si="38"/>
        <v>0</v>
      </c>
      <c r="AY21" s="31">
        <f t="shared" si="39"/>
        <v>0</v>
      </c>
      <c r="AZ21" s="31">
        <v>0</v>
      </c>
      <c r="BA21" s="31" t="str">
        <f t="shared" si="8"/>
        <v/>
      </c>
      <c r="BB21" s="31">
        <f>'[1]CB I'!$K21</f>
        <v>0</v>
      </c>
      <c r="BC21" s="31">
        <f t="shared" si="40"/>
        <v>0</v>
      </c>
      <c r="BD21" s="31">
        <f t="shared" si="41"/>
        <v>0</v>
      </c>
      <c r="BE21" s="31">
        <f t="shared" si="42"/>
        <v>0</v>
      </c>
      <c r="BF21" s="31">
        <f t="shared" si="43"/>
        <v>0</v>
      </c>
      <c r="BG21" s="31"/>
      <c r="BH21" s="31" t="str">
        <f t="shared" si="9"/>
        <v/>
      </c>
      <c r="BI21" s="31">
        <f>'[1]CB I'!$L21</f>
        <v>0</v>
      </c>
      <c r="BJ21" s="31">
        <f t="shared" si="44"/>
        <v>0</v>
      </c>
      <c r="BK21" s="31">
        <f t="shared" si="45"/>
        <v>0</v>
      </c>
      <c r="BL21" s="31">
        <f t="shared" si="46"/>
        <v>0</v>
      </c>
      <c r="BM21" s="31">
        <f t="shared" si="47"/>
        <v>0</v>
      </c>
      <c r="BN21" s="31"/>
      <c r="BO21" s="31" t="str">
        <f t="shared" si="10"/>
        <v/>
      </c>
      <c r="BP21" s="31">
        <f>'[1]CB I'!$M21</f>
        <v>0</v>
      </c>
      <c r="BQ21" s="31">
        <f t="shared" si="48"/>
        <v>0</v>
      </c>
      <c r="BR21" s="31">
        <f t="shared" si="49"/>
        <v>0</v>
      </c>
      <c r="BS21" s="31">
        <f t="shared" si="50"/>
        <v>0</v>
      </c>
      <c r="BT21" s="31">
        <f t="shared" si="51"/>
        <v>0</v>
      </c>
      <c r="BU21" s="31"/>
      <c r="BV21" s="31" t="str">
        <f t="shared" si="11"/>
        <v/>
      </c>
      <c r="BW21" s="31">
        <f>'[1]CB I'!$N21</f>
        <v>0</v>
      </c>
      <c r="BX21" s="31">
        <f t="shared" si="52"/>
        <v>0</v>
      </c>
      <c r="BY21" s="31">
        <f t="shared" si="53"/>
        <v>0</v>
      </c>
      <c r="BZ21" s="31">
        <f t="shared" si="54"/>
        <v>0</v>
      </c>
      <c r="CA21" s="31">
        <f t="shared" si="55"/>
        <v>0</v>
      </c>
      <c r="CB21" s="31"/>
      <c r="CC21" s="31" t="str">
        <f t="shared" si="12"/>
        <v/>
      </c>
      <c r="CD21" s="31">
        <f>'[1]CB I'!$O21</f>
        <v>0</v>
      </c>
      <c r="CE21" s="31">
        <f t="shared" si="56"/>
        <v>0</v>
      </c>
      <c r="CF21" s="31">
        <f t="shared" si="57"/>
        <v>0</v>
      </c>
      <c r="CG21" s="31">
        <f t="shared" si="58"/>
        <v>0</v>
      </c>
      <c r="CH21" s="31">
        <f t="shared" si="59"/>
        <v>0</v>
      </c>
      <c r="CI21" s="31"/>
      <c r="CJ21" s="31" t="str">
        <f t="shared" si="13"/>
        <v/>
      </c>
      <c r="CK21" s="31">
        <f>'[1]CB I'!$P21</f>
        <v>0</v>
      </c>
      <c r="CL21" s="31">
        <f t="shared" si="60"/>
        <v>0</v>
      </c>
      <c r="CM21" s="31">
        <f t="shared" si="61"/>
        <v>0</v>
      </c>
      <c r="CN21" s="31">
        <f t="shared" si="62"/>
        <v>0</v>
      </c>
      <c r="CO21" s="31">
        <f t="shared" si="63"/>
        <v>0</v>
      </c>
      <c r="CP21" s="31"/>
      <c r="CQ21" s="31" t="str">
        <f t="shared" si="14"/>
        <v/>
      </c>
      <c r="CS21" s="197"/>
      <c r="CT21" s="197"/>
      <c r="CU21" s="197"/>
      <c r="CV21" s="197"/>
      <c r="CW21" s="197"/>
      <c r="CX21" s="197"/>
      <c r="CY21" s="197"/>
      <c r="CZ21" s="197"/>
      <c r="DA21" s="197"/>
      <c r="DB21" s="197"/>
      <c r="DC21" s="197"/>
      <c r="DD21" s="197"/>
      <c r="DE21" s="198"/>
      <c r="DF21" s="198"/>
    </row>
    <row r="22" spans="1:110" s="26" customFormat="1" ht="16" customHeight="1" x14ac:dyDescent="0.2">
      <c r="A22" s="38" t="s">
        <v>46</v>
      </c>
      <c r="B22" s="30">
        <f t="shared" si="0"/>
        <v>117441.59713919922</v>
      </c>
      <c r="C22" s="31">
        <f t="shared" si="0"/>
        <v>115081.02103670132</v>
      </c>
      <c r="D22" s="32">
        <f t="shared" si="0"/>
        <v>2360.5761024979042</v>
      </c>
      <c r="E22" s="30">
        <f t="shared" si="15"/>
        <v>39147.19904639975</v>
      </c>
      <c r="F22" s="33">
        <f t="shared" si="15"/>
        <v>38360.340345567114</v>
      </c>
      <c r="G22" s="34">
        <f t="shared" si="15"/>
        <v>786.85870083263478</v>
      </c>
      <c r="H22" s="31">
        <f t="shared" si="1"/>
        <v>229021.42504110321</v>
      </c>
      <c r="I22" s="33">
        <f t="shared" si="1"/>
        <v>4697.7555294684907</v>
      </c>
      <c r="J22" s="33">
        <f t="shared" si="1"/>
        <v>233719.18057057168</v>
      </c>
      <c r="K22" s="37">
        <f t="shared" si="2"/>
        <v>4.970265721783897</v>
      </c>
      <c r="L22" s="36">
        <f>'[1]CB I'!$E22</f>
        <v>9786.7997615999375</v>
      </c>
      <c r="M22" s="31">
        <f t="shared" si="16"/>
        <v>9590.0850863917785</v>
      </c>
      <c r="N22" s="31">
        <f t="shared" si="17"/>
        <v>196.7146752081587</v>
      </c>
      <c r="O22" s="31">
        <f t="shared" si="18"/>
        <v>161686.7682472509</v>
      </c>
      <c r="P22" s="31">
        <f t="shared" si="19"/>
        <v>3316.5670392588454</v>
      </c>
      <c r="Q22" s="31">
        <v>165003.33528650974</v>
      </c>
      <c r="R22" s="31">
        <f t="shared" si="3"/>
        <v>15.859784536915377</v>
      </c>
      <c r="S22" s="31">
        <f>'[1]CB I'!$F22</f>
        <v>9786.7997615999375</v>
      </c>
      <c r="T22" s="31">
        <f t="shared" si="20"/>
        <v>9590.0850863917785</v>
      </c>
      <c r="U22" s="31">
        <f t="shared" si="21"/>
        <v>196.7146752081587</v>
      </c>
      <c r="V22" s="31">
        <f t="shared" si="22"/>
        <v>31006.2535213421</v>
      </c>
      <c r="W22" s="31">
        <f t="shared" si="23"/>
        <v>636.00948645675692</v>
      </c>
      <c r="X22" s="31">
        <v>31642.263007798858</v>
      </c>
      <c r="Y22" s="31">
        <f t="shared" si="4"/>
        <v>2.2331572913090856</v>
      </c>
      <c r="Z22" s="31">
        <f>'[1]CB I'!$G22</f>
        <v>9786.7997615999375</v>
      </c>
      <c r="AA22" s="31">
        <f t="shared" si="24"/>
        <v>9590.0850863917785</v>
      </c>
      <c r="AB22" s="31">
        <f t="shared" si="25"/>
        <v>196.7146752081587</v>
      </c>
      <c r="AC22" s="31">
        <f t="shared" si="26"/>
        <v>22588.617977280173</v>
      </c>
      <c r="AD22" s="31">
        <f t="shared" si="27"/>
        <v>463.34444468142812</v>
      </c>
      <c r="AE22" s="31">
        <v>23051.962421961602</v>
      </c>
      <c r="AF22" s="31">
        <f t="shared" si="5"/>
        <v>1.3554137188347957</v>
      </c>
      <c r="AG22" s="31">
        <f>'[1]CB I'!$H22</f>
        <v>9786.7997615999375</v>
      </c>
      <c r="AH22" s="31">
        <f t="shared" si="28"/>
        <v>9590.0850863917785</v>
      </c>
      <c r="AI22" s="31">
        <f t="shared" si="29"/>
        <v>196.7146752081587</v>
      </c>
      <c r="AJ22" s="31">
        <f t="shared" si="30"/>
        <v>3184.6844987223258</v>
      </c>
      <c r="AK22" s="31">
        <f t="shared" si="31"/>
        <v>65.325194840615097</v>
      </c>
      <c r="AL22" s="31">
        <v>3250.0096935629408</v>
      </c>
      <c r="AM22" s="31">
        <f t="shared" si="6"/>
        <v>-0.66791905702261634</v>
      </c>
      <c r="AN22" s="31">
        <f>'[1]CB I'!$I22</f>
        <v>9786.7997615999375</v>
      </c>
      <c r="AO22" s="31">
        <f t="shared" si="32"/>
        <v>9590.0850863917785</v>
      </c>
      <c r="AP22" s="31">
        <f t="shared" si="33"/>
        <v>196.7146752081587</v>
      </c>
      <c r="AQ22" s="31">
        <f t="shared" si="34"/>
        <v>6395.4827508731069</v>
      </c>
      <c r="AR22" s="31">
        <f t="shared" si="35"/>
        <v>131.18604275186186</v>
      </c>
      <c r="AS22" s="31">
        <v>6526.6687936249691</v>
      </c>
      <c r="AT22" s="31">
        <f t="shared" si="7"/>
        <v>-0.33311511907769997</v>
      </c>
      <c r="AU22" s="31">
        <f>'[1]CB I'!$J22</f>
        <v>9786.7997615999375</v>
      </c>
      <c r="AV22" s="31">
        <f t="shared" si="36"/>
        <v>9590.0850863917785</v>
      </c>
      <c r="AW22" s="31">
        <f t="shared" si="37"/>
        <v>196.7146752081587</v>
      </c>
      <c r="AX22" s="31">
        <f t="shared" si="38"/>
        <v>4159.6180456346201</v>
      </c>
      <c r="AY22" s="31">
        <f t="shared" si="39"/>
        <v>85.323321478983416</v>
      </c>
      <c r="AZ22" s="31">
        <v>4244.9413671136035</v>
      </c>
      <c r="BA22" s="31">
        <f t="shared" si="8"/>
        <v>-0.56625848382335309</v>
      </c>
      <c r="BB22" s="31">
        <f>'[1]CB I'!$K22</f>
        <v>9786.7997615999375</v>
      </c>
      <c r="BC22" s="31">
        <f t="shared" si="40"/>
        <v>9590.0850863917785</v>
      </c>
      <c r="BD22" s="31">
        <f t="shared" si="41"/>
        <v>196.7146752081587</v>
      </c>
      <c r="BE22" s="31">
        <f t="shared" si="42"/>
        <v>0</v>
      </c>
      <c r="BF22" s="31">
        <f t="shared" si="43"/>
        <v>0</v>
      </c>
      <c r="BG22" s="31"/>
      <c r="BH22" s="31">
        <f t="shared" si="9"/>
        <v>-1</v>
      </c>
      <c r="BI22" s="31">
        <f>'[1]CB I'!$L22</f>
        <v>9786.7997615999375</v>
      </c>
      <c r="BJ22" s="31">
        <f t="shared" si="44"/>
        <v>9590.0850863917785</v>
      </c>
      <c r="BK22" s="31">
        <f t="shared" si="45"/>
        <v>196.7146752081587</v>
      </c>
      <c r="BL22" s="31">
        <f t="shared" si="46"/>
        <v>0</v>
      </c>
      <c r="BM22" s="31">
        <f t="shared" si="47"/>
        <v>0</v>
      </c>
      <c r="BN22" s="31"/>
      <c r="BO22" s="31">
        <f t="shared" si="10"/>
        <v>-1</v>
      </c>
      <c r="BP22" s="31">
        <f>'[1]CB I'!$M22</f>
        <v>9786.7997615999375</v>
      </c>
      <c r="BQ22" s="31">
        <f t="shared" si="48"/>
        <v>9590.0850863917785</v>
      </c>
      <c r="BR22" s="31">
        <f t="shared" si="49"/>
        <v>196.7146752081587</v>
      </c>
      <c r="BS22" s="31">
        <f t="shared" si="50"/>
        <v>0</v>
      </c>
      <c r="BT22" s="31">
        <f t="shared" si="51"/>
        <v>0</v>
      </c>
      <c r="BU22" s="31"/>
      <c r="BV22" s="31">
        <f t="shared" si="11"/>
        <v>-1</v>
      </c>
      <c r="BW22" s="31">
        <f>'[1]CB I'!$N22</f>
        <v>9786.7997615999375</v>
      </c>
      <c r="BX22" s="31">
        <f t="shared" si="52"/>
        <v>9590.0850863917785</v>
      </c>
      <c r="BY22" s="31">
        <f t="shared" si="53"/>
        <v>196.7146752081587</v>
      </c>
      <c r="BZ22" s="31">
        <f t="shared" si="54"/>
        <v>0</v>
      </c>
      <c r="CA22" s="31">
        <f t="shared" si="55"/>
        <v>0</v>
      </c>
      <c r="CB22" s="31"/>
      <c r="CC22" s="31">
        <f t="shared" si="12"/>
        <v>-1</v>
      </c>
      <c r="CD22" s="31">
        <f>'[1]CB I'!$O22</f>
        <v>9786.7997615999375</v>
      </c>
      <c r="CE22" s="31">
        <f t="shared" si="56"/>
        <v>9590.0850863917785</v>
      </c>
      <c r="CF22" s="31">
        <f t="shared" si="57"/>
        <v>196.7146752081587</v>
      </c>
      <c r="CG22" s="31">
        <f t="shared" si="58"/>
        <v>0</v>
      </c>
      <c r="CH22" s="31">
        <f t="shared" si="59"/>
        <v>0</v>
      </c>
      <c r="CI22" s="31"/>
      <c r="CJ22" s="31">
        <f t="shared" si="13"/>
        <v>-1</v>
      </c>
      <c r="CK22" s="31">
        <f>'[1]CB I'!$P22</f>
        <v>9786.7997615999375</v>
      </c>
      <c r="CL22" s="31">
        <f t="shared" si="60"/>
        <v>9590.0850863917785</v>
      </c>
      <c r="CM22" s="31">
        <f t="shared" si="61"/>
        <v>196.7146752081587</v>
      </c>
      <c r="CN22" s="31">
        <f t="shared" si="62"/>
        <v>0</v>
      </c>
      <c r="CO22" s="31">
        <f t="shared" si="63"/>
        <v>0</v>
      </c>
      <c r="CP22" s="31"/>
      <c r="CQ22" s="31">
        <f t="shared" si="14"/>
        <v>-1</v>
      </c>
      <c r="CS22" s="197"/>
      <c r="CT22" s="197"/>
      <c r="CU22" s="197"/>
      <c r="CV22" s="197"/>
      <c r="CW22" s="197"/>
      <c r="CX22" s="197"/>
      <c r="CY22" s="197"/>
      <c r="CZ22" s="197"/>
      <c r="DA22" s="197"/>
      <c r="DB22" s="197"/>
      <c r="DC22" s="197"/>
      <c r="DD22" s="197"/>
      <c r="DE22" s="198"/>
      <c r="DF22" s="198"/>
    </row>
    <row r="23" spans="1:110" s="26" customFormat="1" ht="16" customHeight="1" x14ac:dyDescent="0.2">
      <c r="A23" s="29" t="s">
        <v>47</v>
      </c>
      <c r="B23" s="30">
        <f t="shared" si="0"/>
        <v>0</v>
      </c>
      <c r="C23" s="31">
        <f t="shared" si="0"/>
        <v>0</v>
      </c>
      <c r="D23" s="32">
        <f t="shared" si="0"/>
        <v>0</v>
      </c>
      <c r="E23" s="30">
        <f t="shared" si="15"/>
        <v>0</v>
      </c>
      <c r="F23" s="33">
        <f t="shared" si="15"/>
        <v>0</v>
      </c>
      <c r="G23" s="34">
        <f t="shared" si="15"/>
        <v>0</v>
      </c>
      <c r="H23" s="31">
        <f t="shared" si="1"/>
        <v>0</v>
      </c>
      <c r="I23" s="33">
        <f t="shared" si="1"/>
        <v>0</v>
      </c>
      <c r="J23" s="33">
        <f t="shared" si="1"/>
        <v>0</v>
      </c>
      <c r="K23" s="37" t="str">
        <f t="shared" si="2"/>
        <v/>
      </c>
      <c r="L23" s="36">
        <f>'[1]CB I'!$E23</f>
        <v>0</v>
      </c>
      <c r="M23" s="31">
        <f t="shared" si="16"/>
        <v>0</v>
      </c>
      <c r="N23" s="31">
        <f t="shared" si="17"/>
        <v>0</v>
      </c>
      <c r="O23" s="31">
        <f t="shared" si="18"/>
        <v>0</v>
      </c>
      <c r="P23" s="31">
        <f t="shared" si="19"/>
        <v>0</v>
      </c>
      <c r="Q23" s="31"/>
      <c r="R23" s="31" t="str">
        <f t="shared" si="3"/>
        <v/>
      </c>
      <c r="S23" s="31">
        <f>'[1]CB I'!$F23</f>
        <v>0</v>
      </c>
      <c r="T23" s="31">
        <f t="shared" si="20"/>
        <v>0</v>
      </c>
      <c r="U23" s="31">
        <f t="shared" si="21"/>
        <v>0</v>
      </c>
      <c r="V23" s="31">
        <f t="shared" si="22"/>
        <v>0</v>
      </c>
      <c r="W23" s="31">
        <f t="shared" si="23"/>
        <v>0</v>
      </c>
      <c r="X23" s="31"/>
      <c r="Y23" s="31" t="str">
        <f t="shared" si="4"/>
        <v/>
      </c>
      <c r="Z23" s="31">
        <f>'[1]CB I'!$G23</f>
        <v>0</v>
      </c>
      <c r="AA23" s="31">
        <f t="shared" si="24"/>
        <v>0</v>
      </c>
      <c r="AB23" s="31">
        <f t="shared" si="25"/>
        <v>0</v>
      </c>
      <c r="AC23" s="31">
        <f t="shared" si="26"/>
        <v>0</v>
      </c>
      <c r="AD23" s="31">
        <f t="shared" si="27"/>
        <v>0</v>
      </c>
      <c r="AE23" s="31"/>
      <c r="AF23" s="31" t="str">
        <f t="shared" si="5"/>
        <v/>
      </c>
      <c r="AG23" s="31">
        <f>'[1]CB I'!$H23</f>
        <v>0</v>
      </c>
      <c r="AH23" s="31">
        <f t="shared" si="28"/>
        <v>0</v>
      </c>
      <c r="AI23" s="31">
        <f t="shared" si="29"/>
        <v>0</v>
      </c>
      <c r="AJ23" s="31">
        <f t="shared" si="30"/>
        <v>0</v>
      </c>
      <c r="AK23" s="31">
        <f t="shared" si="31"/>
        <v>0</v>
      </c>
      <c r="AL23" s="31"/>
      <c r="AM23" s="31" t="str">
        <f t="shared" si="6"/>
        <v/>
      </c>
      <c r="AN23" s="31">
        <f>'[1]CB I'!$I23</f>
        <v>0</v>
      </c>
      <c r="AO23" s="31">
        <f t="shared" si="32"/>
        <v>0</v>
      </c>
      <c r="AP23" s="31">
        <f t="shared" si="33"/>
        <v>0</v>
      </c>
      <c r="AQ23" s="31">
        <f t="shared" si="34"/>
        <v>0</v>
      </c>
      <c r="AR23" s="31">
        <f t="shared" si="35"/>
        <v>0</v>
      </c>
      <c r="AS23" s="31"/>
      <c r="AT23" s="31" t="str">
        <f t="shared" si="7"/>
        <v/>
      </c>
      <c r="AU23" s="31">
        <f>'[1]CB I'!$J23</f>
        <v>0</v>
      </c>
      <c r="AV23" s="31">
        <f t="shared" si="36"/>
        <v>0</v>
      </c>
      <c r="AW23" s="31">
        <f t="shared" si="37"/>
        <v>0</v>
      </c>
      <c r="AX23" s="31">
        <f t="shared" si="38"/>
        <v>0</v>
      </c>
      <c r="AY23" s="31">
        <f t="shared" si="39"/>
        <v>0</v>
      </c>
      <c r="AZ23" s="31"/>
      <c r="BA23" s="31" t="str">
        <f t="shared" si="8"/>
        <v/>
      </c>
      <c r="BB23" s="31">
        <f>'[1]CB I'!$K23</f>
        <v>0</v>
      </c>
      <c r="BC23" s="31">
        <f t="shared" si="40"/>
        <v>0</v>
      </c>
      <c r="BD23" s="31">
        <f t="shared" si="41"/>
        <v>0</v>
      </c>
      <c r="BE23" s="31">
        <f t="shared" si="42"/>
        <v>0</v>
      </c>
      <c r="BF23" s="31">
        <f t="shared" si="43"/>
        <v>0</v>
      </c>
      <c r="BG23" s="31"/>
      <c r="BH23" s="31" t="str">
        <f t="shared" si="9"/>
        <v/>
      </c>
      <c r="BI23" s="31">
        <f>'[1]CB I'!$L23</f>
        <v>0</v>
      </c>
      <c r="BJ23" s="31">
        <f t="shared" si="44"/>
        <v>0</v>
      </c>
      <c r="BK23" s="31">
        <f t="shared" si="45"/>
        <v>0</v>
      </c>
      <c r="BL23" s="31">
        <f t="shared" si="46"/>
        <v>0</v>
      </c>
      <c r="BM23" s="31">
        <f t="shared" si="47"/>
        <v>0</v>
      </c>
      <c r="BN23" s="31"/>
      <c r="BO23" s="31" t="str">
        <f t="shared" si="10"/>
        <v/>
      </c>
      <c r="BP23" s="31">
        <f>'[1]CB I'!$M23</f>
        <v>0</v>
      </c>
      <c r="BQ23" s="31">
        <f t="shared" si="48"/>
        <v>0</v>
      </c>
      <c r="BR23" s="31">
        <f t="shared" si="49"/>
        <v>0</v>
      </c>
      <c r="BS23" s="31">
        <f t="shared" si="50"/>
        <v>0</v>
      </c>
      <c r="BT23" s="31">
        <f t="shared" si="51"/>
        <v>0</v>
      </c>
      <c r="BU23" s="31"/>
      <c r="BV23" s="31" t="str">
        <f t="shared" si="11"/>
        <v/>
      </c>
      <c r="BW23" s="31">
        <f>'[1]CB I'!$N23</f>
        <v>0</v>
      </c>
      <c r="BX23" s="31">
        <f t="shared" si="52"/>
        <v>0</v>
      </c>
      <c r="BY23" s="31">
        <f t="shared" si="53"/>
        <v>0</v>
      </c>
      <c r="BZ23" s="31">
        <f t="shared" si="54"/>
        <v>0</v>
      </c>
      <c r="CA23" s="31">
        <f t="shared" si="55"/>
        <v>0</v>
      </c>
      <c r="CB23" s="31"/>
      <c r="CC23" s="31" t="str">
        <f t="shared" si="12"/>
        <v/>
      </c>
      <c r="CD23" s="31">
        <f>'[1]CB I'!$O23</f>
        <v>0</v>
      </c>
      <c r="CE23" s="31">
        <f t="shared" si="56"/>
        <v>0</v>
      </c>
      <c r="CF23" s="31">
        <f t="shared" si="57"/>
        <v>0</v>
      </c>
      <c r="CG23" s="31">
        <f t="shared" si="58"/>
        <v>0</v>
      </c>
      <c r="CH23" s="31">
        <f t="shared" si="59"/>
        <v>0</v>
      </c>
      <c r="CI23" s="31"/>
      <c r="CJ23" s="31" t="str">
        <f t="shared" si="13"/>
        <v/>
      </c>
      <c r="CK23" s="31">
        <f>'[1]CB I'!$P23</f>
        <v>0</v>
      </c>
      <c r="CL23" s="31">
        <f t="shared" si="60"/>
        <v>0</v>
      </c>
      <c r="CM23" s="31">
        <f t="shared" si="61"/>
        <v>0</v>
      </c>
      <c r="CN23" s="31">
        <f t="shared" si="62"/>
        <v>0</v>
      </c>
      <c r="CO23" s="31">
        <f t="shared" si="63"/>
        <v>0</v>
      </c>
      <c r="CP23" s="31"/>
      <c r="CQ23" s="31" t="str">
        <f t="shared" si="14"/>
        <v/>
      </c>
      <c r="CS23" s="197"/>
      <c r="CT23" s="197"/>
      <c r="CU23" s="197"/>
      <c r="CV23" s="197"/>
      <c r="CW23" s="197"/>
      <c r="CX23" s="197"/>
      <c r="CY23" s="197"/>
      <c r="CZ23" s="197"/>
      <c r="DA23" s="197"/>
      <c r="DB23" s="197"/>
      <c r="DC23" s="197"/>
      <c r="DD23" s="197"/>
      <c r="DE23" s="198"/>
      <c r="DF23" s="198"/>
    </row>
    <row r="24" spans="1:110" s="26" customFormat="1" ht="16" customHeight="1" x14ac:dyDescent="0.2">
      <c r="A24" s="29" t="s">
        <v>48</v>
      </c>
      <c r="B24" s="30">
        <f t="shared" si="0"/>
        <v>100866.97472598938</v>
      </c>
      <c r="C24" s="31">
        <f t="shared" si="0"/>
        <v>98839.548533996989</v>
      </c>
      <c r="D24" s="32">
        <f t="shared" si="0"/>
        <v>2027.4261919923865</v>
      </c>
      <c r="E24" s="30">
        <f t="shared" si="15"/>
        <v>34116.285393276245</v>
      </c>
      <c r="F24" s="33">
        <f t="shared" si="15"/>
        <v>33430.54805687139</v>
      </c>
      <c r="G24" s="34">
        <f t="shared" si="15"/>
        <v>685.73733640485239</v>
      </c>
      <c r="H24" s="31">
        <f t="shared" si="1"/>
        <v>72465.425220641249</v>
      </c>
      <c r="I24" s="33">
        <f t="shared" si="1"/>
        <v>1486.4323369067138</v>
      </c>
      <c r="J24" s="33">
        <f t="shared" si="1"/>
        <v>73951.857557547977</v>
      </c>
      <c r="K24" s="37">
        <f t="shared" si="2"/>
        <v>1.1676409581250211</v>
      </c>
      <c r="L24" s="36">
        <f>'[1]CB I'!$E24</f>
        <v>8529.0713483190611</v>
      </c>
      <c r="M24" s="31">
        <f t="shared" si="16"/>
        <v>8357.6370142178475</v>
      </c>
      <c r="N24" s="31">
        <f t="shared" si="17"/>
        <v>171.4343341012131</v>
      </c>
      <c r="O24" s="31">
        <f t="shared" si="18"/>
        <v>3146.0669399999997</v>
      </c>
      <c r="P24" s="31">
        <f t="shared" si="19"/>
        <v>64.533059999999992</v>
      </c>
      <c r="Q24" s="31">
        <v>3210.6</v>
      </c>
      <c r="R24" s="31">
        <f t="shared" si="3"/>
        <v>-0.62356980392328931</v>
      </c>
      <c r="S24" s="31">
        <f>'[1]CB I'!$F24</f>
        <v>8529.0713483190611</v>
      </c>
      <c r="T24" s="31">
        <f t="shared" si="20"/>
        <v>8357.6370142178475</v>
      </c>
      <c r="U24" s="31">
        <f t="shared" si="21"/>
        <v>171.4343341012131</v>
      </c>
      <c r="V24" s="31">
        <f t="shared" si="22"/>
        <v>7227.7913950000002</v>
      </c>
      <c r="W24" s="31">
        <f t="shared" si="23"/>
        <v>148.25860499999999</v>
      </c>
      <c r="X24" s="31">
        <v>7376.05</v>
      </c>
      <c r="Y24" s="31">
        <f t="shared" si="4"/>
        <v>-0.13518720869257383</v>
      </c>
      <c r="Z24" s="31">
        <f>'[1]CB I'!$G24</f>
        <v>8529.0713483190611</v>
      </c>
      <c r="AA24" s="31">
        <f t="shared" si="24"/>
        <v>8357.6370142178475</v>
      </c>
      <c r="AB24" s="31">
        <f t="shared" si="25"/>
        <v>171.4343341012131</v>
      </c>
      <c r="AC24" s="31">
        <f t="shared" si="26"/>
        <v>19454.650429000001</v>
      </c>
      <c r="AD24" s="31">
        <f t="shared" si="27"/>
        <v>399.05957100000001</v>
      </c>
      <c r="AE24" s="31">
        <v>19853.710000000003</v>
      </c>
      <c r="AF24" s="31">
        <f t="shared" si="5"/>
        <v>1.3277692481623853</v>
      </c>
      <c r="AG24" s="31">
        <f>'[1]CB I'!$H24</f>
        <v>8529.0713483190611</v>
      </c>
      <c r="AH24" s="31">
        <f t="shared" si="28"/>
        <v>8357.6370142178475</v>
      </c>
      <c r="AI24" s="31">
        <f t="shared" si="29"/>
        <v>171.4343341012131</v>
      </c>
      <c r="AJ24" s="31">
        <f t="shared" si="30"/>
        <v>8508.6872779999994</v>
      </c>
      <c r="AK24" s="31">
        <f t="shared" si="31"/>
        <v>174.53272199999995</v>
      </c>
      <c r="AL24" s="31">
        <v>8683.2199999999993</v>
      </c>
      <c r="AM24" s="31">
        <f t="shared" si="6"/>
        <v>1.807332186420485E-2</v>
      </c>
      <c r="AN24" s="31">
        <f>'[1]CB I'!$I24</f>
        <v>8529.0713483190611</v>
      </c>
      <c r="AO24" s="31">
        <f t="shared" si="32"/>
        <v>8357.6370142178475</v>
      </c>
      <c r="AP24" s="31">
        <f t="shared" si="33"/>
        <v>171.4343341012131</v>
      </c>
      <c r="AQ24" s="31">
        <f t="shared" si="34"/>
        <v>10521.803637000001</v>
      </c>
      <c r="AR24" s="31">
        <f t="shared" si="35"/>
        <v>215.82636299999999</v>
      </c>
      <c r="AS24" s="31">
        <v>10737.630000000001</v>
      </c>
      <c r="AT24" s="31">
        <f t="shared" si="7"/>
        <v>0.25894479732734443</v>
      </c>
      <c r="AU24" s="31">
        <f>'[1]CB I'!$J24</f>
        <v>8529.0713483190611</v>
      </c>
      <c r="AV24" s="31">
        <f t="shared" si="36"/>
        <v>8357.6370142178475</v>
      </c>
      <c r="AW24" s="31">
        <f t="shared" si="37"/>
        <v>171.4343341012131</v>
      </c>
      <c r="AX24" s="31">
        <f t="shared" si="38"/>
        <v>23606.425541641249</v>
      </c>
      <c r="AY24" s="31">
        <f t="shared" si="39"/>
        <v>484.22201590671398</v>
      </c>
      <c r="AZ24" s="31">
        <v>24090.647557547964</v>
      </c>
      <c r="BA24" s="31">
        <f t="shared" si="8"/>
        <v>1.824533477762011</v>
      </c>
      <c r="BB24" s="31">
        <f>'[1]CB I'!$K24</f>
        <v>7047.1898944797013</v>
      </c>
      <c r="BC24" s="31">
        <f t="shared" si="40"/>
        <v>6905.541377600659</v>
      </c>
      <c r="BD24" s="31">
        <f t="shared" si="41"/>
        <v>141.64851687904198</v>
      </c>
      <c r="BE24" s="31">
        <f t="shared" si="42"/>
        <v>0</v>
      </c>
      <c r="BF24" s="31">
        <f t="shared" si="43"/>
        <v>0</v>
      </c>
      <c r="BG24" s="31"/>
      <c r="BH24" s="31">
        <f t="shared" si="9"/>
        <v>-1</v>
      </c>
      <c r="BI24" s="31">
        <f>'[1]CB I'!$L24</f>
        <v>8529.0713483190611</v>
      </c>
      <c r="BJ24" s="31">
        <f t="shared" si="44"/>
        <v>8357.6370142178475</v>
      </c>
      <c r="BK24" s="31">
        <f t="shared" si="45"/>
        <v>171.4343341012131</v>
      </c>
      <c r="BL24" s="31">
        <f t="shared" si="46"/>
        <v>0</v>
      </c>
      <c r="BM24" s="31">
        <f t="shared" si="47"/>
        <v>0</v>
      </c>
      <c r="BN24" s="31"/>
      <c r="BO24" s="31">
        <f t="shared" si="10"/>
        <v>-1</v>
      </c>
      <c r="BP24" s="31">
        <f>'[1]CB I'!$M24</f>
        <v>8529.0713483190611</v>
      </c>
      <c r="BQ24" s="31">
        <f t="shared" si="48"/>
        <v>8357.6370142178475</v>
      </c>
      <c r="BR24" s="31">
        <f t="shared" si="49"/>
        <v>171.4343341012131</v>
      </c>
      <c r="BS24" s="31">
        <f t="shared" si="50"/>
        <v>0</v>
      </c>
      <c r="BT24" s="31">
        <f t="shared" si="51"/>
        <v>0</v>
      </c>
      <c r="BU24" s="31"/>
      <c r="BV24" s="31">
        <f t="shared" si="11"/>
        <v>-1</v>
      </c>
      <c r="BW24" s="31">
        <f>'[1]CB I'!$N24</f>
        <v>8529.0713483190611</v>
      </c>
      <c r="BX24" s="31">
        <f t="shared" si="52"/>
        <v>8357.6370142178475</v>
      </c>
      <c r="BY24" s="31">
        <f t="shared" si="53"/>
        <v>171.4343341012131</v>
      </c>
      <c r="BZ24" s="31">
        <f t="shared" si="54"/>
        <v>0</v>
      </c>
      <c r="CA24" s="31">
        <f t="shared" si="55"/>
        <v>0</v>
      </c>
      <c r="CB24" s="31"/>
      <c r="CC24" s="31">
        <f t="shared" si="12"/>
        <v>-1</v>
      </c>
      <c r="CD24" s="31">
        <f>'[1]CB I'!$O24</f>
        <v>8529.0713483190611</v>
      </c>
      <c r="CE24" s="31">
        <f t="shared" si="56"/>
        <v>8357.6370142178475</v>
      </c>
      <c r="CF24" s="31">
        <f t="shared" si="57"/>
        <v>171.4343341012131</v>
      </c>
      <c r="CG24" s="31">
        <f t="shared" si="58"/>
        <v>0</v>
      </c>
      <c r="CH24" s="31">
        <f t="shared" si="59"/>
        <v>0</v>
      </c>
      <c r="CI24" s="31"/>
      <c r="CJ24" s="31">
        <f t="shared" si="13"/>
        <v>-1</v>
      </c>
      <c r="CK24" s="31">
        <f>'[1]CB I'!$P24</f>
        <v>8529.0713483190611</v>
      </c>
      <c r="CL24" s="31">
        <f t="shared" si="60"/>
        <v>8357.6370142178475</v>
      </c>
      <c r="CM24" s="31">
        <f t="shared" si="61"/>
        <v>171.4343341012131</v>
      </c>
      <c r="CN24" s="31">
        <f t="shared" si="62"/>
        <v>0</v>
      </c>
      <c r="CO24" s="31">
        <f t="shared" si="63"/>
        <v>0</v>
      </c>
      <c r="CP24" s="31"/>
      <c r="CQ24" s="31">
        <f t="shared" si="14"/>
        <v>-1</v>
      </c>
      <c r="CS24" s="197"/>
      <c r="CT24" s="197"/>
      <c r="CU24" s="197"/>
      <c r="CV24" s="197"/>
      <c r="CW24" s="197"/>
      <c r="CX24" s="197"/>
      <c r="CY24" s="197"/>
      <c r="CZ24" s="197"/>
      <c r="DA24" s="197"/>
      <c r="DB24" s="197"/>
      <c r="DC24" s="197"/>
      <c r="DD24" s="197"/>
      <c r="DE24" s="198"/>
      <c r="DF24" s="198"/>
    </row>
    <row r="25" spans="1:110" s="26" customFormat="1" ht="16" customHeight="1" x14ac:dyDescent="0.2">
      <c r="A25" s="29" t="s">
        <v>49</v>
      </c>
      <c r="B25" s="30">
        <f t="shared" si="0"/>
        <v>176843.125767594</v>
      </c>
      <c r="C25" s="31">
        <f t="shared" si="0"/>
        <v>173288.57893966537</v>
      </c>
      <c r="D25" s="32">
        <f t="shared" si="0"/>
        <v>3554.5468279286379</v>
      </c>
      <c r="E25" s="30">
        <f t="shared" si="15"/>
        <v>63702.6195838032</v>
      </c>
      <c r="F25" s="33">
        <f t="shared" si="15"/>
        <v>62422.196930168757</v>
      </c>
      <c r="G25" s="34">
        <f t="shared" si="15"/>
        <v>1280.422653634444</v>
      </c>
      <c r="H25" s="31">
        <f t="shared" si="1"/>
        <v>189772.30761183982</v>
      </c>
      <c r="I25" s="33">
        <f t="shared" si="1"/>
        <v>3892.6659689743642</v>
      </c>
      <c r="J25" s="33">
        <f t="shared" si="1"/>
        <v>193664.97358081417</v>
      </c>
      <c r="K25" s="37">
        <f t="shared" si="2"/>
        <v>2.0401414391764625</v>
      </c>
      <c r="L25" s="36">
        <f>'[1]CB I'!$E25</f>
        <v>0</v>
      </c>
      <c r="M25" s="31">
        <f t="shared" si="16"/>
        <v>0</v>
      </c>
      <c r="N25" s="31">
        <f t="shared" si="17"/>
        <v>0</v>
      </c>
      <c r="O25" s="31">
        <f t="shared" si="18"/>
        <v>3460.0268999999998</v>
      </c>
      <c r="P25" s="31">
        <f t="shared" si="19"/>
        <v>70.973099999999988</v>
      </c>
      <c r="Q25" s="31">
        <v>3531</v>
      </c>
      <c r="R25" s="31" t="str">
        <f t="shared" si="3"/>
        <v/>
      </c>
      <c r="S25" s="31">
        <f>'[1]CB I'!$F25</f>
        <v>0</v>
      </c>
      <c r="T25" s="31">
        <f t="shared" si="20"/>
        <v>0</v>
      </c>
      <c r="U25" s="31">
        <f t="shared" si="21"/>
        <v>0</v>
      </c>
      <c r="V25" s="31">
        <f t="shared" si="22"/>
        <v>6230.0999198398058</v>
      </c>
      <c r="W25" s="31">
        <f t="shared" si="23"/>
        <v>127.7936609743648</v>
      </c>
      <c r="X25" s="31">
        <v>6357.8935808141705</v>
      </c>
      <c r="Y25" s="31" t="str">
        <f t="shared" si="4"/>
        <v/>
      </c>
      <c r="Z25" s="31">
        <f>'[1]CB I'!$G25</f>
        <v>28158.799949279997</v>
      </c>
      <c r="AA25" s="31">
        <f t="shared" si="24"/>
        <v>27592.80807029947</v>
      </c>
      <c r="AB25" s="31">
        <f t="shared" si="25"/>
        <v>565.99187898052787</v>
      </c>
      <c r="AC25" s="31">
        <f t="shared" si="26"/>
        <v>30091.739300999998</v>
      </c>
      <c r="AD25" s="31">
        <f t="shared" si="27"/>
        <v>617.25069899999983</v>
      </c>
      <c r="AE25" s="31">
        <v>30708.989999999998</v>
      </c>
      <c r="AF25" s="31">
        <f t="shared" si="5"/>
        <v>9.0564585682395338E-2</v>
      </c>
      <c r="AG25" s="31">
        <f>'[1]CB I'!$H25</f>
        <v>35543.819634523199</v>
      </c>
      <c r="AH25" s="31">
        <f t="shared" si="28"/>
        <v>34829.388859869287</v>
      </c>
      <c r="AI25" s="31">
        <f t="shared" si="29"/>
        <v>714.43077465391616</v>
      </c>
      <c r="AJ25" s="31">
        <f t="shared" si="30"/>
        <v>43290.325968999998</v>
      </c>
      <c r="AK25" s="31">
        <f t="shared" si="31"/>
        <v>887.98403099999985</v>
      </c>
      <c r="AL25" s="31">
        <v>44178.31</v>
      </c>
      <c r="AM25" s="31">
        <f t="shared" si="6"/>
        <v>0.24292522453299426</v>
      </c>
      <c r="AN25" s="31">
        <f>'[1]CB I'!$I25</f>
        <v>35543.819634523199</v>
      </c>
      <c r="AO25" s="31">
        <f t="shared" si="32"/>
        <v>34829.388859869287</v>
      </c>
      <c r="AP25" s="31">
        <f t="shared" si="33"/>
        <v>714.43077465391616</v>
      </c>
      <c r="AQ25" s="31">
        <f t="shared" si="34"/>
        <v>47806.312707000005</v>
      </c>
      <c r="AR25" s="31">
        <f t="shared" si="35"/>
        <v>980.61729300000002</v>
      </c>
      <c r="AS25" s="31">
        <v>48786.930000000008</v>
      </c>
      <c r="AT25" s="31">
        <f t="shared" si="7"/>
        <v>0.37258545934702991</v>
      </c>
      <c r="AU25" s="31">
        <f>'[1]CB I'!$J25</f>
        <v>37250.539744017595</v>
      </c>
      <c r="AV25" s="31">
        <f t="shared" si="36"/>
        <v>36501.80389516284</v>
      </c>
      <c r="AW25" s="31">
        <f t="shared" si="37"/>
        <v>748.7358488547535</v>
      </c>
      <c r="AX25" s="31">
        <f t="shared" si="38"/>
        <v>58893.802815000003</v>
      </c>
      <c r="AY25" s="31">
        <f t="shared" si="39"/>
        <v>1208.0471849999999</v>
      </c>
      <c r="AZ25" s="31">
        <v>60101.850000000006</v>
      </c>
      <c r="BA25" s="31">
        <f t="shared" si="8"/>
        <v>0.61344910471135683</v>
      </c>
      <c r="BB25" s="31">
        <f>'[1]CB I'!$K25</f>
        <v>9091.7397947375994</v>
      </c>
      <c r="BC25" s="31">
        <f t="shared" si="40"/>
        <v>8908.9958248633739</v>
      </c>
      <c r="BD25" s="31">
        <f t="shared" si="41"/>
        <v>182.74396987422571</v>
      </c>
      <c r="BE25" s="31">
        <f t="shared" si="42"/>
        <v>0</v>
      </c>
      <c r="BF25" s="31">
        <f t="shared" si="43"/>
        <v>0</v>
      </c>
      <c r="BG25" s="31"/>
      <c r="BH25" s="31">
        <f t="shared" si="9"/>
        <v>-1</v>
      </c>
      <c r="BI25" s="31">
        <f>'[1]CB I'!$L25</f>
        <v>9091.7397947375994</v>
      </c>
      <c r="BJ25" s="31">
        <f t="shared" si="44"/>
        <v>8908.9958248633739</v>
      </c>
      <c r="BK25" s="31">
        <f t="shared" si="45"/>
        <v>182.74396987422571</v>
      </c>
      <c r="BL25" s="31">
        <f t="shared" si="46"/>
        <v>0</v>
      </c>
      <c r="BM25" s="31">
        <f t="shared" si="47"/>
        <v>0</v>
      </c>
      <c r="BN25" s="31"/>
      <c r="BO25" s="31">
        <f t="shared" si="10"/>
        <v>-1</v>
      </c>
      <c r="BP25" s="31">
        <f>'[1]CB I'!$M25</f>
        <v>9091.7397947375994</v>
      </c>
      <c r="BQ25" s="31">
        <f t="shared" si="48"/>
        <v>8908.9958248633739</v>
      </c>
      <c r="BR25" s="31">
        <f t="shared" si="49"/>
        <v>182.74396987422571</v>
      </c>
      <c r="BS25" s="31">
        <f t="shared" si="50"/>
        <v>0</v>
      </c>
      <c r="BT25" s="31">
        <f t="shared" si="51"/>
        <v>0</v>
      </c>
      <c r="BU25" s="31"/>
      <c r="BV25" s="31">
        <f t="shared" si="11"/>
        <v>-1</v>
      </c>
      <c r="BW25" s="31">
        <f>'[1]CB I'!$N25</f>
        <v>5161.6852817243998</v>
      </c>
      <c r="BX25" s="31">
        <f t="shared" si="52"/>
        <v>5057.9354075617393</v>
      </c>
      <c r="BY25" s="31">
        <f t="shared" si="53"/>
        <v>103.74987416266042</v>
      </c>
      <c r="BZ25" s="31">
        <f t="shared" si="54"/>
        <v>0</v>
      </c>
      <c r="CA25" s="31">
        <f t="shared" si="55"/>
        <v>0</v>
      </c>
      <c r="CB25" s="31"/>
      <c r="CC25" s="31">
        <f t="shared" si="12"/>
        <v>-1</v>
      </c>
      <c r="CD25" s="31">
        <f>'[1]CB I'!$O25</f>
        <v>3954.621069656394</v>
      </c>
      <c r="CE25" s="31">
        <f t="shared" si="56"/>
        <v>3875.1331861563003</v>
      </c>
      <c r="CF25" s="31">
        <f t="shared" si="57"/>
        <v>79.487883500093503</v>
      </c>
      <c r="CG25" s="31">
        <f t="shared" si="58"/>
        <v>0</v>
      </c>
      <c r="CH25" s="31">
        <f t="shared" si="59"/>
        <v>0</v>
      </c>
      <c r="CI25" s="31"/>
      <c r="CJ25" s="31">
        <f t="shared" si="13"/>
        <v>-1</v>
      </c>
      <c r="CK25" s="31">
        <f>'[1]CB I'!$P25</f>
        <v>3954.621069656394</v>
      </c>
      <c r="CL25" s="31">
        <f t="shared" si="60"/>
        <v>3875.1331861563003</v>
      </c>
      <c r="CM25" s="31">
        <f t="shared" si="61"/>
        <v>79.487883500093503</v>
      </c>
      <c r="CN25" s="31">
        <f t="shared" si="62"/>
        <v>0</v>
      </c>
      <c r="CO25" s="31">
        <f t="shared" si="63"/>
        <v>0</v>
      </c>
      <c r="CP25" s="31"/>
      <c r="CQ25" s="31">
        <f t="shared" si="14"/>
        <v>-1</v>
      </c>
      <c r="CS25" s="197"/>
      <c r="CT25" s="197"/>
      <c r="CU25" s="197"/>
      <c r="CV25" s="197"/>
      <c r="CW25" s="197"/>
      <c r="CX25" s="197"/>
      <c r="CY25" s="197"/>
      <c r="CZ25" s="197"/>
      <c r="DA25" s="197"/>
      <c r="DB25" s="197"/>
      <c r="DC25" s="197"/>
      <c r="DD25" s="197"/>
      <c r="DE25" s="198"/>
      <c r="DF25" s="198"/>
    </row>
    <row r="26" spans="1:110" s="26" customFormat="1" ht="16" customHeight="1" x14ac:dyDescent="0.2">
      <c r="A26" s="29" t="s">
        <v>50</v>
      </c>
      <c r="B26" s="30">
        <f t="shared" si="0"/>
        <v>1234150.0094390428</v>
      </c>
      <c r="C26" s="31">
        <f t="shared" si="0"/>
        <v>1209343.5942493179</v>
      </c>
      <c r="D26" s="32">
        <f t="shared" si="0"/>
        <v>24806.415189724758</v>
      </c>
      <c r="E26" s="30">
        <f t="shared" si="15"/>
        <v>337063.85033116495</v>
      </c>
      <c r="F26" s="33">
        <f t="shared" si="15"/>
        <v>330288.86693950853</v>
      </c>
      <c r="G26" s="34">
        <f t="shared" si="15"/>
        <v>6774.9833916564148</v>
      </c>
      <c r="H26" s="31">
        <f t="shared" si="1"/>
        <v>566333.09909199504</v>
      </c>
      <c r="I26" s="33">
        <f t="shared" si="1"/>
        <v>11616.792827583529</v>
      </c>
      <c r="J26" s="33">
        <f t="shared" si="1"/>
        <v>577949.89191957854</v>
      </c>
      <c r="K26" s="37">
        <f t="shared" si="2"/>
        <v>0.71465997125394276</v>
      </c>
      <c r="L26" s="36">
        <f>'[1]CB I'!$E26</f>
        <v>36115.9770027493</v>
      </c>
      <c r="M26" s="31">
        <f t="shared" si="16"/>
        <v>35390.045864994041</v>
      </c>
      <c r="N26" s="31">
        <f t="shared" si="17"/>
        <v>725.93113775526081</v>
      </c>
      <c r="O26" s="31">
        <f t="shared" si="18"/>
        <v>48191.076929717536</v>
      </c>
      <c r="P26" s="31">
        <f t="shared" si="19"/>
        <v>988.50969107798994</v>
      </c>
      <c r="Q26" s="31">
        <v>49179.586620795526</v>
      </c>
      <c r="R26" s="31">
        <f t="shared" si="3"/>
        <v>0.3617127571282861</v>
      </c>
      <c r="S26" s="31">
        <f>'[1]CB I'!$F26</f>
        <v>73672.505010147695</v>
      </c>
      <c r="T26" s="31">
        <f t="shared" si="20"/>
        <v>72191.68765944372</v>
      </c>
      <c r="U26" s="31">
        <f t="shared" si="21"/>
        <v>1480.8173507039685</v>
      </c>
      <c r="V26" s="31">
        <f t="shared" si="22"/>
        <v>60051.134725653981</v>
      </c>
      <c r="W26" s="31">
        <f t="shared" si="23"/>
        <v>1231.7867210793395</v>
      </c>
      <c r="X26" s="31">
        <v>61282.921446733322</v>
      </c>
      <c r="Y26" s="31">
        <f t="shared" si="4"/>
        <v>-0.16817106411283045</v>
      </c>
      <c r="Z26" s="31">
        <f>'[1]CB I'!$G26</f>
        <v>113637.68415913398</v>
      </c>
      <c r="AA26" s="31">
        <f t="shared" si="24"/>
        <v>111353.56670753538</v>
      </c>
      <c r="AB26" s="31">
        <f t="shared" si="25"/>
        <v>2284.1174515985927</v>
      </c>
      <c r="AC26" s="31">
        <f t="shared" si="26"/>
        <v>115124.85382032175</v>
      </c>
      <c r="AD26" s="31">
        <f t="shared" si="27"/>
        <v>2361.4752135814538</v>
      </c>
      <c r="AE26" s="31">
        <v>117486.3290339032</v>
      </c>
      <c r="AF26" s="31">
        <f t="shared" si="5"/>
        <v>3.386768133517859E-2</v>
      </c>
      <c r="AG26" s="31">
        <f>'[1]CB I'!$H26</f>
        <v>113637.68415913398</v>
      </c>
      <c r="AH26" s="31">
        <f t="shared" si="28"/>
        <v>111353.56670753538</v>
      </c>
      <c r="AI26" s="31">
        <f t="shared" si="29"/>
        <v>2284.1174515985927</v>
      </c>
      <c r="AJ26" s="31">
        <f t="shared" si="30"/>
        <v>120146.81765198422</v>
      </c>
      <c r="AK26" s="31">
        <f t="shared" si="31"/>
        <v>2464.4872280894811</v>
      </c>
      <c r="AL26" s="31">
        <v>122611.3048800737</v>
      </c>
      <c r="AM26" s="31">
        <f t="shared" si="6"/>
        <v>7.8966944700961994E-2</v>
      </c>
      <c r="AN26" s="31">
        <f>'[1]CB I'!$I26</f>
        <v>127393.82728877167</v>
      </c>
      <c r="AO26" s="31">
        <f t="shared" si="32"/>
        <v>124833.21136026736</v>
      </c>
      <c r="AP26" s="31">
        <f t="shared" si="33"/>
        <v>2560.61592850431</v>
      </c>
      <c r="AQ26" s="31">
        <f t="shared" si="34"/>
        <v>127364.44270199999</v>
      </c>
      <c r="AR26" s="31">
        <f t="shared" si="35"/>
        <v>2612.5372979999993</v>
      </c>
      <c r="AS26" s="31">
        <v>129976.97999999998</v>
      </c>
      <c r="AT26" s="31">
        <f t="shared" si="7"/>
        <v>2.0276906394945726E-2</v>
      </c>
      <c r="AU26" s="31">
        <f>'[1]CB I'!$J26</f>
        <v>98489.239228314778</v>
      </c>
      <c r="AV26" s="31">
        <f t="shared" si="36"/>
        <v>96509.605519825651</v>
      </c>
      <c r="AW26" s="31">
        <f t="shared" si="37"/>
        <v>1979.6337084891268</v>
      </c>
      <c r="AX26" s="31">
        <f t="shared" si="38"/>
        <v>95454.773262317598</v>
      </c>
      <c r="AY26" s="31">
        <f t="shared" si="39"/>
        <v>1957.9966757552641</v>
      </c>
      <c r="AZ26" s="31">
        <v>97412.769938072859</v>
      </c>
      <c r="BA26" s="31">
        <f t="shared" si="8"/>
        <v>-1.0929816279182325E-2</v>
      </c>
      <c r="BB26" s="31">
        <f>'[1]CB I'!$K26</f>
        <v>84733.096098677066</v>
      </c>
      <c r="BC26" s="31">
        <f t="shared" si="40"/>
        <v>83029.960867093658</v>
      </c>
      <c r="BD26" s="31">
        <f t="shared" si="41"/>
        <v>1703.1352315834088</v>
      </c>
      <c r="BE26" s="31">
        <f t="shared" si="42"/>
        <v>0</v>
      </c>
      <c r="BF26" s="31">
        <f t="shared" si="43"/>
        <v>0</v>
      </c>
      <c r="BG26" s="31"/>
      <c r="BH26" s="31">
        <f t="shared" si="9"/>
        <v>-1</v>
      </c>
      <c r="BI26" s="31">
        <f>'[1]CB I'!$L26</f>
        <v>113637.68415913398</v>
      </c>
      <c r="BJ26" s="31">
        <f t="shared" si="44"/>
        <v>111353.56670753538</v>
      </c>
      <c r="BK26" s="31">
        <f t="shared" si="45"/>
        <v>2284.1174515985927</v>
      </c>
      <c r="BL26" s="31">
        <f t="shared" si="46"/>
        <v>0</v>
      </c>
      <c r="BM26" s="31">
        <f t="shared" si="47"/>
        <v>0</v>
      </c>
      <c r="BN26" s="31"/>
      <c r="BO26" s="31">
        <f t="shared" si="10"/>
        <v>-1</v>
      </c>
      <c r="BP26" s="31">
        <f>'[1]CB I'!$M26</f>
        <v>142581.20323908722</v>
      </c>
      <c r="BQ26" s="31">
        <f t="shared" si="48"/>
        <v>139715.32105398158</v>
      </c>
      <c r="BR26" s="31">
        <f t="shared" si="49"/>
        <v>2865.8821851056528</v>
      </c>
      <c r="BS26" s="31">
        <f t="shared" si="50"/>
        <v>0</v>
      </c>
      <c r="BT26" s="31">
        <f t="shared" si="51"/>
        <v>0</v>
      </c>
      <c r="BU26" s="31"/>
      <c r="BV26" s="31">
        <f t="shared" si="11"/>
        <v>-1</v>
      </c>
      <c r="BW26" s="31">
        <f>'[1]CB I'!$N26</f>
        <v>135874.23093684734</v>
      </c>
      <c r="BX26" s="31">
        <f t="shared" si="52"/>
        <v>133143.15889501671</v>
      </c>
      <c r="BY26" s="31">
        <f t="shared" si="53"/>
        <v>2731.072041830631</v>
      </c>
      <c r="BZ26" s="31">
        <f t="shared" si="54"/>
        <v>0</v>
      </c>
      <c r="CA26" s="31">
        <f t="shared" si="55"/>
        <v>0</v>
      </c>
      <c r="CB26" s="31"/>
      <c r="CC26" s="31">
        <f t="shared" si="12"/>
        <v>-1</v>
      </c>
      <c r="CD26" s="31">
        <f>'[1]CB I'!$O26</f>
        <v>98392.764649316829</v>
      </c>
      <c r="CE26" s="31">
        <f t="shared" si="56"/>
        <v>96415.07007986556</v>
      </c>
      <c r="CF26" s="31">
        <f t="shared" si="57"/>
        <v>1977.6945694512679</v>
      </c>
      <c r="CG26" s="31">
        <f t="shared" si="58"/>
        <v>0</v>
      </c>
      <c r="CH26" s="31">
        <f t="shared" si="59"/>
        <v>0</v>
      </c>
      <c r="CI26" s="31"/>
      <c r="CJ26" s="31">
        <f t="shared" si="13"/>
        <v>-1</v>
      </c>
      <c r="CK26" s="31">
        <f>'[1]CB I'!$P26</f>
        <v>95984.113507728922</v>
      </c>
      <c r="CL26" s="31">
        <f t="shared" si="60"/>
        <v>94054.832826223574</v>
      </c>
      <c r="CM26" s="31">
        <f t="shared" si="61"/>
        <v>1929.2806815053509</v>
      </c>
      <c r="CN26" s="31">
        <f t="shared" si="62"/>
        <v>0</v>
      </c>
      <c r="CO26" s="31">
        <f t="shared" si="63"/>
        <v>0</v>
      </c>
      <c r="CP26" s="31"/>
      <c r="CQ26" s="31">
        <f t="shared" si="14"/>
        <v>-1</v>
      </c>
      <c r="CS26" s="197"/>
      <c r="CT26" s="197"/>
      <c r="CU26" s="197"/>
      <c r="CV26" s="197"/>
      <c r="CW26" s="197"/>
      <c r="CX26" s="197"/>
      <c r="CY26" s="197"/>
      <c r="CZ26" s="197"/>
      <c r="DA26" s="197"/>
      <c r="DB26" s="197"/>
      <c r="DC26" s="197"/>
      <c r="DD26" s="197"/>
      <c r="DE26" s="198"/>
      <c r="DF26" s="198"/>
    </row>
    <row r="27" spans="1:110" s="26" customFormat="1" ht="16" customHeight="1" x14ac:dyDescent="0.2">
      <c r="A27" s="29" t="s">
        <v>51</v>
      </c>
      <c r="B27" s="30">
        <f t="shared" si="0"/>
        <v>65091.290390740542</v>
      </c>
      <c r="C27" s="31">
        <f t="shared" si="0"/>
        <v>63782.955453886651</v>
      </c>
      <c r="D27" s="32">
        <f t="shared" si="0"/>
        <v>1308.3349368538848</v>
      </c>
      <c r="E27" s="30">
        <f t="shared" si="15"/>
        <v>19940.562425972159</v>
      </c>
      <c r="F27" s="33">
        <f t="shared" si="15"/>
        <v>19539.757121210117</v>
      </c>
      <c r="G27" s="34">
        <f t="shared" si="15"/>
        <v>400.80530476204029</v>
      </c>
      <c r="H27" s="31">
        <f t="shared" si="1"/>
        <v>51774.395954635271</v>
      </c>
      <c r="I27" s="33">
        <f t="shared" si="1"/>
        <v>1062.0117957834154</v>
      </c>
      <c r="J27" s="33">
        <f t="shared" si="1"/>
        <v>52836.407750418686</v>
      </c>
      <c r="K27" s="37">
        <f t="shared" si="2"/>
        <v>1.6496949595363661</v>
      </c>
      <c r="L27" s="36">
        <f>'[1]CB I'!$E27</f>
        <v>1663.83720646848</v>
      </c>
      <c r="M27" s="31">
        <f t="shared" si="16"/>
        <v>1630.3940786184635</v>
      </c>
      <c r="N27" s="31">
        <f t="shared" si="17"/>
        <v>33.443127850016438</v>
      </c>
      <c r="O27" s="31">
        <f t="shared" si="18"/>
        <v>6389.6023286352802</v>
      </c>
      <c r="P27" s="31">
        <f t="shared" si="19"/>
        <v>131.06542178341576</v>
      </c>
      <c r="Q27" s="31">
        <v>6520.6677504186955</v>
      </c>
      <c r="R27" s="31">
        <f t="shared" si="3"/>
        <v>2.9190539345245878</v>
      </c>
      <c r="S27" s="31">
        <f>'[1]CB I'!$F27</f>
        <v>6006.5663541638396</v>
      </c>
      <c r="T27" s="31">
        <f t="shared" si="20"/>
        <v>5885.8343704451463</v>
      </c>
      <c r="U27" s="31">
        <f t="shared" si="21"/>
        <v>120.73198371869316</v>
      </c>
      <c r="V27" s="31">
        <f t="shared" si="22"/>
        <v>5576.9048699999985</v>
      </c>
      <c r="W27" s="31">
        <f t="shared" si="23"/>
        <v>114.39512999999995</v>
      </c>
      <c r="X27" s="31">
        <v>5691.2999999999984</v>
      </c>
      <c r="Y27" s="31">
        <f t="shared" si="4"/>
        <v>-5.2486951042386099E-2</v>
      </c>
      <c r="Z27" s="31">
        <f>'[1]CB I'!$G27</f>
        <v>6006.5663541638396</v>
      </c>
      <c r="AA27" s="31">
        <f t="shared" si="24"/>
        <v>5885.8343704451463</v>
      </c>
      <c r="AB27" s="31">
        <f t="shared" si="25"/>
        <v>120.73198371869316</v>
      </c>
      <c r="AC27" s="31">
        <f t="shared" si="26"/>
        <v>12384.191777999997</v>
      </c>
      <c r="AD27" s="31">
        <f t="shared" si="27"/>
        <v>254.02822199999991</v>
      </c>
      <c r="AE27" s="31">
        <v>12638.219999999998</v>
      </c>
      <c r="AF27" s="31">
        <f t="shared" si="5"/>
        <v>1.1040673247934736</v>
      </c>
      <c r="AG27" s="31">
        <f>'[1]CB I'!$H27</f>
        <v>6263.5925111759998</v>
      </c>
      <c r="AH27" s="31">
        <f t="shared" si="28"/>
        <v>6137.6943017013618</v>
      </c>
      <c r="AI27" s="31">
        <f t="shared" si="29"/>
        <v>125.89820947463757</v>
      </c>
      <c r="AJ27" s="31">
        <f t="shared" si="30"/>
        <v>6386.811818000001</v>
      </c>
      <c r="AK27" s="31">
        <f t="shared" si="31"/>
        <v>131.00818199999998</v>
      </c>
      <c r="AL27" s="31">
        <v>6517.8200000000006</v>
      </c>
      <c r="AM27" s="31">
        <f t="shared" si="6"/>
        <v>4.0588127080487535E-2</v>
      </c>
      <c r="AN27" s="31">
        <f>'[1]CB I'!$I27</f>
        <v>2453.5696545360001</v>
      </c>
      <c r="AO27" s="31">
        <f t="shared" si="32"/>
        <v>2404.2529044798266</v>
      </c>
      <c r="AP27" s="31">
        <f t="shared" si="33"/>
        <v>49.316750056173596</v>
      </c>
      <c r="AQ27" s="31">
        <f t="shared" si="34"/>
        <v>7103.7360549999994</v>
      </c>
      <c r="AR27" s="31">
        <f t="shared" si="35"/>
        <v>145.71394499999994</v>
      </c>
      <c r="AS27" s="31">
        <v>7249.4499999999989</v>
      </c>
      <c r="AT27" s="31">
        <f t="shared" si="7"/>
        <v>1.9546542469653092</v>
      </c>
      <c r="AU27" s="31">
        <f>'[1]CB I'!$J27</f>
        <v>7927.4297176444788</v>
      </c>
      <c r="AV27" s="31">
        <f t="shared" si="36"/>
        <v>7768.0883803198249</v>
      </c>
      <c r="AW27" s="31">
        <f t="shared" si="37"/>
        <v>159.34133732465401</v>
      </c>
      <c r="AX27" s="31">
        <f t="shared" si="38"/>
        <v>13933.149105</v>
      </c>
      <c r="AY27" s="31">
        <f t="shared" si="39"/>
        <v>285.80089499999997</v>
      </c>
      <c r="AZ27" s="31">
        <v>14218.95</v>
      </c>
      <c r="BA27" s="31">
        <f t="shared" si="8"/>
        <v>0.79363936438971749</v>
      </c>
      <c r="BB27" s="31">
        <f>'[1]CB I'!$K27</f>
        <v>4117.4068610044797</v>
      </c>
      <c r="BC27" s="31">
        <f t="shared" si="40"/>
        <v>4034.6469830982896</v>
      </c>
      <c r="BD27" s="31">
        <f t="shared" si="41"/>
        <v>82.759877906190027</v>
      </c>
      <c r="BE27" s="31">
        <f t="shared" si="42"/>
        <v>0</v>
      </c>
      <c r="BF27" s="31">
        <f t="shared" si="43"/>
        <v>0</v>
      </c>
      <c r="BG27" s="31"/>
      <c r="BH27" s="31">
        <f t="shared" si="9"/>
        <v>-1</v>
      </c>
      <c r="BI27" s="31">
        <f>'[1]CB I'!$L27</f>
        <v>7927.4297176444788</v>
      </c>
      <c r="BJ27" s="31">
        <f t="shared" si="44"/>
        <v>7768.0883803198249</v>
      </c>
      <c r="BK27" s="31">
        <f t="shared" si="45"/>
        <v>159.34133732465401</v>
      </c>
      <c r="BL27" s="31">
        <f t="shared" si="46"/>
        <v>0</v>
      </c>
      <c r="BM27" s="31">
        <f t="shared" si="47"/>
        <v>0</v>
      </c>
      <c r="BN27" s="31"/>
      <c r="BO27" s="31">
        <f t="shared" si="10"/>
        <v>-1</v>
      </c>
      <c r="BP27" s="31">
        <f>'[1]CB I'!$M27</f>
        <v>7927.4297176444788</v>
      </c>
      <c r="BQ27" s="31">
        <f t="shared" si="48"/>
        <v>7768.0883803198249</v>
      </c>
      <c r="BR27" s="31">
        <f t="shared" si="49"/>
        <v>159.34133732465401</v>
      </c>
      <c r="BS27" s="31">
        <f t="shared" si="50"/>
        <v>0</v>
      </c>
      <c r="BT27" s="31">
        <f t="shared" si="51"/>
        <v>0</v>
      </c>
      <c r="BU27" s="31"/>
      <c r="BV27" s="31">
        <f t="shared" si="11"/>
        <v>-1</v>
      </c>
      <c r="BW27" s="31">
        <f>'[1]CB I'!$N27</f>
        <v>6041.7122364104798</v>
      </c>
      <c r="BX27" s="31">
        <f t="shared" si="52"/>
        <v>5920.2738204586294</v>
      </c>
      <c r="BY27" s="31">
        <f t="shared" si="53"/>
        <v>121.43841595185062</v>
      </c>
      <c r="BZ27" s="31">
        <f t="shared" si="54"/>
        <v>0</v>
      </c>
      <c r="CA27" s="31">
        <f t="shared" si="55"/>
        <v>0</v>
      </c>
      <c r="CB27" s="31"/>
      <c r="CC27" s="31">
        <f t="shared" si="12"/>
        <v>-1</v>
      </c>
      <c r="CD27" s="31">
        <f>'[1]CB I'!$O27</f>
        <v>4377.8750299419935</v>
      </c>
      <c r="CE27" s="31">
        <f t="shared" si="56"/>
        <v>4289.8797418401591</v>
      </c>
      <c r="CF27" s="31">
        <f t="shared" si="57"/>
        <v>87.995288101834049</v>
      </c>
      <c r="CG27" s="31">
        <f t="shared" si="58"/>
        <v>0</v>
      </c>
      <c r="CH27" s="31">
        <f t="shared" si="59"/>
        <v>0</v>
      </c>
      <c r="CI27" s="31"/>
      <c r="CJ27" s="31">
        <f t="shared" si="13"/>
        <v>-1</v>
      </c>
      <c r="CK27" s="31">
        <f>'[1]CB I'!$P27</f>
        <v>4377.8750299419935</v>
      </c>
      <c r="CL27" s="31">
        <f t="shared" si="60"/>
        <v>4289.8797418401591</v>
      </c>
      <c r="CM27" s="31">
        <f t="shared" si="61"/>
        <v>87.995288101834049</v>
      </c>
      <c r="CN27" s="31">
        <f t="shared" si="62"/>
        <v>0</v>
      </c>
      <c r="CO27" s="31">
        <f t="shared" si="63"/>
        <v>0</v>
      </c>
      <c r="CP27" s="31"/>
      <c r="CQ27" s="31">
        <f t="shared" si="14"/>
        <v>-1</v>
      </c>
      <c r="CS27" s="197"/>
      <c r="CT27" s="197"/>
      <c r="CU27" s="197"/>
      <c r="CV27" s="197"/>
      <c r="CW27" s="197"/>
      <c r="CX27" s="197"/>
      <c r="CY27" s="197"/>
      <c r="CZ27" s="197"/>
      <c r="DA27" s="197"/>
      <c r="DB27" s="197"/>
      <c r="DC27" s="197"/>
      <c r="DD27" s="197"/>
      <c r="DE27" s="198"/>
      <c r="DF27" s="198"/>
    </row>
    <row r="28" spans="1:110" s="26" customFormat="1" ht="16" customHeight="1" x14ac:dyDescent="0.2">
      <c r="A28" s="29" t="s">
        <v>52</v>
      </c>
      <c r="B28" s="30">
        <f t="shared" si="0"/>
        <v>70044.906635945983</v>
      </c>
      <c r="C28" s="31">
        <f t="shared" si="0"/>
        <v>68637.004012563484</v>
      </c>
      <c r="D28" s="32">
        <f t="shared" si="0"/>
        <v>1407.9026233825145</v>
      </c>
      <c r="E28" s="30">
        <f t="shared" si="15"/>
        <v>24279.269918903999</v>
      </c>
      <c r="F28" s="33">
        <f t="shared" si="15"/>
        <v>23791.256593534028</v>
      </c>
      <c r="G28" s="34">
        <f t="shared" si="15"/>
        <v>488.01332536997029</v>
      </c>
      <c r="H28" s="31">
        <f t="shared" si="1"/>
        <v>46690.434520694849</v>
      </c>
      <c r="I28" s="33">
        <f t="shared" si="1"/>
        <v>957.72806803343838</v>
      </c>
      <c r="J28" s="33">
        <f t="shared" si="1"/>
        <v>47648.162588728286</v>
      </c>
      <c r="K28" s="37">
        <f t="shared" si="2"/>
        <v>0.9625039281609169</v>
      </c>
      <c r="L28" s="36">
        <f>'[1]CB I'!$E28</f>
        <v>5169.0503985119994</v>
      </c>
      <c r="M28" s="31">
        <f t="shared" si="16"/>
        <v>5065.1524855019079</v>
      </c>
      <c r="N28" s="31">
        <f t="shared" si="17"/>
        <v>103.89791301009117</v>
      </c>
      <c r="O28" s="31">
        <f t="shared" si="18"/>
        <v>9486.5614216948507</v>
      </c>
      <c r="P28" s="31">
        <f t="shared" si="19"/>
        <v>194.59116703343858</v>
      </c>
      <c r="Q28" s="31">
        <v>9681.1525887282896</v>
      </c>
      <c r="R28" s="31">
        <f t="shared" si="3"/>
        <v>0.8729073702812371</v>
      </c>
      <c r="S28" s="31">
        <f>'[1]CB I'!$F28</f>
        <v>5169.0503985119994</v>
      </c>
      <c r="T28" s="31">
        <f t="shared" si="20"/>
        <v>5065.1524855019079</v>
      </c>
      <c r="U28" s="31">
        <f t="shared" si="21"/>
        <v>103.89791301009117</v>
      </c>
      <c r="V28" s="31">
        <f t="shared" si="22"/>
        <v>11557.949896999995</v>
      </c>
      <c r="W28" s="31">
        <f t="shared" si="23"/>
        <v>237.08010299999987</v>
      </c>
      <c r="X28" s="31">
        <v>11795.029999999995</v>
      </c>
      <c r="Y28" s="31">
        <f t="shared" si="4"/>
        <v>1.2818562580460422</v>
      </c>
      <c r="Z28" s="31">
        <f>'[1]CB I'!$G28</f>
        <v>6892.0671980159996</v>
      </c>
      <c r="AA28" s="31">
        <f t="shared" si="24"/>
        <v>6753.5366473358781</v>
      </c>
      <c r="AB28" s="31">
        <f t="shared" si="25"/>
        <v>138.53055068012156</v>
      </c>
      <c r="AC28" s="31">
        <f t="shared" si="26"/>
        <v>10075.077025999997</v>
      </c>
      <c r="AD28" s="31">
        <f t="shared" si="27"/>
        <v>206.66297399999993</v>
      </c>
      <c r="AE28" s="31">
        <v>10281.739999999998</v>
      </c>
      <c r="AF28" s="31">
        <f t="shared" si="5"/>
        <v>0.49182236687416148</v>
      </c>
      <c r="AG28" s="31">
        <f>'[1]CB I'!$H28</f>
        <v>7049.1019238640001</v>
      </c>
      <c r="AH28" s="31">
        <f t="shared" si="28"/>
        <v>6907.4149751943341</v>
      </c>
      <c r="AI28" s="31">
        <f t="shared" si="29"/>
        <v>141.68694866966638</v>
      </c>
      <c r="AJ28" s="31">
        <f t="shared" si="30"/>
        <v>1727.2599310000001</v>
      </c>
      <c r="AK28" s="31">
        <f t="shared" si="31"/>
        <v>35.430068999999996</v>
      </c>
      <c r="AL28" s="31">
        <v>1762.69</v>
      </c>
      <c r="AM28" s="31">
        <f t="shared" si="6"/>
        <v>-0.74994119548298821</v>
      </c>
      <c r="AN28" s="31">
        <f>'[1]CB I'!$I28</f>
        <v>6030.5587982639991</v>
      </c>
      <c r="AO28" s="31">
        <f t="shared" si="32"/>
        <v>5909.344566418893</v>
      </c>
      <c r="AP28" s="31">
        <f t="shared" si="33"/>
        <v>121.21423184510635</v>
      </c>
      <c r="AQ28" s="31">
        <f t="shared" si="34"/>
        <v>5138.2918310000005</v>
      </c>
      <c r="AR28" s="31">
        <f t="shared" si="35"/>
        <v>105.398169</v>
      </c>
      <c r="AS28" s="31">
        <v>5243.6900000000005</v>
      </c>
      <c r="AT28" s="31">
        <f t="shared" si="7"/>
        <v>-0.13048024645585288</v>
      </c>
      <c r="AU28" s="31">
        <f>'[1]CB I'!$J28</f>
        <v>5326.0851243599991</v>
      </c>
      <c r="AV28" s="31">
        <f t="shared" si="36"/>
        <v>5219.030813360363</v>
      </c>
      <c r="AW28" s="31">
        <f t="shared" si="37"/>
        <v>107.05431099963596</v>
      </c>
      <c r="AX28" s="31">
        <f t="shared" si="38"/>
        <v>8705.294414</v>
      </c>
      <c r="AY28" s="31">
        <f t="shared" si="39"/>
        <v>178.56558599999997</v>
      </c>
      <c r="AZ28" s="31">
        <v>8883.86</v>
      </c>
      <c r="BA28" s="31">
        <f t="shared" si="8"/>
        <v>0.66799061460128573</v>
      </c>
      <c r="BB28" s="31">
        <f>'[1]CB I'!$K28</f>
        <v>4307.5419987599998</v>
      </c>
      <c r="BC28" s="31">
        <f t="shared" si="40"/>
        <v>4220.9604045849237</v>
      </c>
      <c r="BD28" s="31">
        <f t="shared" si="41"/>
        <v>86.581594175075978</v>
      </c>
      <c r="BE28" s="31">
        <f t="shared" si="42"/>
        <v>0</v>
      </c>
      <c r="BF28" s="31">
        <f t="shared" si="43"/>
        <v>0</v>
      </c>
      <c r="BG28" s="31"/>
      <c r="BH28" s="31">
        <f t="shared" si="9"/>
        <v>-1</v>
      </c>
      <c r="BI28" s="31">
        <f>'[1]CB I'!$L28</f>
        <v>7049.1019238640001</v>
      </c>
      <c r="BJ28" s="31">
        <f t="shared" si="44"/>
        <v>6907.4149751943341</v>
      </c>
      <c r="BK28" s="31">
        <f t="shared" si="45"/>
        <v>141.68694866966638</v>
      </c>
      <c r="BL28" s="31">
        <f t="shared" si="46"/>
        <v>0</v>
      </c>
      <c r="BM28" s="31">
        <f t="shared" si="47"/>
        <v>0</v>
      </c>
      <c r="BN28" s="31"/>
      <c r="BO28" s="31">
        <f t="shared" si="10"/>
        <v>-1</v>
      </c>
      <c r="BP28" s="31">
        <f>'[1]CB I'!$M28</f>
        <v>7049.1019238640001</v>
      </c>
      <c r="BQ28" s="31">
        <f t="shared" si="48"/>
        <v>6907.4149751943341</v>
      </c>
      <c r="BR28" s="31">
        <f t="shared" si="49"/>
        <v>141.68694866966638</v>
      </c>
      <c r="BS28" s="31">
        <f t="shared" si="50"/>
        <v>0</v>
      </c>
      <c r="BT28" s="31">
        <f t="shared" si="51"/>
        <v>0</v>
      </c>
      <c r="BU28" s="31"/>
      <c r="BV28" s="31">
        <f t="shared" si="11"/>
        <v>-1</v>
      </c>
      <c r="BW28" s="31">
        <f>'[1]CB I'!$N28</f>
        <v>6483.0935156459991</v>
      </c>
      <c r="BX28" s="31">
        <f t="shared" si="52"/>
        <v>6352.7833359815149</v>
      </c>
      <c r="BY28" s="31">
        <f t="shared" si="53"/>
        <v>130.31017966448456</v>
      </c>
      <c r="BZ28" s="31">
        <f t="shared" si="54"/>
        <v>0</v>
      </c>
      <c r="CA28" s="31">
        <f t="shared" si="55"/>
        <v>0</v>
      </c>
      <c r="CB28" s="31"/>
      <c r="CC28" s="31">
        <f t="shared" si="12"/>
        <v>-1</v>
      </c>
      <c r="CD28" s="31">
        <f>'[1]CB I'!$O28</f>
        <v>4760.0767161419999</v>
      </c>
      <c r="CE28" s="31">
        <f t="shared" si="56"/>
        <v>4664.3991741475456</v>
      </c>
      <c r="CF28" s="31">
        <f t="shared" si="57"/>
        <v>95.677541994454174</v>
      </c>
      <c r="CG28" s="31">
        <f t="shared" si="58"/>
        <v>0</v>
      </c>
      <c r="CH28" s="31">
        <f t="shared" si="59"/>
        <v>0</v>
      </c>
      <c r="CI28" s="31"/>
      <c r="CJ28" s="31">
        <f t="shared" si="13"/>
        <v>-1</v>
      </c>
      <c r="CK28" s="31">
        <f>'[1]CB I'!$P28</f>
        <v>4760.0767161419999</v>
      </c>
      <c r="CL28" s="31">
        <f t="shared" si="60"/>
        <v>4664.3991741475456</v>
      </c>
      <c r="CM28" s="31">
        <f t="shared" si="61"/>
        <v>95.677541994454174</v>
      </c>
      <c r="CN28" s="31">
        <f t="shared" si="62"/>
        <v>0</v>
      </c>
      <c r="CO28" s="31">
        <f t="shared" si="63"/>
        <v>0</v>
      </c>
      <c r="CP28" s="31"/>
      <c r="CQ28" s="31">
        <f t="shared" si="14"/>
        <v>-1</v>
      </c>
      <c r="CS28" s="197"/>
      <c r="CT28" s="197"/>
      <c r="CU28" s="197"/>
      <c r="CV28" s="197"/>
      <c r="CW28" s="197"/>
      <c r="CX28" s="197"/>
      <c r="CY28" s="197"/>
      <c r="CZ28" s="197"/>
      <c r="DA28" s="197"/>
      <c r="DB28" s="197"/>
      <c r="DC28" s="197"/>
      <c r="DD28" s="197"/>
      <c r="DE28" s="198"/>
      <c r="DF28" s="198"/>
    </row>
    <row r="29" spans="1:110" s="26" customFormat="1" ht="16" customHeight="1" x14ac:dyDescent="0.2">
      <c r="A29" s="29" t="s">
        <v>53</v>
      </c>
      <c r="B29" s="30">
        <f t="shared" si="0"/>
        <v>124917.40617600002</v>
      </c>
      <c r="C29" s="31">
        <f t="shared" si="0"/>
        <v>122406.56631186239</v>
      </c>
      <c r="D29" s="32">
        <f t="shared" si="0"/>
        <v>2510.8398641375993</v>
      </c>
      <c r="E29" s="30">
        <f t="shared" si="15"/>
        <v>41639.135391999997</v>
      </c>
      <c r="F29" s="33">
        <f t="shared" si="15"/>
        <v>40802.1887706208</v>
      </c>
      <c r="G29" s="34">
        <f t="shared" si="15"/>
        <v>836.94662137919988</v>
      </c>
      <c r="H29" s="31">
        <f t="shared" si="1"/>
        <v>0</v>
      </c>
      <c r="I29" s="33">
        <f t="shared" si="1"/>
        <v>0</v>
      </c>
      <c r="J29" s="33">
        <f t="shared" si="1"/>
        <v>0</v>
      </c>
      <c r="K29" s="37">
        <f t="shared" si="2"/>
        <v>-1</v>
      </c>
      <c r="L29" s="36">
        <f>'[1]CB I'!$E29</f>
        <v>9165.7407739999999</v>
      </c>
      <c r="M29" s="31">
        <f t="shared" si="16"/>
        <v>8981.5093844425992</v>
      </c>
      <c r="N29" s="31">
        <f t="shared" si="17"/>
        <v>184.23138955739995</v>
      </c>
      <c r="O29" s="31">
        <f t="shared" si="18"/>
        <v>0</v>
      </c>
      <c r="P29" s="31">
        <f t="shared" si="19"/>
        <v>0</v>
      </c>
      <c r="Q29" s="31">
        <v>0</v>
      </c>
      <c r="R29" s="31">
        <f t="shared" si="3"/>
        <v>-1</v>
      </c>
      <c r="S29" s="31">
        <f>'[1]CB I'!$F29</f>
        <v>11653.826922</v>
      </c>
      <c r="T29" s="31">
        <f t="shared" si="20"/>
        <v>11419.585000867801</v>
      </c>
      <c r="U29" s="31">
        <f t="shared" si="21"/>
        <v>234.24192113219996</v>
      </c>
      <c r="V29" s="31">
        <f t="shared" si="22"/>
        <v>0</v>
      </c>
      <c r="W29" s="31">
        <f t="shared" si="23"/>
        <v>0</v>
      </c>
      <c r="X29" s="31">
        <v>0</v>
      </c>
      <c r="Y29" s="31">
        <f t="shared" si="4"/>
        <v>-1</v>
      </c>
      <c r="Z29" s="31">
        <f>'[1]CB I'!$G29</f>
        <v>9165.7407739999999</v>
      </c>
      <c r="AA29" s="31">
        <f t="shared" si="24"/>
        <v>8981.5093844425992</v>
      </c>
      <c r="AB29" s="31">
        <f t="shared" si="25"/>
        <v>184.23138955739995</v>
      </c>
      <c r="AC29" s="31">
        <f t="shared" si="26"/>
        <v>0</v>
      </c>
      <c r="AD29" s="31">
        <f t="shared" si="27"/>
        <v>0</v>
      </c>
      <c r="AE29" s="31">
        <v>0</v>
      </c>
      <c r="AF29" s="31">
        <f t="shared" si="5"/>
        <v>-1</v>
      </c>
      <c r="AG29" s="31">
        <f>'[1]CB I'!$H29</f>
        <v>11653.826922</v>
      </c>
      <c r="AH29" s="31">
        <f t="shared" si="28"/>
        <v>11419.585000867801</v>
      </c>
      <c r="AI29" s="31">
        <f t="shared" si="29"/>
        <v>234.24192113219996</v>
      </c>
      <c r="AJ29" s="31">
        <f t="shared" si="30"/>
        <v>0</v>
      </c>
      <c r="AK29" s="31">
        <f t="shared" si="31"/>
        <v>0</v>
      </c>
      <c r="AL29" s="31">
        <v>0</v>
      </c>
      <c r="AM29" s="31">
        <f t="shared" si="6"/>
        <v>-1</v>
      </c>
      <c r="AN29" s="31">
        <f>'[1]CB I'!$I29</f>
        <v>9165.7407739999999</v>
      </c>
      <c r="AO29" s="31">
        <f t="shared" si="32"/>
        <v>8981.5093844425992</v>
      </c>
      <c r="AP29" s="31">
        <f t="shared" si="33"/>
        <v>184.23138955739995</v>
      </c>
      <c r="AQ29" s="31">
        <f t="shared" si="34"/>
        <v>0</v>
      </c>
      <c r="AR29" s="31">
        <f t="shared" si="35"/>
        <v>0</v>
      </c>
      <c r="AS29" s="31">
        <v>0</v>
      </c>
      <c r="AT29" s="31">
        <f t="shared" si="7"/>
        <v>-1</v>
      </c>
      <c r="AU29" s="31">
        <f>'[1]CB I'!$J29</f>
        <v>11653.826922</v>
      </c>
      <c r="AV29" s="31">
        <f t="shared" si="36"/>
        <v>11419.585000867801</v>
      </c>
      <c r="AW29" s="31">
        <f t="shared" si="37"/>
        <v>234.24192113219996</v>
      </c>
      <c r="AX29" s="31">
        <f t="shared" si="38"/>
        <v>0</v>
      </c>
      <c r="AY29" s="31">
        <f t="shared" si="39"/>
        <v>0</v>
      </c>
      <c r="AZ29" s="31">
        <v>0</v>
      </c>
      <c r="BA29" s="31">
        <f t="shared" si="8"/>
        <v>-1</v>
      </c>
      <c r="BB29" s="31">
        <f>'[1]CB I'!$K29</f>
        <v>9165.7407739999999</v>
      </c>
      <c r="BC29" s="31">
        <f t="shared" si="40"/>
        <v>8981.5093844425992</v>
      </c>
      <c r="BD29" s="31">
        <f t="shared" si="41"/>
        <v>184.23138955739995</v>
      </c>
      <c r="BE29" s="31">
        <f t="shared" si="42"/>
        <v>0</v>
      </c>
      <c r="BF29" s="31">
        <f t="shared" si="43"/>
        <v>0</v>
      </c>
      <c r="BG29" s="31"/>
      <c r="BH29" s="31">
        <f t="shared" si="9"/>
        <v>-1</v>
      </c>
      <c r="BI29" s="31">
        <f>'[1]CB I'!$L29</f>
        <v>11653.826922</v>
      </c>
      <c r="BJ29" s="31">
        <f t="shared" si="44"/>
        <v>11419.585000867801</v>
      </c>
      <c r="BK29" s="31">
        <f t="shared" si="45"/>
        <v>234.24192113219996</v>
      </c>
      <c r="BL29" s="31">
        <f t="shared" si="46"/>
        <v>0</v>
      </c>
      <c r="BM29" s="31">
        <f t="shared" si="47"/>
        <v>0</v>
      </c>
      <c r="BN29" s="31"/>
      <c r="BO29" s="31">
        <f t="shared" si="10"/>
        <v>-1</v>
      </c>
      <c r="BP29" s="31">
        <f>'[1]CB I'!$M29</f>
        <v>9165.7407739999999</v>
      </c>
      <c r="BQ29" s="31">
        <f t="shared" si="48"/>
        <v>8981.5093844425992</v>
      </c>
      <c r="BR29" s="31">
        <f t="shared" si="49"/>
        <v>184.23138955739995</v>
      </c>
      <c r="BS29" s="31">
        <f t="shared" si="50"/>
        <v>0</v>
      </c>
      <c r="BT29" s="31">
        <f t="shared" si="51"/>
        <v>0</v>
      </c>
      <c r="BU29" s="31"/>
      <c r="BV29" s="31">
        <f t="shared" si="11"/>
        <v>-1</v>
      </c>
      <c r="BW29" s="31">
        <f>'[1]CB I'!$N29</f>
        <v>11653.826922</v>
      </c>
      <c r="BX29" s="31">
        <f t="shared" si="52"/>
        <v>11419.585000867801</v>
      </c>
      <c r="BY29" s="31">
        <f t="shared" si="53"/>
        <v>234.24192113219996</v>
      </c>
      <c r="BZ29" s="31">
        <f t="shared" si="54"/>
        <v>0</v>
      </c>
      <c r="CA29" s="31">
        <f t="shared" si="55"/>
        <v>0</v>
      </c>
      <c r="CB29" s="31"/>
      <c r="CC29" s="31">
        <f t="shared" si="12"/>
        <v>-1</v>
      </c>
      <c r="CD29" s="31">
        <f>'[1]CB I'!$O29</f>
        <v>9165.7407739999999</v>
      </c>
      <c r="CE29" s="31">
        <f t="shared" si="56"/>
        <v>8981.5093844425992</v>
      </c>
      <c r="CF29" s="31">
        <f t="shared" si="57"/>
        <v>184.23138955739995</v>
      </c>
      <c r="CG29" s="31">
        <f t="shared" si="58"/>
        <v>0</v>
      </c>
      <c r="CH29" s="31">
        <f t="shared" si="59"/>
        <v>0</v>
      </c>
      <c r="CI29" s="31"/>
      <c r="CJ29" s="31">
        <f t="shared" si="13"/>
        <v>-1</v>
      </c>
      <c r="CK29" s="31">
        <f>'[1]CB I'!$P29</f>
        <v>11653.826922</v>
      </c>
      <c r="CL29" s="31">
        <f t="shared" si="60"/>
        <v>11419.585000867801</v>
      </c>
      <c r="CM29" s="31">
        <f t="shared" si="61"/>
        <v>234.24192113219996</v>
      </c>
      <c r="CN29" s="31">
        <f t="shared" si="62"/>
        <v>0</v>
      </c>
      <c r="CO29" s="31">
        <f t="shared" si="63"/>
        <v>0</v>
      </c>
      <c r="CP29" s="31"/>
      <c r="CQ29" s="31">
        <f t="shared" si="14"/>
        <v>-1</v>
      </c>
      <c r="CS29" s="197"/>
      <c r="CT29" s="197"/>
      <c r="CU29" s="197"/>
      <c r="CV29" s="197"/>
      <c r="CW29" s="197"/>
      <c r="CX29" s="197"/>
      <c r="CY29" s="197"/>
      <c r="CZ29" s="197"/>
      <c r="DA29" s="197"/>
      <c r="DB29" s="197"/>
      <c r="DC29" s="197"/>
      <c r="DD29" s="197"/>
      <c r="DE29" s="198"/>
      <c r="DF29" s="198"/>
    </row>
    <row r="30" spans="1:110" s="26" customFormat="1" ht="16" customHeight="1" x14ac:dyDescent="0.2">
      <c r="A30" s="29" t="s">
        <v>54</v>
      </c>
      <c r="B30" s="30">
        <f t="shared" si="0"/>
        <v>49696.000000000007</v>
      </c>
      <c r="C30" s="31">
        <f t="shared" si="0"/>
        <v>48697.110400000005</v>
      </c>
      <c r="D30" s="32">
        <f t="shared" si="0"/>
        <v>998.88959999999997</v>
      </c>
      <c r="E30" s="30">
        <f t="shared" si="15"/>
        <v>16565.333333333332</v>
      </c>
      <c r="F30" s="33">
        <f t="shared" si="15"/>
        <v>16232.370133333332</v>
      </c>
      <c r="G30" s="34">
        <f t="shared" si="15"/>
        <v>332.96319999999992</v>
      </c>
      <c r="H30" s="31">
        <f t="shared" si="1"/>
        <v>0</v>
      </c>
      <c r="I30" s="33">
        <f t="shared" si="1"/>
        <v>0</v>
      </c>
      <c r="J30" s="33">
        <f t="shared" si="1"/>
        <v>0</v>
      </c>
      <c r="K30" s="37">
        <f t="shared" si="2"/>
        <v>-1</v>
      </c>
      <c r="L30" s="36">
        <f>'[1]CB I'!$E30</f>
        <v>4141.333333333333</v>
      </c>
      <c r="M30" s="31">
        <f t="shared" si="16"/>
        <v>4058.092533333333</v>
      </c>
      <c r="N30" s="31">
        <f t="shared" si="17"/>
        <v>83.240799999999979</v>
      </c>
      <c r="O30" s="31">
        <f t="shared" si="18"/>
        <v>0</v>
      </c>
      <c r="P30" s="31">
        <f t="shared" si="19"/>
        <v>0</v>
      </c>
      <c r="Q30" s="31">
        <f>CS30*'[2]CAMBARÁ - CITROS'!$U$5</f>
        <v>0</v>
      </c>
      <c r="R30" s="31">
        <f t="shared" si="3"/>
        <v>-1</v>
      </c>
      <c r="S30" s="31">
        <f>'[1]CB I'!$F30</f>
        <v>4141.333333333333</v>
      </c>
      <c r="T30" s="31">
        <f t="shared" si="20"/>
        <v>4058.092533333333</v>
      </c>
      <c r="U30" s="31">
        <f t="shared" si="21"/>
        <v>83.240799999999979</v>
      </c>
      <c r="V30" s="31">
        <f t="shared" si="22"/>
        <v>0</v>
      </c>
      <c r="W30" s="31">
        <f t="shared" si="23"/>
        <v>0</v>
      </c>
      <c r="X30" s="31">
        <f>CT30*'[2]CAMBARÁ - CITROS'!$U$5</f>
        <v>0</v>
      </c>
      <c r="Y30" s="31">
        <f t="shared" si="4"/>
        <v>-1</v>
      </c>
      <c r="Z30" s="31">
        <f>'[1]CB I'!$G30</f>
        <v>4141.333333333333</v>
      </c>
      <c r="AA30" s="31">
        <f t="shared" si="24"/>
        <v>4058.092533333333</v>
      </c>
      <c r="AB30" s="31">
        <f t="shared" si="25"/>
        <v>83.240799999999979</v>
      </c>
      <c r="AC30" s="31">
        <f t="shared" si="26"/>
        <v>0</v>
      </c>
      <c r="AD30" s="31">
        <f t="shared" si="27"/>
        <v>0</v>
      </c>
      <c r="AE30" s="31">
        <f>CU30*'[2]CAMBARÁ - CITROS'!$U$5</f>
        <v>0</v>
      </c>
      <c r="AF30" s="31">
        <f t="shared" si="5"/>
        <v>-1</v>
      </c>
      <c r="AG30" s="31">
        <f>'[1]CB I'!$H30</f>
        <v>4141.333333333333</v>
      </c>
      <c r="AH30" s="31">
        <f t="shared" si="28"/>
        <v>4058.092533333333</v>
      </c>
      <c r="AI30" s="31">
        <f t="shared" si="29"/>
        <v>83.240799999999979</v>
      </c>
      <c r="AJ30" s="31">
        <f t="shared" si="30"/>
        <v>0</v>
      </c>
      <c r="AK30" s="31">
        <f t="shared" si="31"/>
        <v>0</v>
      </c>
      <c r="AL30" s="31">
        <f>CV30*'[2]CAMBARÁ - CITROS'!$U$5</f>
        <v>0</v>
      </c>
      <c r="AM30" s="31">
        <f t="shared" si="6"/>
        <v>-1</v>
      </c>
      <c r="AN30" s="31">
        <f>'[1]CB I'!$I30</f>
        <v>4141.333333333333</v>
      </c>
      <c r="AO30" s="31">
        <f t="shared" si="32"/>
        <v>4058.092533333333</v>
      </c>
      <c r="AP30" s="31">
        <f t="shared" si="33"/>
        <v>83.240799999999979</v>
      </c>
      <c r="AQ30" s="31">
        <f t="shared" si="34"/>
        <v>0</v>
      </c>
      <c r="AR30" s="31">
        <f t="shared" si="35"/>
        <v>0</v>
      </c>
      <c r="AS30" s="31">
        <v>0</v>
      </c>
      <c r="AT30" s="31">
        <f t="shared" si="7"/>
        <v>-1</v>
      </c>
      <c r="AU30" s="31">
        <f>'[1]CB I'!$J30</f>
        <v>4141.333333333333</v>
      </c>
      <c r="AV30" s="31">
        <f t="shared" si="36"/>
        <v>4058.092533333333</v>
      </c>
      <c r="AW30" s="31">
        <f t="shared" si="37"/>
        <v>83.240799999999979</v>
      </c>
      <c r="AX30" s="31">
        <f t="shared" si="38"/>
        <v>0</v>
      </c>
      <c r="AY30" s="31">
        <f t="shared" si="39"/>
        <v>0</v>
      </c>
      <c r="AZ30" s="31">
        <v>0</v>
      </c>
      <c r="BA30" s="31">
        <f t="shared" si="8"/>
        <v>-1</v>
      </c>
      <c r="BB30" s="31">
        <f>'[1]CB I'!$K30</f>
        <v>4141.333333333333</v>
      </c>
      <c r="BC30" s="31">
        <f t="shared" si="40"/>
        <v>4058.092533333333</v>
      </c>
      <c r="BD30" s="31">
        <f t="shared" si="41"/>
        <v>83.240799999999979</v>
      </c>
      <c r="BE30" s="31">
        <f t="shared" si="42"/>
        <v>0</v>
      </c>
      <c r="BF30" s="31">
        <f t="shared" si="43"/>
        <v>0</v>
      </c>
      <c r="BG30" s="31">
        <f>CY30*'[3]CAMBARÁ - CITROS'!$U$5</f>
        <v>0</v>
      </c>
      <c r="BH30" s="31">
        <f t="shared" si="9"/>
        <v>-1</v>
      </c>
      <c r="BI30" s="31">
        <f>'[1]CB I'!$L30</f>
        <v>4141.333333333333</v>
      </c>
      <c r="BJ30" s="31">
        <f t="shared" si="44"/>
        <v>4058.092533333333</v>
      </c>
      <c r="BK30" s="31">
        <f t="shared" si="45"/>
        <v>83.240799999999979</v>
      </c>
      <c r="BL30" s="31">
        <f t="shared" si="46"/>
        <v>0</v>
      </c>
      <c r="BM30" s="31">
        <f t="shared" si="47"/>
        <v>0</v>
      </c>
      <c r="BN30" s="31">
        <f>CZ30*'[3]CAMBARÁ - CITROS'!$U$5</f>
        <v>0</v>
      </c>
      <c r="BO30" s="31">
        <f t="shared" si="10"/>
        <v>-1</v>
      </c>
      <c r="BP30" s="31">
        <f>'[1]CB I'!$M30</f>
        <v>4141.333333333333</v>
      </c>
      <c r="BQ30" s="31">
        <f t="shared" si="48"/>
        <v>4058.092533333333</v>
      </c>
      <c r="BR30" s="31">
        <f t="shared" si="49"/>
        <v>83.240799999999979</v>
      </c>
      <c r="BS30" s="31">
        <f t="shared" si="50"/>
        <v>0</v>
      </c>
      <c r="BT30" s="31">
        <f t="shared" si="51"/>
        <v>0</v>
      </c>
      <c r="BU30" s="31">
        <f>DA30*'[3]CAMBARÁ - CITROS'!$U$5</f>
        <v>0</v>
      </c>
      <c r="BV30" s="31">
        <f t="shared" si="11"/>
        <v>-1</v>
      </c>
      <c r="BW30" s="31">
        <f>'[1]CB I'!$N30</f>
        <v>4141.333333333333</v>
      </c>
      <c r="BX30" s="31">
        <f t="shared" si="52"/>
        <v>4058.092533333333</v>
      </c>
      <c r="BY30" s="31">
        <f t="shared" si="53"/>
        <v>83.240799999999979</v>
      </c>
      <c r="BZ30" s="31">
        <f t="shared" si="54"/>
        <v>0</v>
      </c>
      <c r="CA30" s="31">
        <f t="shared" si="55"/>
        <v>0</v>
      </c>
      <c r="CB30" s="31">
        <f>DB30*'[3]CAMBARÁ - CITROS'!$U$5</f>
        <v>0</v>
      </c>
      <c r="CC30" s="31">
        <f t="shared" si="12"/>
        <v>-1</v>
      </c>
      <c r="CD30" s="31">
        <f>'[1]CB I'!$O30</f>
        <v>4141.333333333333</v>
      </c>
      <c r="CE30" s="31">
        <f t="shared" si="56"/>
        <v>4058.092533333333</v>
      </c>
      <c r="CF30" s="31">
        <f t="shared" si="57"/>
        <v>83.240799999999979</v>
      </c>
      <c r="CG30" s="31">
        <f t="shared" si="58"/>
        <v>0</v>
      </c>
      <c r="CH30" s="31">
        <f t="shared" si="59"/>
        <v>0</v>
      </c>
      <c r="CI30" s="31">
        <f>DC30*'[3]CAMBARÁ - CITROS'!$U$5</f>
        <v>0</v>
      </c>
      <c r="CJ30" s="31">
        <f t="shared" si="13"/>
        <v>-1</v>
      </c>
      <c r="CK30" s="31">
        <f>'[1]CB I'!$P30</f>
        <v>4141.333333333333</v>
      </c>
      <c r="CL30" s="31">
        <f t="shared" si="60"/>
        <v>4058.092533333333</v>
      </c>
      <c r="CM30" s="31">
        <f t="shared" si="61"/>
        <v>83.240799999999979</v>
      </c>
      <c r="CN30" s="31">
        <f t="shared" si="62"/>
        <v>0</v>
      </c>
      <c r="CO30" s="31">
        <f t="shared" si="63"/>
        <v>0</v>
      </c>
      <c r="CP30" s="31">
        <f>DD30*'[3]CAMBARÁ - CITROS'!$U$5</f>
        <v>0</v>
      </c>
      <c r="CQ30" s="31">
        <f t="shared" si="14"/>
        <v>-1</v>
      </c>
      <c r="CS30" s="197"/>
      <c r="CT30" s="197"/>
      <c r="CU30" s="197"/>
      <c r="CV30" s="197"/>
      <c r="CW30" s="197"/>
      <c r="CX30" s="197"/>
      <c r="CY30" s="197"/>
      <c r="CZ30" s="197"/>
      <c r="DA30" s="197"/>
      <c r="DB30" s="197"/>
      <c r="DC30" s="197"/>
      <c r="DD30" s="197"/>
      <c r="DE30" s="198"/>
      <c r="DF30" s="198"/>
    </row>
    <row r="31" spans="1:110" s="26" customFormat="1" ht="16" customHeight="1" x14ac:dyDescent="0.2">
      <c r="A31" s="38" t="s">
        <v>55</v>
      </c>
      <c r="B31" s="30">
        <f t="shared" si="0"/>
        <v>21742</v>
      </c>
      <c r="C31" s="31">
        <f t="shared" si="0"/>
        <v>21304.985800000006</v>
      </c>
      <c r="D31" s="32">
        <f t="shared" si="0"/>
        <v>437.0141999999999</v>
      </c>
      <c r="E31" s="30">
        <f t="shared" si="15"/>
        <v>7247.333333333333</v>
      </c>
      <c r="F31" s="33">
        <f t="shared" si="15"/>
        <v>7101.6619333333329</v>
      </c>
      <c r="G31" s="34">
        <f t="shared" si="15"/>
        <v>145.67139999999998</v>
      </c>
      <c r="H31" s="31">
        <f t="shared" si="1"/>
        <v>1246.4189090324396</v>
      </c>
      <c r="I31" s="33">
        <f t="shared" si="1"/>
        <v>25.566915064345373</v>
      </c>
      <c r="J31" s="33">
        <f t="shared" si="1"/>
        <v>1271.9858240967849</v>
      </c>
      <c r="K31" s="37">
        <f t="shared" si="2"/>
        <v>-0.82448912371031391</v>
      </c>
      <c r="L31" s="36">
        <f>'[1]CB I'!$E31</f>
        <v>1811.8333333333333</v>
      </c>
      <c r="M31" s="31">
        <f t="shared" si="16"/>
        <v>1775.4154833333332</v>
      </c>
      <c r="N31" s="31">
        <f t="shared" si="17"/>
        <v>36.417849999999994</v>
      </c>
      <c r="O31" s="31">
        <f t="shared" si="18"/>
        <v>133.14173654808937</v>
      </c>
      <c r="P31" s="31">
        <f t="shared" si="19"/>
        <v>2.7310428662277739</v>
      </c>
      <c r="Q31" s="31">
        <f>CS31*'[2]CAMBARÁ - CITROS'!$U$5</f>
        <v>135.87277941431714</v>
      </c>
      <c r="R31" s="31">
        <f t="shared" si="3"/>
        <v>-0.92500812469083771</v>
      </c>
      <c r="S31" s="31">
        <f>'[1]CB I'!$F31</f>
        <v>1811.8333333333333</v>
      </c>
      <c r="T31" s="31">
        <f t="shared" si="20"/>
        <v>1775.4154833333332</v>
      </c>
      <c r="U31" s="31">
        <f t="shared" si="21"/>
        <v>36.417849999999994</v>
      </c>
      <c r="V31" s="31">
        <f t="shared" si="22"/>
        <v>133.14173654808937</v>
      </c>
      <c r="W31" s="31">
        <f t="shared" si="23"/>
        <v>2.7310428662277739</v>
      </c>
      <c r="X31" s="31">
        <f>CT31*'[2]CAMBARÁ - CITROS'!$U$5</f>
        <v>135.87277941431714</v>
      </c>
      <c r="Y31" s="31">
        <f t="shared" si="4"/>
        <v>-0.92500812469083771</v>
      </c>
      <c r="Z31" s="31">
        <f>'[1]CB I'!$G31</f>
        <v>1811.8333333333333</v>
      </c>
      <c r="AA31" s="31">
        <f t="shared" si="24"/>
        <v>1775.4154833333332</v>
      </c>
      <c r="AB31" s="31">
        <f t="shared" si="25"/>
        <v>36.417849999999994</v>
      </c>
      <c r="AC31" s="31">
        <f t="shared" si="26"/>
        <v>0</v>
      </c>
      <c r="AD31" s="31">
        <f t="shared" si="27"/>
        <v>0</v>
      </c>
      <c r="AE31" s="31">
        <f>CU31*'[2]CAMBARÁ - CITROS'!$U$5</f>
        <v>0</v>
      </c>
      <c r="AF31" s="31">
        <f t="shared" si="5"/>
        <v>-1</v>
      </c>
      <c r="AG31" s="31">
        <f>'[1]CB I'!$H31</f>
        <v>1811.8333333333333</v>
      </c>
      <c r="AH31" s="31">
        <f t="shared" si="28"/>
        <v>1775.4154833333332</v>
      </c>
      <c r="AI31" s="31">
        <f t="shared" si="29"/>
        <v>36.417849999999994</v>
      </c>
      <c r="AJ31" s="31">
        <f t="shared" si="30"/>
        <v>350.60657290996869</v>
      </c>
      <c r="AK31" s="31">
        <f t="shared" si="31"/>
        <v>7.1917462143998057</v>
      </c>
      <c r="AL31" s="31">
        <f>CV31*'[2]CAMBARÁ - CITROS'!$U$5</f>
        <v>357.7983191243685</v>
      </c>
      <c r="AM31" s="31">
        <f t="shared" si="6"/>
        <v>-0.80252139501920605</v>
      </c>
      <c r="AN31" s="31">
        <f>'[1]CB I'!$I31</f>
        <v>1811.8333333333333</v>
      </c>
      <c r="AO31" s="31">
        <f t="shared" si="32"/>
        <v>1775.4154833333332</v>
      </c>
      <c r="AP31" s="31">
        <f t="shared" si="33"/>
        <v>36.417849999999994</v>
      </c>
      <c r="AQ31" s="31">
        <f t="shared" si="34"/>
        <v>629.52886302629213</v>
      </c>
      <c r="AR31" s="31">
        <f t="shared" si="35"/>
        <v>12.91308311749002</v>
      </c>
      <c r="AS31" s="31">
        <v>642.44194614378216</v>
      </c>
      <c r="AT31" s="31">
        <f t="shared" si="7"/>
        <v>-0.64541885044037417</v>
      </c>
      <c r="AU31" s="31">
        <f>'[1]CB I'!$J31</f>
        <v>1811.8333333333333</v>
      </c>
      <c r="AV31" s="31">
        <f t="shared" si="36"/>
        <v>1775.4154833333332</v>
      </c>
      <c r="AW31" s="31">
        <f t="shared" si="37"/>
        <v>36.417849999999994</v>
      </c>
      <c r="AX31" s="31">
        <f t="shared" si="38"/>
        <v>0</v>
      </c>
      <c r="AY31" s="31">
        <f t="shared" si="39"/>
        <v>0</v>
      </c>
      <c r="AZ31" s="31">
        <v>0</v>
      </c>
      <c r="BA31" s="31">
        <f t="shared" si="8"/>
        <v>-1</v>
      </c>
      <c r="BB31" s="31">
        <f>'[1]CB I'!$K31</f>
        <v>1811.8333333333333</v>
      </c>
      <c r="BC31" s="31">
        <f t="shared" si="40"/>
        <v>1775.4154833333332</v>
      </c>
      <c r="BD31" s="31">
        <f t="shared" si="41"/>
        <v>36.417849999999994</v>
      </c>
      <c r="BE31" s="31">
        <f t="shared" si="42"/>
        <v>0</v>
      </c>
      <c r="BF31" s="31">
        <f t="shared" si="43"/>
        <v>0</v>
      </c>
      <c r="BG31" s="31">
        <f>CY31*'[3]CAMBARÁ - CITROS'!$U$5</f>
        <v>0</v>
      </c>
      <c r="BH31" s="31">
        <f t="shared" si="9"/>
        <v>-1</v>
      </c>
      <c r="BI31" s="31">
        <f>'[1]CB I'!$L31</f>
        <v>1811.8333333333333</v>
      </c>
      <c r="BJ31" s="31">
        <f t="shared" si="44"/>
        <v>1775.4154833333332</v>
      </c>
      <c r="BK31" s="31">
        <f t="shared" si="45"/>
        <v>36.417849999999994</v>
      </c>
      <c r="BL31" s="31">
        <f t="shared" si="46"/>
        <v>0</v>
      </c>
      <c r="BM31" s="31">
        <f t="shared" si="47"/>
        <v>0</v>
      </c>
      <c r="BN31" s="31">
        <f>CZ31*'[3]CAMBARÁ - CITROS'!$U$5</f>
        <v>0</v>
      </c>
      <c r="BO31" s="31">
        <f t="shared" si="10"/>
        <v>-1</v>
      </c>
      <c r="BP31" s="31">
        <f>'[1]CB I'!$M31</f>
        <v>1811.8333333333333</v>
      </c>
      <c r="BQ31" s="31">
        <f t="shared" si="48"/>
        <v>1775.4154833333332</v>
      </c>
      <c r="BR31" s="31">
        <f t="shared" si="49"/>
        <v>36.417849999999994</v>
      </c>
      <c r="BS31" s="31">
        <f t="shared" si="50"/>
        <v>0</v>
      </c>
      <c r="BT31" s="31">
        <f t="shared" si="51"/>
        <v>0</v>
      </c>
      <c r="BU31" s="31">
        <f>DA31*'[3]CAMBARÁ - CITROS'!$U$5</f>
        <v>0</v>
      </c>
      <c r="BV31" s="31">
        <f t="shared" si="11"/>
        <v>-1</v>
      </c>
      <c r="BW31" s="31">
        <f>'[1]CB I'!$N31</f>
        <v>1811.8333333333333</v>
      </c>
      <c r="BX31" s="31">
        <f t="shared" si="52"/>
        <v>1775.4154833333332</v>
      </c>
      <c r="BY31" s="31">
        <f t="shared" si="53"/>
        <v>36.417849999999994</v>
      </c>
      <c r="BZ31" s="31">
        <f t="shared" si="54"/>
        <v>0</v>
      </c>
      <c r="CA31" s="31">
        <f t="shared" si="55"/>
        <v>0</v>
      </c>
      <c r="CB31" s="31">
        <f>DB31*'[3]CAMBARÁ - CITROS'!$U$5</f>
        <v>0</v>
      </c>
      <c r="CC31" s="31">
        <f t="shared" si="12"/>
        <v>-1</v>
      </c>
      <c r="CD31" s="31">
        <f>'[1]CB I'!$O31</f>
        <v>1811.8333333333333</v>
      </c>
      <c r="CE31" s="31">
        <f t="shared" si="56"/>
        <v>1775.4154833333332</v>
      </c>
      <c r="CF31" s="31">
        <f t="shared" si="57"/>
        <v>36.417849999999994</v>
      </c>
      <c r="CG31" s="31">
        <f t="shared" si="58"/>
        <v>0</v>
      </c>
      <c r="CH31" s="31">
        <f t="shared" si="59"/>
        <v>0</v>
      </c>
      <c r="CI31" s="31">
        <f>DC31*'[3]CAMBARÁ - CITROS'!$U$5</f>
        <v>0</v>
      </c>
      <c r="CJ31" s="31">
        <f t="shared" si="13"/>
        <v>-1</v>
      </c>
      <c r="CK31" s="31">
        <f>'[1]CB I'!$P31</f>
        <v>1811.8333333333333</v>
      </c>
      <c r="CL31" s="31">
        <f t="shared" si="60"/>
        <v>1775.4154833333332</v>
      </c>
      <c r="CM31" s="31">
        <f t="shared" si="61"/>
        <v>36.417849999999994</v>
      </c>
      <c r="CN31" s="31">
        <f t="shared" si="62"/>
        <v>0</v>
      </c>
      <c r="CO31" s="31">
        <f t="shared" si="63"/>
        <v>0</v>
      </c>
      <c r="CP31" s="31">
        <f>DD31*'[3]CAMBARÁ - CITROS'!$U$5</f>
        <v>0</v>
      </c>
      <c r="CQ31" s="31">
        <f t="shared" si="14"/>
        <v>-1</v>
      </c>
      <c r="CS31" s="197">
        <f>220.8</f>
        <v>220.8</v>
      </c>
      <c r="CT31" s="197">
        <f>220.8</f>
        <v>220.8</v>
      </c>
      <c r="CU31" s="197"/>
      <c r="CV31" s="197">
        <f>581.44</f>
        <v>581.44000000000005</v>
      </c>
      <c r="CW31" s="197"/>
      <c r="CX31" s="197"/>
      <c r="CY31" s="197"/>
      <c r="CZ31" s="197"/>
      <c r="DA31" s="197"/>
      <c r="DB31" s="197"/>
      <c r="DC31" s="197"/>
      <c r="DD31" s="197"/>
      <c r="DE31" s="198"/>
      <c r="DF31" s="198"/>
    </row>
    <row r="32" spans="1:110" s="26" customFormat="1" ht="16" customHeight="1" x14ac:dyDescent="0.2">
      <c r="A32" s="29" t="s">
        <v>191</v>
      </c>
      <c r="B32" s="30">
        <f t="shared" si="0"/>
        <v>1361031.8996735995</v>
      </c>
      <c r="C32" s="31">
        <f t="shared" si="0"/>
        <v>1333675.1584901605</v>
      </c>
      <c r="D32" s="32">
        <f t="shared" si="0"/>
        <v>27356.741183439357</v>
      </c>
      <c r="E32" s="30">
        <f t="shared" si="15"/>
        <v>728455.11021359987</v>
      </c>
      <c r="F32" s="33">
        <f t="shared" si="15"/>
        <v>713813.16249830648</v>
      </c>
      <c r="G32" s="34">
        <f t="shared" si="15"/>
        <v>14641.947715293354</v>
      </c>
      <c r="H32" s="31">
        <f t="shared" si="1"/>
        <v>1415890.9147910001</v>
      </c>
      <c r="I32" s="33">
        <f t="shared" si="1"/>
        <v>29043.175208999997</v>
      </c>
      <c r="J32" s="33">
        <f t="shared" si="1"/>
        <v>1444934.0899999999</v>
      </c>
      <c r="K32" s="37">
        <f t="shared" si="2"/>
        <v>0.98355954916194044</v>
      </c>
      <c r="L32" s="36">
        <f>'[1]CB I'!$E32</f>
        <v>228168.21590639997</v>
      </c>
      <c r="M32" s="31">
        <f t="shared" si="16"/>
        <v>223582.03476668135</v>
      </c>
      <c r="N32" s="31">
        <f t="shared" si="17"/>
        <v>4586.1811397186384</v>
      </c>
      <c r="O32" s="31">
        <f t="shared" si="18"/>
        <v>208148.85875299998</v>
      </c>
      <c r="P32" s="31">
        <f t="shared" si="19"/>
        <v>4269.6112469999989</v>
      </c>
      <c r="Q32" s="31">
        <f>(234424.89)+(126309.88)+5007.52+220.92+6596.04+1299.22-(161440)</f>
        <v>212418.46999999997</v>
      </c>
      <c r="R32" s="31">
        <f t="shared" si="3"/>
        <v>-6.9026905626771939E-2</v>
      </c>
      <c r="S32" s="31">
        <f>'[1]CB I'!$F32</f>
        <v>162171.75134159994</v>
      </c>
      <c r="T32" s="31">
        <f t="shared" si="20"/>
        <v>158912.09913963379</v>
      </c>
      <c r="U32" s="31">
        <f t="shared" si="21"/>
        <v>3259.6522019661584</v>
      </c>
      <c r="V32" s="31">
        <f t="shared" si="22"/>
        <v>206292.71257500001</v>
      </c>
      <c r="W32" s="31">
        <f t="shared" si="23"/>
        <v>4231.5374249999995</v>
      </c>
      <c r="X32" s="31">
        <f>195282.1+9175.25+6066.9</f>
        <v>210524.25</v>
      </c>
      <c r="Y32" s="31">
        <f t="shared" si="4"/>
        <v>0.29815611078004545</v>
      </c>
      <c r="Z32" s="31">
        <f>'[1]CB I'!$G32</f>
        <v>162171.75134159994</v>
      </c>
      <c r="AA32" s="31">
        <f t="shared" si="24"/>
        <v>158912.09913963379</v>
      </c>
      <c r="AB32" s="31">
        <f t="shared" si="25"/>
        <v>3259.6522019661584</v>
      </c>
      <c r="AC32" s="31">
        <f t="shared" si="26"/>
        <v>300195.66726299998</v>
      </c>
      <c r="AD32" s="31">
        <f t="shared" si="27"/>
        <v>6157.7027369999987</v>
      </c>
      <c r="AE32" s="31">
        <f>291054.29+8414.49+6884.59</f>
        <v>306353.37</v>
      </c>
      <c r="AF32" s="31">
        <f t="shared" si="5"/>
        <v>0.88906740826085473</v>
      </c>
      <c r="AG32" s="31">
        <f>'[1]CB I'!$H32</f>
        <v>175943.39162399998</v>
      </c>
      <c r="AH32" s="31">
        <f t="shared" si="28"/>
        <v>172406.92945235758</v>
      </c>
      <c r="AI32" s="31">
        <f t="shared" si="29"/>
        <v>3536.462171642399</v>
      </c>
      <c r="AJ32" s="31">
        <f t="shared" si="30"/>
        <v>247948.48695199998</v>
      </c>
      <c r="AK32" s="31">
        <f t="shared" si="31"/>
        <v>5085.9930479999985</v>
      </c>
      <c r="AL32" s="31">
        <f>245091.08+3866.4+4077</f>
        <v>253034.47999999998</v>
      </c>
      <c r="AM32" s="31">
        <f t="shared" si="6"/>
        <v>0.43815847622596471</v>
      </c>
      <c r="AN32" s="31">
        <f>'[1]CB I'!$I32</f>
        <v>175943.39162399998</v>
      </c>
      <c r="AO32" s="31">
        <f t="shared" si="32"/>
        <v>172406.92945235758</v>
      </c>
      <c r="AP32" s="31">
        <f t="shared" si="33"/>
        <v>3536.462171642399</v>
      </c>
      <c r="AQ32" s="31">
        <f t="shared" si="34"/>
        <v>260629.774611</v>
      </c>
      <c r="AR32" s="31">
        <f t="shared" si="35"/>
        <v>5346.1153889999996</v>
      </c>
      <c r="AS32" s="31">
        <v>265975.89</v>
      </c>
      <c r="AT32" s="31">
        <f t="shared" si="7"/>
        <v>0.51171287278810729</v>
      </c>
      <c r="AU32" s="31">
        <f>'[1]CB I'!$J32</f>
        <v>219485.96762399998</v>
      </c>
      <c r="AV32" s="31">
        <f t="shared" si="36"/>
        <v>215074.29967475758</v>
      </c>
      <c r="AW32" s="31">
        <f t="shared" si="37"/>
        <v>4411.6679492423991</v>
      </c>
      <c r="AX32" s="31">
        <f t="shared" si="38"/>
        <v>192675.41463699998</v>
      </c>
      <c r="AY32" s="31">
        <f t="shared" si="39"/>
        <v>3952.2153629999989</v>
      </c>
      <c r="AZ32" s="31">
        <v>196627.62999999998</v>
      </c>
      <c r="BA32" s="31">
        <f t="shared" si="8"/>
        <v>-0.1041448702686929</v>
      </c>
      <c r="BB32" s="31">
        <f>'[1]CB I'!$K32</f>
        <v>191908.39021199997</v>
      </c>
      <c r="BC32" s="31">
        <f t="shared" si="40"/>
        <v>188051.03156873878</v>
      </c>
      <c r="BD32" s="31">
        <f t="shared" si="41"/>
        <v>3857.3586432611987</v>
      </c>
      <c r="BE32" s="31">
        <f t="shared" si="42"/>
        <v>0</v>
      </c>
      <c r="BF32" s="31">
        <f t="shared" si="43"/>
        <v>0</v>
      </c>
      <c r="BG32" s="31"/>
      <c r="BH32" s="31">
        <f t="shared" si="9"/>
        <v>-1</v>
      </c>
      <c r="BI32" s="31">
        <f>'[1]CB I'!$L32</f>
        <v>39584.159999999996</v>
      </c>
      <c r="BJ32" s="31">
        <f t="shared" si="44"/>
        <v>38788.518383999995</v>
      </c>
      <c r="BK32" s="31">
        <f t="shared" si="45"/>
        <v>795.64161599999977</v>
      </c>
      <c r="BL32" s="31">
        <f t="shared" si="46"/>
        <v>0</v>
      </c>
      <c r="BM32" s="31">
        <f t="shared" si="47"/>
        <v>0</v>
      </c>
      <c r="BN32" s="31"/>
      <c r="BO32" s="31">
        <f t="shared" si="10"/>
        <v>-1</v>
      </c>
      <c r="BP32" s="31">
        <f>'[1]CB I'!$M32</f>
        <v>2827.4399999999996</v>
      </c>
      <c r="BQ32" s="31">
        <f t="shared" si="48"/>
        <v>2770.6084559999995</v>
      </c>
      <c r="BR32" s="31">
        <f t="shared" si="49"/>
        <v>56.83154399999998</v>
      </c>
      <c r="BS32" s="31">
        <f t="shared" si="50"/>
        <v>0</v>
      </c>
      <c r="BT32" s="31">
        <f t="shared" si="51"/>
        <v>0</v>
      </c>
      <c r="BU32" s="31"/>
      <c r="BV32" s="31">
        <f t="shared" si="11"/>
        <v>-1</v>
      </c>
      <c r="BW32" s="31">
        <f>'[1]CB I'!$N32</f>
        <v>2827.4399999999996</v>
      </c>
      <c r="BX32" s="31">
        <f t="shared" si="52"/>
        <v>2770.6084559999995</v>
      </c>
      <c r="BY32" s="31">
        <f t="shared" si="53"/>
        <v>56.83154399999998</v>
      </c>
      <c r="BZ32" s="31">
        <f t="shared" si="54"/>
        <v>0</v>
      </c>
      <c r="CA32" s="31">
        <f t="shared" si="55"/>
        <v>0</v>
      </c>
      <c r="CB32" s="31"/>
      <c r="CC32" s="31">
        <f t="shared" si="12"/>
        <v>-1</v>
      </c>
      <c r="CD32" s="31">
        <f>'[1]CB I'!$O32</f>
        <v>0</v>
      </c>
      <c r="CE32" s="31">
        <f t="shared" si="56"/>
        <v>0</v>
      </c>
      <c r="CF32" s="31">
        <f t="shared" si="57"/>
        <v>0</v>
      </c>
      <c r="CG32" s="31">
        <f t="shared" si="58"/>
        <v>0</v>
      </c>
      <c r="CH32" s="31">
        <f t="shared" si="59"/>
        <v>0</v>
      </c>
      <c r="CI32" s="31"/>
      <c r="CJ32" s="31" t="str">
        <f t="shared" si="13"/>
        <v/>
      </c>
      <c r="CK32" s="31">
        <f>'[1]CB I'!$P32</f>
        <v>0</v>
      </c>
      <c r="CL32" s="31">
        <f t="shared" si="60"/>
        <v>0</v>
      </c>
      <c r="CM32" s="31">
        <f t="shared" si="61"/>
        <v>0</v>
      </c>
      <c r="CN32" s="31">
        <f t="shared" si="62"/>
        <v>0</v>
      </c>
      <c r="CO32" s="31">
        <f t="shared" si="63"/>
        <v>0</v>
      </c>
      <c r="CP32" s="31"/>
      <c r="CQ32" s="31" t="str">
        <f t="shared" si="14"/>
        <v/>
      </c>
      <c r="CS32" s="197"/>
      <c r="CT32" s="197"/>
      <c r="CU32" s="197"/>
      <c r="CV32" s="197"/>
      <c r="CW32" s="197"/>
      <c r="CX32" s="197"/>
      <c r="CY32" s="197"/>
      <c r="CZ32" s="197"/>
      <c r="DA32" s="197"/>
      <c r="DB32" s="197"/>
      <c r="DC32" s="197"/>
      <c r="DD32" s="197"/>
      <c r="DE32" s="198"/>
      <c r="DF32" s="198"/>
    </row>
    <row r="33" spans="1:110" s="26" customFormat="1" ht="16" customHeight="1" x14ac:dyDescent="0.2">
      <c r="A33" s="29" t="s">
        <v>57</v>
      </c>
      <c r="B33" s="30">
        <f t="shared" si="0"/>
        <v>839314.28571428568</v>
      </c>
      <c r="C33" s="31">
        <f t="shared" si="0"/>
        <v>822444.06857142854</v>
      </c>
      <c r="D33" s="32">
        <f t="shared" si="0"/>
        <v>16870.217142857138</v>
      </c>
      <c r="E33" s="30">
        <f t="shared" si="15"/>
        <v>511457.14285714284</v>
      </c>
      <c r="F33" s="33">
        <f t="shared" si="15"/>
        <v>501176.85428571427</v>
      </c>
      <c r="G33" s="34">
        <f t="shared" si="15"/>
        <v>10280.288571428569</v>
      </c>
      <c r="H33" s="31">
        <f t="shared" si="1"/>
        <v>927484.49246700015</v>
      </c>
      <c r="I33" s="33">
        <f t="shared" si="1"/>
        <v>19024.837532999998</v>
      </c>
      <c r="J33" s="33">
        <f t="shared" si="1"/>
        <v>946509.33000000007</v>
      </c>
      <c r="K33" s="37">
        <f t="shared" si="2"/>
        <v>0.85061318082788695</v>
      </c>
      <c r="L33" s="36">
        <f>'[1]CB I'!$E33</f>
        <v>144257.14285714284</v>
      </c>
      <c r="M33" s="31">
        <f t="shared" si="16"/>
        <v>141357.57428571428</v>
      </c>
      <c r="N33" s="31">
        <f t="shared" si="17"/>
        <v>2899.5685714285705</v>
      </c>
      <c r="O33" s="31">
        <f t="shared" si="18"/>
        <v>195599.926187</v>
      </c>
      <c r="P33" s="31">
        <f t="shared" si="19"/>
        <v>4012.2038129999992</v>
      </c>
      <c r="Q33" s="31">
        <f>(94201.89)+(105410.24)</f>
        <v>199612.13</v>
      </c>
      <c r="R33" s="31">
        <f t="shared" si="3"/>
        <v>0.38372441077441088</v>
      </c>
      <c r="S33" s="31">
        <f>'[1]CB I'!$F33</f>
        <v>118028.57142857143</v>
      </c>
      <c r="T33" s="31">
        <f t="shared" si="20"/>
        <v>115656.19714285716</v>
      </c>
      <c r="U33" s="31">
        <f t="shared" si="21"/>
        <v>2372.3742857142856</v>
      </c>
      <c r="V33" s="31">
        <f t="shared" si="22"/>
        <v>148175.59809799999</v>
      </c>
      <c r="W33" s="31">
        <f t="shared" si="23"/>
        <v>3039.4219019999991</v>
      </c>
      <c r="X33" s="31">
        <v>151215.01999999999</v>
      </c>
      <c r="Y33" s="31">
        <f t="shared" si="4"/>
        <v>0.28117300895666886</v>
      </c>
      <c r="Z33" s="31">
        <f>'[1]CB I'!$G33</f>
        <v>118028.57142857143</v>
      </c>
      <c r="AA33" s="31">
        <f t="shared" si="24"/>
        <v>115656.19714285716</v>
      </c>
      <c r="AB33" s="31">
        <f t="shared" si="25"/>
        <v>2372.3742857142856</v>
      </c>
      <c r="AC33" s="31">
        <f t="shared" si="26"/>
        <v>186057.08184600002</v>
      </c>
      <c r="AD33" s="31">
        <f t="shared" si="27"/>
        <v>3816.4581539999995</v>
      </c>
      <c r="AE33" s="31">
        <v>189873.54</v>
      </c>
      <c r="AF33" s="31">
        <f t="shared" si="5"/>
        <v>0.60870827886710233</v>
      </c>
      <c r="AG33" s="31">
        <f>'[1]CB I'!$H33</f>
        <v>131142.85714285713</v>
      </c>
      <c r="AH33" s="31">
        <f t="shared" si="28"/>
        <v>128506.8857142857</v>
      </c>
      <c r="AI33" s="31">
        <f t="shared" si="29"/>
        <v>2635.9714285714276</v>
      </c>
      <c r="AJ33" s="31">
        <f t="shared" si="30"/>
        <v>103901.844489</v>
      </c>
      <c r="AK33" s="31">
        <f t="shared" si="31"/>
        <v>2131.2655109999996</v>
      </c>
      <c r="AL33" s="31">
        <v>106033.11</v>
      </c>
      <c r="AM33" s="31">
        <f t="shared" si="6"/>
        <v>-0.19146866013071884</v>
      </c>
      <c r="AN33" s="31">
        <f>'[1]CB I'!$I33</f>
        <v>131142.85714285713</v>
      </c>
      <c r="AO33" s="31">
        <f t="shared" si="32"/>
        <v>128506.8857142857</v>
      </c>
      <c r="AP33" s="31">
        <f t="shared" si="33"/>
        <v>2635.9714285714276</v>
      </c>
      <c r="AQ33" s="31">
        <f t="shared" si="34"/>
        <v>151782.208239</v>
      </c>
      <c r="AR33" s="31">
        <f t="shared" si="35"/>
        <v>3113.4017609999992</v>
      </c>
      <c r="AS33" s="31">
        <v>154895.60999999999</v>
      </c>
      <c r="AT33" s="31">
        <f t="shared" si="7"/>
        <v>0.1811212091503267</v>
      </c>
      <c r="AU33" s="31">
        <f>'[1]CB I'!$J33</f>
        <v>131142.85714285713</v>
      </c>
      <c r="AV33" s="31">
        <f t="shared" si="36"/>
        <v>128506.8857142857</v>
      </c>
      <c r="AW33" s="31">
        <f t="shared" si="37"/>
        <v>2635.9714285714276</v>
      </c>
      <c r="AX33" s="31">
        <f t="shared" si="38"/>
        <v>141967.83360800002</v>
      </c>
      <c r="AY33" s="31">
        <f t="shared" si="39"/>
        <v>2912.0863919999997</v>
      </c>
      <c r="AZ33" s="31">
        <v>144879.92000000001</v>
      </c>
      <c r="BA33" s="31">
        <f t="shared" si="8"/>
        <v>0.10474884531590445</v>
      </c>
      <c r="BB33" s="31">
        <f>'[1]CB I'!$K33</f>
        <v>65571.428571428565</v>
      </c>
      <c r="BC33" s="31">
        <f t="shared" si="40"/>
        <v>64253.442857142851</v>
      </c>
      <c r="BD33" s="31">
        <f t="shared" si="41"/>
        <v>1317.9857142857138</v>
      </c>
      <c r="BE33" s="31">
        <f t="shared" si="42"/>
        <v>0</v>
      </c>
      <c r="BF33" s="31">
        <f t="shared" si="43"/>
        <v>0</v>
      </c>
      <c r="BG33" s="31"/>
      <c r="BH33" s="31">
        <f t="shared" si="9"/>
        <v>-1</v>
      </c>
      <c r="BI33" s="31">
        <f>'[1]CB I'!$L33</f>
        <v>0</v>
      </c>
      <c r="BJ33" s="31">
        <f t="shared" si="44"/>
        <v>0</v>
      </c>
      <c r="BK33" s="31">
        <f t="shared" si="45"/>
        <v>0</v>
      </c>
      <c r="BL33" s="31">
        <f t="shared" si="46"/>
        <v>0</v>
      </c>
      <c r="BM33" s="31">
        <f t="shared" si="47"/>
        <v>0</v>
      </c>
      <c r="BN33" s="31"/>
      <c r="BO33" s="31" t="str">
        <f t="shared" si="10"/>
        <v/>
      </c>
      <c r="BP33" s="31">
        <f>'[1]CB I'!$M33</f>
        <v>0</v>
      </c>
      <c r="BQ33" s="31">
        <f t="shared" si="48"/>
        <v>0</v>
      </c>
      <c r="BR33" s="31">
        <f t="shared" si="49"/>
        <v>0</v>
      </c>
      <c r="BS33" s="31">
        <f t="shared" si="50"/>
        <v>0</v>
      </c>
      <c r="BT33" s="31">
        <f t="shared" si="51"/>
        <v>0</v>
      </c>
      <c r="BU33" s="31"/>
      <c r="BV33" s="31" t="str">
        <f t="shared" si="11"/>
        <v/>
      </c>
      <c r="BW33" s="31">
        <f>'[1]CB I'!$N33</f>
        <v>0</v>
      </c>
      <c r="BX33" s="31">
        <f t="shared" si="52"/>
        <v>0</v>
      </c>
      <c r="BY33" s="31">
        <f t="shared" si="53"/>
        <v>0</v>
      </c>
      <c r="BZ33" s="31">
        <f t="shared" si="54"/>
        <v>0</v>
      </c>
      <c r="CA33" s="31">
        <f t="shared" si="55"/>
        <v>0</v>
      </c>
      <c r="CB33" s="31"/>
      <c r="CC33" s="31" t="str">
        <f t="shared" si="12"/>
        <v/>
      </c>
      <c r="CD33" s="31">
        <f>'[1]CB I'!$O33</f>
        <v>0</v>
      </c>
      <c r="CE33" s="31">
        <f t="shared" si="56"/>
        <v>0</v>
      </c>
      <c r="CF33" s="31">
        <f t="shared" si="57"/>
        <v>0</v>
      </c>
      <c r="CG33" s="31">
        <f t="shared" si="58"/>
        <v>0</v>
      </c>
      <c r="CH33" s="31">
        <f t="shared" si="59"/>
        <v>0</v>
      </c>
      <c r="CI33" s="31"/>
      <c r="CJ33" s="31" t="str">
        <f t="shared" si="13"/>
        <v/>
      </c>
      <c r="CK33" s="31">
        <f>'[1]CB I'!$P33</f>
        <v>0</v>
      </c>
      <c r="CL33" s="31">
        <f t="shared" si="60"/>
        <v>0</v>
      </c>
      <c r="CM33" s="31">
        <f t="shared" si="61"/>
        <v>0</v>
      </c>
      <c r="CN33" s="31">
        <f t="shared" si="62"/>
        <v>0</v>
      </c>
      <c r="CO33" s="31">
        <f t="shared" si="63"/>
        <v>0</v>
      </c>
      <c r="CP33" s="31"/>
      <c r="CQ33" s="31" t="str">
        <f t="shared" si="14"/>
        <v/>
      </c>
      <c r="CS33" s="197"/>
      <c r="CT33" s="197"/>
      <c r="CU33" s="197"/>
      <c r="CV33" s="197"/>
      <c r="CW33" s="197"/>
      <c r="CX33" s="197"/>
      <c r="CY33" s="197"/>
      <c r="CZ33" s="197"/>
      <c r="DA33" s="197"/>
      <c r="DB33" s="197"/>
      <c r="DC33" s="197"/>
      <c r="DD33" s="197"/>
      <c r="DE33" s="198"/>
      <c r="DF33" s="198"/>
    </row>
    <row r="34" spans="1:110" s="26" customFormat="1" ht="16" customHeight="1" x14ac:dyDescent="0.2">
      <c r="A34" s="29" t="s">
        <v>105</v>
      </c>
      <c r="B34" s="30">
        <f t="shared" si="0"/>
        <v>0</v>
      </c>
      <c r="C34" s="31">
        <f t="shared" si="0"/>
        <v>0</v>
      </c>
      <c r="D34" s="32">
        <f t="shared" si="0"/>
        <v>0</v>
      </c>
      <c r="E34" s="30">
        <f t="shared" si="15"/>
        <v>0</v>
      </c>
      <c r="F34" s="33">
        <f t="shared" si="15"/>
        <v>0</v>
      </c>
      <c r="G34" s="34">
        <f t="shared" si="15"/>
        <v>0</v>
      </c>
      <c r="H34" s="31">
        <f t="shared" si="1"/>
        <v>0</v>
      </c>
      <c r="I34" s="33">
        <f t="shared" si="1"/>
        <v>0</v>
      </c>
      <c r="J34" s="33">
        <f t="shared" si="1"/>
        <v>0</v>
      </c>
      <c r="K34" s="37" t="str">
        <f t="shared" si="2"/>
        <v/>
      </c>
      <c r="L34" s="36">
        <f>'[1]CB I'!$E34</f>
        <v>0</v>
      </c>
      <c r="M34" s="31">
        <f t="shared" si="16"/>
        <v>0</v>
      </c>
      <c r="N34" s="31">
        <f t="shared" si="17"/>
        <v>0</v>
      </c>
      <c r="O34" s="31">
        <f t="shared" si="18"/>
        <v>0</v>
      </c>
      <c r="P34" s="31">
        <f t="shared" si="19"/>
        <v>0</v>
      </c>
      <c r="Q34" s="31"/>
      <c r="R34" s="31" t="str">
        <f t="shared" si="3"/>
        <v/>
      </c>
      <c r="S34" s="31">
        <f>'[1]CB I'!$F34</f>
        <v>0</v>
      </c>
      <c r="T34" s="31">
        <f t="shared" si="20"/>
        <v>0</v>
      </c>
      <c r="U34" s="31">
        <f t="shared" si="21"/>
        <v>0</v>
      </c>
      <c r="V34" s="31">
        <f t="shared" si="22"/>
        <v>0</v>
      </c>
      <c r="W34" s="31">
        <f t="shared" si="23"/>
        <v>0</v>
      </c>
      <c r="X34" s="31"/>
      <c r="Y34" s="31" t="str">
        <f t="shared" si="4"/>
        <v/>
      </c>
      <c r="Z34" s="31">
        <f>'[1]CB I'!$G34</f>
        <v>0</v>
      </c>
      <c r="AA34" s="31">
        <f t="shared" si="24"/>
        <v>0</v>
      </c>
      <c r="AB34" s="31">
        <f t="shared" si="25"/>
        <v>0</v>
      </c>
      <c r="AC34" s="31">
        <f t="shared" si="26"/>
        <v>0</v>
      </c>
      <c r="AD34" s="31">
        <f t="shared" si="27"/>
        <v>0</v>
      </c>
      <c r="AE34" s="31"/>
      <c r="AF34" s="31" t="str">
        <f t="shared" si="5"/>
        <v/>
      </c>
      <c r="AG34" s="31">
        <f>'[1]CB I'!$H34</f>
        <v>0</v>
      </c>
      <c r="AH34" s="31">
        <f t="shared" si="28"/>
        <v>0</v>
      </c>
      <c r="AI34" s="31">
        <f t="shared" si="29"/>
        <v>0</v>
      </c>
      <c r="AJ34" s="31">
        <f t="shared" si="30"/>
        <v>0</v>
      </c>
      <c r="AK34" s="31">
        <f t="shared" si="31"/>
        <v>0</v>
      </c>
      <c r="AL34" s="31"/>
      <c r="AM34" s="31" t="str">
        <f t="shared" si="6"/>
        <v/>
      </c>
      <c r="AN34" s="31">
        <f>'[1]CB I'!$I34</f>
        <v>0</v>
      </c>
      <c r="AO34" s="31">
        <f t="shared" si="32"/>
        <v>0</v>
      </c>
      <c r="AP34" s="31">
        <f t="shared" si="33"/>
        <v>0</v>
      </c>
      <c r="AQ34" s="31">
        <f t="shared" si="34"/>
        <v>0</v>
      </c>
      <c r="AR34" s="31">
        <f t="shared" si="35"/>
        <v>0</v>
      </c>
      <c r="AS34" s="31"/>
      <c r="AT34" s="31" t="str">
        <f t="shared" si="7"/>
        <v/>
      </c>
      <c r="AU34" s="31">
        <f>'[1]CB I'!$J34</f>
        <v>0</v>
      </c>
      <c r="AV34" s="31">
        <f t="shared" si="36"/>
        <v>0</v>
      </c>
      <c r="AW34" s="31">
        <f t="shared" si="37"/>
        <v>0</v>
      </c>
      <c r="AX34" s="31">
        <f t="shared" si="38"/>
        <v>0</v>
      </c>
      <c r="AY34" s="31">
        <f t="shared" si="39"/>
        <v>0</v>
      </c>
      <c r="AZ34" s="31"/>
      <c r="BA34" s="31" t="str">
        <f t="shared" si="8"/>
        <v/>
      </c>
      <c r="BB34" s="31">
        <f>'[1]CB I'!$K34</f>
        <v>0</v>
      </c>
      <c r="BC34" s="31">
        <f t="shared" si="40"/>
        <v>0</v>
      </c>
      <c r="BD34" s="31">
        <f t="shared" si="41"/>
        <v>0</v>
      </c>
      <c r="BE34" s="31">
        <f t="shared" si="42"/>
        <v>0</v>
      </c>
      <c r="BF34" s="31">
        <f t="shared" si="43"/>
        <v>0</v>
      </c>
      <c r="BG34" s="31"/>
      <c r="BH34" s="31" t="str">
        <f t="shared" si="9"/>
        <v/>
      </c>
      <c r="BI34" s="31">
        <f>'[1]CB I'!$L34</f>
        <v>0</v>
      </c>
      <c r="BJ34" s="31">
        <f t="shared" si="44"/>
        <v>0</v>
      </c>
      <c r="BK34" s="31">
        <f t="shared" si="45"/>
        <v>0</v>
      </c>
      <c r="BL34" s="31">
        <f t="shared" si="46"/>
        <v>0</v>
      </c>
      <c r="BM34" s="31">
        <f t="shared" si="47"/>
        <v>0</v>
      </c>
      <c r="BN34" s="31"/>
      <c r="BO34" s="31" t="str">
        <f t="shared" si="10"/>
        <v/>
      </c>
      <c r="BP34" s="31">
        <f>'[1]CB I'!$M34</f>
        <v>0</v>
      </c>
      <c r="BQ34" s="31">
        <f t="shared" si="48"/>
        <v>0</v>
      </c>
      <c r="BR34" s="31">
        <f t="shared" si="49"/>
        <v>0</v>
      </c>
      <c r="BS34" s="31">
        <f t="shared" si="50"/>
        <v>0</v>
      </c>
      <c r="BT34" s="31">
        <f t="shared" si="51"/>
        <v>0</v>
      </c>
      <c r="BU34" s="31"/>
      <c r="BV34" s="31" t="str">
        <f t="shared" si="11"/>
        <v/>
      </c>
      <c r="BW34" s="31">
        <f>'[1]CB I'!$N34</f>
        <v>0</v>
      </c>
      <c r="BX34" s="31">
        <f t="shared" si="52"/>
        <v>0</v>
      </c>
      <c r="BY34" s="31">
        <f t="shared" si="53"/>
        <v>0</v>
      </c>
      <c r="BZ34" s="31">
        <f t="shared" si="54"/>
        <v>0</v>
      </c>
      <c r="CA34" s="31">
        <f t="shared" si="55"/>
        <v>0</v>
      </c>
      <c r="CB34" s="31"/>
      <c r="CC34" s="31" t="str">
        <f t="shared" si="12"/>
        <v/>
      </c>
      <c r="CD34" s="31">
        <f>'[1]CB I'!$O34</f>
        <v>0</v>
      </c>
      <c r="CE34" s="31">
        <f t="shared" si="56"/>
        <v>0</v>
      </c>
      <c r="CF34" s="31">
        <f t="shared" si="57"/>
        <v>0</v>
      </c>
      <c r="CG34" s="31">
        <f t="shared" si="58"/>
        <v>0</v>
      </c>
      <c r="CH34" s="31">
        <f t="shared" si="59"/>
        <v>0</v>
      </c>
      <c r="CI34" s="31"/>
      <c r="CJ34" s="31" t="str">
        <f t="shared" si="13"/>
        <v/>
      </c>
      <c r="CK34" s="31">
        <f>'[1]CB I'!$P34</f>
        <v>0</v>
      </c>
      <c r="CL34" s="31">
        <f t="shared" si="60"/>
        <v>0</v>
      </c>
      <c r="CM34" s="31">
        <f t="shared" si="61"/>
        <v>0</v>
      </c>
      <c r="CN34" s="31">
        <f t="shared" si="62"/>
        <v>0</v>
      </c>
      <c r="CO34" s="31">
        <f t="shared" si="63"/>
        <v>0</v>
      </c>
      <c r="CP34" s="31"/>
      <c r="CQ34" s="31" t="str">
        <f t="shared" si="14"/>
        <v/>
      </c>
      <c r="CS34" s="197"/>
      <c r="CT34" s="197"/>
      <c r="CU34" s="197"/>
      <c r="CV34" s="197"/>
      <c r="CW34" s="197"/>
      <c r="CX34" s="197"/>
      <c r="CY34" s="197"/>
      <c r="CZ34" s="197"/>
      <c r="DA34" s="197"/>
      <c r="DB34" s="197"/>
      <c r="DC34" s="197"/>
      <c r="DD34" s="197"/>
      <c r="DE34" s="198"/>
      <c r="DF34" s="198"/>
    </row>
    <row r="35" spans="1:110" s="26" customFormat="1" ht="16" customHeight="1" x14ac:dyDescent="0.2">
      <c r="A35" s="29" t="s">
        <v>59</v>
      </c>
      <c r="B35" s="30">
        <f t="shared" si="0"/>
        <v>0</v>
      </c>
      <c r="C35" s="31">
        <f t="shared" si="0"/>
        <v>0</v>
      </c>
      <c r="D35" s="32">
        <f t="shared" si="0"/>
        <v>0</v>
      </c>
      <c r="E35" s="30">
        <f t="shared" si="15"/>
        <v>0</v>
      </c>
      <c r="F35" s="33">
        <f t="shared" si="15"/>
        <v>0</v>
      </c>
      <c r="G35" s="34">
        <f t="shared" si="15"/>
        <v>0</v>
      </c>
      <c r="H35" s="31">
        <f t="shared" si="1"/>
        <v>0</v>
      </c>
      <c r="I35" s="33">
        <f t="shared" si="1"/>
        <v>0</v>
      </c>
      <c r="J35" s="33">
        <f t="shared" si="1"/>
        <v>0</v>
      </c>
      <c r="K35" s="37" t="str">
        <f t="shared" si="2"/>
        <v/>
      </c>
      <c r="L35" s="36">
        <f>'[1]CB I'!$E35</f>
        <v>0</v>
      </c>
      <c r="M35" s="31">
        <f t="shared" si="16"/>
        <v>0</v>
      </c>
      <c r="N35" s="31">
        <f t="shared" si="17"/>
        <v>0</v>
      </c>
      <c r="O35" s="31">
        <f t="shared" si="18"/>
        <v>0</v>
      </c>
      <c r="P35" s="31">
        <f t="shared" si="19"/>
        <v>0</v>
      </c>
      <c r="Q35" s="31"/>
      <c r="R35" s="31" t="str">
        <f t="shared" si="3"/>
        <v/>
      </c>
      <c r="S35" s="31">
        <f>'[1]CB I'!$F35</f>
        <v>0</v>
      </c>
      <c r="T35" s="31">
        <f t="shared" si="20"/>
        <v>0</v>
      </c>
      <c r="U35" s="31">
        <f t="shared" si="21"/>
        <v>0</v>
      </c>
      <c r="V35" s="31">
        <f t="shared" si="22"/>
        <v>0</v>
      </c>
      <c r="W35" s="31">
        <f t="shared" si="23"/>
        <v>0</v>
      </c>
      <c r="X35" s="31"/>
      <c r="Y35" s="31" t="str">
        <f t="shared" si="4"/>
        <v/>
      </c>
      <c r="Z35" s="31">
        <f>'[1]CB I'!$G35</f>
        <v>0</v>
      </c>
      <c r="AA35" s="31">
        <f t="shared" si="24"/>
        <v>0</v>
      </c>
      <c r="AB35" s="31">
        <f t="shared" si="25"/>
        <v>0</v>
      </c>
      <c r="AC35" s="31">
        <f t="shared" si="26"/>
        <v>0</v>
      </c>
      <c r="AD35" s="31">
        <f t="shared" si="27"/>
        <v>0</v>
      </c>
      <c r="AE35" s="31"/>
      <c r="AF35" s="31" t="str">
        <f t="shared" si="5"/>
        <v/>
      </c>
      <c r="AG35" s="31">
        <f>'[1]CB I'!$H35</f>
        <v>0</v>
      </c>
      <c r="AH35" s="31">
        <f t="shared" si="28"/>
        <v>0</v>
      </c>
      <c r="AI35" s="31">
        <f t="shared" si="29"/>
        <v>0</v>
      </c>
      <c r="AJ35" s="31">
        <f t="shared" si="30"/>
        <v>0</v>
      </c>
      <c r="AK35" s="31">
        <f t="shared" si="31"/>
        <v>0</v>
      </c>
      <c r="AL35" s="31"/>
      <c r="AM35" s="31" t="str">
        <f t="shared" si="6"/>
        <v/>
      </c>
      <c r="AN35" s="31">
        <f>'[1]CB I'!$I35</f>
        <v>0</v>
      </c>
      <c r="AO35" s="31">
        <f t="shared" si="32"/>
        <v>0</v>
      </c>
      <c r="AP35" s="31">
        <f t="shared" si="33"/>
        <v>0</v>
      </c>
      <c r="AQ35" s="31">
        <f t="shared" si="34"/>
        <v>0</v>
      </c>
      <c r="AR35" s="31">
        <f t="shared" si="35"/>
        <v>0</v>
      </c>
      <c r="AS35" s="31"/>
      <c r="AT35" s="31" t="str">
        <f t="shared" si="7"/>
        <v/>
      </c>
      <c r="AU35" s="31">
        <f>'[1]CB I'!$J35</f>
        <v>0</v>
      </c>
      <c r="AV35" s="31">
        <f t="shared" si="36"/>
        <v>0</v>
      </c>
      <c r="AW35" s="31">
        <f t="shared" si="37"/>
        <v>0</v>
      </c>
      <c r="AX35" s="31">
        <f t="shared" si="38"/>
        <v>0</v>
      </c>
      <c r="AY35" s="31">
        <f t="shared" si="39"/>
        <v>0</v>
      </c>
      <c r="AZ35" s="31"/>
      <c r="BA35" s="31" t="str">
        <f t="shared" si="8"/>
        <v/>
      </c>
      <c r="BB35" s="31">
        <f>'[1]CB I'!$K35</f>
        <v>0</v>
      </c>
      <c r="BC35" s="31">
        <f t="shared" si="40"/>
        <v>0</v>
      </c>
      <c r="BD35" s="31">
        <f t="shared" si="41"/>
        <v>0</v>
      </c>
      <c r="BE35" s="31">
        <f t="shared" si="42"/>
        <v>0</v>
      </c>
      <c r="BF35" s="31">
        <f t="shared" si="43"/>
        <v>0</v>
      </c>
      <c r="BG35" s="31"/>
      <c r="BH35" s="31" t="str">
        <f t="shared" si="9"/>
        <v/>
      </c>
      <c r="BI35" s="31">
        <f>'[1]CB I'!$L35</f>
        <v>0</v>
      </c>
      <c r="BJ35" s="31">
        <f t="shared" si="44"/>
        <v>0</v>
      </c>
      <c r="BK35" s="31">
        <f t="shared" si="45"/>
        <v>0</v>
      </c>
      <c r="BL35" s="31">
        <f t="shared" si="46"/>
        <v>0</v>
      </c>
      <c r="BM35" s="31">
        <f t="shared" si="47"/>
        <v>0</v>
      </c>
      <c r="BN35" s="31"/>
      <c r="BO35" s="31" t="str">
        <f t="shared" si="10"/>
        <v/>
      </c>
      <c r="BP35" s="31">
        <f>'[1]CB I'!$M35</f>
        <v>0</v>
      </c>
      <c r="BQ35" s="31">
        <f t="shared" si="48"/>
        <v>0</v>
      </c>
      <c r="BR35" s="31">
        <f t="shared" si="49"/>
        <v>0</v>
      </c>
      <c r="BS35" s="31">
        <f t="shared" si="50"/>
        <v>0</v>
      </c>
      <c r="BT35" s="31">
        <f t="shared" si="51"/>
        <v>0</v>
      </c>
      <c r="BU35" s="31"/>
      <c r="BV35" s="31" t="str">
        <f t="shared" si="11"/>
        <v/>
      </c>
      <c r="BW35" s="31">
        <f>'[1]CB I'!$N35</f>
        <v>0</v>
      </c>
      <c r="BX35" s="31">
        <f t="shared" si="52"/>
        <v>0</v>
      </c>
      <c r="BY35" s="31">
        <f t="shared" si="53"/>
        <v>0</v>
      </c>
      <c r="BZ35" s="31">
        <f t="shared" si="54"/>
        <v>0</v>
      </c>
      <c r="CA35" s="31">
        <f t="shared" si="55"/>
        <v>0</v>
      </c>
      <c r="CB35" s="31"/>
      <c r="CC35" s="31" t="str">
        <f t="shared" si="12"/>
        <v/>
      </c>
      <c r="CD35" s="31">
        <f>'[1]CB I'!$O35</f>
        <v>0</v>
      </c>
      <c r="CE35" s="31">
        <f t="shared" si="56"/>
        <v>0</v>
      </c>
      <c r="CF35" s="31">
        <f t="shared" si="57"/>
        <v>0</v>
      </c>
      <c r="CG35" s="31">
        <f t="shared" si="58"/>
        <v>0</v>
      </c>
      <c r="CH35" s="31">
        <f t="shared" si="59"/>
        <v>0</v>
      </c>
      <c r="CI35" s="31"/>
      <c r="CJ35" s="31" t="str">
        <f t="shared" si="13"/>
        <v/>
      </c>
      <c r="CK35" s="31">
        <f>'[1]CB I'!$P35</f>
        <v>0</v>
      </c>
      <c r="CL35" s="31">
        <f t="shared" si="60"/>
        <v>0</v>
      </c>
      <c r="CM35" s="31">
        <f t="shared" si="61"/>
        <v>0</v>
      </c>
      <c r="CN35" s="31">
        <f t="shared" si="62"/>
        <v>0</v>
      </c>
      <c r="CO35" s="31">
        <f t="shared" si="63"/>
        <v>0</v>
      </c>
      <c r="CP35" s="31"/>
      <c r="CQ35" s="31" t="str">
        <f t="shared" si="14"/>
        <v/>
      </c>
      <c r="CS35" s="197"/>
      <c r="CT35" s="197"/>
      <c r="CU35" s="197"/>
      <c r="CV35" s="197"/>
      <c r="CW35" s="197"/>
      <c r="CX35" s="197"/>
      <c r="CY35" s="197"/>
      <c r="CZ35" s="197"/>
      <c r="DA35" s="197"/>
      <c r="DB35" s="197"/>
      <c r="DC35" s="197"/>
      <c r="DD35" s="197"/>
      <c r="DE35" s="198"/>
      <c r="DF35" s="198"/>
    </row>
    <row r="36" spans="1:110" s="26" customFormat="1" ht="16" customHeight="1" x14ac:dyDescent="0.2">
      <c r="A36" s="38" t="s">
        <v>60</v>
      </c>
      <c r="B36" s="30">
        <f t="shared" ref="B36:D54" si="64">+L36+S36+Z36+AG36+AN36+AU36+BB36+BI36+BP36+BW36+CD36+CK36</f>
        <v>93180</v>
      </c>
      <c r="C36" s="31">
        <f t="shared" si="64"/>
        <v>91307.082000000009</v>
      </c>
      <c r="D36" s="32">
        <f t="shared" si="64"/>
        <v>1872.9179999999994</v>
      </c>
      <c r="E36" s="30">
        <f t="shared" si="15"/>
        <v>31060</v>
      </c>
      <c r="F36" s="33">
        <f t="shared" si="15"/>
        <v>30435.694</v>
      </c>
      <c r="G36" s="34">
        <f t="shared" si="15"/>
        <v>624.30599999999993</v>
      </c>
      <c r="H36" s="31">
        <f t="shared" ref="H36:J54" si="65">+O36+V36+AC36+AJ36+AQ36+AX36+BE36+BL36+BS36+BZ36+CG36+CN36</f>
        <v>68101.467606991908</v>
      </c>
      <c r="I36" s="33">
        <f t="shared" si="65"/>
        <v>1396.9175414843728</v>
      </c>
      <c r="J36" s="33">
        <f t="shared" si="65"/>
        <v>69498.385148476271</v>
      </c>
      <c r="K36" s="37">
        <f t="shared" si="2"/>
        <v>1.2375526448318181</v>
      </c>
      <c r="L36" s="36">
        <f>'[1]CB I'!$E36</f>
        <v>7765</v>
      </c>
      <c r="M36" s="31">
        <f t="shared" si="16"/>
        <v>7608.9234999999999</v>
      </c>
      <c r="N36" s="31">
        <f t="shared" si="17"/>
        <v>156.07649999999998</v>
      </c>
      <c r="O36" s="31">
        <f t="shared" si="18"/>
        <v>23309.01166003288</v>
      </c>
      <c r="P36" s="31">
        <f t="shared" si="19"/>
        <v>478.12137398373386</v>
      </c>
      <c r="Q36" s="31">
        <f>CS36*'[2]CAMBARÁ - CITROS'!$U$5</f>
        <v>23787.133034016613</v>
      </c>
      <c r="R36" s="31">
        <f t="shared" si="3"/>
        <v>2.0633783688366534</v>
      </c>
      <c r="S36" s="31">
        <f>'[1]CB I'!$F36</f>
        <v>7765</v>
      </c>
      <c r="T36" s="31">
        <f t="shared" si="20"/>
        <v>7608.9234999999999</v>
      </c>
      <c r="U36" s="31">
        <f t="shared" si="21"/>
        <v>156.07649999999998</v>
      </c>
      <c r="V36" s="31">
        <f t="shared" si="22"/>
        <v>7067.0524245254601</v>
      </c>
      <c r="W36" s="31">
        <f t="shared" si="23"/>
        <v>144.96147947031506</v>
      </c>
      <c r="X36" s="31">
        <f>CT36*'[2]CAMBARÁ - CITROS'!$U$5</f>
        <v>7212.0139039957749</v>
      </c>
      <c r="Y36" s="31">
        <f t="shared" si="4"/>
        <v>-7.1215208757788195E-2</v>
      </c>
      <c r="Z36" s="31">
        <f>'[1]CB I'!$G36</f>
        <v>7765</v>
      </c>
      <c r="AA36" s="31">
        <f t="shared" si="24"/>
        <v>7608.9234999999999</v>
      </c>
      <c r="AB36" s="31">
        <f t="shared" si="25"/>
        <v>156.07649999999998</v>
      </c>
      <c r="AC36" s="31">
        <f t="shared" si="26"/>
        <v>10250.478581354224</v>
      </c>
      <c r="AD36" s="31">
        <f t="shared" si="27"/>
        <v>210.26086282806392</v>
      </c>
      <c r="AE36" s="31">
        <f>CU36*'[2]CAMBARÁ - CITROS'!$U$5</f>
        <v>10460.739444182287</v>
      </c>
      <c r="AF36" s="31">
        <f t="shared" si="5"/>
        <v>0.34716541457595462</v>
      </c>
      <c r="AG36" s="31">
        <f>'[1]CB I'!$H36</f>
        <v>7765</v>
      </c>
      <c r="AH36" s="31">
        <f t="shared" si="28"/>
        <v>7608.9234999999999</v>
      </c>
      <c r="AI36" s="31">
        <f t="shared" si="29"/>
        <v>156.07649999999998</v>
      </c>
      <c r="AJ36" s="31">
        <f t="shared" si="30"/>
        <v>8503.3611173276422</v>
      </c>
      <c r="AK36" s="31">
        <f t="shared" si="31"/>
        <v>174.42347020949646</v>
      </c>
      <c r="AL36" s="31">
        <f>CV36*'[2]CAMBARÁ - CITROS'!$U$5</f>
        <v>8677.7845875371386</v>
      </c>
      <c r="AM36" s="31">
        <f t="shared" si="6"/>
        <v>0.11755113812455109</v>
      </c>
      <c r="AN36" s="31">
        <f>'[1]CB I'!$I36</f>
        <v>7765</v>
      </c>
      <c r="AO36" s="31">
        <f t="shared" si="32"/>
        <v>7608.9234999999999</v>
      </c>
      <c r="AP36" s="31">
        <f t="shared" si="33"/>
        <v>156.07649999999998</v>
      </c>
      <c r="AQ36" s="31">
        <f t="shared" si="34"/>
        <v>9080.809129875408</v>
      </c>
      <c r="AR36" s="31">
        <f t="shared" si="35"/>
        <v>186.26825544493892</v>
      </c>
      <c r="AS36" s="31">
        <v>9267.0773853203464</v>
      </c>
      <c r="AT36" s="31">
        <f t="shared" si="7"/>
        <v>0.19344203288092032</v>
      </c>
      <c r="AU36" s="31">
        <f>'[1]CB I'!$J36</f>
        <v>7765</v>
      </c>
      <c r="AV36" s="31">
        <f t="shared" si="36"/>
        <v>7608.9234999999999</v>
      </c>
      <c r="AW36" s="31">
        <f t="shared" si="37"/>
        <v>156.07649999999998</v>
      </c>
      <c r="AX36" s="31">
        <f t="shared" si="38"/>
        <v>9890.7546938762825</v>
      </c>
      <c r="AY36" s="31">
        <f t="shared" si="39"/>
        <v>202.88209954782454</v>
      </c>
      <c r="AZ36" s="31">
        <v>10093.636793424108</v>
      </c>
      <c r="BA36" s="31">
        <f t="shared" si="8"/>
        <v>0.29988883366698116</v>
      </c>
      <c r="BB36" s="31">
        <f>'[1]CB I'!$K36</f>
        <v>7765</v>
      </c>
      <c r="BC36" s="31">
        <f t="shared" si="40"/>
        <v>7608.9234999999999</v>
      </c>
      <c r="BD36" s="31">
        <f t="shared" si="41"/>
        <v>156.07649999999998</v>
      </c>
      <c r="BE36" s="31">
        <f t="shared" si="42"/>
        <v>0</v>
      </c>
      <c r="BF36" s="31">
        <f t="shared" si="43"/>
        <v>0</v>
      </c>
      <c r="BG36" s="31">
        <f>CY36*'[3]CAMBARÁ - CITROS'!$U$5</f>
        <v>0</v>
      </c>
      <c r="BH36" s="31">
        <f t="shared" si="9"/>
        <v>-1</v>
      </c>
      <c r="BI36" s="31">
        <f>'[1]CB I'!$L36</f>
        <v>7765</v>
      </c>
      <c r="BJ36" s="31">
        <f t="shared" si="44"/>
        <v>7608.9234999999999</v>
      </c>
      <c r="BK36" s="31">
        <f t="shared" si="45"/>
        <v>156.07649999999998</v>
      </c>
      <c r="BL36" s="31">
        <f t="shared" si="46"/>
        <v>0</v>
      </c>
      <c r="BM36" s="31">
        <f t="shared" si="47"/>
        <v>0</v>
      </c>
      <c r="BN36" s="31">
        <f>CZ36*'[3]CAMBARÁ - CITROS'!$U$5</f>
        <v>0</v>
      </c>
      <c r="BO36" s="31">
        <f t="shared" si="10"/>
        <v>-1</v>
      </c>
      <c r="BP36" s="31">
        <f>'[1]CB I'!$M36</f>
        <v>7765</v>
      </c>
      <c r="BQ36" s="31">
        <f t="shared" si="48"/>
        <v>7608.9234999999999</v>
      </c>
      <c r="BR36" s="31">
        <f t="shared" si="49"/>
        <v>156.07649999999998</v>
      </c>
      <c r="BS36" s="31">
        <f t="shared" si="50"/>
        <v>0</v>
      </c>
      <c r="BT36" s="31">
        <f t="shared" si="51"/>
        <v>0</v>
      </c>
      <c r="BU36" s="31">
        <f>DA36*'[3]CAMBARÁ - CITROS'!$U$5</f>
        <v>0</v>
      </c>
      <c r="BV36" s="31">
        <f t="shared" si="11"/>
        <v>-1</v>
      </c>
      <c r="BW36" s="31">
        <f>'[1]CB I'!$N36</f>
        <v>7765</v>
      </c>
      <c r="BX36" s="31">
        <f t="shared" si="52"/>
        <v>7608.9234999999999</v>
      </c>
      <c r="BY36" s="31">
        <f t="shared" si="53"/>
        <v>156.07649999999998</v>
      </c>
      <c r="BZ36" s="31">
        <f t="shared" si="54"/>
        <v>0</v>
      </c>
      <c r="CA36" s="31">
        <f t="shared" si="55"/>
        <v>0</v>
      </c>
      <c r="CB36" s="31">
        <f>DB36*'[3]CAMBARÁ - CITROS'!$U$5</f>
        <v>0</v>
      </c>
      <c r="CC36" s="31">
        <f t="shared" si="12"/>
        <v>-1</v>
      </c>
      <c r="CD36" s="31">
        <f>'[1]CB I'!$O36</f>
        <v>7765</v>
      </c>
      <c r="CE36" s="31">
        <f t="shared" si="56"/>
        <v>7608.9234999999999</v>
      </c>
      <c r="CF36" s="31">
        <f t="shared" si="57"/>
        <v>156.07649999999998</v>
      </c>
      <c r="CG36" s="31">
        <f t="shared" si="58"/>
        <v>0</v>
      </c>
      <c r="CH36" s="31">
        <f t="shared" si="59"/>
        <v>0</v>
      </c>
      <c r="CI36" s="31">
        <f>DC36*'[3]CAMBARÁ - CITROS'!$U$5</f>
        <v>0</v>
      </c>
      <c r="CJ36" s="31">
        <f t="shared" si="13"/>
        <v>-1</v>
      </c>
      <c r="CK36" s="31">
        <f>'[1]CB I'!$P36</f>
        <v>7765</v>
      </c>
      <c r="CL36" s="31">
        <f t="shared" si="60"/>
        <v>7608.9234999999999</v>
      </c>
      <c r="CM36" s="31">
        <f t="shared" si="61"/>
        <v>156.07649999999998</v>
      </c>
      <c r="CN36" s="31">
        <f t="shared" si="62"/>
        <v>0</v>
      </c>
      <c r="CO36" s="31">
        <f t="shared" si="63"/>
        <v>0</v>
      </c>
      <c r="CP36" s="31">
        <f>DD36*'[3]CAMBARÁ - CITROS'!$U$5</f>
        <v>0</v>
      </c>
      <c r="CQ36" s="31">
        <f t="shared" si="14"/>
        <v>-1</v>
      </c>
      <c r="CS36" s="197">
        <f>915+56.35+456.9+2100+6082.4+6.6+76.6+1640+49.93+24.14+2240+48.01+20.18+89.31+214.94+944+2333.33+800.36+500+27.28+1200+56.1+455+5.76+54.71+900+219.83+8432.65+314+200+99.01+100+620.51+322.36+415+425.44+751.68+90+1366.9+939.77+125+47.34+54.03+737.48+505.52+55.02+418.45+304.54+428.04+385.8</f>
        <v>38655.269999999982</v>
      </c>
      <c r="CT36" s="197">
        <f>60.86+41.88+557.1+34.2+629.3+946.05+1304.52+85.47+448.51+2333.34+176.28+130.5+400+1290+1627.04+784.78+550+304.55+15.5</f>
        <v>11719.88</v>
      </c>
      <c r="CU36" s="197">
        <f>2110.54+1575.96+2000+380+520+718.87+43.34+1834+57.52+44.84+4.77+4.92+33.51+50.61+26.33+24.62+6.61+27.36+360+313.5+588+552+450+540+2020+150.45+61.5+21.52+41.72+1304.52+448.51+42.11+45.59+596</f>
        <v>16999.220000000005</v>
      </c>
      <c r="CV36" s="197">
        <f>1542.3+21.07+800+38.82+38.28+16.5+8.16+39.6+35.64+63.36+368.83+105+770+416.93+390+224+3053.53+1680.7+31.11+1150+14.4+47.52+530.05+1304.53+448.5+390+573</f>
        <v>14101.830000000002</v>
      </c>
      <c r="CW36" s="197"/>
      <c r="CX36" s="197"/>
      <c r="CY36" s="27"/>
      <c r="CZ36" s="197"/>
      <c r="DA36" s="197"/>
      <c r="DB36" s="197"/>
      <c r="DC36" s="197"/>
      <c r="DD36" s="197"/>
      <c r="DE36" s="198"/>
      <c r="DF36" s="198"/>
    </row>
    <row r="37" spans="1:110" s="26" customFormat="1" ht="16" customHeight="1" x14ac:dyDescent="0.2">
      <c r="A37" s="38" t="s">
        <v>61</v>
      </c>
      <c r="B37" s="30">
        <f t="shared" si="64"/>
        <v>86968</v>
      </c>
      <c r="C37" s="31">
        <f t="shared" si="64"/>
        <v>85219.943200000023</v>
      </c>
      <c r="D37" s="32">
        <f t="shared" si="64"/>
        <v>1748.0567999999996</v>
      </c>
      <c r="E37" s="30">
        <f t="shared" ref="E37:G54" si="66">+L37+S37+Z37+AG37</f>
        <v>28989.333333333332</v>
      </c>
      <c r="F37" s="33">
        <f t="shared" si="66"/>
        <v>28406.647733333331</v>
      </c>
      <c r="G37" s="34">
        <f t="shared" si="66"/>
        <v>582.68559999999991</v>
      </c>
      <c r="H37" s="31">
        <f t="shared" si="65"/>
        <v>52076.370210851128</v>
      </c>
      <c r="I37" s="33">
        <f t="shared" si="65"/>
        <v>1068.2059814655652</v>
      </c>
      <c r="J37" s="33">
        <f t="shared" si="65"/>
        <v>53144.576192316694</v>
      </c>
      <c r="K37" s="37">
        <f t="shared" si="2"/>
        <v>0.83324589017742268</v>
      </c>
      <c r="L37" s="36">
        <f>'[1]CB I'!$E37</f>
        <v>7247.333333333333</v>
      </c>
      <c r="M37" s="31">
        <f t="shared" si="16"/>
        <v>7101.6619333333329</v>
      </c>
      <c r="N37" s="31">
        <f t="shared" si="17"/>
        <v>145.67139999999998</v>
      </c>
      <c r="O37" s="31">
        <f t="shared" si="18"/>
        <v>696.40725976791794</v>
      </c>
      <c r="P37" s="31">
        <f t="shared" si="19"/>
        <v>14.284912665920142</v>
      </c>
      <c r="Q37" s="31">
        <f>CS37*'[2]CAMBARÁ - CITROS'!$U$5</f>
        <v>710.6921724338381</v>
      </c>
      <c r="R37" s="31">
        <f t="shared" si="3"/>
        <v>-0.90193742446410108</v>
      </c>
      <c r="S37" s="31">
        <f>'[1]CB I'!$F37</f>
        <v>7247.333333333333</v>
      </c>
      <c r="T37" s="31">
        <f t="shared" si="20"/>
        <v>7101.6619333333329</v>
      </c>
      <c r="U37" s="31">
        <f t="shared" si="21"/>
        <v>145.67139999999998</v>
      </c>
      <c r="V37" s="31">
        <f t="shared" si="22"/>
        <v>4184.0634906030418</v>
      </c>
      <c r="W37" s="31">
        <f t="shared" si="23"/>
        <v>85.824753710706318</v>
      </c>
      <c r="X37" s="31">
        <f>CT37*'[2]CAMBARÁ - CITROS'!$U$5</f>
        <v>4269.8882443137481</v>
      </c>
      <c r="Y37" s="31">
        <f t="shared" si="4"/>
        <v>-0.41083319230331872</v>
      </c>
      <c r="Z37" s="31">
        <f>'[1]CB I'!$G37</f>
        <v>7247.333333333333</v>
      </c>
      <c r="AA37" s="31">
        <f t="shared" si="24"/>
        <v>7101.6619333333329</v>
      </c>
      <c r="AB37" s="31">
        <f t="shared" si="25"/>
        <v>145.67139999999998</v>
      </c>
      <c r="AC37" s="31">
        <f t="shared" si="26"/>
        <v>8652.0782662626716</v>
      </c>
      <c r="AD37" s="31">
        <f t="shared" si="27"/>
        <v>177.47400056319998</v>
      </c>
      <c r="AE37" s="31">
        <f>CU37*'[2]CAMBARÁ - CITROS'!$U$5</f>
        <v>8829.5522668258709</v>
      </c>
      <c r="AF37" s="31">
        <f t="shared" si="5"/>
        <v>0.21831739492584012</v>
      </c>
      <c r="AG37" s="31">
        <f>'[1]CB I'!$H37</f>
        <v>7247.333333333333</v>
      </c>
      <c r="AH37" s="31">
        <f t="shared" si="28"/>
        <v>7101.6619333333329</v>
      </c>
      <c r="AI37" s="31">
        <f t="shared" si="29"/>
        <v>145.67139999999998</v>
      </c>
      <c r="AJ37" s="31">
        <f t="shared" si="30"/>
        <v>20871.269677422715</v>
      </c>
      <c r="AK37" s="31">
        <f t="shared" si="31"/>
        <v>428.11768600489489</v>
      </c>
      <c r="AL37" s="31">
        <f>CV37*'[2]CAMBARÁ - CITROS'!$U$5</f>
        <v>21299.38736342761</v>
      </c>
      <c r="AM37" s="31">
        <f t="shared" si="6"/>
        <v>1.9389275177206713</v>
      </c>
      <c r="AN37" s="31">
        <f>'[1]CB I'!$I37</f>
        <v>7247.333333333333</v>
      </c>
      <c r="AO37" s="31">
        <f t="shared" si="32"/>
        <v>7101.6619333333329</v>
      </c>
      <c r="AP37" s="31">
        <f t="shared" si="33"/>
        <v>145.67139999999998</v>
      </c>
      <c r="AQ37" s="31">
        <f t="shared" si="34"/>
        <v>9646.6072404752158</v>
      </c>
      <c r="AR37" s="31">
        <f t="shared" si="35"/>
        <v>197.8740744295865</v>
      </c>
      <c r="AS37" s="31">
        <v>9844.4813149048023</v>
      </c>
      <c r="AT37" s="31">
        <f t="shared" si="7"/>
        <v>0.35835911805327969</v>
      </c>
      <c r="AU37" s="31">
        <f>'[1]CB I'!$J37</f>
        <v>7247.333333333333</v>
      </c>
      <c r="AV37" s="31">
        <f t="shared" si="36"/>
        <v>7101.6619333333329</v>
      </c>
      <c r="AW37" s="31">
        <f t="shared" si="37"/>
        <v>145.67139999999998</v>
      </c>
      <c r="AX37" s="31">
        <f t="shared" si="38"/>
        <v>8025.9442763195602</v>
      </c>
      <c r="AY37" s="31">
        <f t="shared" si="39"/>
        <v>164.63055409125741</v>
      </c>
      <c r="AZ37" s="31">
        <v>8190.5748304108174</v>
      </c>
      <c r="BA37" s="31">
        <f t="shared" si="8"/>
        <v>0.13015014677731829</v>
      </c>
      <c r="BB37" s="31">
        <f>'[1]CB I'!$K37</f>
        <v>7247.333333333333</v>
      </c>
      <c r="BC37" s="31">
        <f t="shared" si="40"/>
        <v>7101.6619333333329</v>
      </c>
      <c r="BD37" s="31">
        <f t="shared" si="41"/>
        <v>145.67139999999998</v>
      </c>
      <c r="BE37" s="31">
        <f t="shared" si="42"/>
        <v>0</v>
      </c>
      <c r="BF37" s="31">
        <f t="shared" si="43"/>
        <v>0</v>
      </c>
      <c r="BG37" s="31">
        <f>CY37*'[3]CAMBARÁ - CITROS'!$U$5</f>
        <v>0</v>
      </c>
      <c r="BH37" s="31">
        <f t="shared" si="9"/>
        <v>-1</v>
      </c>
      <c r="BI37" s="31">
        <f>'[1]CB I'!$L37</f>
        <v>7247.333333333333</v>
      </c>
      <c r="BJ37" s="31">
        <f t="shared" si="44"/>
        <v>7101.6619333333329</v>
      </c>
      <c r="BK37" s="31">
        <f t="shared" si="45"/>
        <v>145.67139999999998</v>
      </c>
      <c r="BL37" s="31">
        <f t="shared" si="46"/>
        <v>0</v>
      </c>
      <c r="BM37" s="31">
        <f t="shared" si="47"/>
        <v>0</v>
      </c>
      <c r="BN37" s="31">
        <f>CZ37*'[3]CAMBARÁ - CITROS'!$U$5</f>
        <v>0</v>
      </c>
      <c r="BO37" s="31">
        <f t="shared" si="10"/>
        <v>-1</v>
      </c>
      <c r="BP37" s="31">
        <f>'[1]CB I'!$M37</f>
        <v>7247.333333333333</v>
      </c>
      <c r="BQ37" s="31">
        <f t="shared" si="48"/>
        <v>7101.6619333333329</v>
      </c>
      <c r="BR37" s="31">
        <f t="shared" si="49"/>
        <v>145.67139999999998</v>
      </c>
      <c r="BS37" s="31">
        <f t="shared" si="50"/>
        <v>0</v>
      </c>
      <c r="BT37" s="31">
        <f t="shared" si="51"/>
        <v>0</v>
      </c>
      <c r="BU37" s="31">
        <f>DA37*'[3]CAMBARÁ - CITROS'!$U$5</f>
        <v>0</v>
      </c>
      <c r="BV37" s="31">
        <f t="shared" si="11"/>
        <v>-1</v>
      </c>
      <c r="BW37" s="31">
        <f>'[1]CB I'!$N37</f>
        <v>7247.333333333333</v>
      </c>
      <c r="BX37" s="31">
        <f t="shared" si="52"/>
        <v>7101.6619333333329</v>
      </c>
      <c r="BY37" s="31">
        <f t="shared" si="53"/>
        <v>145.67139999999998</v>
      </c>
      <c r="BZ37" s="31">
        <f t="shared" si="54"/>
        <v>0</v>
      </c>
      <c r="CA37" s="31">
        <f t="shared" si="55"/>
        <v>0</v>
      </c>
      <c r="CB37" s="31">
        <f>DB37*'[3]CAMBARÁ - CITROS'!$U$5</f>
        <v>0</v>
      </c>
      <c r="CC37" s="31">
        <f t="shared" si="12"/>
        <v>-1</v>
      </c>
      <c r="CD37" s="31">
        <f>'[1]CB I'!$O37</f>
        <v>7247.333333333333</v>
      </c>
      <c r="CE37" s="31">
        <f t="shared" si="56"/>
        <v>7101.6619333333329</v>
      </c>
      <c r="CF37" s="31">
        <f t="shared" si="57"/>
        <v>145.67139999999998</v>
      </c>
      <c r="CG37" s="31">
        <f t="shared" si="58"/>
        <v>0</v>
      </c>
      <c r="CH37" s="31">
        <f t="shared" si="59"/>
        <v>0</v>
      </c>
      <c r="CI37" s="31">
        <f>DC37*'[3]CAMBARÁ - CITROS'!$U$5</f>
        <v>0</v>
      </c>
      <c r="CJ37" s="31">
        <f t="shared" si="13"/>
        <v>-1</v>
      </c>
      <c r="CK37" s="31">
        <f>'[1]CB I'!$P37</f>
        <v>7247.333333333333</v>
      </c>
      <c r="CL37" s="31">
        <f t="shared" si="60"/>
        <v>7101.6619333333329</v>
      </c>
      <c r="CM37" s="31">
        <f t="shared" si="61"/>
        <v>145.67139999999998</v>
      </c>
      <c r="CN37" s="31">
        <f t="shared" si="62"/>
        <v>0</v>
      </c>
      <c r="CO37" s="31">
        <f t="shared" si="63"/>
        <v>0</v>
      </c>
      <c r="CP37" s="31">
        <f>DD37*'[3]CAMBARÁ - CITROS'!$U$5</f>
        <v>0</v>
      </c>
      <c r="CQ37" s="31">
        <f t="shared" si="14"/>
        <v>-1</v>
      </c>
      <c r="CS37" s="197">
        <f>39810.18-CS36</f>
        <v>1154.910000000018</v>
      </c>
      <c r="CT37" s="197">
        <f>(18643.16+15.5)-CT36</f>
        <v>6938.7800000000007</v>
      </c>
      <c r="CU37" s="197">
        <f>31347.68-CU36</f>
        <v>14348.459999999995</v>
      </c>
      <c r="CV37" s="197">
        <f>48714.39-CV36</f>
        <v>34612.559999999998</v>
      </c>
      <c r="CW37" s="197"/>
      <c r="CX37" s="197"/>
      <c r="CY37" s="27"/>
      <c r="CZ37" s="197"/>
      <c r="DA37" s="197"/>
      <c r="DB37" s="199"/>
      <c r="DC37" s="197"/>
      <c r="DD37" s="197"/>
      <c r="DE37" s="198"/>
      <c r="DF37" s="198"/>
    </row>
    <row r="38" spans="1:110" s="26" customFormat="1" ht="16" customHeight="1" x14ac:dyDescent="0.2">
      <c r="A38" s="38" t="s">
        <v>62</v>
      </c>
      <c r="B38" s="30">
        <f t="shared" si="64"/>
        <v>16772.400000000005</v>
      </c>
      <c r="C38" s="31">
        <f t="shared" si="64"/>
        <v>16435.274759999997</v>
      </c>
      <c r="D38" s="32">
        <f t="shared" si="64"/>
        <v>337.12524000000002</v>
      </c>
      <c r="E38" s="30">
        <f t="shared" si="66"/>
        <v>5590.8</v>
      </c>
      <c r="F38" s="33">
        <f t="shared" si="66"/>
        <v>5478.4249200000004</v>
      </c>
      <c r="G38" s="34">
        <f t="shared" si="66"/>
        <v>112.37507999999998</v>
      </c>
      <c r="H38" s="31">
        <f t="shared" si="65"/>
        <v>14855.705323279784</v>
      </c>
      <c r="I38" s="33">
        <f t="shared" si="65"/>
        <v>304.72464230832082</v>
      </c>
      <c r="J38" s="33">
        <f t="shared" si="65"/>
        <v>15160.429965588104</v>
      </c>
      <c r="K38" s="37">
        <f t="shared" si="2"/>
        <v>1.711674530583835</v>
      </c>
      <c r="L38" s="36">
        <f>'[1]CB I'!$E38</f>
        <v>1397.7</v>
      </c>
      <c r="M38" s="31">
        <f t="shared" si="16"/>
        <v>1369.6062300000001</v>
      </c>
      <c r="N38" s="31">
        <f t="shared" si="17"/>
        <v>28.093769999999996</v>
      </c>
      <c r="O38" s="31">
        <f t="shared" si="18"/>
        <v>808.06421337574091</v>
      </c>
      <c r="P38" s="31">
        <f t="shared" si="19"/>
        <v>16.575253279775886</v>
      </c>
      <c r="Q38" s="31">
        <f>CS38*'[2]CAMBARÁ - CITROS'!$U$5</f>
        <v>824.6394666555168</v>
      </c>
      <c r="R38" s="31">
        <f t="shared" si="3"/>
        <v>-0.41000252797058256</v>
      </c>
      <c r="S38" s="31">
        <f>'[1]CB I'!$F38</f>
        <v>1397.7</v>
      </c>
      <c r="T38" s="31">
        <f t="shared" si="20"/>
        <v>1369.6062300000001</v>
      </c>
      <c r="U38" s="31">
        <f t="shared" si="21"/>
        <v>28.093769999999996</v>
      </c>
      <c r="V38" s="31">
        <f t="shared" si="22"/>
        <v>0</v>
      </c>
      <c r="W38" s="31">
        <f t="shared" si="23"/>
        <v>0</v>
      </c>
      <c r="X38" s="31">
        <f>CT38*'[2]CAMBARÁ - CITROS'!$U$5</f>
        <v>0</v>
      </c>
      <c r="Y38" s="31">
        <f t="shared" si="4"/>
        <v>-1</v>
      </c>
      <c r="Z38" s="31">
        <f>'[1]CB I'!$G38</f>
        <v>1397.7</v>
      </c>
      <c r="AA38" s="31">
        <f t="shared" si="24"/>
        <v>1369.6062300000001</v>
      </c>
      <c r="AB38" s="31">
        <f t="shared" si="25"/>
        <v>28.093769999999996</v>
      </c>
      <c r="AC38" s="31">
        <f t="shared" si="26"/>
        <v>5817.5099910576982</v>
      </c>
      <c r="AD38" s="31">
        <f t="shared" si="27"/>
        <v>119.33049374452466</v>
      </c>
      <c r="AE38" s="31">
        <f>CU38*'[2]CAMBARÁ - CITROS'!$U$5</f>
        <v>5936.8404848022228</v>
      </c>
      <c r="AF38" s="31">
        <f t="shared" si="5"/>
        <v>3.2475785109839181</v>
      </c>
      <c r="AG38" s="31">
        <f>'[1]CB I'!$H38</f>
        <v>1397.7</v>
      </c>
      <c r="AH38" s="31">
        <f t="shared" si="28"/>
        <v>1369.6062300000001</v>
      </c>
      <c r="AI38" s="31">
        <f t="shared" si="29"/>
        <v>28.093769999999996</v>
      </c>
      <c r="AJ38" s="31">
        <f t="shared" si="30"/>
        <v>6477.14649405612</v>
      </c>
      <c r="AK38" s="31">
        <f t="shared" si="31"/>
        <v>132.86115372030613</v>
      </c>
      <c r="AL38" s="31">
        <f>CV38*'[2]CAMBARÁ - CITROS'!$U$5</f>
        <v>6610.007647776426</v>
      </c>
      <c r="AM38" s="31">
        <f t="shared" si="6"/>
        <v>3.7292034397770806</v>
      </c>
      <c r="AN38" s="31">
        <f>'[1]CB I'!$I38</f>
        <v>1397.7</v>
      </c>
      <c r="AO38" s="31">
        <f t="shared" si="32"/>
        <v>1369.6062300000001</v>
      </c>
      <c r="AP38" s="31">
        <f t="shared" si="33"/>
        <v>28.093769999999996</v>
      </c>
      <c r="AQ38" s="31">
        <f t="shared" si="34"/>
        <v>667.28853486796481</v>
      </c>
      <c r="AR38" s="31">
        <f t="shared" si="35"/>
        <v>13.687620727468202</v>
      </c>
      <c r="AS38" s="31">
        <v>680.97615559543306</v>
      </c>
      <c r="AT38" s="31">
        <f t="shared" si="7"/>
        <v>-0.51278804064145878</v>
      </c>
      <c r="AU38" s="31">
        <f>'[1]CB I'!$J38</f>
        <v>1397.7</v>
      </c>
      <c r="AV38" s="31">
        <f t="shared" si="36"/>
        <v>1369.6062300000001</v>
      </c>
      <c r="AW38" s="31">
        <f t="shared" si="37"/>
        <v>28.093769999999996</v>
      </c>
      <c r="AX38" s="31">
        <f t="shared" si="38"/>
        <v>1085.6960899222595</v>
      </c>
      <c r="AY38" s="31">
        <f t="shared" si="39"/>
        <v>22.270120836245955</v>
      </c>
      <c r="AZ38" s="31">
        <v>1107.9662107585054</v>
      </c>
      <c r="BA38" s="31">
        <f t="shared" si="8"/>
        <v>-0.20729325981361846</v>
      </c>
      <c r="BB38" s="31">
        <f>'[1]CB I'!$K38</f>
        <v>1397.7</v>
      </c>
      <c r="BC38" s="31">
        <f t="shared" si="40"/>
        <v>1369.6062300000001</v>
      </c>
      <c r="BD38" s="31">
        <f t="shared" si="41"/>
        <v>28.093769999999996</v>
      </c>
      <c r="BE38" s="31">
        <f t="shared" si="42"/>
        <v>0</v>
      </c>
      <c r="BF38" s="31">
        <f t="shared" si="43"/>
        <v>0</v>
      </c>
      <c r="BG38" s="31">
        <f>CY38*'[3]CAMBARÁ - CITROS'!$U$5</f>
        <v>0</v>
      </c>
      <c r="BH38" s="31">
        <f t="shared" si="9"/>
        <v>-1</v>
      </c>
      <c r="BI38" s="31">
        <f>'[1]CB I'!$L38</f>
        <v>1397.7</v>
      </c>
      <c r="BJ38" s="31">
        <f t="shared" si="44"/>
        <v>1369.6062300000001</v>
      </c>
      <c r="BK38" s="31">
        <f t="shared" si="45"/>
        <v>28.093769999999996</v>
      </c>
      <c r="BL38" s="31">
        <f t="shared" si="46"/>
        <v>0</v>
      </c>
      <c r="BM38" s="31">
        <f t="shared" si="47"/>
        <v>0</v>
      </c>
      <c r="BN38" s="31">
        <f>CZ38*'[3]CAMBARÁ - CITROS'!$U$5</f>
        <v>0</v>
      </c>
      <c r="BO38" s="31">
        <f t="shared" si="10"/>
        <v>-1</v>
      </c>
      <c r="BP38" s="31">
        <f>'[1]CB I'!$M38</f>
        <v>1397.7</v>
      </c>
      <c r="BQ38" s="31">
        <f t="shared" si="48"/>
        <v>1369.6062300000001</v>
      </c>
      <c r="BR38" s="31">
        <f t="shared" si="49"/>
        <v>28.093769999999996</v>
      </c>
      <c r="BS38" s="31">
        <f t="shared" si="50"/>
        <v>0</v>
      </c>
      <c r="BT38" s="31">
        <f t="shared" si="51"/>
        <v>0</v>
      </c>
      <c r="BU38" s="31">
        <f>DA38*'[3]CAMBARÁ - CITROS'!$U$5</f>
        <v>0</v>
      </c>
      <c r="BV38" s="31">
        <f t="shared" si="11"/>
        <v>-1</v>
      </c>
      <c r="BW38" s="31">
        <f>'[1]CB I'!$N38</f>
        <v>1397.7</v>
      </c>
      <c r="BX38" s="31">
        <f t="shared" si="52"/>
        <v>1369.6062300000001</v>
      </c>
      <c r="BY38" s="31">
        <f t="shared" si="53"/>
        <v>28.093769999999996</v>
      </c>
      <c r="BZ38" s="31">
        <f t="shared" si="54"/>
        <v>0</v>
      </c>
      <c r="CA38" s="31">
        <f t="shared" si="55"/>
        <v>0</v>
      </c>
      <c r="CB38" s="31">
        <f>DB38*'[3]CAMBARÁ - CITROS'!$U$5</f>
        <v>0</v>
      </c>
      <c r="CC38" s="31">
        <f t="shared" si="12"/>
        <v>-1</v>
      </c>
      <c r="CD38" s="31">
        <f>'[1]CB I'!$O38</f>
        <v>1397.7</v>
      </c>
      <c r="CE38" s="31">
        <f t="shared" si="56"/>
        <v>1369.6062300000001</v>
      </c>
      <c r="CF38" s="31">
        <f t="shared" si="57"/>
        <v>28.093769999999996</v>
      </c>
      <c r="CG38" s="31">
        <f t="shared" si="58"/>
        <v>0</v>
      </c>
      <c r="CH38" s="31">
        <f t="shared" si="59"/>
        <v>0</v>
      </c>
      <c r="CI38" s="31">
        <f>DC38*'[3]CAMBARÁ - CITROS'!$U$5</f>
        <v>0</v>
      </c>
      <c r="CJ38" s="31">
        <f t="shared" si="13"/>
        <v>-1</v>
      </c>
      <c r="CK38" s="31">
        <f>'[1]CB I'!$P38</f>
        <v>1397.7</v>
      </c>
      <c r="CL38" s="31">
        <f t="shared" si="60"/>
        <v>1369.6062300000001</v>
      </c>
      <c r="CM38" s="31">
        <f t="shared" si="61"/>
        <v>28.093769999999996</v>
      </c>
      <c r="CN38" s="31">
        <f t="shared" si="62"/>
        <v>0</v>
      </c>
      <c r="CO38" s="31">
        <f t="shared" si="63"/>
        <v>0</v>
      </c>
      <c r="CP38" s="31">
        <f>DD38*'[3]CAMBARÁ - CITROS'!$U$5</f>
        <v>0</v>
      </c>
      <c r="CQ38" s="31">
        <f t="shared" si="14"/>
        <v>-1</v>
      </c>
      <c r="CS38" s="197">
        <f>1340.08</f>
        <v>1340.08</v>
      </c>
      <c r="CT38" s="197"/>
      <c r="CU38" s="197">
        <v>9647.66</v>
      </c>
      <c r="CV38" s="197">
        <f>10741.59</f>
        <v>10741.59</v>
      </c>
      <c r="CW38" s="197"/>
      <c r="CX38" s="197"/>
      <c r="CY38" s="27"/>
      <c r="CZ38" s="197"/>
      <c r="DA38" s="197"/>
      <c r="DB38" s="199"/>
      <c r="DC38" s="197"/>
      <c r="DD38" s="197"/>
      <c r="DE38" s="198"/>
      <c r="DF38" s="198"/>
    </row>
    <row r="39" spans="1:110" s="26" customFormat="1" ht="16" customHeight="1" x14ac:dyDescent="0.2">
      <c r="A39" s="38" t="s">
        <v>63</v>
      </c>
      <c r="B39" s="30">
        <f t="shared" si="64"/>
        <v>6212.0000000000009</v>
      </c>
      <c r="C39" s="31">
        <f t="shared" si="64"/>
        <v>6087.1388000000006</v>
      </c>
      <c r="D39" s="32">
        <f t="shared" si="64"/>
        <v>124.8612</v>
      </c>
      <c r="E39" s="30">
        <f t="shared" si="66"/>
        <v>2070.6666666666665</v>
      </c>
      <c r="F39" s="33">
        <f t="shared" si="66"/>
        <v>2029.0462666666665</v>
      </c>
      <c r="G39" s="34">
        <f t="shared" si="66"/>
        <v>41.620399999999989</v>
      </c>
      <c r="H39" s="31">
        <f t="shared" si="65"/>
        <v>8289.7554617352725</v>
      </c>
      <c r="I39" s="33">
        <f t="shared" si="65"/>
        <v>170.04192752411362</v>
      </c>
      <c r="J39" s="33">
        <f t="shared" si="65"/>
        <v>8459.7973892593855</v>
      </c>
      <c r="K39" s="37">
        <f t="shared" si="2"/>
        <v>3.0855428473564324</v>
      </c>
      <c r="L39" s="36">
        <f>'[1]CB I'!$E39</f>
        <v>517.66666666666663</v>
      </c>
      <c r="M39" s="31">
        <f t="shared" si="16"/>
        <v>507.26156666666662</v>
      </c>
      <c r="N39" s="31">
        <f t="shared" si="17"/>
        <v>10.405099999999997</v>
      </c>
      <c r="O39" s="31">
        <f t="shared" si="18"/>
        <v>1262.6395282042856</v>
      </c>
      <c r="P39" s="31">
        <f t="shared" si="19"/>
        <v>25.899637225131276</v>
      </c>
      <c r="Q39" s="31">
        <f>CS39*'[2]CAMBARÁ - CITROS'!$U$5</f>
        <v>1288.5391654294169</v>
      </c>
      <c r="R39" s="31">
        <f t="shared" si="3"/>
        <v>1.4891291025680946</v>
      </c>
      <c r="S39" s="31">
        <f>'[1]CB I'!$F39</f>
        <v>517.66666666666663</v>
      </c>
      <c r="T39" s="31">
        <f t="shared" si="20"/>
        <v>507.26156666666662</v>
      </c>
      <c r="U39" s="31">
        <f t="shared" si="21"/>
        <v>10.405099999999997</v>
      </c>
      <c r="V39" s="31">
        <f t="shared" si="22"/>
        <v>848.92931974287865</v>
      </c>
      <c r="W39" s="31">
        <f t="shared" si="23"/>
        <v>17.413490485592259</v>
      </c>
      <c r="X39" s="31">
        <f>CT39*'[2]CAMBARÁ - CITROS'!$U$5</f>
        <v>866.34281022847085</v>
      </c>
      <c r="Y39" s="31">
        <f t="shared" si="4"/>
        <v>0.6735534003125645</v>
      </c>
      <c r="Z39" s="31">
        <f>'[1]CB I'!$G39</f>
        <v>517.66666666666663</v>
      </c>
      <c r="AA39" s="31">
        <f t="shared" si="24"/>
        <v>507.26156666666662</v>
      </c>
      <c r="AB39" s="31">
        <f t="shared" si="25"/>
        <v>10.405099999999997</v>
      </c>
      <c r="AC39" s="31">
        <f t="shared" si="26"/>
        <v>451.34325093408017</v>
      </c>
      <c r="AD39" s="31">
        <f t="shared" si="27"/>
        <v>9.2580868902694249</v>
      </c>
      <c r="AE39" s="31">
        <f>CU39*'[2]CAMBARÁ - CITROS'!$U$5</f>
        <v>460.60133782434957</v>
      </c>
      <c r="AF39" s="31">
        <f t="shared" si="5"/>
        <v>-0.1102356642156801</v>
      </c>
      <c r="AG39" s="31">
        <f>'[1]CB I'!$H39</f>
        <v>517.66666666666663</v>
      </c>
      <c r="AH39" s="31">
        <f t="shared" si="28"/>
        <v>507.26156666666662</v>
      </c>
      <c r="AI39" s="31">
        <f t="shared" si="29"/>
        <v>10.405099999999997</v>
      </c>
      <c r="AJ39" s="31">
        <f t="shared" si="30"/>
        <v>4867.5726446428525</v>
      </c>
      <c r="AK39" s="31">
        <f t="shared" si="31"/>
        <v>99.845096598960424</v>
      </c>
      <c r="AL39" s="31">
        <f>CV39*'[2]CAMBARÁ - CITROS'!$U$5</f>
        <v>4967.417741241813</v>
      </c>
      <c r="AM39" s="31">
        <f t="shared" si="6"/>
        <v>8.5957844325340886</v>
      </c>
      <c r="AN39" s="31">
        <f>'[1]CB I'!$I39</f>
        <v>517.66666666666663</v>
      </c>
      <c r="AO39" s="31">
        <f t="shared" si="32"/>
        <v>507.26156666666662</v>
      </c>
      <c r="AP39" s="31">
        <f t="shared" si="33"/>
        <v>10.405099999999997</v>
      </c>
      <c r="AQ39" s="31">
        <f t="shared" si="34"/>
        <v>527.62237083142293</v>
      </c>
      <c r="AR39" s="31">
        <f t="shared" si="35"/>
        <v>10.82274686571242</v>
      </c>
      <c r="AS39" s="31">
        <v>538.4451176971354</v>
      </c>
      <c r="AT39" s="31">
        <f t="shared" si="7"/>
        <v>4.0138669086546175E-2</v>
      </c>
      <c r="AU39" s="31">
        <f>'[1]CB I'!$J39</f>
        <v>517.66666666666663</v>
      </c>
      <c r="AV39" s="31">
        <f t="shared" si="36"/>
        <v>507.26156666666662</v>
      </c>
      <c r="AW39" s="31">
        <f t="shared" si="37"/>
        <v>10.405099999999997</v>
      </c>
      <c r="AX39" s="31">
        <f t="shared" si="38"/>
        <v>331.64834737975161</v>
      </c>
      <c r="AY39" s="31">
        <f t="shared" si="39"/>
        <v>6.8028694584478071</v>
      </c>
      <c r="AZ39" s="31">
        <v>338.4512168381994</v>
      </c>
      <c r="BA39" s="31">
        <f t="shared" si="8"/>
        <v>-0.34619855085988516</v>
      </c>
      <c r="BB39" s="31">
        <f>'[1]CB I'!$K39</f>
        <v>517.66666666666663</v>
      </c>
      <c r="BC39" s="31">
        <f t="shared" si="40"/>
        <v>507.26156666666662</v>
      </c>
      <c r="BD39" s="31">
        <f t="shared" si="41"/>
        <v>10.405099999999997</v>
      </c>
      <c r="BE39" s="31">
        <f t="shared" si="42"/>
        <v>0</v>
      </c>
      <c r="BF39" s="31">
        <f t="shared" si="43"/>
        <v>0</v>
      </c>
      <c r="BG39" s="31">
        <f>CY39*'[3]CAMBARÁ - CITROS'!$U$5</f>
        <v>0</v>
      </c>
      <c r="BH39" s="31">
        <f t="shared" si="9"/>
        <v>-1</v>
      </c>
      <c r="BI39" s="31">
        <f>'[1]CB I'!$L39</f>
        <v>517.66666666666663</v>
      </c>
      <c r="BJ39" s="31">
        <f t="shared" si="44"/>
        <v>507.26156666666662</v>
      </c>
      <c r="BK39" s="31">
        <f t="shared" si="45"/>
        <v>10.405099999999997</v>
      </c>
      <c r="BL39" s="31">
        <f t="shared" si="46"/>
        <v>0</v>
      </c>
      <c r="BM39" s="31">
        <f t="shared" si="47"/>
        <v>0</v>
      </c>
      <c r="BN39" s="31">
        <f>CZ39*'[3]CAMBARÁ - CITROS'!$U$5</f>
        <v>0</v>
      </c>
      <c r="BO39" s="31">
        <f t="shared" si="10"/>
        <v>-1</v>
      </c>
      <c r="BP39" s="31">
        <f>'[1]CB I'!$M39</f>
        <v>517.66666666666663</v>
      </c>
      <c r="BQ39" s="31">
        <f t="shared" si="48"/>
        <v>507.26156666666662</v>
      </c>
      <c r="BR39" s="31">
        <f t="shared" si="49"/>
        <v>10.405099999999997</v>
      </c>
      <c r="BS39" s="31">
        <f t="shared" si="50"/>
        <v>0</v>
      </c>
      <c r="BT39" s="31">
        <f t="shared" si="51"/>
        <v>0</v>
      </c>
      <c r="BU39" s="31">
        <f>DA39*'[3]CAMBARÁ - CITROS'!$U$5</f>
        <v>0</v>
      </c>
      <c r="BV39" s="31">
        <f t="shared" si="11"/>
        <v>-1</v>
      </c>
      <c r="BW39" s="31">
        <f>'[1]CB I'!$N39</f>
        <v>517.66666666666663</v>
      </c>
      <c r="BX39" s="31">
        <f t="shared" si="52"/>
        <v>507.26156666666662</v>
      </c>
      <c r="BY39" s="31">
        <f t="shared" si="53"/>
        <v>10.405099999999997</v>
      </c>
      <c r="BZ39" s="31">
        <f t="shared" si="54"/>
        <v>0</v>
      </c>
      <c r="CA39" s="31">
        <f t="shared" si="55"/>
        <v>0</v>
      </c>
      <c r="CB39" s="31">
        <f>DB39*'[3]CAMBARÁ - CITROS'!$U$5</f>
        <v>0</v>
      </c>
      <c r="CC39" s="31">
        <f t="shared" si="12"/>
        <v>-1</v>
      </c>
      <c r="CD39" s="31">
        <f>'[1]CB I'!$O39</f>
        <v>517.66666666666663</v>
      </c>
      <c r="CE39" s="31">
        <f t="shared" si="56"/>
        <v>507.26156666666662</v>
      </c>
      <c r="CF39" s="31">
        <f t="shared" si="57"/>
        <v>10.405099999999997</v>
      </c>
      <c r="CG39" s="31">
        <f t="shared" si="58"/>
        <v>0</v>
      </c>
      <c r="CH39" s="31">
        <f t="shared" si="59"/>
        <v>0</v>
      </c>
      <c r="CI39" s="31">
        <f>DC39*'[3]CAMBARÁ - CITROS'!$U$5</f>
        <v>0</v>
      </c>
      <c r="CJ39" s="31">
        <f t="shared" si="13"/>
        <v>-1</v>
      </c>
      <c r="CK39" s="31">
        <f>'[1]CB I'!$P39</f>
        <v>517.66666666666663</v>
      </c>
      <c r="CL39" s="31">
        <f t="shared" si="60"/>
        <v>507.26156666666662</v>
      </c>
      <c r="CM39" s="31">
        <f t="shared" si="61"/>
        <v>10.405099999999997</v>
      </c>
      <c r="CN39" s="31">
        <f t="shared" si="62"/>
        <v>0</v>
      </c>
      <c r="CO39" s="31">
        <f t="shared" si="63"/>
        <v>0</v>
      </c>
      <c r="CP39" s="31">
        <f>DD39*'[3]CAMBARÁ - CITROS'!$U$5</f>
        <v>0</v>
      </c>
      <c r="CQ39" s="31">
        <f t="shared" si="14"/>
        <v>-1</v>
      </c>
      <c r="CS39" s="197">
        <f>2093.94</f>
        <v>2093.94</v>
      </c>
      <c r="CT39" s="197">
        <f>1407.85</f>
        <v>1407.85</v>
      </c>
      <c r="CU39" s="197">
        <f>748.5</f>
        <v>748.5</v>
      </c>
      <c r="CV39" s="197">
        <f>6784.1+1288.2</f>
        <v>8072.3</v>
      </c>
      <c r="CW39" s="197"/>
      <c r="CX39" s="197"/>
      <c r="CY39" s="27"/>
      <c r="CZ39" s="197"/>
      <c r="DA39" s="197"/>
      <c r="DB39" s="199"/>
      <c r="DC39" s="197"/>
      <c r="DD39" s="197"/>
      <c r="DE39" s="198"/>
      <c r="DF39" s="198"/>
    </row>
    <row r="40" spans="1:110" s="26" customFormat="1" ht="16" customHeight="1" x14ac:dyDescent="0.2">
      <c r="A40" s="38" t="s">
        <v>64</v>
      </c>
      <c r="B40" s="30">
        <f t="shared" si="64"/>
        <v>18636</v>
      </c>
      <c r="C40" s="31">
        <f t="shared" si="64"/>
        <v>18261.416399999998</v>
      </c>
      <c r="D40" s="32">
        <f t="shared" si="64"/>
        <v>374.58359999999999</v>
      </c>
      <c r="E40" s="30">
        <f t="shared" si="66"/>
        <v>6212</v>
      </c>
      <c r="F40" s="33">
        <f t="shared" si="66"/>
        <v>6087.1387999999997</v>
      </c>
      <c r="G40" s="34">
        <f t="shared" si="66"/>
        <v>124.86119999999998</v>
      </c>
      <c r="H40" s="31">
        <f t="shared" si="65"/>
        <v>15290.978704290826</v>
      </c>
      <c r="I40" s="33">
        <f t="shared" si="65"/>
        <v>313.65309925119459</v>
      </c>
      <c r="J40" s="33">
        <f t="shared" si="65"/>
        <v>15604.631803542021</v>
      </c>
      <c r="K40" s="37">
        <f t="shared" si="2"/>
        <v>1.5120141345045108</v>
      </c>
      <c r="L40" s="36">
        <f>'[1]CB I'!$E40</f>
        <v>1553</v>
      </c>
      <c r="M40" s="31">
        <f t="shared" si="16"/>
        <v>1521.7846999999999</v>
      </c>
      <c r="N40" s="31">
        <f t="shared" si="17"/>
        <v>31.215299999999996</v>
      </c>
      <c r="O40" s="31">
        <f t="shared" si="18"/>
        <v>1012.7937531982377</v>
      </c>
      <c r="P40" s="31">
        <f t="shared" si="19"/>
        <v>20.774726440743517</v>
      </c>
      <c r="Q40" s="31">
        <f>CS40*'[2]CAMBARÁ - CITROS'!$U$5</f>
        <v>1033.5684796389812</v>
      </c>
      <c r="R40" s="31">
        <f t="shared" si="3"/>
        <v>-0.33446974910561411</v>
      </c>
      <c r="S40" s="31">
        <f>'[1]CB I'!$F40</f>
        <v>1553</v>
      </c>
      <c r="T40" s="31">
        <f t="shared" si="20"/>
        <v>1521.7846999999999</v>
      </c>
      <c r="U40" s="31">
        <f t="shared" si="21"/>
        <v>31.215299999999996</v>
      </c>
      <c r="V40" s="31">
        <f t="shared" si="22"/>
        <v>1012.7937531982377</v>
      </c>
      <c r="W40" s="31">
        <f t="shared" si="23"/>
        <v>20.774726440743517</v>
      </c>
      <c r="X40" s="31">
        <f>CT40*'[2]CAMBARÁ - CITROS'!$U$5</f>
        <v>1033.5684796389812</v>
      </c>
      <c r="Y40" s="31">
        <f t="shared" si="4"/>
        <v>-0.33446974910561411</v>
      </c>
      <c r="Z40" s="31">
        <f>'[1]CB I'!$G40</f>
        <v>1553</v>
      </c>
      <c r="AA40" s="31">
        <f t="shared" si="24"/>
        <v>1521.7846999999999</v>
      </c>
      <c r="AB40" s="31">
        <f t="shared" si="25"/>
        <v>31.215299999999996</v>
      </c>
      <c r="AC40" s="31">
        <f t="shared" si="26"/>
        <v>5233.7727198496214</v>
      </c>
      <c r="AD40" s="31">
        <f t="shared" si="27"/>
        <v>107.35670136644288</v>
      </c>
      <c r="AE40" s="31">
        <f>CU40*'[2]CAMBARÁ - CITROS'!$U$5</f>
        <v>5341.1294212160647</v>
      </c>
      <c r="AF40" s="31">
        <f t="shared" si="5"/>
        <v>2.4392333684585092</v>
      </c>
      <c r="AG40" s="31">
        <f>'[1]CB I'!$H40</f>
        <v>1553</v>
      </c>
      <c r="AH40" s="31">
        <f t="shared" si="28"/>
        <v>1521.7846999999999</v>
      </c>
      <c r="AI40" s="31">
        <f t="shared" si="29"/>
        <v>31.215299999999996</v>
      </c>
      <c r="AJ40" s="31">
        <f t="shared" si="30"/>
        <v>2399.0838452455992</v>
      </c>
      <c r="AK40" s="31">
        <f t="shared" si="31"/>
        <v>49.21072077705535</v>
      </c>
      <c r="AL40" s="31">
        <f>CV40*'[2]CAMBARÁ - CITROS'!$U$5</f>
        <v>2448.2945660226546</v>
      </c>
      <c r="AM40" s="31">
        <f t="shared" si="6"/>
        <v>0.57649360336294575</v>
      </c>
      <c r="AN40" s="31">
        <f>'[1]CB I'!$I40</f>
        <v>1553</v>
      </c>
      <c r="AO40" s="31">
        <f t="shared" si="32"/>
        <v>1521.7846999999999</v>
      </c>
      <c r="AP40" s="31">
        <f t="shared" si="33"/>
        <v>31.215299999999996</v>
      </c>
      <c r="AQ40" s="31">
        <f t="shared" si="34"/>
        <v>5258.676495752864</v>
      </c>
      <c r="AR40" s="31">
        <f t="shared" si="35"/>
        <v>107.8675350185045</v>
      </c>
      <c r="AS40" s="31">
        <v>5366.5440307713689</v>
      </c>
      <c r="AT40" s="31">
        <f t="shared" si="7"/>
        <v>2.4555982168521369</v>
      </c>
      <c r="AU40" s="31">
        <f>'[1]CB I'!$J40</f>
        <v>1553</v>
      </c>
      <c r="AV40" s="31">
        <f t="shared" si="36"/>
        <v>1521.7846999999999</v>
      </c>
      <c r="AW40" s="31">
        <f t="shared" si="37"/>
        <v>31.215299999999996</v>
      </c>
      <c r="AX40" s="31">
        <f t="shared" si="38"/>
        <v>373.85813704626543</v>
      </c>
      <c r="AY40" s="31">
        <f t="shared" si="39"/>
        <v>7.6686892077048006</v>
      </c>
      <c r="AZ40" s="31">
        <v>381.52682625397023</v>
      </c>
      <c r="BA40" s="31">
        <f t="shared" si="8"/>
        <v>-0.75432915244432053</v>
      </c>
      <c r="BB40" s="31">
        <f>'[1]CB I'!$K40</f>
        <v>1553</v>
      </c>
      <c r="BC40" s="31">
        <f t="shared" si="40"/>
        <v>1521.7846999999999</v>
      </c>
      <c r="BD40" s="31">
        <f t="shared" si="41"/>
        <v>31.215299999999996</v>
      </c>
      <c r="BE40" s="31">
        <f t="shared" si="42"/>
        <v>0</v>
      </c>
      <c r="BF40" s="31">
        <f t="shared" si="43"/>
        <v>0</v>
      </c>
      <c r="BG40" s="31">
        <f>CY40*'[3]CAMBARÁ - CITROS'!$U$5</f>
        <v>0</v>
      </c>
      <c r="BH40" s="31">
        <f t="shared" si="9"/>
        <v>-1</v>
      </c>
      <c r="BI40" s="31">
        <f>'[1]CB I'!$L40</f>
        <v>1553</v>
      </c>
      <c r="BJ40" s="31">
        <f t="shared" si="44"/>
        <v>1521.7846999999999</v>
      </c>
      <c r="BK40" s="31">
        <f t="shared" si="45"/>
        <v>31.215299999999996</v>
      </c>
      <c r="BL40" s="31">
        <f t="shared" si="46"/>
        <v>0</v>
      </c>
      <c r="BM40" s="31">
        <f t="shared" si="47"/>
        <v>0</v>
      </c>
      <c r="BN40" s="31">
        <f>CZ40*'[3]CAMBARÁ - CITROS'!$U$5</f>
        <v>0</v>
      </c>
      <c r="BO40" s="31">
        <f t="shared" si="10"/>
        <v>-1</v>
      </c>
      <c r="BP40" s="31">
        <f>'[1]CB I'!$M40</f>
        <v>1553</v>
      </c>
      <c r="BQ40" s="31">
        <f t="shared" si="48"/>
        <v>1521.7846999999999</v>
      </c>
      <c r="BR40" s="31">
        <f t="shared" si="49"/>
        <v>31.215299999999996</v>
      </c>
      <c r="BS40" s="31">
        <f t="shared" si="50"/>
        <v>0</v>
      </c>
      <c r="BT40" s="31">
        <f t="shared" si="51"/>
        <v>0</v>
      </c>
      <c r="BU40" s="31">
        <f>DA40*'[3]CAMBARÁ - CITROS'!$U$5</f>
        <v>0</v>
      </c>
      <c r="BV40" s="31">
        <f t="shared" si="11"/>
        <v>-1</v>
      </c>
      <c r="BW40" s="31">
        <f>'[1]CB I'!$N40</f>
        <v>1553</v>
      </c>
      <c r="BX40" s="31">
        <f t="shared" si="52"/>
        <v>1521.7846999999999</v>
      </c>
      <c r="BY40" s="31">
        <f t="shared" si="53"/>
        <v>31.215299999999996</v>
      </c>
      <c r="BZ40" s="31">
        <f t="shared" si="54"/>
        <v>0</v>
      </c>
      <c r="CA40" s="31">
        <f t="shared" si="55"/>
        <v>0</v>
      </c>
      <c r="CB40" s="31">
        <f>DB40*'[3]CAMBARÁ - CITROS'!$U$5</f>
        <v>0</v>
      </c>
      <c r="CC40" s="31">
        <f t="shared" si="12"/>
        <v>-1</v>
      </c>
      <c r="CD40" s="31">
        <f>'[1]CB I'!$O40</f>
        <v>1553</v>
      </c>
      <c r="CE40" s="31">
        <f t="shared" si="56"/>
        <v>1521.7846999999999</v>
      </c>
      <c r="CF40" s="31">
        <f t="shared" si="57"/>
        <v>31.215299999999996</v>
      </c>
      <c r="CG40" s="31">
        <f t="shared" si="58"/>
        <v>0</v>
      </c>
      <c r="CH40" s="31">
        <f t="shared" si="59"/>
        <v>0</v>
      </c>
      <c r="CI40" s="31">
        <f>DC40*'[3]CAMBARÁ - CITROS'!$U$5</f>
        <v>0</v>
      </c>
      <c r="CJ40" s="31">
        <f t="shared" si="13"/>
        <v>-1</v>
      </c>
      <c r="CK40" s="31">
        <f>'[1]CB I'!$P40</f>
        <v>1553</v>
      </c>
      <c r="CL40" s="31">
        <f t="shared" si="60"/>
        <v>1521.7846999999999</v>
      </c>
      <c r="CM40" s="31">
        <f t="shared" si="61"/>
        <v>31.215299999999996</v>
      </c>
      <c r="CN40" s="31">
        <f t="shared" si="62"/>
        <v>0</v>
      </c>
      <c r="CO40" s="31">
        <f t="shared" si="63"/>
        <v>0</v>
      </c>
      <c r="CP40" s="31">
        <f>DD40*'[3]CAMBARÁ - CITROS'!$U$5</f>
        <v>0</v>
      </c>
      <c r="CQ40" s="31">
        <f t="shared" si="14"/>
        <v>-1</v>
      </c>
      <c r="CS40" s="197">
        <f>1679.6</f>
        <v>1679.6</v>
      </c>
      <c r="CT40" s="197">
        <f>1679.6</f>
        <v>1679.6</v>
      </c>
      <c r="CU40" s="197">
        <f>8679.6</f>
        <v>8679.6</v>
      </c>
      <c r="CV40" s="197">
        <f>3978.6</f>
        <v>3978.6</v>
      </c>
      <c r="CW40" s="197"/>
      <c r="CX40" s="197"/>
      <c r="CY40" s="197"/>
      <c r="CZ40" s="197"/>
      <c r="DA40" s="197"/>
      <c r="DB40" s="197"/>
      <c r="DC40" s="197"/>
      <c r="DD40" s="197"/>
      <c r="DE40" s="198"/>
      <c r="DF40" s="198"/>
    </row>
    <row r="41" spans="1:110" s="26" customFormat="1" ht="16" customHeight="1" x14ac:dyDescent="0.2">
      <c r="A41" s="29" t="s">
        <v>65</v>
      </c>
      <c r="B41" s="30">
        <f t="shared" si="64"/>
        <v>545413.59999999986</v>
      </c>
      <c r="C41" s="31">
        <f t="shared" si="64"/>
        <v>534450.78663999995</v>
      </c>
      <c r="D41" s="32">
        <f t="shared" si="64"/>
        <v>10962.813359999995</v>
      </c>
      <c r="E41" s="30">
        <f t="shared" si="66"/>
        <v>181804.53333333333</v>
      </c>
      <c r="F41" s="33">
        <f t="shared" si="66"/>
        <v>178150.26221333334</v>
      </c>
      <c r="G41" s="34">
        <f t="shared" si="66"/>
        <v>3654.271119999999</v>
      </c>
      <c r="H41" s="31">
        <f t="shared" si="65"/>
        <v>267225.39331999997</v>
      </c>
      <c r="I41" s="33">
        <f t="shared" si="65"/>
        <v>5481.4066799999982</v>
      </c>
      <c r="J41" s="33">
        <f t="shared" si="65"/>
        <v>272706.8</v>
      </c>
      <c r="K41" s="37">
        <f t="shared" si="2"/>
        <v>0.5</v>
      </c>
      <c r="L41" s="46">
        <f>'[1]CB I'!$E41</f>
        <v>45451.133333333331</v>
      </c>
      <c r="M41" s="47">
        <f t="shared" si="16"/>
        <v>44537.565553333334</v>
      </c>
      <c r="N41" s="47">
        <f t="shared" si="17"/>
        <v>913.56777999999974</v>
      </c>
      <c r="O41" s="47">
        <f t="shared" si="18"/>
        <v>44537.565553333334</v>
      </c>
      <c r="P41" s="47">
        <f t="shared" si="19"/>
        <v>913.56777999999974</v>
      </c>
      <c r="Q41" s="47">
        <v>45451.133333333331</v>
      </c>
      <c r="R41" s="47">
        <f t="shared" si="3"/>
        <v>0</v>
      </c>
      <c r="S41" s="47">
        <f>'[1]CB I'!$F41</f>
        <v>45451.133333333331</v>
      </c>
      <c r="T41" s="47">
        <f t="shared" si="20"/>
        <v>44537.565553333334</v>
      </c>
      <c r="U41" s="47">
        <f t="shared" si="21"/>
        <v>913.56777999999974</v>
      </c>
      <c r="V41" s="47">
        <f t="shared" si="22"/>
        <v>44537.565553333334</v>
      </c>
      <c r="W41" s="47">
        <f t="shared" si="23"/>
        <v>913.56777999999974</v>
      </c>
      <c r="X41" s="47">
        <v>45451.133333333331</v>
      </c>
      <c r="Y41" s="47">
        <f t="shared" si="4"/>
        <v>0</v>
      </c>
      <c r="Z41" s="47">
        <f>'[1]CB I'!$G41</f>
        <v>45451.133333333331</v>
      </c>
      <c r="AA41" s="47">
        <f t="shared" si="24"/>
        <v>44537.565553333334</v>
      </c>
      <c r="AB41" s="47">
        <f t="shared" si="25"/>
        <v>913.56777999999974</v>
      </c>
      <c r="AC41" s="47">
        <f t="shared" si="26"/>
        <v>44537.565553333334</v>
      </c>
      <c r="AD41" s="47">
        <f t="shared" si="27"/>
        <v>913.56777999999974</v>
      </c>
      <c r="AE41" s="47">
        <v>45451.133333333331</v>
      </c>
      <c r="AF41" s="47">
        <f t="shared" si="5"/>
        <v>0</v>
      </c>
      <c r="AG41" s="47">
        <f>'[1]CB I'!$H41</f>
        <v>45451.133333333331</v>
      </c>
      <c r="AH41" s="47">
        <f t="shared" si="28"/>
        <v>44537.565553333334</v>
      </c>
      <c r="AI41" s="47">
        <f t="shared" si="29"/>
        <v>913.56777999999974</v>
      </c>
      <c r="AJ41" s="47">
        <f t="shared" si="30"/>
        <v>44537.565553333334</v>
      </c>
      <c r="AK41" s="47">
        <f t="shared" si="31"/>
        <v>913.56777999999974</v>
      </c>
      <c r="AL41" s="47">
        <v>45451.133333333331</v>
      </c>
      <c r="AM41" s="47">
        <f t="shared" si="6"/>
        <v>0</v>
      </c>
      <c r="AN41" s="47">
        <f>'[1]CB I'!$I41</f>
        <v>45451.133333333331</v>
      </c>
      <c r="AO41" s="47">
        <f t="shared" si="32"/>
        <v>44537.565553333334</v>
      </c>
      <c r="AP41" s="47">
        <f t="shared" si="33"/>
        <v>913.56777999999974</v>
      </c>
      <c r="AQ41" s="47">
        <f t="shared" si="34"/>
        <v>44537.565553333334</v>
      </c>
      <c r="AR41" s="47">
        <f t="shared" si="35"/>
        <v>913.56777999999974</v>
      </c>
      <c r="AS41" s="47">
        <v>45451.133333333331</v>
      </c>
      <c r="AT41" s="47">
        <f t="shared" si="7"/>
        <v>0</v>
      </c>
      <c r="AU41" s="47">
        <f>'[1]CB I'!$J41</f>
        <v>45451.133333333331</v>
      </c>
      <c r="AV41" s="47">
        <f t="shared" si="36"/>
        <v>44537.565553333334</v>
      </c>
      <c r="AW41" s="47">
        <f t="shared" si="37"/>
        <v>913.56777999999974</v>
      </c>
      <c r="AX41" s="47">
        <f t="shared" si="38"/>
        <v>44537.565553333334</v>
      </c>
      <c r="AY41" s="47">
        <f t="shared" si="39"/>
        <v>913.56777999999974</v>
      </c>
      <c r="AZ41" s="47">
        <v>45451.133333333331</v>
      </c>
      <c r="BA41" s="47">
        <f t="shared" si="8"/>
        <v>0</v>
      </c>
      <c r="BB41" s="47">
        <f>'[1]CB I'!$K41</f>
        <v>45451.133333333331</v>
      </c>
      <c r="BC41" s="47">
        <f t="shared" si="40"/>
        <v>44537.565553333334</v>
      </c>
      <c r="BD41" s="47">
        <f t="shared" si="41"/>
        <v>913.56777999999974</v>
      </c>
      <c r="BE41" s="47">
        <f t="shared" si="42"/>
        <v>0</v>
      </c>
      <c r="BF41" s="47">
        <f t="shared" si="43"/>
        <v>0</v>
      </c>
      <c r="BG41" s="47"/>
      <c r="BH41" s="47">
        <f t="shared" si="9"/>
        <v>-1</v>
      </c>
      <c r="BI41" s="47">
        <f>'[1]CB I'!$L41</f>
        <v>45451.133333333331</v>
      </c>
      <c r="BJ41" s="47">
        <f t="shared" si="44"/>
        <v>44537.565553333334</v>
      </c>
      <c r="BK41" s="47">
        <f t="shared" si="45"/>
        <v>913.56777999999974</v>
      </c>
      <c r="BL41" s="47">
        <f t="shared" si="46"/>
        <v>0</v>
      </c>
      <c r="BM41" s="47">
        <f t="shared" si="47"/>
        <v>0</v>
      </c>
      <c r="BN41" s="47"/>
      <c r="BO41" s="47">
        <f t="shared" si="10"/>
        <v>-1</v>
      </c>
      <c r="BP41" s="47">
        <f>'[1]CB I'!$M41</f>
        <v>45451.133333333331</v>
      </c>
      <c r="BQ41" s="47">
        <f t="shared" si="48"/>
        <v>44537.565553333334</v>
      </c>
      <c r="BR41" s="47">
        <f t="shared" si="49"/>
        <v>913.56777999999974</v>
      </c>
      <c r="BS41" s="47">
        <f t="shared" si="50"/>
        <v>0</v>
      </c>
      <c r="BT41" s="47">
        <f t="shared" si="51"/>
        <v>0</v>
      </c>
      <c r="BU41" s="47"/>
      <c r="BV41" s="47">
        <f t="shared" si="11"/>
        <v>-1</v>
      </c>
      <c r="BW41" s="47">
        <f>'[1]CB I'!$N41</f>
        <v>45451.133333333331</v>
      </c>
      <c r="BX41" s="47">
        <f t="shared" si="52"/>
        <v>44537.565553333334</v>
      </c>
      <c r="BY41" s="47">
        <f t="shared" si="53"/>
        <v>913.56777999999974</v>
      </c>
      <c r="BZ41" s="47">
        <f t="shared" si="54"/>
        <v>0</v>
      </c>
      <c r="CA41" s="47">
        <f t="shared" si="55"/>
        <v>0</v>
      </c>
      <c r="CB41" s="47"/>
      <c r="CC41" s="47">
        <f t="shared" si="12"/>
        <v>-1</v>
      </c>
      <c r="CD41" s="47">
        <f>'[1]CB I'!$O41</f>
        <v>45451.133333333331</v>
      </c>
      <c r="CE41" s="47">
        <f t="shared" si="56"/>
        <v>44537.565553333334</v>
      </c>
      <c r="CF41" s="47">
        <f t="shared" si="57"/>
        <v>913.56777999999974</v>
      </c>
      <c r="CG41" s="47">
        <f t="shared" si="58"/>
        <v>0</v>
      </c>
      <c r="CH41" s="47">
        <f t="shared" si="59"/>
        <v>0</v>
      </c>
      <c r="CI41" s="47"/>
      <c r="CJ41" s="47">
        <f t="shared" si="13"/>
        <v>-1</v>
      </c>
      <c r="CK41" s="47">
        <f>'[1]CB I'!$P41</f>
        <v>45451.133333333331</v>
      </c>
      <c r="CL41" s="47">
        <f t="shared" si="60"/>
        <v>44537.565553333334</v>
      </c>
      <c r="CM41" s="47">
        <f t="shared" si="61"/>
        <v>913.56777999999974</v>
      </c>
      <c r="CN41" s="47">
        <f t="shared" si="62"/>
        <v>0</v>
      </c>
      <c r="CO41" s="47">
        <f t="shared" si="63"/>
        <v>0</v>
      </c>
      <c r="CP41" s="47"/>
      <c r="CQ41" s="47">
        <f t="shared" si="14"/>
        <v>-1</v>
      </c>
      <c r="CS41" s="197"/>
      <c r="CT41" s="197"/>
      <c r="CU41" s="197"/>
      <c r="CV41" s="197"/>
      <c r="CW41" s="197"/>
      <c r="CX41" s="197"/>
      <c r="CY41" s="197"/>
      <c r="CZ41" s="197"/>
      <c r="DA41" s="197"/>
      <c r="DB41" s="197"/>
      <c r="DC41" s="197"/>
      <c r="DD41" s="197"/>
      <c r="DE41" s="198"/>
      <c r="DF41" s="198"/>
    </row>
    <row r="42" spans="1:110" s="26" customFormat="1" ht="16" customHeight="1" x14ac:dyDescent="0.2">
      <c r="A42" s="29" t="s">
        <v>66</v>
      </c>
      <c r="B42" s="30">
        <f t="shared" si="64"/>
        <v>0</v>
      </c>
      <c r="C42" s="31">
        <f t="shared" si="64"/>
        <v>0</v>
      </c>
      <c r="D42" s="32">
        <f t="shared" si="64"/>
        <v>0</v>
      </c>
      <c r="E42" s="30">
        <f t="shared" si="66"/>
        <v>0</v>
      </c>
      <c r="F42" s="33">
        <f t="shared" si="66"/>
        <v>0</v>
      </c>
      <c r="G42" s="34">
        <f t="shared" si="66"/>
        <v>0</v>
      </c>
      <c r="H42" s="31">
        <f t="shared" si="65"/>
        <v>0</v>
      </c>
      <c r="I42" s="33">
        <f t="shared" si="65"/>
        <v>0</v>
      </c>
      <c r="J42" s="33">
        <f t="shared" si="65"/>
        <v>0</v>
      </c>
      <c r="K42" s="37" t="str">
        <f t="shared" si="2"/>
        <v/>
      </c>
      <c r="L42" s="36">
        <f>'[1]CB I'!$E42</f>
        <v>0</v>
      </c>
      <c r="M42" s="31">
        <f t="shared" si="16"/>
        <v>0</v>
      </c>
      <c r="N42" s="31">
        <f t="shared" si="17"/>
        <v>0</v>
      </c>
      <c r="O42" s="31">
        <f t="shared" si="18"/>
        <v>0</v>
      </c>
      <c r="P42" s="31">
        <f t="shared" si="19"/>
        <v>0</v>
      </c>
      <c r="Q42" s="31"/>
      <c r="R42" s="31" t="str">
        <f t="shared" si="3"/>
        <v/>
      </c>
      <c r="S42" s="31">
        <f>'[1]CB I'!$F42</f>
        <v>0</v>
      </c>
      <c r="T42" s="31">
        <f t="shared" si="20"/>
        <v>0</v>
      </c>
      <c r="U42" s="31">
        <f t="shared" si="21"/>
        <v>0</v>
      </c>
      <c r="V42" s="31">
        <f t="shared" si="22"/>
        <v>0</v>
      </c>
      <c r="W42" s="31">
        <f t="shared" si="23"/>
        <v>0</v>
      </c>
      <c r="X42" s="31"/>
      <c r="Y42" s="31" t="str">
        <f t="shared" si="4"/>
        <v/>
      </c>
      <c r="Z42" s="31">
        <f>'[1]CB I'!$G42</f>
        <v>0</v>
      </c>
      <c r="AA42" s="31">
        <f t="shared" si="24"/>
        <v>0</v>
      </c>
      <c r="AB42" s="31">
        <f t="shared" si="25"/>
        <v>0</v>
      </c>
      <c r="AC42" s="31">
        <f t="shared" si="26"/>
        <v>0</v>
      </c>
      <c r="AD42" s="31">
        <f t="shared" si="27"/>
        <v>0</v>
      </c>
      <c r="AE42" s="31"/>
      <c r="AF42" s="31" t="str">
        <f t="shared" si="5"/>
        <v/>
      </c>
      <c r="AG42" s="31">
        <f>'[1]CB I'!$H42</f>
        <v>0</v>
      </c>
      <c r="AH42" s="31">
        <f t="shared" si="28"/>
        <v>0</v>
      </c>
      <c r="AI42" s="31">
        <f t="shared" si="29"/>
        <v>0</v>
      </c>
      <c r="AJ42" s="31">
        <f t="shared" si="30"/>
        <v>0</v>
      </c>
      <c r="AK42" s="31">
        <f t="shared" si="31"/>
        <v>0</v>
      </c>
      <c r="AL42" s="31"/>
      <c r="AM42" s="31" t="str">
        <f t="shared" si="6"/>
        <v/>
      </c>
      <c r="AN42" s="31">
        <f>'[1]CB I'!$I42</f>
        <v>0</v>
      </c>
      <c r="AO42" s="31">
        <f t="shared" si="32"/>
        <v>0</v>
      </c>
      <c r="AP42" s="31">
        <f t="shared" si="33"/>
        <v>0</v>
      </c>
      <c r="AQ42" s="31">
        <f t="shared" si="34"/>
        <v>0</v>
      </c>
      <c r="AR42" s="31">
        <f t="shared" si="35"/>
        <v>0</v>
      </c>
      <c r="AS42" s="31"/>
      <c r="AT42" s="31" t="str">
        <f t="shared" si="7"/>
        <v/>
      </c>
      <c r="AU42" s="31">
        <f>'[1]CB I'!$J42</f>
        <v>0</v>
      </c>
      <c r="AV42" s="31">
        <f t="shared" si="36"/>
        <v>0</v>
      </c>
      <c r="AW42" s="31">
        <f t="shared" si="37"/>
        <v>0</v>
      </c>
      <c r="AX42" s="31">
        <f t="shared" si="38"/>
        <v>0</v>
      </c>
      <c r="AY42" s="31">
        <f t="shared" si="39"/>
        <v>0</v>
      </c>
      <c r="AZ42" s="31"/>
      <c r="BA42" s="31" t="str">
        <f t="shared" si="8"/>
        <v/>
      </c>
      <c r="BB42" s="31">
        <f>'[1]CB I'!$K42</f>
        <v>0</v>
      </c>
      <c r="BC42" s="31">
        <f t="shared" si="40"/>
        <v>0</v>
      </c>
      <c r="BD42" s="31">
        <f t="shared" si="41"/>
        <v>0</v>
      </c>
      <c r="BE42" s="31">
        <f t="shared" si="42"/>
        <v>0</v>
      </c>
      <c r="BF42" s="31">
        <f t="shared" si="43"/>
        <v>0</v>
      </c>
      <c r="BG42" s="31"/>
      <c r="BH42" s="31" t="str">
        <f t="shared" si="9"/>
        <v/>
      </c>
      <c r="BI42" s="31">
        <f>'[1]CB I'!$L42</f>
        <v>0</v>
      </c>
      <c r="BJ42" s="31">
        <f t="shared" si="44"/>
        <v>0</v>
      </c>
      <c r="BK42" s="31">
        <f t="shared" si="45"/>
        <v>0</v>
      </c>
      <c r="BL42" s="31">
        <f t="shared" si="46"/>
        <v>0</v>
      </c>
      <c r="BM42" s="31">
        <f t="shared" si="47"/>
        <v>0</v>
      </c>
      <c r="BN42" s="31"/>
      <c r="BO42" s="31" t="str">
        <f t="shared" si="10"/>
        <v/>
      </c>
      <c r="BP42" s="31">
        <f>'[1]CB I'!$M42</f>
        <v>0</v>
      </c>
      <c r="BQ42" s="31">
        <f t="shared" si="48"/>
        <v>0</v>
      </c>
      <c r="BR42" s="31">
        <f t="shared" si="49"/>
        <v>0</v>
      </c>
      <c r="BS42" s="31">
        <f t="shared" si="50"/>
        <v>0</v>
      </c>
      <c r="BT42" s="31">
        <f t="shared" si="51"/>
        <v>0</v>
      </c>
      <c r="BU42" s="31"/>
      <c r="BV42" s="31" t="str">
        <f t="shared" si="11"/>
        <v/>
      </c>
      <c r="BW42" s="31">
        <f>'[1]CB I'!$N42</f>
        <v>0</v>
      </c>
      <c r="BX42" s="31">
        <f t="shared" si="52"/>
        <v>0</v>
      </c>
      <c r="BY42" s="31">
        <f t="shared" si="53"/>
        <v>0</v>
      </c>
      <c r="BZ42" s="31">
        <f t="shared" si="54"/>
        <v>0</v>
      </c>
      <c r="CA42" s="31">
        <f t="shared" si="55"/>
        <v>0</v>
      </c>
      <c r="CB42" s="31"/>
      <c r="CC42" s="31" t="str">
        <f t="shared" si="12"/>
        <v/>
      </c>
      <c r="CD42" s="31">
        <f>'[1]CB I'!$O42</f>
        <v>0</v>
      </c>
      <c r="CE42" s="31">
        <f t="shared" si="56"/>
        <v>0</v>
      </c>
      <c r="CF42" s="31">
        <f t="shared" si="57"/>
        <v>0</v>
      </c>
      <c r="CG42" s="31">
        <f t="shared" si="58"/>
        <v>0</v>
      </c>
      <c r="CH42" s="31">
        <f t="shared" si="59"/>
        <v>0</v>
      </c>
      <c r="CI42" s="31"/>
      <c r="CJ42" s="31" t="str">
        <f t="shared" si="13"/>
        <v/>
      </c>
      <c r="CK42" s="31">
        <f>'[1]CB I'!$P42</f>
        <v>0</v>
      </c>
      <c r="CL42" s="31">
        <f t="shared" si="60"/>
        <v>0</v>
      </c>
      <c r="CM42" s="31">
        <f t="shared" si="61"/>
        <v>0</v>
      </c>
      <c r="CN42" s="31">
        <f t="shared" si="62"/>
        <v>0</v>
      </c>
      <c r="CO42" s="31">
        <f t="shared" si="63"/>
        <v>0</v>
      </c>
      <c r="CP42" s="31"/>
      <c r="CQ42" s="31" t="str">
        <f t="shared" si="14"/>
        <v/>
      </c>
      <c r="CS42" s="197"/>
      <c r="CT42" s="197"/>
      <c r="CU42" s="197"/>
      <c r="CV42" s="197"/>
      <c r="CW42" s="197"/>
      <c r="CX42" s="197"/>
      <c r="CY42" s="197"/>
      <c r="CZ42" s="197"/>
      <c r="DA42" s="197"/>
      <c r="DB42" s="197"/>
      <c r="DC42" s="197"/>
      <c r="DD42" s="197"/>
      <c r="DE42" s="198"/>
      <c r="DF42" s="198"/>
    </row>
    <row r="43" spans="1:110" s="26" customFormat="1" ht="16" customHeight="1" x14ac:dyDescent="0.2">
      <c r="A43" s="38" t="s">
        <v>67</v>
      </c>
      <c r="B43" s="30">
        <f t="shared" si="64"/>
        <v>35991.7068</v>
      </c>
      <c r="C43" s="31">
        <f t="shared" si="64"/>
        <v>35268.273493320004</v>
      </c>
      <c r="D43" s="32">
        <f t="shared" si="64"/>
        <v>723.43330667999999</v>
      </c>
      <c r="E43" s="30">
        <f t="shared" si="66"/>
        <v>11997.2356</v>
      </c>
      <c r="F43" s="33">
        <f t="shared" si="66"/>
        <v>11756.09116444</v>
      </c>
      <c r="G43" s="34">
        <f t="shared" si="66"/>
        <v>241.14443555999995</v>
      </c>
      <c r="H43" s="31">
        <f t="shared" si="65"/>
        <v>29923.792218251612</v>
      </c>
      <c r="I43" s="33">
        <f t="shared" si="65"/>
        <v>613.80571852929597</v>
      </c>
      <c r="J43" s="33">
        <f t="shared" si="65"/>
        <v>30537.597936780905</v>
      </c>
      <c r="K43" s="37">
        <f t="shared" si="2"/>
        <v>1.5453862001993945</v>
      </c>
      <c r="L43" s="36">
        <f>'[1]CB I'!$E43</f>
        <v>2999.3089</v>
      </c>
      <c r="M43" s="31">
        <f t="shared" si="16"/>
        <v>2939.0227911100001</v>
      </c>
      <c r="N43" s="31">
        <f t="shared" si="17"/>
        <v>60.286108889999987</v>
      </c>
      <c r="O43" s="31">
        <f t="shared" si="18"/>
        <v>3506.4275272968284</v>
      </c>
      <c r="P43" s="31">
        <f t="shared" si="19"/>
        <v>71.924883456134538</v>
      </c>
      <c r="Q43" s="31">
        <f>CS43*'[2]CAMBARÁ - CITROS'!$U$5</f>
        <v>3578.3524107529629</v>
      </c>
      <c r="R43" s="31">
        <f t="shared" si="3"/>
        <v>0.19305897793753846</v>
      </c>
      <c r="S43" s="31">
        <f>'[1]CB I'!$F43</f>
        <v>2999.3089</v>
      </c>
      <c r="T43" s="31">
        <f t="shared" si="20"/>
        <v>2939.0227911100001</v>
      </c>
      <c r="U43" s="31">
        <f t="shared" si="21"/>
        <v>60.286108889999987</v>
      </c>
      <c r="V43" s="31">
        <f t="shared" si="22"/>
        <v>5062.8110117603364</v>
      </c>
      <c r="W43" s="31">
        <f t="shared" si="23"/>
        <v>103.84988400488085</v>
      </c>
      <c r="X43" s="31">
        <f>CT43*'[2]CAMBARÁ - CITROS'!$U$5</f>
        <v>5166.660895765217</v>
      </c>
      <c r="Y43" s="31">
        <f t="shared" si="4"/>
        <v>0.72261713215508316</v>
      </c>
      <c r="Z43" s="31">
        <f>'[1]CB I'!$G43</f>
        <v>2999.3089</v>
      </c>
      <c r="AA43" s="31">
        <f t="shared" si="24"/>
        <v>2939.0227911100001</v>
      </c>
      <c r="AB43" s="31">
        <f t="shared" si="25"/>
        <v>60.286108889999987</v>
      </c>
      <c r="AC43" s="31">
        <f t="shared" si="26"/>
        <v>3135.379356248362</v>
      </c>
      <c r="AD43" s="31">
        <f t="shared" si="27"/>
        <v>64.313833106023125</v>
      </c>
      <c r="AE43" s="31">
        <f>CU43*'[2]CAMBARÁ - CITROS'!$U$5</f>
        <v>3199.6931893543851</v>
      </c>
      <c r="AF43" s="31">
        <f t="shared" si="5"/>
        <v>6.6810153950593421E-2</v>
      </c>
      <c r="AG43" s="31">
        <f>'[1]CB I'!$H43</f>
        <v>2999.3089</v>
      </c>
      <c r="AH43" s="31">
        <f t="shared" si="28"/>
        <v>2939.0227911100001</v>
      </c>
      <c r="AI43" s="31">
        <f t="shared" si="29"/>
        <v>60.286108889999987</v>
      </c>
      <c r="AJ43" s="31">
        <f t="shared" si="30"/>
        <v>3402.2839162496339</v>
      </c>
      <c r="AK43" s="31">
        <f t="shared" si="31"/>
        <v>69.788658757646317</v>
      </c>
      <c r="AL43" s="31">
        <f>CV43*'[2]CAMBARÁ - CITROS'!$U$5</f>
        <v>3472.0725750072802</v>
      </c>
      <c r="AM43" s="31">
        <f t="shared" si="6"/>
        <v>0.15762420303133173</v>
      </c>
      <c r="AN43" s="31">
        <f>'[1]CB I'!$I43</f>
        <v>2999.3089</v>
      </c>
      <c r="AO43" s="31">
        <f t="shared" si="32"/>
        <v>2939.0227911100001</v>
      </c>
      <c r="AP43" s="31">
        <f t="shared" si="33"/>
        <v>60.286108889999987</v>
      </c>
      <c r="AQ43" s="31">
        <f t="shared" si="34"/>
        <v>2907.7781403965673</v>
      </c>
      <c r="AR43" s="31">
        <f t="shared" si="35"/>
        <v>59.645209329493817</v>
      </c>
      <c r="AS43" s="31">
        <v>2967.4233497260611</v>
      </c>
      <c r="AT43" s="31">
        <f t="shared" si="7"/>
        <v>-1.0630965778129386E-2</v>
      </c>
      <c r="AU43" s="31">
        <f>'[1]CB I'!$J43</f>
        <v>2999.3089</v>
      </c>
      <c r="AV43" s="31">
        <f t="shared" si="36"/>
        <v>2939.0227911100001</v>
      </c>
      <c r="AW43" s="31">
        <f t="shared" si="37"/>
        <v>60.286108889999987</v>
      </c>
      <c r="AX43" s="31">
        <f t="shared" si="38"/>
        <v>11909.112266299881</v>
      </c>
      <c r="AY43" s="31">
        <f t="shared" si="39"/>
        <v>244.28324987511741</v>
      </c>
      <c r="AZ43" s="31">
        <v>12153.395516174998</v>
      </c>
      <c r="BA43" s="31">
        <f t="shared" si="8"/>
        <v>3.0520652995011615</v>
      </c>
      <c r="BB43" s="31">
        <f>'[1]CB I'!$K43</f>
        <v>2999.3089</v>
      </c>
      <c r="BC43" s="31">
        <f t="shared" si="40"/>
        <v>2939.0227911100001</v>
      </c>
      <c r="BD43" s="31">
        <f t="shared" si="41"/>
        <v>60.286108889999987</v>
      </c>
      <c r="BE43" s="31">
        <f t="shared" si="42"/>
        <v>0</v>
      </c>
      <c r="BF43" s="31">
        <f t="shared" si="43"/>
        <v>0</v>
      </c>
      <c r="BG43" s="31">
        <f>CY43*'[3]CAMBARÁ - CITROS'!$U$5</f>
        <v>0</v>
      </c>
      <c r="BH43" s="31">
        <f t="shared" si="9"/>
        <v>-1</v>
      </c>
      <c r="BI43" s="31">
        <f>'[1]CB I'!$L43</f>
        <v>2999.3089</v>
      </c>
      <c r="BJ43" s="31">
        <f t="shared" si="44"/>
        <v>2939.0227911100001</v>
      </c>
      <c r="BK43" s="31">
        <f t="shared" si="45"/>
        <v>60.286108889999987</v>
      </c>
      <c r="BL43" s="31">
        <f t="shared" si="46"/>
        <v>0</v>
      </c>
      <c r="BM43" s="31">
        <f t="shared" si="47"/>
        <v>0</v>
      </c>
      <c r="BN43" s="31">
        <f>CZ43*'[3]CAMBARÁ - CITROS'!$U$5</f>
        <v>0</v>
      </c>
      <c r="BO43" s="31">
        <f t="shared" si="10"/>
        <v>-1</v>
      </c>
      <c r="BP43" s="31">
        <f>'[1]CB I'!$M43</f>
        <v>2999.3089</v>
      </c>
      <c r="BQ43" s="31">
        <f t="shared" si="48"/>
        <v>2939.0227911100001</v>
      </c>
      <c r="BR43" s="31">
        <f t="shared" si="49"/>
        <v>60.286108889999987</v>
      </c>
      <c r="BS43" s="31">
        <f t="shared" si="50"/>
        <v>0</v>
      </c>
      <c r="BT43" s="31">
        <f t="shared" si="51"/>
        <v>0</v>
      </c>
      <c r="BU43" s="31">
        <f>DA43*'[3]CAMBARÁ - CITROS'!$U$5</f>
        <v>0</v>
      </c>
      <c r="BV43" s="31">
        <f t="shared" si="11"/>
        <v>-1</v>
      </c>
      <c r="BW43" s="31">
        <f>'[1]CB I'!$N43</f>
        <v>2999.3089</v>
      </c>
      <c r="BX43" s="31">
        <f t="shared" si="52"/>
        <v>2939.0227911100001</v>
      </c>
      <c r="BY43" s="31">
        <f t="shared" si="53"/>
        <v>60.286108889999987</v>
      </c>
      <c r="BZ43" s="31">
        <f t="shared" si="54"/>
        <v>0</v>
      </c>
      <c r="CA43" s="31">
        <f t="shared" si="55"/>
        <v>0</v>
      </c>
      <c r="CB43" s="31">
        <f>DB43*'[3]CAMBARÁ - CITROS'!$U$5</f>
        <v>0</v>
      </c>
      <c r="CC43" s="31">
        <f t="shared" si="12"/>
        <v>-1</v>
      </c>
      <c r="CD43" s="31">
        <f>'[1]CB I'!$O43</f>
        <v>2999.3089</v>
      </c>
      <c r="CE43" s="31">
        <f t="shared" si="56"/>
        <v>2939.0227911100001</v>
      </c>
      <c r="CF43" s="31">
        <f t="shared" si="57"/>
        <v>60.286108889999987</v>
      </c>
      <c r="CG43" s="31">
        <f t="shared" si="58"/>
        <v>0</v>
      </c>
      <c r="CH43" s="31">
        <f t="shared" si="59"/>
        <v>0</v>
      </c>
      <c r="CI43" s="31">
        <f>DC43*'[3]CAMBARÁ - CITROS'!$U$5</f>
        <v>0</v>
      </c>
      <c r="CJ43" s="31">
        <f t="shared" si="13"/>
        <v>-1</v>
      </c>
      <c r="CK43" s="31">
        <f>'[1]CB I'!$P43</f>
        <v>2999.3089</v>
      </c>
      <c r="CL43" s="31">
        <f t="shared" si="60"/>
        <v>2939.0227911100001</v>
      </c>
      <c r="CM43" s="31">
        <f t="shared" si="61"/>
        <v>60.286108889999987</v>
      </c>
      <c r="CN43" s="31">
        <f t="shared" si="62"/>
        <v>0</v>
      </c>
      <c r="CO43" s="31">
        <f t="shared" si="63"/>
        <v>0</v>
      </c>
      <c r="CP43" s="31">
        <f>DD43*'[3]CAMBARÁ - CITROS'!$U$5</f>
        <v>0</v>
      </c>
      <c r="CQ43" s="31">
        <f t="shared" si="14"/>
        <v>-1</v>
      </c>
      <c r="CS43" s="197">
        <f>5815</f>
        <v>5815</v>
      </c>
      <c r="CT43" s="197">
        <f>8396.08</f>
        <v>8396.08</v>
      </c>
      <c r="CU43" s="197">
        <f>5199.66</f>
        <v>5199.66</v>
      </c>
      <c r="CV43" s="197">
        <f>5642.29</f>
        <v>5642.29</v>
      </c>
      <c r="CW43" s="197"/>
      <c r="CX43" s="197"/>
      <c r="CY43" s="197"/>
      <c r="CZ43" s="197"/>
      <c r="DA43" s="197"/>
      <c r="DB43" s="197"/>
      <c r="DC43" s="197"/>
      <c r="DD43" s="197"/>
      <c r="DE43" s="198"/>
      <c r="DF43" s="198"/>
    </row>
    <row r="44" spans="1:110" s="26" customFormat="1" ht="16" customHeight="1" x14ac:dyDescent="0.2">
      <c r="A44" s="29" t="s">
        <v>68</v>
      </c>
      <c r="B44" s="30">
        <f t="shared" si="64"/>
        <v>0</v>
      </c>
      <c r="C44" s="31">
        <f t="shared" si="64"/>
        <v>0</v>
      </c>
      <c r="D44" s="32">
        <f t="shared" si="64"/>
        <v>0</v>
      </c>
      <c r="E44" s="30">
        <f t="shared" si="66"/>
        <v>0</v>
      </c>
      <c r="F44" s="33">
        <f t="shared" si="66"/>
        <v>0</v>
      </c>
      <c r="G44" s="34">
        <f t="shared" si="66"/>
        <v>0</v>
      </c>
      <c r="H44" s="31">
        <f t="shared" si="65"/>
        <v>0</v>
      </c>
      <c r="I44" s="33">
        <f t="shared" si="65"/>
        <v>0</v>
      </c>
      <c r="J44" s="33">
        <f t="shared" si="65"/>
        <v>0</v>
      </c>
      <c r="K44" s="37" t="str">
        <f t="shared" si="2"/>
        <v/>
      </c>
      <c r="L44" s="36">
        <f>'[1]CB I'!$E44</f>
        <v>0</v>
      </c>
      <c r="M44" s="31">
        <f t="shared" si="16"/>
        <v>0</v>
      </c>
      <c r="N44" s="31">
        <f t="shared" si="17"/>
        <v>0</v>
      </c>
      <c r="O44" s="31">
        <f t="shared" si="18"/>
        <v>0</v>
      </c>
      <c r="P44" s="31">
        <f t="shared" si="19"/>
        <v>0</v>
      </c>
      <c r="Q44" s="31">
        <f>CS44*'[2]CAMBARÁ - CITROS'!$U$5</f>
        <v>0</v>
      </c>
      <c r="R44" s="31" t="str">
        <f t="shared" si="3"/>
        <v/>
      </c>
      <c r="S44" s="31">
        <f>'[1]CB I'!$F44</f>
        <v>0</v>
      </c>
      <c r="T44" s="31">
        <f t="shared" si="20"/>
        <v>0</v>
      </c>
      <c r="U44" s="31">
        <f t="shared" si="21"/>
        <v>0</v>
      </c>
      <c r="V44" s="31">
        <f t="shared" si="22"/>
        <v>0</v>
      </c>
      <c r="W44" s="31">
        <f t="shared" si="23"/>
        <v>0</v>
      </c>
      <c r="X44" s="31">
        <f>CT44*'[2]CAMBARÁ - CITROS'!$U$5</f>
        <v>0</v>
      </c>
      <c r="Y44" s="31" t="str">
        <f t="shared" si="4"/>
        <v/>
      </c>
      <c r="Z44" s="31">
        <f>'[1]CB I'!$G44</f>
        <v>0</v>
      </c>
      <c r="AA44" s="31">
        <f t="shared" si="24"/>
        <v>0</v>
      </c>
      <c r="AB44" s="31">
        <f t="shared" si="25"/>
        <v>0</v>
      </c>
      <c r="AC44" s="31">
        <f t="shared" si="26"/>
        <v>0</v>
      </c>
      <c r="AD44" s="31">
        <f t="shared" si="27"/>
        <v>0</v>
      </c>
      <c r="AE44" s="31">
        <f>CU44*'[2]CAMBARÁ - CITROS'!$U$5</f>
        <v>0</v>
      </c>
      <c r="AF44" s="31" t="str">
        <f t="shared" si="5"/>
        <v/>
      </c>
      <c r="AG44" s="31">
        <f>'[1]CB I'!$H44</f>
        <v>0</v>
      </c>
      <c r="AH44" s="31">
        <f t="shared" si="28"/>
        <v>0</v>
      </c>
      <c r="AI44" s="31">
        <f t="shared" si="29"/>
        <v>0</v>
      </c>
      <c r="AJ44" s="31">
        <f t="shared" si="30"/>
        <v>0</v>
      </c>
      <c r="AK44" s="31">
        <f t="shared" si="31"/>
        <v>0</v>
      </c>
      <c r="AL44" s="31">
        <f>CV44*'[2]CAMBARÁ - CITROS'!$U$5</f>
        <v>0</v>
      </c>
      <c r="AM44" s="31" t="str">
        <f t="shared" si="6"/>
        <v/>
      </c>
      <c r="AN44" s="31">
        <f>'[1]CB I'!$I44</f>
        <v>0</v>
      </c>
      <c r="AO44" s="31">
        <f t="shared" si="32"/>
        <v>0</v>
      </c>
      <c r="AP44" s="31">
        <f t="shared" si="33"/>
        <v>0</v>
      </c>
      <c r="AQ44" s="31">
        <f t="shared" si="34"/>
        <v>0</v>
      </c>
      <c r="AR44" s="31">
        <f t="shared" si="35"/>
        <v>0</v>
      </c>
      <c r="AS44" s="31">
        <v>0</v>
      </c>
      <c r="AT44" s="31" t="str">
        <f t="shared" si="7"/>
        <v/>
      </c>
      <c r="AU44" s="31">
        <f>'[1]CB I'!$J44</f>
        <v>0</v>
      </c>
      <c r="AV44" s="31">
        <f t="shared" si="36"/>
        <v>0</v>
      </c>
      <c r="AW44" s="31">
        <f t="shared" si="37"/>
        <v>0</v>
      </c>
      <c r="AX44" s="31">
        <f t="shared" si="38"/>
        <v>0</v>
      </c>
      <c r="AY44" s="31">
        <f t="shared" si="39"/>
        <v>0</v>
      </c>
      <c r="AZ44" s="31">
        <v>0</v>
      </c>
      <c r="BA44" s="31" t="str">
        <f t="shared" si="8"/>
        <v/>
      </c>
      <c r="BB44" s="31">
        <f>'[1]CB I'!$K44</f>
        <v>0</v>
      </c>
      <c r="BC44" s="31">
        <f t="shared" si="40"/>
        <v>0</v>
      </c>
      <c r="BD44" s="31">
        <f t="shared" si="41"/>
        <v>0</v>
      </c>
      <c r="BE44" s="31">
        <f t="shared" si="42"/>
        <v>0</v>
      </c>
      <c r="BF44" s="31">
        <f t="shared" si="43"/>
        <v>0</v>
      </c>
      <c r="BG44" s="31">
        <f>CY44*'[3]CAMBARÁ - CITROS'!$U$5</f>
        <v>0</v>
      </c>
      <c r="BH44" s="31" t="str">
        <f t="shared" si="9"/>
        <v/>
      </c>
      <c r="BI44" s="31">
        <f>'[1]CB I'!$L44</f>
        <v>0</v>
      </c>
      <c r="BJ44" s="31">
        <f t="shared" si="44"/>
        <v>0</v>
      </c>
      <c r="BK44" s="31">
        <f t="shared" si="45"/>
        <v>0</v>
      </c>
      <c r="BL44" s="31">
        <f t="shared" si="46"/>
        <v>0</v>
      </c>
      <c r="BM44" s="31">
        <f t="shared" si="47"/>
        <v>0</v>
      </c>
      <c r="BN44" s="31">
        <f>CZ44*'[3]CAMBARÁ - CITROS'!$U$5</f>
        <v>0</v>
      </c>
      <c r="BO44" s="31" t="str">
        <f t="shared" si="10"/>
        <v/>
      </c>
      <c r="BP44" s="31">
        <f>'[1]CB I'!$M44</f>
        <v>0</v>
      </c>
      <c r="BQ44" s="31">
        <f t="shared" si="48"/>
        <v>0</v>
      </c>
      <c r="BR44" s="31">
        <f t="shared" si="49"/>
        <v>0</v>
      </c>
      <c r="BS44" s="31">
        <f t="shared" si="50"/>
        <v>0</v>
      </c>
      <c r="BT44" s="31">
        <f t="shared" si="51"/>
        <v>0</v>
      </c>
      <c r="BU44" s="31">
        <f>DA44*'[3]CAMBARÁ - CITROS'!$U$5</f>
        <v>0</v>
      </c>
      <c r="BV44" s="31" t="str">
        <f t="shared" si="11"/>
        <v/>
      </c>
      <c r="BW44" s="31">
        <f>'[1]CB I'!$N44</f>
        <v>0</v>
      </c>
      <c r="BX44" s="31">
        <f t="shared" si="52"/>
        <v>0</v>
      </c>
      <c r="BY44" s="31">
        <f t="shared" si="53"/>
        <v>0</v>
      </c>
      <c r="BZ44" s="31">
        <f t="shared" si="54"/>
        <v>0</v>
      </c>
      <c r="CA44" s="31">
        <f t="shared" si="55"/>
        <v>0</v>
      </c>
      <c r="CB44" s="31">
        <f>DB44*'[3]CAMBARÁ - CITROS'!$U$5</f>
        <v>0</v>
      </c>
      <c r="CC44" s="31" t="str">
        <f t="shared" si="12"/>
        <v/>
      </c>
      <c r="CD44" s="31">
        <f>'[1]CB I'!$O44</f>
        <v>0</v>
      </c>
      <c r="CE44" s="31">
        <f t="shared" si="56"/>
        <v>0</v>
      </c>
      <c r="CF44" s="31">
        <f t="shared" si="57"/>
        <v>0</v>
      </c>
      <c r="CG44" s="31">
        <f t="shared" si="58"/>
        <v>0</v>
      </c>
      <c r="CH44" s="31">
        <f t="shared" si="59"/>
        <v>0</v>
      </c>
      <c r="CI44" s="31">
        <f>DC44*'[3]CAMBARÁ - CITROS'!$U$5</f>
        <v>0</v>
      </c>
      <c r="CJ44" s="31" t="str">
        <f t="shared" si="13"/>
        <v/>
      </c>
      <c r="CK44" s="31">
        <f>'[1]CB I'!$P44</f>
        <v>0</v>
      </c>
      <c r="CL44" s="31">
        <f t="shared" si="60"/>
        <v>0</v>
      </c>
      <c r="CM44" s="31">
        <f t="shared" si="61"/>
        <v>0</v>
      </c>
      <c r="CN44" s="31">
        <f t="shared" si="62"/>
        <v>0</v>
      </c>
      <c r="CO44" s="31">
        <f t="shared" si="63"/>
        <v>0</v>
      </c>
      <c r="CP44" s="31">
        <f>DD44*'[3]CAMBARÁ - CITROS'!$U$5</f>
        <v>0</v>
      </c>
      <c r="CQ44" s="31" t="str">
        <f t="shared" si="14"/>
        <v/>
      </c>
      <c r="CS44" s="197"/>
      <c r="CT44" s="197"/>
      <c r="CU44" s="197"/>
      <c r="CV44" s="197"/>
      <c r="CW44" s="197"/>
      <c r="CX44" s="197"/>
      <c r="CY44" s="197"/>
      <c r="CZ44" s="197"/>
      <c r="DA44" s="197"/>
      <c r="DB44" s="197"/>
      <c r="DC44" s="197"/>
      <c r="DD44" s="197"/>
      <c r="DE44" s="198"/>
      <c r="DF44" s="198"/>
    </row>
    <row r="45" spans="1:110" s="26" customFormat="1" ht="16" customHeight="1" x14ac:dyDescent="0.2">
      <c r="A45" s="39" t="s">
        <v>69</v>
      </c>
      <c r="B45" s="30">
        <f t="shared" si="64"/>
        <v>0</v>
      </c>
      <c r="C45" s="31">
        <f t="shared" si="64"/>
        <v>0</v>
      </c>
      <c r="D45" s="32">
        <f t="shared" si="64"/>
        <v>0</v>
      </c>
      <c r="E45" s="30">
        <f t="shared" si="66"/>
        <v>0</v>
      </c>
      <c r="F45" s="33">
        <f t="shared" si="66"/>
        <v>0</v>
      </c>
      <c r="G45" s="34">
        <f t="shared" si="66"/>
        <v>0</v>
      </c>
      <c r="H45" s="31">
        <f t="shared" si="65"/>
        <v>0</v>
      </c>
      <c r="I45" s="33">
        <f t="shared" si="65"/>
        <v>0</v>
      </c>
      <c r="J45" s="33">
        <f t="shared" si="65"/>
        <v>0</v>
      </c>
      <c r="K45" s="37" t="str">
        <f t="shared" si="2"/>
        <v/>
      </c>
      <c r="L45" s="36">
        <f>'[1]CB I'!$E45</f>
        <v>0</v>
      </c>
      <c r="M45" s="31">
        <f t="shared" si="16"/>
        <v>0</v>
      </c>
      <c r="N45" s="31">
        <f t="shared" si="17"/>
        <v>0</v>
      </c>
      <c r="O45" s="31">
        <f t="shared" si="18"/>
        <v>0</v>
      </c>
      <c r="P45" s="31">
        <f t="shared" si="19"/>
        <v>0</v>
      </c>
      <c r="Q45" s="31">
        <f>CS45*'[2]CAMBARÁ - CITROS'!$U$5</f>
        <v>0</v>
      </c>
      <c r="R45" s="31" t="str">
        <f t="shared" si="3"/>
        <v/>
      </c>
      <c r="S45" s="31">
        <f>'[1]CB I'!$F45</f>
        <v>0</v>
      </c>
      <c r="T45" s="31">
        <f t="shared" si="20"/>
        <v>0</v>
      </c>
      <c r="U45" s="31">
        <f t="shared" si="21"/>
        <v>0</v>
      </c>
      <c r="V45" s="31">
        <f t="shared" si="22"/>
        <v>0</v>
      </c>
      <c r="W45" s="31">
        <f t="shared" si="23"/>
        <v>0</v>
      </c>
      <c r="X45" s="31">
        <f>CT45*'[2]CAMBARÁ - CITROS'!$U$5</f>
        <v>0</v>
      </c>
      <c r="Y45" s="31" t="str">
        <f t="shared" si="4"/>
        <v/>
      </c>
      <c r="Z45" s="31">
        <f>'[1]CB I'!$G45</f>
        <v>0</v>
      </c>
      <c r="AA45" s="31">
        <f t="shared" si="24"/>
        <v>0</v>
      </c>
      <c r="AB45" s="31">
        <f t="shared" si="25"/>
        <v>0</v>
      </c>
      <c r="AC45" s="31">
        <f t="shared" si="26"/>
        <v>0</v>
      </c>
      <c r="AD45" s="31">
        <f t="shared" si="27"/>
        <v>0</v>
      </c>
      <c r="AE45" s="31">
        <f>CU45*'[2]CAMBARÁ - CITROS'!$U$5</f>
        <v>0</v>
      </c>
      <c r="AF45" s="31" t="str">
        <f t="shared" si="5"/>
        <v/>
      </c>
      <c r="AG45" s="31">
        <f>'[1]CB I'!$H45</f>
        <v>0</v>
      </c>
      <c r="AH45" s="31">
        <f t="shared" si="28"/>
        <v>0</v>
      </c>
      <c r="AI45" s="31">
        <f t="shared" si="29"/>
        <v>0</v>
      </c>
      <c r="AJ45" s="31">
        <f t="shared" si="30"/>
        <v>0</v>
      </c>
      <c r="AK45" s="31">
        <f t="shared" si="31"/>
        <v>0</v>
      </c>
      <c r="AL45" s="31">
        <f>CV45*'[2]CAMBARÁ - CITROS'!$U$5</f>
        <v>0</v>
      </c>
      <c r="AM45" s="31" t="str">
        <f t="shared" si="6"/>
        <v/>
      </c>
      <c r="AN45" s="31">
        <f>'[1]CB I'!$I45</f>
        <v>0</v>
      </c>
      <c r="AO45" s="31">
        <f t="shared" si="32"/>
        <v>0</v>
      </c>
      <c r="AP45" s="31">
        <f t="shared" si="33"/>
        <v>0</v>
      </c>
      <c r="AQ45" s="31">
        <f t="shared" si="34"/>
        <v>0</v>
      </c>
      <c r="AR45" s="31">
        <f t="shared" si="35"/>
        <v>0</v>
      </c>
      <c r="AS45" s="31">
        <v>0</v>
      </c>
      <c r="AT45" s="31" t="str">
        <f t="shared" si="7"/>
        <v/>
      </c>
      <c r="AU45" s="31">
        <f>'[1]CB I'!$J45</f>
        <v>0</v>
      </c>
      <c r="AV45" s="31">
        <f t="shared" si="36"/>
        <v>0</v>
      </c>
      <c r="AW45" s="31">
        <f t="shared" si="37"/>
        <v>0</v>
      </c>
      <c r="AX45" s="31">
        <f t="shared" si="38"/>
        <v>0</v>
      </c>
      <c r="AY45" s="31">
        <f t="shared" si="39"/>
        <v>0</v>
      </c>
      <c r="AZ45" s="31">
        <v>0</v>
      </c>
      <c r="BA45" s="31" t="str">
        <f t="shared" si="8"/>
        <v/>
      </c>
      <c r="BB45" s="31">
        <f>'[1]CB I'!$K45</f>
        <v>0</v>
      </c>
      <c r="BC45" s="31">
        <f t="shared" si="40"/>
        <v>0</v>
      </c>
      <c r="BD45" s="31">
        <f t="shared" si="41"/>
        <v>0</v>
      </c>
      <c r="BE45" s="31">
        <f t="shared" si="42"/>
        <v>0</v>
      </c>
      <c r="BF45" s="31">
        <f t="shared" si="43"/>
        <v>0</v>
      </c>
      <c r="BG45" s="31">
        <f>CY45*'[3]CAMBARÁ - CITROS'!$U$5</f>
        <v>0</v>
      </c>
      <c r="BH45" s="31" t="str">
        <f t="shared" si="9"/>
        <v/>
      </c>
      <c r="BI45" s="31">
        <f>'[1]CB I'!$L45</f>
        <v>0</v>
      </c>
      <c r="BJ45" s="31">
        <f t="shared" si="44"/>
        <v>0</v>
      </c>
      <c r="BK45" s="31">
        <f t="shared" si="45"/>
        <v>0</v>
      </c>
      <c r="BL45" s="31">
        <f t="shared" si="46"/>
        <v>0</v>
      </c>
      <c r="BM45" s="31">
        <f t="shared" si="47"/>
        <v>0</v>
      </c>
      <c r="BN45" s="31">
        <f>CZ45*'[3]CAMBARÁ - CITROS'!$U$5</f>
        <v>0</v>
      </c>
      <c r="BO45" s="31" t="str">
        <f t="shared" si="10"/>
        <v/>
      </c>
      <c r="BP45" s="31">
        <f>'[1]CB I'!$M45</f>
        <v>0</v>
      </c>
      <c r="BQ45" s="31">
        <f t="shared" si="48"/>
        <v>0</v>
      </c>
      <c r="BR45" s="31">
        <f t="shared" si="49"/>
        <v>0</v>
      </c>
      <c r="BS45" s="31">
        <f t="shared" si="50"/>
        <v>0</v>
      </c>
      <c r="BT45" s="31">
        <f t="shared" si="51"/>
        <v>0</v>
      </c>
      <c r="BU45" s="31">
        <f>DA45*'[3]CAMBARÁ - CITROS'!$U$5</f>
        <v>0</v>
      </c>
      <c r="BV45" s="31" t="str">
        <f t="shared" si="11"/>
        <v/>
      </c>
      <c r="BW45" s="31">
        <f>'[1]CB I'!$N45</f>
        <v>0</v>
      </c>
      <c r="BX45" s="31">
        <f t="shared" si="52"/>
        <v>0</v>
      </c>
      <c r="BY45" s="31">
        <f t="shared" si="53"/>
        <v>0</v>
      </c>
      <c r="BZ45" s="31">
        <f t="shared" si="54"/>
        <v>0</v>
      </c>
      <c r="CA45" s="31">
        <f t="shared" si="55"/>
        <v>0</v>
      </c>
      <c r="CB45" s="31">
        <f>DB45*'[3]CAMBARÁ - CITROS'!$U$5</f>
        <v>0</v>
      </c>
      <c r="CC45" s="31" t="str">
        <f t="shared" si="12"/>
        <v/>
      </c>
      <c r="CD45" s="31">
        <f>'[1]CB I'!$O45</f>
        <v>0</v>
      </c>
      <c r="CE45" s="31">
        <f t="shared" si="56"/>
        <v>0</v>
      </c>
      <c r="CF45" s="31">
        <f t="shared" si="57"/>
        <v>0</v>
      </c>
      <c r="CG45" s="31">
        <f t="shared" si="58"/>
        <v>0</v>
      </c>
      <c r="CH45" s="31">
        <f t="shared" si="59"/>
        <v>0</v>
      </c>
      <c r="CI45" s="31">
        <f>DC45*'[3]CAMBARÁ - CITROS'!$U$5</f>
        <v>0</v>
      </c>
      <c r="CJ45" s="31" t="str">
        <f t="shared" si="13"/>
        <v/>
      </c>
      <c r="CK45" s="31">
        <f>'[1]CB I'!$P45</f>
        <v>0</v>
      </c>
      <c r="CL45" s="31">
        <f t="shared" si="60"/>
        <v>0</v>
      </c>
      <c r="CM45" s="31">
        <f t="shared" si="61"/>
        <v>0</v>
      </c>
      <c r="CN45" s="31">
        <f t="shared" si="62"/>
        <v>0</v>
      </c>
      <c r="CO45" s="31">
        <f t="shared" si="63"/>
        <v>0</v>
      </c>
      <c r="CP45" s="31">
        <f>DD45*'[3]CAMBARÁ - CITROS'!$U$5</f>
        <v>0</v>
      </c>
      <c r="CQ45" s="31" t="str">
        <f t="shared" si="14"/>
        <v/>
      </c>
      <c r="CS45" s="197"/>
      <c r="CT45" s="197"/>
      <c r="CU45" s="197"/>
      <c r="CV45" s="197"/>
      <c r="CW45" s="197"/>
      <c r="CX45" s="197"/>
      <c r="CY45" s="197"/>
      <c r="CZ45" s="197"/>
      <c r="DA45" s="197"/>
      <c r="DB45" s="197"/>
      <c r="DC45" s="197"/>
      <c r="DD45" s="197"/>
      <c r="DE45" s="198"/>
      <c r="DF45" s="198"/>
    </row>
    <row r="46" spans="1:110" s="26" customFormat="1" ht="16" customHeight="1" x14ac:dyDescent="0.2">
      <c r="A46" s="38" t="s">
        <v>70</v>
      </c>
      <c r="B46" s="30">
        <f t="shared" si="64"/>
        <v>0</v>
      </c>
      <c r="C46" s="31">
        <f t="shared" si="64"/>
        <v>0</v>
      </c>
      <c r="D46" s="32">
        <f t="shared" si="64"/>
        <v>0</v>
      </c>
      <c r="E46" s="30">
        <f t="shared" si="66"/>
        <v>0</v>
      </c>
      <c r="F46" s="33">
        <f t="shared" si="66"/>
        <v>0</v>
      </c>
      <c r="G46" s="34">
        <f t="shared" si="66"/>
        <v>0</v>
      </c>
      <c r="H46" s="31">
        <f t="shared" si="65"/>
        <v>0</v>
      </c>
      <c r="I46" s="33">
        <f t="shared" si="65"/>
        <v>0</v>
      </c>
      <c r="J46" s="33">
        <f t="shared" si="65"/>
        <v>0</v>
      </c>
      <c r="K46" s="37" t="str">
        <f t="shared" si="2"/>
        <v/>
      </c>
      <c r="L46" s="36">
        <f>'[1]CB I'!$E46</f>
        <v>0</v>
      </c>
      <c r="M46" s="31">
        <f t="shared" si="16"/>
        <v>0</v>
      </c>
      <c r="N46" s="31">
        <f t="shared" si="17"/>
        <v>0</v>
      </c>
      <c r="O46" s="31">
        <f t="shared" si="18"/>
        <v>0</v>
      </c>
      <c r="P46" s="31">
        <f t="shared" si="19"/>
        <v>0</v>
      </c>
      <c r="Q46" s="31">
        <f>CS46*'[2]CAMBARÁ - CITROS'!$U$5</f>
        <v>0</v>
      </c>
      <c r="R46" s="31" t="str">
        <f t="shared" si="3"/>
        <v/>
      </c>
      <c r="S46" s="31">
        <f>'[1]CB I'!$F46</f>
        <v>0</v>
      </c>
      <c r="T46" s="31">
        <f t="shared" si="20"/>
        <v>0</v>
      </c>
      <c r="U46" s="31">
        <f t="shared" si="21"/>
        <v>0</v>
      </c>
      <c r="V46" s="31">
        <f t="shared" si="22"/>
        <v>0</v>
      </c>
      <c r="W46" s="31">
        <f t="shared" si="23"/>
        <v>0</v>
      </c>
      <c r="X46" s="31">
        <f>CT46*'[2]CAMBARÁ - CITROS'!$U$5</f>
        <v>0</v>
      </c>
      <c r="Y46" s="31" t="str">
        <f t="shared" si="4"/>
        <v/>
      </c>
      <c r="Z46" s="31">
        <f>'[1]CB I'!$G46</f>
        <v>0</v>
      </c>
      <c r="AA46" s="31">
        <f t="shared" si="24"/>
        <v>0</v>
      </c>
      <c r="AB46" s="31">
        <f t="shared" si="25"/>
        <v>0</v>
      </c>
      <c r="AC46" s="31">
        <f t="shared" si="26"/>
        <v>0</v>
      </c>
      <c r="AD46" s="31">
        <f t="shared" si="27"/>
        <v>0</v>
      </c>
      <c r="AE46" s="31">
        <f>CU46*'[2]CAMBARÁ - CITROS'!$U$5</f>
        <v>0</v>
      </c>
      <c r="AF46" s="31" t="str">
        <f t="shared" si="5"/>
        <v/>
      </c>
      <c r="AG46" s="31">
        <f>'[1]CB I'!$H46</f>
        <v>0</v>
      </c>
      <c r="AH46" s="31">
        <f t="shared" si="28"/>
        <v>0</v>
      </c>
      <c r="AI46" s="31">
        <f t="shared" si="29"/>
        <v>0</v>
      </c>
      <c r="AJ46" s="31">
        <f t="shared" si="30"/>
        <v>0</v>
      </c>
      <c r="AK46" s="31">
        <f t="shared" si="31"/>
        <v>0</v>
      </c>
      <c r="AL46" s="31">
        <f>CV46*'[2]CAMBARÁ - CITROS'!$U$5</f>
        <v>0</v>
      </c>
      <c r="AM46" s="31" t="str">
        <f t="shared" si="6"/>
        <v/>
      </c>
      <c r="AN46" s="31">
        <f>'[1]CB I'!$I46</f>
        <v>0</v>
      </c>
      <c r="AO46" s="31">
        <f t="shared" si="32"/>
        <v>0</v>
      </c>
      <c r="AP46" s="31">
        <f t="shared" si="33"/>
        <v>0</v>
      </c>
      <c r="AQ46" s="31">
        <f t="shared" si="34"/>
        <v>0</v>
      </c>
      <c r="AR46" s="31">
        <f t="shared" si="35"/>
        <v>0</v>
      </c>
      <c r="AS46" s="31">
        <v>0</v>
      </c>
      <c r="AT46" s="31" t="str">
        <f t="shared" si="7"/>
        <v/>
      </c>
      <c r="AU46" s="31">
        <f>'[1]CB I'!$J46</f>
        <v>0</v>
      </c>
      <c r="AV46" s="31">
        <f t="shared" si="36"/>
        <v>0</v>
      </c>
      <c r="AW46" s="31">
        <f t="shared" si="37"/>
        <v>0</v>
      </c>
      <c r="AX46" s="31">
        <f t="shared" si="38"/>
        <v>0</v>
      </c>
      <c r="AY46" s="31">
        <f t="shared" si="39"/>
        <v>0</v>
      </c>
      <c r="AZ46" s="31">
        <v>0</v>
      </c>
      <c r="BA46" s="31" t="str">
        <f t="shared" si="8"/>
        <v/>
      </c>
      <c r="BB46" s="31">
        <f>'[1]CB I'!$K46</f>
        <v>0</v>
      </c>
      <c r="BC46" s="31">
        <f t="shared" si="40"/>
        <v>0</v>
      </c>
      <c r="BD46" s="31">
        <f t="shared" si="41"/>
        <v>0</v>
      </c>
      <c r="BE46" s="31">
        <f t="shared" si="42"/>
        <v>0</v>
      </c>
      <c r="BF46" s="31">
        <f t="shared" si="43"/>
        <v>0</v>
      </c>
      <c r="BG46" s="31">
        <f>CY46*'[3]CAMBARÁ - CITROS'!$U$5</f>
        <v>0</v>
      </c>
      <c r="BH46" s="31" t="str">
        <f t="shared" si="9"/>
        <v/>
      </c>
      <c r="BI46" s="31">
        <f>'[1]CB I'!$L46</f>
        <v>0</v>
      </c>
      <c r="BJ46" s="31">
        <f t="shared" si="44"/>
        <v>0</v>
      </c>
      <c r="BK46" s="31">
        <f t="shared" si="45"/>
        <v>0</v>
      </c>
      <c r="BL46" s="31">
        <f t="shared" si="46"/>
        <v>0</v>
      </c>
      <c r="BM46" s="31">
        <f t="shared" si="47"/>
        <v>0</v>
      </c>
      <c r="BN46" s="31">
        <f>CZ46*'[3]CAMBARÁ - CITROS'!$U$5</f>
        <v>0</v>
      </c>
      <c r="BO46" s="31" t="str">
        <f t="shared" si="10"/>
        <v/>
      </c>
      <c r="BP46" s="31">
        <f>'[1]CB I'!$M46</f>
        <v>0</v>
      </c>
      <c r="BQ46" s="31">
        <f t="shared" si="48"/>
        <v>0</v>
      </c>
      <c r="BR46" s="31">
        <f t="shared" si="49"/>
        <v>0</v>
      </c>
      <c r="BS46" s="31">
        <f t="shared" si="50"/>
        <v>0</v>
      </c>
      <c r="BT46" s="31">
        <f t="shared" si="51"/>
        <v>0</v>
      </c>
      <c r="BU46" s="31">
        <f>DA46*'[3]CAMBARÁ - CITROS'!$U$5</f>
        <v>0</v>
      </c>
      <c r="BV46" s="31" t="str">
        <f t="shared" si="11"/>
        <v/>
      </c>
      <c r="BW46" s="31">
        <f>'[1]CB I'!$N46</f>
        <v>0</v>
      </c>
      <c r="BX46" s="31">
        <f t="shared" si="52"/>
        <v>0</v>
      </c>
      <c r="BY46" s="31">
        <f t="shared" si="53"/>
        <v>0</v>
      </c>
      <c r="BZ46" s="31">
        <f t="shared" si="54"/>
        <v>0</v>
      </c>
      <c r="CA46" s="31">
        <f t="shared" si="55"/>
        <v>0</v>
      </c>
      <c r="CB46" s="31">
        <f>DB46*'[3]CAMBARÁ - CITROS'!$U$5</f>
        <v>0</v>
      </c>
      <c r="CC46" s="31" t="str">
        <f t="shared" si="12"/>
        <v/>
      </c>
      <c r="CD46" s="31">
        <f>'[1]CB I'!$O46</f>
        <v>0</v>
      </c>
      <c r="CE46" s="31">
        <f t="shared" si="56"/>
        <v>0</v>
      </c>
      <c r="CF46" s="31">
        <f t="shared" si="57"/>
        <v>0</v>
      </c>
      <c r="CG46" s="31">
        <f t="shared" si="58"/>
        <v>0</v>
      </c>
      <c r="CH46" s="31">
        <f t="shared" si="59"/>
        <v>0</v>
      </c>
      <c r="CI46" s="31">
        <f>DC46*'[3]CAMBARÁ - CITROS'!$U$5</f>
        <v>0</v>
      </c>
      <c r="CJ46" s="31" t="str">
        <f t="shared" si="13"/>
        <v/>
      </c>
      <c r="CK46" s="31">
        <f>'[1]CB I'!$P46</f>
        <v>0</v>
      </c>
      <c r="CL46" s="31">
        <f t="shared" si="60"/>
        <v>0</v>
      </c>
      <c r="CM46" s="31">
        <f t="shared" si="61"/>
        <v>0</v>
      </c>
      <c r="CN46" s="31">
        <f t="shared" si="62"/>
        <v>0</v>
      </c>
      <c r="CO46" s="31">
        <f t="shared" si="63"/>
        <v>0</v>
      </c>
      <c r="CP46" s="31">
        <f>DD46*'[3]CAMBARÁ - CITROS'!$U$5</f>
        <v>0</v>
      </c>
      <c r="CQ46" s="31" t="str">
        <f t="shared" si="14"/>
        <v/>
      </c>
      <c r="CS46" s="197"/>
      <c r="CT46" s="197"/>
      <c r="CU46" s="197"/>
      <c r="CV46" s="197"/>
      <c r="CW46" s="197"/>
      <c r="CX46" s="197"/>
      <c r="CY46" s="197"/>
      <c r="CZ46" s="197"/>
      <c r="DA46" s="197"/>
      <c r="DB46" s="197"/>
      <c r="DC46" s="197"/>
      <c r="DD46" s="197"/>
      <c r="DE46" s="198"/>
      <c r="DF46" s="198"/>
    </row>
    <row r="47" spans="1:110" s="26" customFormat="1" ht="16" customHeight="1" x14ac:dyDescent="0.2">
      <c r="A47" s="29" t="s">
        <v>71</v>
      </c>
      <c r="B47" s="30">
        <f t="shared" si="64"/>
        <v>0</v>
      </c>
      <c r="C47" s="31">
        <f t="shared" si="64"/>
        <v>0</v>
      </c>
      <c r="D47" s="32">
        <f t="shared" si="64"/>
        <v>0</v>
      </c>
      <c r="E47" s="30">
        <f t="shared" si="66"/>
        <v>0</v>
      </c>
      <c r="F47" s="33">
        <f t="shared" si="66"/>
        <v>0</v>
      </c>
      <c r="G47" s="34">
        <f t="shared" si="66"/>
        <v>0</v>
      </c>
      <c r="H47" s="31">
        <f t="shared" si="65"/>
        <v>0</v>
      </c>
      <c r="I47" s="33">
        <f t="shared" si="65"/>
        <v>0</v>
      </c>
      <c r="J47" s="33">
        <f t="shared" si="65"/>
        <v>0</v>
      </c>
      <c r="K47" s="37" t="str">
        <f t="shared" si="2"/>
        <v/>
      </c>
      <c r="L47" s="36">
        <f>'[1]CB I'!$E47</f>
        <v>0</v>
      </c>
      <c r="M47" s="31">
        <f t="shared" si="16"/>
        <v>0</v>
      </c>
      <c r="N47" s="31">
        <f t="shared" si="17"/>
        <v>0</v>
      </c>
      <c r="O47" s="31">
        <f t="shared" si="18"/>
        <v>0</v>
      </c>
      <c r="P47" s="31">
        <f t="shared" si="19"/>
        <v>0</v>
      </c>
      <c r="Q47" s="31">
        <f>CS47*'[2]CAMBARÁ - CITROS'!$U$5</f>
        <v>0</v>
      </c>
      <c r="R47" s="31" t="str">
        <f t="shared" si="3"/>
        <v/>
      </c>
      <c r="S47" s="31">
        <f>'[1]CB I'!$F47</f>
        <v>0</v>
      </c>
      <c r="T47" s="31">
        <f t="shared" si="20"/>
        <v>0</v>
      </c>
      <c r="U47" s="31">
        <f t="shared" si="21"/>
        <v>0</v>
      </c>
      <c r="V47" s="31">
        <f t="shared" si="22"/>
        <v>0</v>
      </c>
      <c r="W47" s="31">
        <f t="shared" si="23"/>
        <v>0</v>
      </c>
      <c r="X47" s="31">
        <f>CT47*'[2]CAMBARÁ - CITROS'!$U$5</f>
        <v>0</v>
      </c>
      <c r="Y47" s="31" t="str">
        <f t="shared" si="4"/>
        <v/>
      </c>
      <c r="Z47" s="31">
        <f>'[1]CB I'!$G47</f>
        <v>0</v>
      </c>
      <c r="AA47" s="31">
        <f t="shared" si="24"/>
        <v>0</v>
      </c>
      <c r="AB47" s="31">
        <f t="shared" si="25"/>
        <v>0</v>
      </c>
      <c r="AC47" s="31">
        <f t="shared" si="26"/>
        <v>0</v>
      </c>
      <c r="AD47" s="31">
        <f t="shared" si="27"/>
        <v>0</v>
      </c>
      <c r="AE47" s="31">
        <f>CU47*'[2]CAMBARÁ - CITROS'!$U$5</f>
        <v>0</v>
      </c>
      <c r="AF47" s="31" t="str">
        <f t="shared" si="5"/>
        <v/>
      </c>
      <c r="AG47" s="31">
        <f>'[1]CB I'!$H47</f>
        <v>0</v>
      </c>
      <c r="AH47" s="31">
        <f t="shared" si="28"/>
        <v>0</v>
      </c>
      <c r="AI47" s="31">
        <f t="shared" si="29"/>
        <v>0</v>
      </c>
      <c r="AJ47" s="31">
        <f t="shared" si="30"/>
        <v>0</v>
      </c>
      <c r="AK47" s="31">
        <f t="shared" si="31"/>
        <v>0</v>
      </c>
      <c r="AL47" s="31">
        <f>CV47*'[2]CAMBARÁ - CITROS'!$U$5</f>
        <v>0</v>
      </c>
      <c r="AM47" s="31" t="str">
        <f t="shared" si="6"/>
        <v/>
      </c>
      <c r="AN47" s="31">
        <f>'[1]CB I'!$I47</f>
        <v>0</v>
      </c>
      <c r="AO47" s="31">
        <f t="shared" si="32"/>
        <v>0</v>
      </c>
      <c r="AP47" s="31">
        <f t="shared" si="33"/>
        <v>0</v>
      </c>
      <c r="AQ47" s="31">
        <f t="shared" si="34"/>
        <v>0</v>
      </c>
      <c r="AR47" s="31">
        <f t="shared" si="35"/>
        <v>0</v>
      </c>
      <c r="AS47" s="31">
        <v>0</v>
      </c>
      <c r="AT47" s="31" t="str">
        <f t="shared" si="7"/>
        <v/>
      </c>
      <c r="AU47" s="31">
        <f>'[1]CB I'!$J47</f>
        <v>0</v>
      </c>
      <c r="AV47" s="31">
        <f t="shared" si="36"/>
        <v>0</v>
      </c>
      <c r="AW47" s="31">
        <f t="shared" si="37"/>
        <v>0</v>
      </c>
      <c r="AX47" s="31">
        <f t="shared" si="38"/>
        <v>0</v>
      </c>
      <c r="AY47" s="31">
        <f t="shared" si="39"/>
        <v>0</v>
      </c>
      <c r="AZ47" s="31">
        <v>0</v>
      </c>
      <c r="BA47" s="31" t="str">
        <f t="shared" si="8"/>
        <v/>
      </c>
      <c r="BB47" s="31">
        <f>'[1]CB I'!$K47</f>
        <v>0</v>
      </c>
      <c r="BC47" s="31">
        <f t="shared" si="40"/>
        <v>0</v>
      </c>
      <c r="BD47" s="31">
        <f t="shared" si="41"/>
        <v>0</v>
      </c>
      <c r="BE47" s="31">
        <f t="shared" si="42"/>
        <v>0</v>
      </c>
      <c r="BF47" s="31">
        <f t="shared" si="43"/>
        <v>0</v>
      </c>
      <c r="BG47" s="31">
        <f>CY47*'[3]CAMBARÁ - CITROS'!$U$5</f>
        <v>0</v>
      </c>
      <c r="BH47" s="31" t="str">
        <f t="shared" si="9"/>
        <v/>
      </c>
      <c r="BI47" s="31">
        <f>'[1]CB I'!$L47</f>
        <v>0</v>
      </c>
      <c r="BJ47" s="31">
        <f t="shared" si="44"/>
        <v>0</v>
      </c>
      <c r="BK47" s="31">
        <f t="shared" si="45"/>
        <v>0</v>
      </c>
      <c r="BL47" s="31">
        <f t="shared" si="46"/>
        <v>0</v>
      </c>
      <c r="BM47" s="31">
        <f t="shared" si="47"/>
        <v>0</v>
      </c>
      <c r="BN47" s="31">
        <f>CZ47*'[3]CAMBARÁ - CITROS'!$U$5</f>
        <v>0</v>
      </c>
      <c r="BO47" s="31" t="str">
        <f t="shared" si="10"/>
        <v/>
      </c>
      <c r="BP47" s="31">
        <f>'[1]CB I'!$M47</f>
        <v>0</v>
      </c>
      <c r="BQ47" s="31">
        <f t="shared" si="48"/>
        <v>0</v>
      </c>
      <c r="BR47" s="31">
        <f t="shared" si="49"/>
        <v>0</v>
      </c>
      <c r="BS47" s="31">
        <f t="shared" si="50"/>
        <v>0</v>
      </c>
      <c r="BT47" s="31">
        <f t="shared" si="51"/>
        <v>0</v>
      </c>
      <c r="BU47" s="31">
        <f>DA47*'[3]CAMBARÁ - CITROS'!$U$5</f>
        <v>0</v>
      </c>
      <c r="BV47" s="31" t="str">
        <f t="shared" si="11"/>
        <v/>
      </c>
      <c r="BW47" s="31">
        <f>'[1]CB I'!$N47</f>
        <v>0</v>
      </c>
      <c r="BX47" s="31">
        <f t="shared" si="52"/>
        <v>0</v>
      </c>
      <c r="BY47" s="31">
        <f t="shared" si="53"/>
        <v>0</v>
      </c>
      <c r="BZ47" s="31">
        <f t="shared" si="54"/>
        <v>0</v>
      </c>
      <c r="CA47" s="31">
        <f t="shared" si="55"/>
        <v>0</v>
      </c>
      <c r="CB47" s="31">
        <f>DB47*'[3]CAMBARÁ - CITROS'!$U$5</f>
        <v>0</v>
      </c>
      <c r="CC47" s="31" t="str">
        <f t="shared" si="12"/>
        <v/>
      </c>
      <c r="CD47" s="31">
        <f>'[1]CB I'!$O47</f>
        <v>0</v>
      </c>
      <c r="CE47" s="31">
        <f t="shared" si="56"/>
        <v>0</v>
      </c>
      <c r="CF47" s="31">
        <f t="shared" si="57"/>
        <v>0</v>
      </c>
      <c r="CG47" s="31">
        <f t="shared" si="58"/>
        <v>0</v>
      </c>
      <c r="CH47" s="31">
        <f t="shared" si="59"/>
        <v>0</v>
      </c>
      <c r="CI47" s="31">
        <f>DC47*'[3]CAMBARÁ - CITROS'!$U$5</f>
        <v>0</v>
      </c>
      <c r="CJ47" s="31" t="str">
        <f t="shared" si="13"/>
        <v/>
      </c>
      <c r="CK47" s="31">
        <f>'[1]CB I'!$P47</f>
        <v>0</v>
      </c>
      <c r="CL47" s="31">
        <f t="shared" si="60"/>
        <v>0</v>
      </c>
      <c r="CM47" s="31">
        <f t="shared" si="61"/>
        <v>0</v>
      </c>
      <c r="CN47" s="31">
        <f t="shared" si="62"/>
        <v>0</v>
      </c>
      <c r="CO47" s="31">
        <f t="shared" si="63"/>
        <v>0</v>
      </c>
      <c r="CP47" s="31">
        <f>DD47*'[3]CAMBARÁ - CITROS'!$U$5</f>
        <v>0</v>
      </c>
      <c r="CQ47" s="31" t="str">
        <f t="shared" si="14"/>
        <v/>
      </c>
      <c r="CS47" s="197"/>
      <c r="CT47" s="197"/>
      <c r="CU47" s="197"/>
      <c r="CV47" s="197"/>
      <c r="CW47" s="197"/>
      <c r="CX47" s="197"/>
      <c r="CY47" s="197"/>
      <c r="CZ47" s="197"/>
      <c r="DA47" s="197"/>
      <c r="DB47" s="197"/>
      <c r="DC47" s="197"/>
      <c r="DD47" s="197"/>
      <c r="DE47" s="198"/>
      <c r="DF47" s="198"/>
    </row>
    <row r="48" spans="1:110" s="26" customFormat="1" ht="16" customHeight="1" x14ac:dyDescent="0.2">
      <c r="A48" s="38" t="s">
        <v>72</v>
      </c>
      <c r="B48" s="30">
        <f t="shared" si="64"/>
        <v>24848.000000000004</v>
      </c>
      <c r="C48" s="31">
        <f t="shared" si="64"/>
        <v>24348.555200000003</v>
      </c>
      <c r="D48" s="32">
        <f t="shared" si="64"/>
        <v>499.44479999999999</v>
      </c>
      <c r="E48" s="30">
        <f t="shared" si="66"/>
        <v>8282.6666666666661</v>
      </c>
      <c r="F48" s="33">
        <f t="shared" si="66"/>
        <v>8116.185066666666</v>
      </c>
      <c r="G48" s="34">
        <f t="shared" si="66"/>
        <v>166.48159999999996</v>
      </c>
      <c r="H48" s="31">
        <f t="shared" si="65"/>
        <v>7926.9140797919645</v>
      </c>
      <c r="I48" s="33">
        <f t="shared" si="65"/>
        <v>162.59921727096489</v>
      </c>
      <c r="J48" s="33">
        <f t="shared" si="65"/>
        <v>8089.5132970629302</v>
      </c>
      <c r="K48" s="37">
        <f t="shared" si="2"/>
        <v>-2.332019111442396E-2</v>
      </c>
      <c r="L48" s="36">
        <f>'[1]CB I'!$E48</f>
        <v>2070.6666666666665</v>
      </c>
      <c r="M48" s="31">
        <f t="shared" si="16"/>
        <v>2029.0462666666665</v>
      </c>
      <c r="N48" s="31">
        <f t="shared" si="17"/>
        <v>41.620399999999989</v>
      </c>
      <c r="O48" s="31">
        <f t="shared" si="18"/>
        <v>16.280918871369622</v>
      </c>
      <c r="P48" s="31">
        <f t="shared" si="19"/>
        <v>0.33395904614198324</v>
      </c>
      <c r="Q48" s="31">
        <f>CS48*'[2]CAMBARÁ - CITROS'!$U$5</f>
        <v>16.614877917511606</v>
      </c>
      <c r="R48" s="31">
        <f t="shared" si="3"/>
        <v>-0.99197607312418945</v>
      </c>
      <c r="S48" s="31">
        <f>'[1]CB I'!$F48</f>
        <v>2070.6666666666665</v>
      </c>
      <c r="T48" s="31">
        <f t="shared" si="20"/>
        <v>2029.0462666666665</v>
      </c>
      <c r="U48" s="31">
        <f t="shared" si="21"/>
        <v>41.620399999999989</v>
      </c>
      <c r="V48" s="31">
        <f t="shared" si="22"/>
        <v>868.38803277914144</v>
      </c>
      <c r="W48" s="31">
        <f t="shared" si="23"/>
        <v>17.812633389999736</v>
      </c>
      <c r="X48" s="31">
        <f>CT48*'[2]CAMBARÁ - CITROS'!$U$5</f>
        <v>886.20066616914119</v>
      </c>
      <c r="Y48" s="31">
        <f t="shared" si="4"/>
        <v>-0.5720215713928809</v>
      </c>
      <c r="Z48" s="31">
        <f>'[1]CB I'!$G48</f>
        <v>2070.6666666666665</v>
      </c>
      <c r="AA48" s="31">
        <f t="shared" si="24"/>
        <v>2029.0462666666665</v>
      </c>
      <c r="AB48" s="31">
        <f t="shared" si="25"/>
        <v>41.620399999999989</v>
      </c>
      <c r="AC48" s="31">
        <f t="shared" si="26"/>
        <v>1514.2762042861839</v>
      </c>
      <c r="AD48" s="31">
        <f t="shared" si="27"/>
        <v>31.061283504594645</v>
      </c>
      <c r="AE48" s="31">
        <f>CU48*'[2]CAMBARÁ - CITROS'!$U$5</f>
        <v>1545.3374877907786</v>
      </c>
      <c r="AF48" s="31">
        <f t="shared" si="5"/>
        <v>-0.25370050493040308</v>
      </c>
      <c r="AG48" s="31">
        <f>'[1]CB I'!$H48</f>
        <v>2070.6666666666665</v>
      </c>
      <c r="AH48" s="31">
        <f t="shared" si="28"/>
        <v>2029.0462666666665</v>
      </c>
      <c r="AI48" s="31">
        <f t="shared" si="29"/>
        <v>41.620399999999989</v>
      </c>
      <c r="AJ48" s="31">
        <f t="shared" si="30"/>
        <v>969.93272677686912</v>
      </c>
      <c r="AK48" s="31">
        <f t="shared" si="31"/>
        <v>19.895548329640846</v>
      </c>
      <c r="AL48" s="31">
        <f>CV48*'[2]CAMBARÁ - CITROS'!$U$5</f>
        <v>989.82827510650998</v>
      </c>
      <c r="AM48" s="31">
        <f t="shared" si="6"/>
        <v>-0.52197604228597383</v>
      </c>
      <c r="AN48" s="31">
        <f>'[1]CB I'!$I48</f>
        <v>2070.6666666666665</v>
      </c>
      <c r="AO48" s="31">
        <f t="shared" si="32"/>
        <v>2029.0462666666665</v>
      </c>
      <c r="AP48" s="31">
        <f t="shared" si="33"/>
        <v>41.620399999999989</v>
      </c>
      <c r="AQ48" s="31">
        <f t="shared" si="34"/>
        <v>3217.2060485018751</v>
      </c>
      <c r="AR48" s="31">
        <f t="shared" si="35"/>
        <v>65.992286534225613</v>
      </c>
      <c r="AS48" s="31">
        <v>3283.1983350361006</v>
      </c>
      <c r="AT48" s="31">
        <f t="shared" si="7"/>
        <v>0.58557549985645574</v>
      </c>
      <c r="AU48" s="31">
        <f>'[1]CB I'!$J48</f>
        <v>2070.6666666666665</v>
      </c>
      <c r="AV48" s="31">
        <f t="shared" si="36"/>
        <v>2029.0462666666665</v>
      </c>
      <c r="AW48" s="31">
        <f t="shared" si="37"/>
        <v>41.620399999999989</v>
      </c>
      <c r="AX48" s="31">
        <f t="shared" si="38"/>
        <v>1340.8301485765262</v>
      </c>
      <c r="AY48" s="31">
        <f t="shared" si="39"/>
        <v>27.503506466362047</v>
      </c>
      <c r="AZ48" s="31">
        <v>1368.3336550428883</v>
      </c>
      <c r="BA48" s="31">
        <f t="shared" si="8"/>
        <v>-0.33918207258070432</v>
      </c>
      <c r="BB48" s="31">
        <f>'[1]CB I'!$K48</f>
        <v>2070.6666666666665</v>
      </c>
      <c r="BC48" s="31">
        <f t="shared" si="40"/>
        <v>2029.0462666666665</v>
      </c>
      <c r="BD48" s="31">
        <f t="shared" si="41"/>
        <v>41.620399999999989</v>
      </c>
      <c r="BE48" s="31">
        <f t="shared" si="42"/>
        <v>0</v>
      </c>
      <c r="BF48" s="31">
        <f t="shared" si="43"/>
        <v>0</v>
      </c>
      <c r="BG48" s="31">
        <f>CY48*'[3]CAMBARÁ - CITROS'!$U$5</f>
        <v>0</v>
      </c>
      <c r="BH48" s="31">
        <f t="shared" si="9"/>
        <v>-1</v>
      </c>
      <c r="BI48" s="31">
        <f>'[1]CB I'!$L48</f>
        <v>2070.6666666666665</v>
      </c>
      <c r="BJ48" s="31">
        <f t="shared" si="44"/>
        <v>2029.0462666666665</v>
      </c>
      <c r="BK48" s="31">
        <f t="shared" si="45"/>
        <v>41.620399999999989</v>
      </c>
      <c r="BL48" s="31">
        <f t="shared" si="46"/>
        <v>0</v>
      </c>
      <c r="BM48" s="31">
        <f t="shared" si="47"/>
        <v>0</v>
      </c>
      <c r="BN48" s="31">
        <f>CZ48*'[3]CAMBARÁ - CITROS'!$U$5</f>
        <v>0</v>
      </c>
      <c r="BO48" s="31">
        <f t="shared" si="10"/>
        <v>-1</v>
      </c>
      <c r="BP48" s="31">
        <f>'[1]CB I'!$M48</f>
        <v>2070.6666666666665</v>
      </c>
      <c r="BQ48" s="31">
        <f t="shared" si="48"/>
        <v>2029.0462666666665</v>
      </c>
      <c r="BR48" s="31">
        <f t="shared" si="49"/>
        <v>41.620399999999989</v>
      </c>
      <c r="BS48" s="31">
        <f t="shared" si="50"/>
        <v>0</v>
      </c>
      <c r="BT48" s="31">
        <f t="shared" si="51"/>
        <v>0</v>
      </c>
      <c r="BU48" s="31">
        <f>DA48*'[3]CAMBARÁ - CITROS'!$U$5</f>
        <v>0</v>
      </c>
      <c r="BV48" s="31">
        <f t="shared" si="11"/>
        <v>-1</v>
      </c>
      <c r="BW48" s="31">
        <f>'[1]CB I'!$N48</f>
        <v>2070.6666666666665</v>
      </c>
      <c r="BX48" s="31">
        <f t="shared" si="52"/>
        <v>2029.0462666666665</v>
      </c>
      <c r="BY48" s="31">
        <f t="shared" si="53"/>
        <v>41.620399999999989</v>
      </c>
      <c r="BZ48" s="31">
        <f t="shared" si="54"/>
        <v>0</v>
      </c>
      <c r="CA48" s="31">
        <f t="shared" si="55"/>
        <v>0</v>
      </c>
      <c r="CB48" s="31">
        <f>DB48*'[3]CAMBARÁ - CITROS'!$U$5</f>
        <v>0</v>
      </c>
      <c r="CC48" s="31">
        <f t="shared" si="12"/>
        <v>-1</v>
      </c>
      <c r="CD48" s="31">
        <f>'[1]CB I'!$O48</f>
        <v>2070.6666666666665</v>
      </c>
      <c r="CE48" s="31">
        <f t="shared" si="56"/>
        <v>2029.0462666666665</v>
      </c>
      <c r="CF48" s="31">
        <f t="shared" si="57"/>
        <v>41.620399999999989</v>
      </c>
      <c r="CG48" s="31">
        <f t="shared" si="58"/>
        <v>0</v>
      </c>
      <c r="CH48" s="31">
        <f t="shared" si="59"/>
        <v>0</v>
      </c>
      <c r="CI48" s="31">
        <f>DC48*'[3]CAMBARÁ - CITROS'!$U$5</f>
        <v>0</v>
      </c>
      <c r="CJ48" s="31">
        <f t="shared" si="13"/>
        <v>-1</v>
      </c>
      <c r="CK48" s="31">
        <f>'[1]CB I'!$P48</f>
        <v>2070.6666666666665</v>
      </c>
      <c r="CL48" s="31">
        <f t="shared" si="60"/>
        <v>2029.0462666666665</v>
      </c>
      <c r="CM48" s="31">
        <f t="shared" si="61"/>
        <v>41.620399999999989</v>
      </c>
      <c r="CN48" s="31">
        <f t="shared" si="62"/>
        <v>0</v>
      </c>
      <c r="CO48" s="31">
        <f t="shared" si="63"/>
        <v>0</v>
      </c>
      <c r="CP48" s="31">
        <f>DD48*'[3]CAMBARÁ - CITROS'!$U$5</f>
        <v>0</v>
      </c>
      <c r="CQ48" s="31">
        <f t="shared" si="14"/>
        <v>-1</v>
      </c>
      <c r="CS48" s="197">
        <f>27</f>
        <v>27</v>
      </c>
      <c r="CT48" s="197">
        <f>1440.12</f>
        <v>1440.12</v>
      </c>
      <c r="CU48" s="197">
        <f>2511.25</f>
        <v>2511.25</v>
      </c>
      <c r="CV48" s="197">
        <f>1608.52</f>
        <v>1608.52</v>
      </c>
      <c r="CW48" s="197"/>
      <c r="CX48" s="197"/>
      <c r="CY48" s="197"/>
      <c r="CZ48" s="197"/>
      <c r="DA48" s="197"/>
      <c r="DB48" s="197"/>
      <c r="DC48" s="197"/>
      <c r="DD48" s="197"/>
      <c r="DE48" s="198"/>
      <c r="DF48" s="198"/>
    </row>
    <row r="49" spans="1:110" s="26" customFormat="1" ht="16" customHeight="1" x14ac:dyDescent="0.2">
      <c r="A49" s="29" t="s">
        <v>73</v>
      </c>
      <c r="B49" s="30">
        <f t="shared" si="64"/>
        <v>64915.400000000016</v>
      </c>
      <c r="C49" s="31">
        <f t="shared" si="64"/>
        <v>63610.600460000016</v>
      </c>
      <c r="D49" s="32">
        <f t="shared" si="64"/>
        <v>1304.7995399999998</v>
      </c>
      <c r="E49" s="30">
        <f t="shared" si="66"/>
        <v>21638.466666666667</v>
      </c>
      <c r="F49" s="33">
        <f t="shared" si="66"/>
        <v>21203.533486666667</v>
      </c>
      <c r="G49" s="34">
        <f t="shared" si="66"/>
        <v>434.93317999999994</v>
      </c>
      <c r="H49" s="31">
        <f t="shared" si="65"/>
        <v>48586.440681343942</v>
      </c>
      <c r="I49" s="33">
        <f t="shared" si="65"/>
        <v>996.61950984285431</v>
      </c>
      <c r="J49" s="33">
        <f t="shared" si="65"/>
        <v>49583.060191186793</v>
      </c>
      <c r="K49" s="37">
        <f t="shared" si="2"/>
        <v>1.2914313178931405</v>
      </c>
      <c r="L49" s="36">
        <f>'[1]CB I'!$E49</f>
        <v>5409.6166666666668</v>
      </c>
      <c r="M49" s="31">
        <f t="shared" si="16"/>
        <v>5300.8833716666668</v>
      </c>
      <c r="N49" s="31">
        <f t="shared" si="17"/>
        <v>108.73329499999998</v>
      </c>
      <c r="O49" s="31">
        <f t="shared" si="18"/>
        <v>13609.569822835105</v>
      </c>
      <c r="P49" s="31">
        <f t="shared" si="19"/>
        <v>279.16354060514902</v>
      </c>
      <c r="Q49" s="31">
        <f>CS49*'[2]CAMBARÁ - CITROS'!$U$5</f>
        <v>13888.733363440253</v>
      </c>
      <c r="R49" s="31">
        <f t="shared" si="3"/>
        <v>1.5674154416561099</v>
      </c>
      <c r="S49" s="31">
        <f>'[1]CB I'!$F49</f>
        <v>5409.6166666666668</v>
      </c>
      <c r="T49" s="31">
        <f t="shared" si="20"/>
        <v>5300.8833716666668</v>
      </c>
      <c r="U49" s="31">
        <f t="shared" si="21"/>
        <v>108.73329499999998</v>
      </c>
      <c r="V49" s="31">
        <f t="shared" si="22"/>
        <v>8894.8388265746999</v>
      </c>
      <c r="W49" s="31">
        <f t="shared" si="23"/>
        <v>182.45357731824822</v>
      </c>
      <c r="X49" s="31">
        <f>CT49*'[2]CAMBARÁ - CITROS'!$U$5</f>
        <v>9077.2924038929486</v>
      </c>
      <c r="Y49" s="31">
        <f t="shared" si="4"/>
        <v>0.67799179927590969</v>
      </c>
      <c r="Z49" s="31">
        <f>'[1]CB I'!$G49</f>
        <v>5409.6166666666668</v>
      </c>
      <c r="AA49" s="31">
        <f t="shared" si="24"/>
        <v>5300.8833716666668</v>
      </c>
      <c r="AB49" s="31">
        <f t="shared" si="25"/>
        <v>108.73329499999998</v>
      </c>
      <c r="AC49" s="31">
        <f t="shared" si="26"/>
        <v>4957.0332788560518</v>
      </c>
      <c r="AD49" s="31">
        <f t="shared" si="27"/>
        <v>101.68013971324281</v>
      </c>
      <c r="AE49" s="31">
        <f>CU49*'[2]CAMBARÁ - CITROS'!$U$5</f>
        <v>5058.7134185692948</v>
      </c>
      <c r="AF49" s="31">
        <f t="shared" si="5"/>
        <v>-6.4866564438768926E-2</v>
      </c>
      <c r="AG49" s="31">
        <f>'[1]CB I'!$H49</f>
        <v>5409.6166666666668</v>
      </c>
      <c r="AH49" s="31">
        <f t="shared" si="28"/>
        <v>5300.8833716666668</v>
      </c>
      <c r="AI49" s="31">
        <f t="shared" si="29"/>
        <v>108.73329499999998</v>
      </c>
      <c r="AJ49" s="31">
        <f t="shared" si="30"/>
        <v>6806.889370930925</v>
      </c>
      <c r="AK49" s="31">
        <f t="shared" si="31"/>
        <v>139.62493760150176</v>
      </c>
      <c r="AL49" s="31">
        <f>CV49*'[2]CAMBARÁ - CITROS'!$U$5</f>
        <v>6946.5143085324271</v>
      </c>
      <c r="AM49" s="31">
        <f t="shared" si="6"/>
        <v>0.28410472249095164</v>
      </c>
      <c r="AN49" s="31">
        <f>'[1]CB I'!$I49</f>
        <v>5409.6166666666668</v>
      </c>
      <c r="AO49" s="31">
        <f t="shared" si="32"/>
        <v>5300.8833716666668</v>
      </c>
      <c r="AP49" s="31">
        <f t="shared" si="33"/>
        <v>108.73329499999998</v>
      </c>
      <c r="AQ49" s="31">
        <f t="shared" si="34"/>
        <v>7829.7592039195561</v>
      </c>
      <c r="AR49" s="31">
        <f t="shared" si="35"/>
        <v>160.60634758524648</v>
      </c>
      <c r="AS49" s="31">
        <v>7990.3655515048022</v>
      </c>
      <c r="AT49" s="31">
        <f t="shared" si="7"/>
        <v>0.47706686884864946</v>
      </c>
      <c r="AU49" s="31">
        <f>'[1]CB I'!$J49</f>
        <v>5409.6166666666668</v>
      </c>
      <c r="AV49" s="31">
        <f t="shared" si="36"/>
        <v>5300.8833716666668</v>
      </c>
      <c r="AW49" s="31">
        <f t="shared" si="37"/>
        <v>108.73329499999998</v>
      </c>
      <c r="AX49" s="31">
        <f t="shared" si="38"/>
        <v>6488.3501782276035</v>
      </c>
      <c r="AY49" s="31">
        <f t="shared" si="39"/>
        <v>133.09096701946606</v>
      </c>
      <c r="AZ49" s="31">
        <v>6621.4411452470695</v>
      </c>
      <c r="BA49" s="31">
        <f t="shared" si="8"/>
        <v>0.224013003739711</v>
      </c>
      <c r="BB49" s="31">
        <f>'[1]CB I'!$K49</f>
        <v>5409.6166666666668</v>
      </c>
      <c r="BC49" s="31">
        <f t="shared" si="40"/>
        <v>5300.8833716666668</v>
      </c>
      <c r="BD49" s="31">
        <f t="shared" si="41"/>
        <v>108.73329499999998</v>
      </c>
      <c r="BE49" s="31">
        <f t="shared" si="42"/>
        <v>0</v>
      </c>
      <c r="BF49" s="31">
        <f t="shared" si="43"/>
        <v>0</v>
      </c>
      <c r="BG49" s="31">
        <f>CY49*'[3]CAMBARÁ - CITROS'!$U$5</f>
        <v>0</v>
      </c>
      <c r="BH49" s="31">
        <f t="shared" si="9"/>
        <v>-1</v>
      </c>
      <c r="BI49" s="31">
        <f>'[1]CB I'!$L49</f>
        <v>5409.6166666666668</v>
      </c>
      <c r="BJ49" s="31">
        <f t="shared" si="44"/>
        <v>5300.8833716666668</v>
      </c>
      <c r="BK49" s="31">
        <f t="shared" si="45"/>
        <v>108.73329499999998</v>
      </c>
      <c r="BL49" s="31">
        <f t="shared" si="46"/>
        <v>0</v>
      </c>
      <c r="BM49" s="31">
        <f t="shared" si="47"/>
        <v>0</v>
      </c>
      <c r="BN49" s="31">
        <f>CZ49*'[3]CAMBARÁ - CITROS'!$U$5</f>
        <v>0</v>
      </c>
      <c r="BO49" s="31">
        <f t="shared" si="10"/>
        <v>-1</v>
      </c>
      <c r="BP49" s="31">
        <f>'[1]CB I'!$M49</f>
        <v>5409.6166666666668</v>
      </c>
      <c r="BQ49" s="31">
        <f t="shared" si="48"/>
        <v>5300.8833716666668</v>
      </c>
      <c r="BR49" s="31">
        <f t="shared" si="49"/>
        <v>108.73329499999998</v>
      </c>
      <c r="BS49" s="31">
        <f t="shared" si="50"/>
        <v>0</v>
      </c>
      <c r="BT49" s="31">
        <f t="shared" si="51"/>
        <v>0</v>
      </c>
      <c r="BU49" s="31">
        <f>DA49*'[3]CAMBARÁ - CITROS'!$U$5</f>
        <v>0</v>
      </c>
      <c r="BV49" s="31">
        <f t="shared" si="11"/>
        <v>-1</v>
      </c>
      <c r="BW49" s="31">
        <f>'[1]CB I'!$N49</f>
        <v>5409.6166666666668</v>
      </c>
      <c r="BX49" s="31">
        <f t="shared" si="52"/>
        <v>5300.8833716666668</v>
      </c>
      <c r="BY49" s="31">
        <f t="shared" si="53"/>
        <v>108.73329499999998</v>
      </c>
      <c r="BZ49" s="31">
        <f t="shared" si="54"/>
        <v>0</v>
      </c>
      <c r="CA49" s="31">
        <f t="shared" si="55"/>
        <v>0</v>
      </c>
      <c r="CB49" s="31">
        <f>DB49*'[3]CAMBARÁ - CITROS'!$U$5</f>
        <v>0</v>
      </c>
      <c r="CC49" s="31">
        <f t="shared" si="12"/>
        <v>-1</v>
      </c>
      <c r="CD49" s="31">
        <f>'[1]CB I'!$O49</f>
        <v>5409.6166666666668</v>
      </c>
      <c r="CE49" s="31">
        <f t="shared" si="56"/>
        <v>5300.8833716666668</v>
      </c>
      <c r="CF49" s="31">
        <f t="shared" si="57"/>
        <v>108.73329499999998</v>
      </c>
      <c r="CG49" s="31">
        <f t="shared" si="58"/>
        <v>0</v>
      </c>
      <c r="CH49" s="31">
        <f t="shared" si="59"/>
        <v>0</v>
      </c>
      <c r="CI49" s="31">
        <f>DC49*'[3]CAMBARÁ - CITROS'!$U$5</f>
        <v>0</v>
      </c>
      <c r="CJ49" s="31">
        <f t="shared" si="13"/>
        <v>-1</v>
      </c>
      <c r="CK49" s="31">
        <f>'[1]CB I'!$P49</f>
        <v>5409.6166666666668</v>
      </c>
      <c r="CL49" s="31">
        <f t="shared" si="60"/>
        <v>5300.8833716666668</v>
      </c>
      <c r="CM49" s="31">
        <f t="shared" si="61"/>
        <v>108.73329499999998</v>
      </c>
      <c r="CN49" s="31">
        <f t="shared" si="62"/>
        <v>0</v>
      </c>
      <c r="CO49" s="31">
        <f t="shared" si="63"/>
        <v>0</v>
      </c>
      <c r="CP49" s="31">
        <f>DD49*'[3]CAMBARÁ - CITROS'!$U$5</f>
        <v>0</v>
      </c>
      <c r="CQ49" s="31">
        <f t="shared" si="14"/>
        <v>-1</v>
      </c>
      <c r="CS49" s="197">
        <f>R83</f>
        <v>22569.879999999997</v>
      </c>
      <c r="CT49" s="197">
        <f>Y83</f>
        <v>14751.050000000001</v>
      </c>
      <c r="CU49" s="197">
        <f>AF83</f>
        <v>8220.66</v>
      </c>
      <c r="CV49" s="197">
        <f>AM83</f>
        <v>11288.429999999998</v>
      </c>
      <c r="CW49" s="27"/>
      <c r="CX49" s="197"/>
      <c r="CY49" s="197"/>
      <c r="CZ49" s="197"/>
      <c r="DA49" s="27"/>
      <c r="DB49" s="197"/>
      <c r="DC49" s="197"/>
      <c r="DD49" s="197"/>
      <c r="DE49" s="198"/>
      <c r="DF49" s="198"/>
    </row>
    <row r="50" spans="1:110" s="26" customFormat="1" ht="16" customHeight="1" x14ac:dyDescent="0.2">
      <c r="A50" s="29" t="s">
        <v>74</v>
      </c>
      <c r="B50" s="30">
        <f t="shared" si="64"/>
        <v>4286.6527199999991</v>
      </c>
      <c r="C50" s="31">
        <f t="shared" si="64"/>
        <v>4200.4910003279992</v>
      </c>
      <c r="D50" s="32">
        <f t="shared" si="64"/>
        <v>86.161719671999947</v>
      </c>
      <c r="E50" s="30">
        <f t="shared" si="66"/>
        <v>1428.8842399999999</v>
      </c>
      <c r="F50" s="33">
        <f t="shared" si="66"/>
        <v>1400.1636667759999</v>
      </c>
      <c r="G50" s="34">
        <f t="shared" si="66"/>
        <v>28.720573223999992</v>
      </c>
      <c r="H50" s="31">
        <f t="shared" si="65"/>
        <v>1982.3646817779656</v>
      </c>
      <c r="I50" s="33">
        <f t="shared" si="65"/>
        <v>40.662853458247874</v>
      </c>
      <c r="J50" s="33">
        <f t="shared" si="65"/>
        <v>2023.0275352362132</v>
      </c>
      <c r="K50" s="37">
        <f t="shared" si="2"/>
        <v>0.41580925774379973</v>
      </c>
      <c r="L50" s="36">
        <f>'[1]CB I'!$E50</f>
        <v>357.22105999999997</v>
      </c>
      <c r="M50" s="28">
        <f t="shared" si="16"/>
        <v>350.04091669399997</v>
      </c>
      <c r="N50" s="28">
        <f t="shared" si="17"/>
        <v>7.1801433059999979</v>
      </c>
      <c r="O50" s="28">
        <f t="shared" si="18"/>
        <v>324.15309472896928</v>
      </c>
      <c r="P50" s="28">
        <f t="shared" si="19"/>
        <v>6.6491246086868872</v>
      </c>
      <c r="Q50" s="28">
        <f>CS50*'[2]CAMBARÁ - CITROS'!$U$5</f>
        <v>330.80221933765614</v>
      </c>
      <c r="R50" s="28">
        <f t="shared" si="3"/>
        <v>-7.395655973459081E-2</v>
      </c>
      <c r="S50" s="28">
        <f>'[1]CB I'!$F50</f>
        <v>357.22105999999997</v>
      </c>
      <c r="T50" s="28">
        <f t="shared" si="20"/>
        <v>350.04091669399997</v>
      </c>
      <c r="U50" s="28">
        <f t="shared" si="21"/>
        <v>7.1801433059999979</v>
      </c>
      <c r="V50" s="28">
        <f t="shared" si="22"/>
        <v>375.38371944421226</v>
      </c>
      <c r="W50" s="28">
        <f t="shared" si="23"/>
        <v>7.6999824072136596</v>
      </c>
      <c r="X50" s="28">
        <f>CT50*'[2]CAMBARÁ - CITROS'!$U$5</f>
        <v>383.08370185142593</v>
      </c>
      <c r="Y50" s="28">
        <f t="shared" si="4"/>
        <v>7.2399544000641969E-2</v>
      </c>
      <c r="Z50" s="28">
        <f>'[1]CB I'!$G50</f>
        <v>357.22105999999997</v>
      </c>
      <c r="AA50" s="28">
        <f t="shared" si="24"/>
        <v>350.04091669399997</v>
      </c>
      <c r="AB50" s="28">
        <f t="shared" si="25"/>
        <v>7.1801433059999979</v>
      </c>
      <c r="AC50" s="28">
        <f t="shared" si="26"/>
        <v>661.92186161036523</v>
      </c>
      <c r="AD50" s="28">
        <f t="shared" si="27"/>
        <v>13.577537930776955</v>
      </c>
      <c r="AE50" s="28">
        <f>CU50*'[2]CAMBARÁ - CITROS'!$U$5</f>
        <v>675.49939954114222</v>
      </c>
      <c r="AF50" s="28">
        <f t="shared" si="5"/>
        <v>0.89098425367513978</v>
      </c>
      <c r="AG50" s="28">
        <f>'[1]CB I'!$H50</f>
        <v>357.22105999999997</v>
      </c>
      <c r="AH50" s="28">
        <f t="shared" si="28"/>
        <v>350.04091669399997</v>
      </c>
      <c r="AI50" s="28">
        <f t="shared" si="29"/>
        <v>7.1801433059999979</v>
      </c>
      <c r="AJ50" s="28">
        <f t="shared" si="30"/>
        <v>306.55764240798533</v>
      </c>
      <c r="AK50" s="28">
        <f t="shared" si="31"/>
        <v>6.2882014617823279</v>
      </c>
      <c r="AL50" s="28">
        <f>CV50*'[2]CAMBARÁ - CITROS'!$U$5</f>
        <v>312.84584386976763</v>
      </c>
      <c r="AM50" s="28">
        <f t="shared" si="6"/>
        <v>-0.12422340421427658</v>
      </c>
      <c r="AN50" s="28">
        <f>'[1]CB I'!$I50</f>
        <v>357.22105999999997</v>
      </c>
      <c r="AO50" s="28">
        <f t="shared" si="32"/>
        <v>350.04091669399997</v>
      </c>
      <c r="AP50" s="28">
        <f t="shared" si="33"/>
        <v>7.1801433059999979</v>
      </c>
      <c r="AQ50" s="28">
        <f t="shared" si="34"/>
        <v>249.88798479571432</v>
      </c>
      <c r="AR50" s="28">
        <f t="shared" si="35"/>
        <v>5.1257766041370108</v>
      </c>
      <c r="AS50" s="28">
        <v>255.01376139985132</v>
      </c>
      <c r="AT50" s="28">
        <f t="shared" si="7"/>
        <v>-0.28611778544117372</v>
      </c>
      <c r="AU50" s="28">
        <f>'[1]CB I'!$J50</f>
        <v>357.22105999999997</v>
      </c>
      <c r="AV50" s="28">
        <f t="shared" si="36"/>
        <v>350.04091669399997</v>
      </c>
      <c r="AW50" s="28">
        <f t="shared" si="37"/>
        <v>7.1801433059999979</v>
      </c>
      <c r="AX50" s="28">
        <f t="shared" si="38"/>
        <v>64.460378790718948</v>
      </c>
      <c r="AY50" s="28">
        <f t="shared" si="39"/>
        <v>1.3222304456510363</v>
      </c>
      <c r="AZ50" s="28">
        <v>65.782609236369979</v>
      </c>
      <c r="BA50" s="28">
        <f t="shared" si="8"/>
        <v>-0.8158490173105416</v>
      </c>
      <c r="BB50" s="28">
        <f>'[1]CB I'!$K50</f>
        <v>357.22105999999997</v>
      </c>
      <c r="BC50" s="28">
        <f t="shared" si="40"/>
        <v>350.04091669399997</v>
      </c>
      <c r="BD50" s="28">
        <f t="shared" si="41"/>
        <v>7.1801433059999979</v>
      </c>
      <c r="BE50" s="28">
        <f t="shared" si="42"/>
        <v>0</v>
      </c>
      <c r="BF50" s="28">
        <f t="shared" si="43"/>
        <v>0</v>
      </c>
      <c r="BG50" s="28">
        <f>CY50*'[3]CAMBARÁ - CITROS'!$U$5</f>
        <v>0</v>
      </c>
      <c r="BH50" s="28">
        <f t="shared" si="9"/>
        <v>-1</v>
      </c>
      <c r="BI50" s="28">
        <f>'[1]CB I'!$L50</f>
        <v>357.22105999999997</v>
      </c>
      <c r="BJ50" s="28">
        <f t="shared" si="44"/>
        <v>350.04091669399997</v>
      </c>
      <c r="BK50" s="28">
        <f t="shared" si="45"/>
        <v>7.1801433059999979</v>
      </c>
      <c r="BL50" s="28">
        <f t="shared" si="46"/>
        <v>0</v>
      </c>
      <c r="BM50" s="28">
        <f t="shared" si="47"/>
        <v>0</v>
      </c>
      <c r="BN50" s="28">
        <f>CZ50*'[3]CAMBARÁ - CITROS'!$U$5</f>
        <v>0</v>
      </c>
      <c r="BO50" s="28">
        <f t="shared" si="10"/>
        <v>-1</v>
      </c>
      <c r="BP50" s="28">
        <f>'[1]CB I'!$M50</f>
        <v>357.22105999999997</v>
      </c>
      <c r="BQ50" s="28">
        <f t="shared" si="48"/>
        <v>350.04091669399997</v>
      </c>
      <c r="BR50" s="28">
        <f t="shared" si="49"/>
        <v>7.1801433059999979</v>
      </c>
      <c r="BS50" s="28">
        <f t="shared" si="50"/>
        <v>0</v>
      </c>
      <c r="BT50" s="28">
        <f t="shared" si="51"/>
        <v>0</v>
      </c>
      <c r="BU50" s="28">
        <f>DA50*'[3]CAMBARÁ - CITROS'!$U$5</f>
        <v>0</v>
      </c>
      <c r="BV50" s="28">
        <f t="shared" si="11"/>
        <v>-1</v>
      </c>
      <c r="BW50" s="28">
        <f>'[1]CB I'!$N50</f>
        <v>357.22105999999997</v>
      </c>
      <c r="BX50" s="28">
        <f t="shared" si="52"/>
        <v>350.04091669399997</v>
      </c>
      <c r="BY50" s="28">
        <f t="shared" si="53"/>
        <v>7.1801433059999979</v>
      </c>
      <c r="BZ50" s="28">
        <f t="shared" si="54"/>
        <v>0</v>
      </c>
      <c r="CA50" s="28">
        <f t="shared" si="55"/>
        <v>0</v>
      </c>
      <c r="CB50" s="28">
        <f>DB50*'[3]CAMBARÁ - CITROS'!$U$5</f>
        <v>0</v>
      </c>
      <c r="CC50" s="28">
        <f t="shared" si="12"/>
        <v>-1</v>
      </c>
      <c r="CD50" s="28">
        <f>'[1]CB I'!$O50</f>
        <v>357.22105999999997</v>
      </c>
      <c r="CE50" s="28">
        <f t="shared" si="56"/>
        <v>350.04091669399997</v>
      </c>
      <c r="CF50" s="28">
        <f t="shared" si="57"/>
        <v>7.1801433059999979</v>
      </c>
      <c r="CG50" s="28">
        <f t="shared" si="58"/>
        <v>0</v>
      </c>
      <c r="CH50" s="28">
        <f t="shared" si="59"/>
        <v>0</v>
      </c>
      <c r="CI50" s="28">
        <f>DC50*'[3]CAMBARÁ - CITROS'!$U$5</f>
        <v>0</v>
      </c>
      <c r="CJ50" s="28">
        <f t="shared" si="13"/>
        <v>-1</v>
      </c>
      <c r="CK50" s="28">
        <f>'[1]CB I'!$P50</f>
        <v>357.22105999999997</v>
      </c>
      <c r="CL50" s="28">
        <f t="shared" si="60"/>
        <v>350.04091669399997</v>
      </c>
      <c r="CM50" s="28">
        <f t="shared" si="61"/>
        <v>7.1801433059999979</v>
      </c>
      <c r="CN50" s="28">
        <f t="shared" si="62"/>
        <v>0</v>
      </c>
      <c r="CO50" s="28">
        <f t="shared" si="63"/>
        <v>0</v>
      </c>
      <c r="CP50" s="28">
        <f>DD50*'[3]CAMBARÁ - CITROS'!$U$5</f>
        <v>0</v>
      </c>
      <c r="CQ50" s="28">
        <f t="shared" si="14"/>
        <v>-1</v>
      </c>
      <c r="CS50" s="197">
        <f>537.57</f>
        <v>537.57000000000005</v>
      </c>
      <c r="CT50" s="197">
        <f>622.53</f>
        <v>622.53</v>
      </c>
      <c r="CU50" s="197">
        <f>1097.72</f>
        <v>1097.72</v>
      </c>
      <c r="CV50" s="197">
        <f>508.39</f>
        <v>508.39</v>
      </c>
      <c r="CW50" s="197"/>
      <c r="CX50" s="197"/>
      <c r="CY50" s="197"/>
      <c r="CZ50" s="197"/>
      <c r="DA50" s="197"/>
      <c r="DB50" s="197"/>
      <c r="DC50" s="197"/>
      <c r="DD50" s="197"/>
      <c r="DE50" s="198"/>
      <c r="DF50" s="198"/>
    </row>
    <row r="51" spans="1:110" s="26" customFormat="1" ht="16" customHeight="1" x14ac:dyDescent="0.2">
      <c r="A51" s="29" t="s">
        <v>75</v>
      </c>
      <c r="B51" s="30">
        <f t="shared" si="64"/>
        <v>3221.9048005199998</v>
      </c>
      <c r="C51" s="31">
        <f t="shared" si="64"/>
        <v>3157.1445140295473</v>
      </c>
      <c r="D51" s="32">
        <f t="shared" si="64"/>
        <v>64.760286490451975</v>
      </c>
      <c r="E51" s="30">
        <f t="shared" si="66"/>
        <v>1073.9682668399998</v>
      </c>
      <c r="F51" s="33">
        <f t="shared" si="66"/>
        <v>1052.3815046765158</v>
      </c>
      <c r="G51" s="34">
        <f t="shared" si="66"/>
        <v>21.586762163483993</v>
      </c>
      <c r="H51" s="31">
        <f t="shared" si="65"/>
        <v>1542.068335796607</v>
      </c>
      <c r="I51" s="33">
        <f t="shared" si="65"/>
        <v>31.631363965212572</v>
      </c>
      <c r="J51" s="33">
        <f t="shared" si="65"/>
        <v>1573.6996997618198</v>
      </c>
      <c r="K51" s="37">
        <f t="shared" si="2"/>
        <v>0.46531303424095505</v>
      </c>
      <c r="L51" s="36">
        <f>'[1]CB I'!$E51</f>
        <v>268.49206670999996</v>
      </c>
      <c r="M51" s="31">
        <f t="shared" si="16"/>
        <v>263.09537616912894</v>
      </c>
      <c r="N51" s="31">
        <f t="shared" si="17"/>
        <v>5.3966905408709982</v>
      </c>
      <c r="O51" s="31">
        <f t="shared" si="18"/>
        <v>258.13698369054151</v>
      </c>
      <c r="P51" s="31">
        <f t="shared" si="19"/>
        <v>5.294982520848948</v>
      </c>
      <c r="Q51" s="31">
        <f>CS51*'[2]CAMBARÁ - CITROS'!$U$5</f>
        <v>263.43196621139049</v>
      </c>
      <c r="R51" s="31">
        <f t="shared" si="3"/>
        <v>-1.8846368760962018E-2</v>
      </c>
      <c r="S51" s="31">
        <f>'[1]CB I'!$F51</f>
        <v>268.49206670999996</v>
      </c>
      <c r="T51" s="31">
        <f t="shared" si="20"/>
        <v>263.09537616912894</v>
      </c>
      <c r="U51" s="31">
        <f t="shared" si="21"/>
        <v>5.3966905408709982</v>
      </c>
      <c r="V51" s="31">
        <f t="shared" si="22"/>
        <v>251.41356719366115</v>
      </c>
      <c r="W51" s="31">
        <f t="shared" si="23"/>
        <v>5.1570698036458698</v>
      </c>
      <c r="X51" s="31">
        <f>CT51*'[2]CAMBARÁ - CITROS'!$U$5</f>
        <v>256.57063699730702</v>
      </c>
      <c r="Y51" s="31">
        <f t="shared" si="4"/>
        <v>-4.4401422577484806E-2</v>
      </c>
      <c r="Z51" s="31">
        <f>'[1]CB I'!$G51</f>
        <v>268.49206670999996</v>
      </c>
      <c r="AA51" s="31">
        <f t="shared" si="24"/>
        <v>263.09537616912894</v>
      </c>
      <c r="AB51" s="31">
        <f t="shared" si="25"/>
        <v>5.3966905408709982</v>
      </c>
      <c r="AC51" s="31">
        <f t="shared" si="26"/>
        <v>233.82414484262958</v>
      </c>
      <c r="AD51" s="31">
        <f t="shared" si="27"/>
        <v>4.7962703452769198</v>
      </c>
      <c r="AE51" s="31">
        <f>CU51*'[2]CAMBARÁ - CITROS'!$U$5</f>
        <v>238.6204151879065</v>
      </c>
      <c r="AF51" s="31">
        <f t="shared" si="5"/>
        <v>-0.11125711045443298</v>
      </c>
      <c r="AG51" s="31">
        <f>'[1]CB I'!$H51</f>
        <v>268.49206670999996</v>
      </c>
      <c r="AH51" s="31">
        <f t="shared" si="28"/>
        <v>263.09537616912894</v>
      </c>
      <c r="AI51" s="31">
        <f t="shared" si="29"/>
        <v>5.3966905408709982</v>
      </c>
      <c r="AJ51" s="31">
        <f t="shared" si="30"/>
        <v>311.84592605620418</v>
      </c>
      <c r="AK51" s="31">
        <f t="shared" si="31"/>
        <v>6.3966763075106678</v>
      </c>
      <c r="AL51" s="31">
        <f>CV51*'[2]CAMBARÁ - CITROS'!$U$5</f>
        <v>318.24260236371487</v>
      </c>
      <c r="AM51" s="31">
        <f t="shared" si="6"/>
        <v>0.18529611047111794</v>
      </c>
      <c r="AN51" s="31">
        <f>'[1]CB I'!$I51</f>
        <v>268.49206670999996</v>
      </c>
      <c r="AO51" s="31">
        <f t="shared" si="32"/>
        <v>263.09537616912894</v>
      </c>
      <c r="AP51" s="31">
        <f t="shared" si="33"/>
        <v>5.3966905408709982</v>
      </c>
      <c r="AQ51" s="31">
        <f t="shared" si="34"/>
        <v>256.11091378654891</v>
      </c>
      <c r="AR51" s="31">
        <f t="shared" si="35"/>
        <v>5.2534231728846121</v>
      </c>
      <c r="AS51" s="31">
        <v>261.3643369594335</v>
      </c>
      <c r="AT51" s="31">
        <f t="shared" si="7"/>
        <v>-2.6547263902084506E-2</v>
      </c>
      <c r="AU51" s="31">
        <f>'[1]CB I'!$J51</f>
        <v>268.49206670999996</v>
      </c>
      <c r="AV51" s="31">
        <f t="shared" si="36"/>
        <v>263.09537616912894</v>
      </c>
      <c r="AW51" s="31">
        <f t="shared" si="37"/>
        <v>5.3966905408709982</v>
      </c>
      <c r="AX51" s="31">
        <f t="shared" si="38"/>
        <v>230.73680022702169</v>
      </c>
      <c r="AY51" s="31">
        <f t="shared" si="39"/>
        <v>4.7329418150455513</v>
      </c>
      <c r="AZ51" s="31">
        <v>235.46974204206725</v>
      </c>
      <c r="BA51" s="31">
        <f t="shared" si="8"/>
        <v>-0.1229918078123341</v>
      </c>
      <c r="BB51" s="31">
        <f>'[1]CB I'!$K51</f>
        <v>268.49206670999996</v>
      </c>
      <c r="BC51" s="31">
        <f t="shared" si="40"/>
        <v>263.09537616912894</v>
      </c>
      <c r="BD51" s="31">
        <f t="shared" si="41"/>
        <v>5.3966905408709982</v>
      </c>
      <c r="BE51" s="31">
        <f t="shared" si="42"/>
        <v>0</v>
      </c>
      <c r="BF51" s="31">
        <f t="shared" si="43"/>
        <v>0</v>
      </c>
      <c r="BG51" s="31">
        <f>CY51*'[3]CAMBARÁ - CITROS'!$U$5</f>
        <v>0</v>
      </c>
      <c r="BH51" s="31">
        <f t="shared" si="9"/>
        <v>-1</v>
      </c>
      <c r="BI51" s="31">
        <f>'[1]CB I'!$L51</f>
        <v>268.49206670999996</v>
      </c>
      <c r="BJ51" s="31">
        <f t="shared" si="44"/>
        <v>263.09537616912894</v>
      </c>
      <c r="BK51" s="31">
        <f t="shared" si="45"/>
        <v>5.3966905408709982</v>
      </c>
      <c r="BL51" s="31">
        <f t="shared" si="46"/>
        <v>0</v>
      </c>
      <c r="BM51" s="31">
        <f t="shared" si="47"/>
        <v>0</v>
      </c>
      <c r="BN51" s="31">
        <f>CZ51*'[3]CAMBARÁ - CITROS'!$U$5</f>
        <v>0</v>
      </c>
      <c r="BO51" s="31">
        <f t="shared" si="10"/>
        <v>-1</v>
      </c>
      <c r="BP51" s="31">
        <f>'[1]CB I'!$M51</f>
        <v>268.49206670999996</v>
      </c>
      <c r="BQ51" s="31">
        <f t="shared" si="48"/>
        <v>263.09537616912894</v>
      </c>
      <c r="BR51" s="31">
        <f t="shared" si="49"/>
        <v>5.3966905408709982</v>
      </c>
      <c r="BS51" s="31">
        <f t="shared" si="50"/>
        <v>0</v>
      </c>
      <c r="BT51" s="31">
        <f t="shared" si="51"/>
        <v>0</v>
      </c>
      <c r="BU51" s="31">
        <f>DA51*'[3]CAMBARÁ - CITROS'!$U$5</f>
        <v>0</v>
      </c>
      <c r="BV51" s="31">
        <f t="shared" si="11"/>
        <v>-1</v>
      </c>
      <c r="BW51" s="31">
        <f>'[1]CB I'!$N51</f>
        <v>268.49206670999996</v>
      </c>
      <c r="BX51" s="31">
        <f t="shared" si="52"/>
        <v>263.09537616912894</v>
      </c>
      <c r="BY51" s="31">
        <f t="shared" si="53"/>
        <v>5.3966905408709982</v>
      </c>
      <c r="BZ51" s="31">
        <f t="shared" si="54"/>
        <v>0</v>
      </c>
      <c r="CA51" s="31">
        <f t="shared" si="55"/>
        <v>0</v>
      </c>
      <c r="CB51" s="31">
        <f>DB51*'[3]CAMBARÁ - CITROS'!$U$5</f>
        <v>0</v>
      </c>
      <c r="CC51" s="31">
        <f t="shared" si="12"/>
        <v>-1</v>
      </c>
      <c r="CD51" s="31">
        <f>'[1]CB I'!$O51</f>
        <v>268.49206670999996</v>
      </c>
      <c r="CE51" s="31">
        <f t="shared" si="56"/>
        <v>263.09537616912894</v>
      </c>
      <c r="CF51" s="31">
        <f t="shared" si="57"/>
        <v>5.3966905408709982</v>
      </c>
      <c r="CG51" s="31">
        <f t="shared" si="58"/>
        <v>0</v>
      </c>
      <c r="CH51" s="31">
        <f t="shared" si="59"/>
        <v>0</v>
      </c>
      <c r="CI51" s="31">
        <f>DC51*'[3]CAMBARÁ - CITROS'!$U$5</f>
        <v>0</v>
      </c>
      <c r="CJ51" s="31">
        <f t="shared" si="13"/>
        <v>-1</v>
      </c>
      <c r="CK51" s="31">
        <f>'[1]CB I'!$P51</f>
        <v>268.49206670999996</v>
      </c>
      <c r="CL51" s="31">
        <f t="shared" si="60"/>
        <v>263.09537616912894</v>
      </c>
      <c r="CM51" s="31">
        <f t="shared" si="61"/>
        <v>5.3966905408709982</v>
      </c>
      <c r="CN51" s="31">
        <f t="shared" si="62"/>
        <v>0</v>
      </c>
      <c r="CO51" s="31">
        <f t="shared" si="63"/>
        <v>0</v>
      </c>
      <c r="CP51" s="31">
        <f>DD51*'[3]CAMBARÁ - CITROS'!$U$5</f>
        <v>0</v>
      </c>
      <c r="CQ51" s="31">
        <f t="shared" si="14"/>
        <v>-1</v>
      </c>
      <c r="CS51" s="197">
        <f>428.09</f>
        <v>428.09</v>
      </c>
      <c r="CT51" s="197">
        <f>416.94</f>
        <v>416.94</v>
      </c>
      <c r="CU51" s="197">
        <f>387.77</f>
        <v>387.77</v>
      </c>
      <c r="CV51" s="197">
        <f>517.16</f>
        <v>517.16</v>
      </c>
      <c r="CW51" s="197"/>
      <c r="CX51" s="197"/>
      <c r="CY51" s="197"/>
      <c r="CZ51" s="197"/>
      <c r="DA51" s="197"/>
      <c r="DB51" s="197"/>
      <c r="DC51" s="197"/>
      <c r="DD51" s="197"/>
      <c r="DE51" s="198"/>
      <c r="DF51" s="198"/>
    </row>
    <row r="52" spans="1:110" s="26" customFormat="1" ht="16" customHeight="1" x14ac:dyDescent="0.2">
      <c r="A52" s="29" t="s">
        <v>76</v>
      </c>
      <c r="B52" s="30">
        <f t="shared" si="64"/>
        <v>24848.000000000004</v>
      </c>
      <c r="C52" s="31">
        <f t="shared" si="64"/>
        <v>24348.555200000003</v>
      </c>
      <c r="D52" s="32">
        <f t="shared" si="64"/>
        <v>499.44479999999999</v>
      </c>
      <c r="E52" s="30">
        <f t="shared" si="66"/>
        <v>8282.6666666666661</v>
      </c>
      <c r="F52" s="33">
        <f t="shared" si="66"/>
        <v>8116.185066666666</v>
      </c>
      <c r="G52" s="34">
        <f t="shared" si="66"/>
        <v>166.48159999999996</v>
      </c>
      <c r="H52" s="31">
        <f t="shared" si="65"/>
        <v>62666.354190433012</v>
      </c>
      <c r="I52" s="33">
        <f t="shared" si="65"/>
        <v>1285.430879913974</v>
      </c>
      <c r="J52" s="33">
        <f t="shared" si="65"/>
        <v>63951.785070346981</v>
      </c>
      <c r="K52" s="37">
        <f t="shared" si="2"/>
        <v>6.7211588542756342</v>
      </c>
      <c r="L52" s="36">
        <f>'[1]CB I'!$E52</f>
        <v>2070.6666666666665</v>
      </c>
      <c r="M52" s="31">
        <f t="shared" si="16"/>
        <v>2029.0462666666665</v>
      </c>
      <c r="N52" s="31">
        <f t="shared" si="17"/>
        <v>41.620399999999989</v>
      </c>
      <c r="O52" s="31">
        <f t="shared" si="18"/>
        <v>14570.759093181056</v>
      </c>
      <c r="P52" s="31">
        <f t="shared" si="19"/>
        <v>298.87974055815812</v>
      </c>
      <c r="Q52" s="31">
        <f>CS52*'[2]CAMBARÁ - CITROS'!$U$5</f>
        <v>14869.638833739213</v>
      </c>
      <c r="R52" s="31">
        <f t="shared" si="3"/>
        <v>6.1810876531258279</v>
      </c>
      <c r="S52" s="31">
        <f>'[1]CB I'!$F52</f>
        <v>2070.6666666666665</v>
      </c>
      <c r="T52" s="31">
        <f t="shared" si="20"/>
        <v>2029.0462666666665</v>
      </c>
      <c r="U52" s="31">
        <f t="shared" si="21"/>
        <v>41.620399999999989</v>
      </c>
      <c r="V52" s="31">
        <f t="shared" si="22"/>
        <v>2757.3846598147784</v>
      </c>
      <c r="W52" s="31">
        <f t="shared" si="23"/>
        <v>56.560293562891147</v>
      </c>
      <c r="X52" s="31">
        <f>CT52*'[2]CAMBARÁ - CITROS'!$U$5</f>
        <v>2813.9449533776697</v>
      </c>
      <c r="Y52" s="31">
        <f t="shared" si="4"/>
        <v>0.35895603028541689</v>
      </c>
      <c r="Z52" s="31">
        <f>'[1]CB I'!$G52</f>
        <v>2070.6666666666665</v>
      </c>
      <c r="AA52" s="31">
        <f t="shared" si="24"/>
        <v>2029.0462666666665</v>
      </c>
      <c r="AB52" s="31">
        <f t="shared" si="25"/>
        <v>41.620399999999989</v>
      </c>
      <c r="AC52" s="31">
        <f t="shared" si="26"/>
        <v>16848.079755178667</v>
      </c>
      <c r="AD52" s="31">
        <f t="shared" si="27"/>
        <v>345.59281873567824</v>
      </c>
      <c r="AE52" s="31">
        <f>CU52*'[2]CAMBARÁ - CITROS'!$U$5</f>
        <v>17193.672573914344</v>
      </c>
      <c r="AF52" s="31">
        <f t="shared" si="5"/>
        <v>7.3034477980912804</v>
      </c>
      <c r="AG52" s="31">
        <f>'[1]CB I'!$H52</f>
        <v>2070.6666666666665</v>
      </c>
      <c r="AH52" s="31">
        <f t="shared" si="28"/>
        <v>2029.0462666666665</v>
      </c>
      <c r="AI52" s="31">
        <f t="shared" si="29"/>
        <v>41.620399999999989</v>
      </c>
      <c r="AJ52" s="31">
        <f t="shared" si="30"/>
        <v>13415.344490669617</v>
      </c>
      <c r="AK52" s="31">
        <f t="shared" si="31"/>
        <v>275.1795328732108</v>
      </c>
      <c r="AL52" s="31">
        <f>CV52*'[2]CAMBARÁ - CITROS'!$U$5</f>
        <v>13690.524023542828</v>
      </c>
      <c r="AM52" s="31">
        <f t="shared" si="6"/>
        <v>5.6116503655229373</v>
      </c>
      <c r="AN52" s="31">
        <f>'[1]CB I'!$I52</f>
        <v>2070.6666666666665</v>
      </c>
      <c r="AO52" s="31">
        <f t="shared" si="32"/>
        <v>2029.0462666666665</v>
      </c>
      <c r="AP52" s="31">
        <f t="shared" si="33"/>
        <v>41.620399999999989</v>
      </c>
      <c r="AQ52" s="31">
        <f t="shared" si="34"/>
        <v>10856.363932197311</v>
      </c>
      <c r="AR52" s="31">
        <f t="shared" si="35"/>
        <v>222.68896319743433</v>
      </c>
      <c r="AS52" s="31">
        <v>11079.052895394745</v>
      </c>
      <c r="AT52" s="31">
        <f t="shared" si="7"/>
        <v>4.3504762856059624</v>
      </c>
      <c r="AU52" s="31">
        <f>'[1]CB I'!$J52</f>
        <v>2070.6666666666665</v>
      </c>
      <c r="AV52" s="31">
        <f t="shared" si="36"/>
        <v>2029.0462666666665</v>
      </c>
      <c r="AW52" s="31">
        <f t="shared" si="37"/>
        <v>41.620399999999989</v>
      </c>
      <c r="AX52" s="31">
        <f t="shared" si="38"/>
        <v>4218.4222593915829</v>
      </c>
      <c r="AY52" s="31">
        <f t="shared" si="39"/>
        <v>86.529530986601486</v>
      </c>
      <c r="AZ52" s="31">
        <v>4304.9517903781843</v>
      </c>
      <c r="BA52" s="31">
        <f t="shared" si="8"/>
        <v>1.0790172844711128</v>
      </c>
      <c r="BB52" s="31">
        <f>'[1]CB I'!$K52</f>
        <v>2070.6666666666665</v>
      </c>
      <c r="BC52" s="31">
        <f t="shared" si="40"/>
        <v>2029.0462666666665</v>
      </c>
      <c r="BD52" s="31">
        <f t="shared" si="41"/>
        <v>41.620399999999989</v>
      </c>
      <c r="BE52" s="31">
        <f t="shared" si="42"/>
        <v>0</v>
      </c>
      <c r="BF52" s="31">
        <f t="shared" si="43"/>
        <v>0</v>
      </c>
      <c r="BG52" s="31">
        <f>CY52*'[3]CAMBARÁ - CITROS'!$U$5</f>
        <v>0</v>
      </c>
      <c r="BH52" s="31">
        <f t="shared" si="9"/>
        <v>-1</v>
      </c>
      <c r="BI52" s="31">
        <f>'[1]CB I'!$L52</f>
        <v>2070.6666666666665</v>
      </c>
      <c r="BJ52" s="31">
        <f t="shared" si="44"/>
        <v>2029.0462666666665</v>
      </c>
      <c r="BK52" s="31">
        <f t="shared" si="45"/>
        <v>41.620399999999989</v>
      </c>
      <c r="BL52" s="31">
        <f t="shared" si="46"/>
        <v>0</v>
      </c>
      <c r="BM52" s="31">
        <f t="shared" si="47"/>
        <v>0</v>
      </c>
      <c r="BN52" s="31">
        <f>CZ52*'[3]CAMBARÁ - CITROS'!$U$5</f>
        <v>0</v>
      </c>
      <c r="BO52" s="31">
        <f t="shared" si="10"/>
        <v>-1</v>
      </c>
      <c r="BP52" s="31">
        <f>'[1]CB I'!$M52</f>
        <v>2070.6666666666665</v>
      </c>
      <c r="BQ52" s="31">
        <f t="shared" si="48"/>
        <v>2029.0462666666665</v>
      </c>
      <c r="BR52" s="31">
        <f t="shared" si="49"/>
        <v>41.620399999999989</v>
      </c>
      <c r="BS52" s="31">
        <f t="shared" si="50"/>
        <v>0</v>
      </c>
      <c r="BT52" s="31">
        <f t="shared" si="51"/>
        <v>0</v>
      </c>
      <c r="BU52" s="31">
        <f>DA52*'[3]CAMBARÁ - CITROS'!$U$5</f>
        <v>0</v>
      </c>
      <c r="BV52" s="31">
        <f t="shared" si="11"/>
        <v>-1</v>
      </c>
      <c r="BW52" s="31">
        <f>'[1]CB I'!$N52</f>
        <v>2070.6666666666665</v>
      </c>
      <c r="BX52" s="31">
        <f t="shared" si="52"/>
        <v>2029.0462666666665</v>
      </c>
      <c r="BY52" s="31">
        <f t="shared" si="53"/>
        <v>41.620399999999989</v>
      </c>
      <c r="BZ52" s="31">
        <f t="shared" si="54"/>
        <v>0</v>
      </c>
      <c r="CA52" s="31">
        <f t="shared" si="55"/>
        <v>0</v>
      </c>
      <c r="CB52" s="31">
        <f>DB52*'[3]CAMBARÁ - CITROS'!$U$5</f>
        <v>0</v>
      </c>
      <c r="CC52" s="31">
        <f t="shared" si="12"/>
        <v>-1</v>
      </c>
      <c r="CD52" s="31">
        <f>'[1]CB I'!$O52</f>
        <v>2070.6666666666665</v>
      </c>
      <c r="CE52" s="31">
        <f t="shared" si="56"/>
        <v>2029.0462666666665</v>
      </c>
      <c r="CF52" s="31">
        <f t="shared" si="57"/>
        <v>41.620399999999989</v>
      </c>
      <c r="CG52" s="31">
        <f t="shared" si="58"/>
        <v>0</v>
      </c>
      <c r="CH52" s="31">
        <f t="shared" si="59"/>
        <v>0</v>
      </c>
      <c r="CI52" s="31">
        <f>DC52*'[3]CAMBARÁ - CITROS'!$U$5</f>
        <v>0</v>
      </c>
      <c r="CJ52" s="31">
        <f t="shared" si="13"/>
        <v>-1</v>
      </c>
      <c r="CK52" s="31">
        <f>'[1]CB I'!$P52</f>
        <v>2070.6666666666665</v>
      </c>
      <c r="CL52" s="31">
        <f t="shared" si="60"/>
        <v>2029.0462666666665</v>
      </c>
      <c r="CM52" s="31">
        <f t="shared" si="61"/>
        <v>41.620399999999989</v>
      </c>
      <c r="CN52" s="31">
        <f t="shared" si="62"/>
        <v>0</v>
      </c>
      <c r="CO52" s="31">
        <f t="shared" si="63"/>
        <v>0</v>
      </c>
      <c r="CP52" s="31">
        <f>DD52*'[3]CAMBARÁ - CITROS'!$U$5</f>
        <v>0</v>
      </c>
      <c r="CQ52" s="31">
        <f t="shared" si="14"/>
        <v>-1</v>
      </c>
      <c r="CS52" s="197">
        <f>24163.9</f>
        <v>24163.9</v>
      </c>
      <c r="CT52" s="197">
        <f>4572.8</f>
        <v>4572.8</v>
      </c>
      <c r="CU52" s="197">
        <f>27940.57</f>
        <v>27940.57</v>
      </c>
      <c r="CV52" s="197">
        <f>22247.78</f>
        <v>22247.78</v>
      </c>
      <c r="CW52" s="197"/>
      <c r="CX52" s="197"/>
      <c r="CY52" s="197"/>
      <c r="CZ52" s="197"/>
      <c r="DA52" s="197"/>
      <c r="DB52" s="197"/>
      <c r="DC52" s="197"/>
      <c r="DD52" s="197"/>
      <c r="DE52" s="198"/>
      <c r="DF52" s="198"/>
    </row>
    <row r="53" spans="1:110" s="26" customFormat="1" ht="16" customHeight="1" x14ac:dyDescent="0.2">
      <c r="A53" s="38" t="s">
        <v>77</v>
      </c>
      <c r="B53" s="30">
        <f t="shared" si="64"/>
        <v>12424.000000000002</v>
      </c>
      <c r="C53" s="31">
        <f t="shared" si="64"/>
        <v>12174.277600000001</v>
      </c>
      <c r="D53" s="32">
        <f t="shared" si="64"/>
        <v>249.72239999999999</v>
      </c>
      <c r="E53" s="30">
        <f t="shared" si="66"/>
        <v>4141.333333333333</v>
      </c>
      <c r="F53" s="33">
        <f t="shared" si="66"/>
        <v>4058.092533333333</v>
      </c>
      <c r="G53" s="34">
        <f t="shared" si="66"/>
        <v>83.240799999999979</v>
      </c>
      <c r="H53" s="31">
        <f t="shared" si="65"/>
        <v>20083.243054198669</v>
      </c>
      <c r="I53" s="33">
        <f t="shared" si="65"/>
        <v>411.95344972894492</v>
      </c>
      <c r="J53" s="33">
        <f t="shared" si="65"/>
        <v>20495.196503927615</v>
      </c>
      <c r="K53" s="37">
        <f t="shared" si="2"/>
        <v>3.9489366960546404</v>
      </c>
      <c r="L53" s="36">
        <f>'[1]CB I'!$E53</f>
        <v>1035.3333333333333</v>
      </c>
      <c r="M53" s="31">
        <f t="shared" si="16"/>
        <v>1014.5231333333332</v>
      </c>
      <c r="N53" s="31">
        <f t="shared" si="17"/>
        <v>20.810199999999995</v>
      </c>
      <c r="O53" s="31">
        <f t="shared" si="18"/>
        <v>0</v>
      </c>
      <c r="P53" s="31">
        <f t="shared" si="19"/>
        <v>0</v>
      </c>
      <c r="Q53" s="31">
        <f>CS53*'[2]CAMBARÁ - CITROS'!$U$5</f>
        <v>0</v>
      </c>
      <c r="R53" s="31">
        <f t="shared" si="3"/>
        <v>-1</v>
      </c>
      <c r="S53" s="31">
        <f>'[1]CB I'!$F53</f>
        <v>1035.3333333333333</v>
      </c>
      <c r="T53" s="31">
        <f t="shared" si="20"/>
        <v>1014.5231333333332</v>
      </c>
      <c r="U53" s="31">
        <f t="shared" si="21"/>
        <v>20.810199999999995</v>
      </c>
      <c r="V53" s="31">
        <f t="shared" si="22"/>
        <v>32.513597983120377</v>
      </c>
      <c r="W53" s="31">
        <f t="shared" si="23"/>
        <v>0.66692858399910138</v>
      </c>
      <c r="X53" s="31">
        <f>CT53*'[2]CAMBARÁ - CITROS'!$U$5</f>
        <v>33.180526567119479</v>
      </c>
      <c r="Y53" s="31">
        <f t="shared" si="4"/>
        <v>-0.96795184169305915</v>
      </c>
      <c r="Z53" s="31">
        <f>'[1]CB I'!$G53</f>
        <v>1035.3333333333333</v>
      </c>
      <c r="AA53" s="31">
        <f t="shared" si="24"/>
        <v>1014.5231333333332</v>
      </c>
      <c r="AB53" s="31">
        <f t="shared" si="25"/>
        <v>20.810199999999995</v>
      </c>
      <c r="AC53" s="31">
        <f t="shared" si="26"/>
        <v>0</v>
      </c>
      <c r="AD53" s="31">
        <f t="shared" si="27"/>
        <v>0</v>
      </c>
      <c r="AE53" s="31">
        <f>CU53*'[2]CAMBARÁ - CITROS'!$U$5</f>
        <v>0</v>
      </c>
      <c r="AF53" s="31">
        <f t="shared" si="5"/>
        <v>-1</v>
      </c>
      <c r="AG53" s="31">
        <f>'[1]CB I'!$H53</f>
        <v>1035.3333333333333</v>
      </c>
      <c r="AH53" s="31">
        <f t="shared" si="28"/>
        <v>1014.5231333333332</v>
      </c>
      <c r="AI53" s="31">
        <f t="shared" si="29"/>
        <v>20.810199999999995</v>
      </c>
      <c r="AJ53" s="31">
        <f t="shared" si="30"/>
        <v>0</v>
      </c>
      <c r="AK53" s="31">
        <f t="shared" si="31"/>
        <v>0</v>
      </c>
      <c r="AL53" s="31">
        <f>CV53*'[2]CAMBARÁ - CITROS'!$U$5</f>
        <v>0</v>
      </c>
      <c r="AM53" s="31">
        <f t="shared" si="6"/>
        <v>-1</v>
      </c>
      <c r="AN53" s="31">
        <f>'[1]CB I'!$I53</f>
        <v>1035.3333333333333</v>
      </c>
      <c r="AO53" s="31">
        <f t="shared" si="32"/>
        <v>1014.5231333333332</v>
      </c>
      <c r="AP53" s="31">
        <f t="shared" si="33"/>
        <v>20.810199999999995</v>
      </c>
      <c r="AQ53" s="31">
        <f t="shared" si="34"/>
        <v>20050.729456215548</v>
      </c>
      <c r="AR53" s="31">
        <f t="shared" si="35"/>
        <v>411.28652114494582</v>
      </c>
      <c r="AS53" s="31">
        <v>20462.015977360494</v>
      </c>
      <c r="AT53" s="31">
        <f t="shared" si="7"/>
        <v>18.763698625911619</v>
      </c>
      <c r="AU53" s="31">
        <f>'[1]CB I'!$J53</f>
        <v>1035.3333333333333</v>
      </c>
      <c r="AV53" s="31">
        <f t="shared" si="36"/>
        <v>1014.5231333333332</v>
      </c>
      <c r="AW53" s="31">
        <f t="shared" si="37"/>
        <v>20.810199999999995</v>
      </c>
      <c r="AX53" s="31">
        <f t="shared" si="38"/>
        <v>0</v>
      </c>
      <c r="AY53" s="31">
        <f t="shared" si="39"/>
        <v>0</v>
      </c>
      <c r="AZ53" s="31">
        <v>0</v>
      </c>
      <c r="BA53" s="31">
        <f t="shared" si="8"/>
        <v>-1</v>
      </c>
      <c r="BB53" s="31">
        <f>'[1]CB I'!$K53</f>
        <v>1035.3333333333333</v>
      </c>
      <c r="BC53" s="31">
        <f t="shared" si="40"/>
        <v>1014.5231333333332</v>
      </c>
      <c r="BD53" s="31">
        <f t="shared" si="41"/>
        <v>20.810199999999995</v>
      </c>
      <c r="BE53" s="31">
        <f t="shared" si="42"/>
        <v>0</v>
      </c>
      <c r="BF53" s="31">
        <f t="shared" si="43"/>
        <v>0</v>
      </c>
      <c r="BG53" s="31">
        <f>CY53*'[3]CAMBARÁ - CITROS'!$U$5</f>
        <v>0</v>
      </c>
      <c r="BH53" s="31">
        <f t="shared" si="9"/>
        <v>-1</v>
      </c>
      <c r="BI53" s="31">
        <f>'[1]CB I'!$L53</f>
        <v>1035.3333333333333</v>
      </c>
      <c r="BJ53" s="31">
        <f t="shared" si="44"/>
        <v>1014.5231333333332</v>
      </c>
      <c r="BK53" s="31">
        <f t="shared" si="45"/>
        <v>20.810199999999995</v>
      </c>
      <c r="BL53" s="31">
        <f t="shared" si="46"/>
        <v>0</v>
      </c>
      <c r="BM53" s="31">
        <f t="shared" si="47"/>
        <v>0</v>
      </c>
      <c r="BN53" s="31">
        <f>CZ53*'[3]CAMBARÁ - CITROS'!$U$5</f>
        <v>0</v>
      </c>
      <c r="BO53" s="31">
        <f t="shared" si="10"/>
        <v>-1</v>
      </c>
      <c r="BP53" s="31">
        <f>'[1]CB I'!$M53</f>
        <v>1035.3333333333333</v>
      </c>
      <c r="BQ53" s="31">
        <f t="shared" si="48"/>
        <v>1014.5231333333332</v>
      </c>
      <c r="BR53" s="31">
        <f t="shared" si="49"/>
        <v>20.810199999999995</v>
      </c>
      <c r="BS53" s="31">
        <f t="shared" si="50"/>
        <v>0</v>
      </c>
      <c r="BT53" s="31">
        <f t="shared" si="51"/>
        <v>0</v>
      </c>
      <c r="BU53" s="31">
        <f>DA53*'[3]CAMBARÁ - CITROS'!$U$5</f>
        <v>0</v>
      </c>
      <c r="BV53" s="31">
        <f t="shared" si="11"/>
        <v>-1</v>
      </c>
      <c r="BW53" s="31">
        <f>'[1]CB I'!$N53</f>
        <v>1035.3333333333333</v>
      </c>
      <c r="BX53" s="31">
        <f t="shared" si="52"/>
        <v>1014.5231333333332</v>
      </c>
      <c r="BY53" s="31">
        <f t="shared" si="53"/>
        <v>20.810199999999995</v>
      </c>
      <c r="BZ53" s="31">
        <f t="shared" si="54"/>
        <v>0</v>
      </c>
      <c r="CA53" s="31">
        <f t="shared" si="55"/>
        <v>0</v>
      </c>
      <c r="CB53" s="31">
        <f>DB53*'[3]CAMBARÁ - CITROS'!$U$5</f>
        <v>0</v>
      </c>
      <c r="CC53" s="31">
        <f t="shared" si="12"/>
        <v>-1</v>
      </c>
      <c r="CD53" s="31">
        <f>'[1]CB I'!$O53</f>
        <v>1035.3333333333333</v>
      </c>
      <c r="CE53" s="31">
        <f t="shared" si="56"/>
        <v>1014.5231333333332</v>
      </c>
      <c r="CF53" s="31">
        <f t="shared" si="57"/>
        <v>20.810199999999995</v>
      </c>
      <c r="CG53" s="31">
        <f t="shared" si="58"/>
        <v>0</v>
      </c>
      <c r="CH53" s="31">
        <f t="shared" si="59"/>
        <v>0</v>
      </c>
      <c r="CI53" s="31">
        <f>DC53*'[3]CAMBARÁ - CITROS'!$U$5</f>
        <v>0</v>
      </c>
      <c r="CJ53" s="31">
        <f t="shared" si="13"/>
        <v>-1</v>
      </c>
      <c r="CK53" s="31">
        <f>'[1]CB I'!$P53</f>
        <v>1035.3333333333333</v>
      </c>
      <c r="CL53" s="31">
        <f t="shared" si="60"/>
        <v>1014.5231333333332</v>
      </c>
      <c r="CM53" s="31">
        <f t="shared" si="61"/>
        <v>20.810199999999995</v>
      </c>
      <c r="CN53" s="31">
        <f t="shared" si="62"/>
        <v>0</v>
      </c>
      <c r="CO53" s="31">
        <f t="shared" si="63"/>
        <v>0</v>
      </c>
      <c r="CP53" s="31">
        <f>DD53*'[3]CAMBARÁ - CITROS'!$U$5</f>
        <v>0</v>
      </c>
      <c r="CQ53" s="31">
        <f t="shared" si="14"/>
        <v>-1</v>
      </c>
      <c r="CS53" s="197"/>
      <c r="CT53" s="197">
        <f>53.92</f>
        <v>53.92</v>
      </c>
      <c r="CU53" s="197"/>
      <c r="CV53" s="197"/>
      <c r="CW53" s="197"/>
      <c r="CX53" s="197"/>
      <c r="CY53" s="197"/>
      <c r="CZ53" s="197"/>
      <c r="DA53" s="197"/>
      <c r="DB53" s="197"/>
      <c r="DC53" s="197"/>
      <c r="DD53" s="197"/>
      <c r="DE53" s="198"/>
      <c r="DF53" s="198"/>
    </row>
    <row r="54" spans="1:110" s="26" customFormat="1" ht="16" customHeight="1" thickBot="1" x14ac:dyDescent="0.25">
      <c r="A54" s="39" t="s">
        <v>78</v>
      </c>
      <c r="B54" s="50">
        <f t="shared" si="64"/>
        <v>110283.39980094825</v>
      </c>
      <c r="C54" s="40">
        <f t="shared" si="64"/>
        <v>108066.7034649492</v>
      </c>
      <c r="D54" s="51">
        <f t="shared" si="64"/>
        <v>2216.6963359990596</v>
      </c>
      <c r="E54" s="52">
        <f t="shared" si="66"/>
        <v>63019.085600541861</v>
      </c>
      <c r="F54" s="53">
        <f t="shared" si="66"/>
        <v>61752.401979970971</v>
      </c>
      <c r="G54" s="54">
        <f t="shared" si="66"/>
        <v>1266.6836205708912</v>
      </c>
      <c r="H54" s="40">
        <f t="shared" si="65"/>
        <v>28009.572226905282</v>
      </c>
      <c r="I54" s="53">
        <f t="shared" si="65"/>
        <v>574.54066921195636</v>
      </c>
      <c r="J54" s="53">
        <f t="shared" si="65"/>
        <v>28584.112896117236</v>
      </c>
      <c r="K54" s="60">
        <f t="shared" si="2"/>
        <v>-0.54642133214526578</v>
      </c>
      <c r="L54" s="87">
        <f>'[1]CB I'!$E54</f>
        <v>15754.771400135465</v>
      </c>
      <c r="M54" s="40">
        <f t="shared" si="16"/>
        <v>15438.100494992743</v>
      </c>
      <c r="N54" s="40">
        <f t="shared" si="17"/>
        <v>316.6709051427228</v>
      </c>
      <c r="O54" s="40">
        <f t="shared" si="18"/>
        <v>0</v>
      </c>
      <c r="P54" s="40">
        <f t="shared" si="19"/>
        <v>0</v>
      </c>
      <c r="Q54" s="40">
        <f>CS54*'[2]CAMBARÁ - CITROS'!$U$5</f>
        <v>0</v>
      </c>
      <c r="R54" s="40">
        <f t="shared" si="3"/>
        <v>-1</v>
      </c>
      <c r="S54" s="40">
        <f>'[1]CB I'!$F54</f>
        <v>15754.771400135465</v>
      </c>
      <c r="T54" s="40">
        <f t="shared" si="20"/>
        <v>15438.100494992743</v>
      </c>
      <c r="U54" s="40">
        <f t="shared" si="21"/>
        <v>316.6709051427228</v>
      </c>
      <c r="V54" s="40">
        <f t="shared" si="22"/>
        <v>16780.532031772338</v>
      </c>
      <c r="W54" s="40">
        <f t="shared" si="23"/>
        <v>344.20725975979582</v>
      </c>
      <c r="X54" s="40">
        <f>CT54*'[2]CAMBARÁ - CITROS'!$U$5</f>
        <v>17124.739291532132</v>
      </c>
      <c r="Y54" s="40">
        <f t="shared" si="4"/>
        <v>8.6955745443877852E-2</v>
      </c>
      <c r="Z54" s="40">
        <f>'[1]CB I'!$G54</f>
        <v>15754.771400135465</v>
      </c>
      <c r="AA54" s="40">
        <f t="shared" si="24"/>
        <v>15438.100494992743</v>
      </c>
      <c r="AB54" s="40">
        <f t="shared" si="25"/>
        <v>316.6709051427228</v>
      </c>
      <c r="AC54" s="40">
        <f t="shared" si="26"/>
        <v>11229.040195132944</v>
      </c>
      <c r="AD54" s="40">
        <f t="shared" si="27"/>
        <v>230.33340945216054</v>
      </c>
      <c r="AE54" s="40">
        <f>CU54*'[2]CAMBARÁ - CITROS'!$U$5</f>
        <v>11459.373604585104</v>
      </c>
      <c r="AF54" s="40">
        <f t="shared" si="5"/>
        <v>-0.27264107402494131</v>
      </c>
      <c r="AG54" s="40">
        <f>'[1]CB I'!$H54</f>
        <v>15754.771400135465</v>
      </c>
      <c r="AH54" s="40">
        <f t="shared" si="28"/>
        <v>15438.100494992743</v>
      </c>
      <c r="AI54" s="40">
        <f t="shared" si="29"/>
        <v>316.6709051427228</v>
      </c>
      <c r="AJ54" s="40">
        <f t="shared" si="30"/>
        <v>0</v>
      </c>
      <c r="AK54" s="40">
        <f t="shared" si="31"/>
        <v>0</v>
      </c>
      <c r="AL54" s="40">
        <f>CV54*'[2]CAMBARÁ - CITROS'!$U$5</f>
        <v>0</v>
      </c>
      <c r="AM54" s="40">
        <f t="shared" si="6"/>
        <v>-1</v>
      </c>
      <c r="AN54" s="40">
        <f>'[1]CB I'!$I54</f>
        <v>15754.771400135465</v>
      </c>
      <c r="AO54" s="40">
        <f t="shared" si="32"/>
        <v>15438.100494992743</v>
      </c>
      <c r="AP54" s="40">
        <f t="shared" si="33"/>
        <v>316.6709051427228</v>
      </c>
      <c r="AQ54" s="40">
        <f t="shared" si="34"/>
        <v>0</v>
      </c>
      <c r="AR54" s="40">
        <f t="shared" si="35"/>
        <v>0</v>
      </c>
      <c r="AS54" s="40">
        <v>0</v>
      </c>
      <c r="AT54" s="40">
        <f t="shared" si="7"/>
        <v>-1</v>
      </c>
      <c r="AU54" s="40">
        <f>'[1]CB I'!$J54</f>
        <v>15754.771400135465</v>
      </c>
      <c r="AV54" s="40">
        <f t="shared" si="36"/>
        <v>15438.100494992743</v>
      </c>
      <c r="AW54" s="40">
        <f t="shared" si="37"/>
        <v>316.6709051427228</v>
      </c>
      <c r="AX54" s="40">
        <f t="shared" si="38"/>
        <v>0</v>
      </c>
      <c r="AY54" s="40">
        <f t="shared" si="39"/>
        <v>0</v>
      </c>
      <c r="AZ54" s="40">
        <v>0</v>
      </c>
      <c r="BA54" s="40">
        <f t="shared" si="8"/>
        <v>-1</v>
      </c>
      <c r="BB54" s="40">
        <f>'[1]CB I'!$K54</f>
        <v>15754.771400135465</v>
      </c>
      <c r="BC54" s="40">
        <f t="shared" si="40"/>
        <v>15438.100494992743</v>
      </c>
      <c r="BD54" s="40">
        <f t="shared" si="41"/>
        <v>316.6709051427228</v>
      </c>
      <c r="BE54" s="40">
        <f t="shared" si="42"/>
        <v>0</v>
      </c>
      <c r="BF54" s="40">
        <f t="shared" si="43"/>
        <v>0</v>
      </c>
      <c r="BG54" s="40">
        <f>CY54*'[3]CAMBARÁ - CITROS'!$U$5</f>
        <v>0</v>
      </c>
      <c r="BH54" s="40">
        <f t="shared" si="9"/>
        <v>-1</v>
      </c>
      <c r="BI54" s="40">
        <f>'[1]CB I'!$L54</f>
        <v>0</v>
      </c>
      <c r="BJ54" s="40">
        <f t="shared" si="44"/>
        <v>0</v>
      </c>
      <c r="BK54" s="40">
        <f t="shared" si="45"/>
        <v>0</v>
      </c>
      <c r="BL54" s="40">
        <f t="shared" si="46"/>
        <v>0</v>
      </c>
      <c r="BM54" s="40">
        <f t="shared" si="47"/>
        <v>0</v>
      </c>
      <c r="BN54" s="40">
        <f>CZ54*'[3]CAMBARÁ - CITROS'!$U$5</f>
        <v>0</v>
      </c>
      <c r="BO54" s="40" t="str">
        <f t="shared" si="10"/>
        <v/>
      </c>
      <c r="BP54" s="40">
        <f>'[1]CB I'!$M54</f>
        <v>0</v>
      </c>
      <c r="BQ54" s="40">
        <f t="shared" si="48"/>
        <v>0</v>
      </c>
      <c r="BR54" s="40">
        <f t="shared" si="49"/>
        <v>0</v>
      </c>
      <c r="BS54" s="40">
        <f t="shared" si="50"/>
        <v>0</v>
      </c>
      <c r="BT54" s="40">
        <f t="shared" si="51"/>
        <v>0</v>
      </c>
      <c r="BU54" s="40">
        <f>DA54*'[3]CAMBARÁ - CITROS'!$U$5</f>
        <v>0</v>
      </c>
      <c r="BV54" s="40" t="str">
        <f t="shared" si="11"/>
        <v/>
      </c>
      <c r="BW54" s="40">
        <f>'[1]CB I'!$N54</f>
        <v>0</v>
      </c>
      <c r="BX54" s="40">
        <f t="shared" si="52"/>
        <v>0</v>
      </c>
      <c r="BY54" s="40">
        <f t="shared" si="53"/>
        <v>0</v>
      </c>
      <c r="BZ54" s="40">
        <f t="shared" si="54"/>
        <v>0</v>
      </c>
      <c r="CA54" s="40">
        <f t="shared" si="55"/>
        <v>0</v>
      </c>
      <c r="CB54" s="40">
        <f>DB54*'[3]CAMBARÁ - CITROS'!$U$5</f>
        <v>0</v>
      </c>
      <c r="CC54" s="40" t="str">
        <f t="shared" si="12"/>
        <v/>
      </c>
      <c r="CD54" s="40">
        <f>'[1]CB I'!$O54</f>
        <v>0</v>
      </c>
      <c r="CE54" s="40">
        <f t="shared" si="56"/>
        <v>0</v>
      </c>
      <c r="CF54" s="40">
        <f t="shared" si="57"/>
        <v>0</v>
      </c>
      <c r="CG54" s="40">
        <f t="shared" si="58"/>
        <v>0</v>
      </c>
      <c r="CH54" s="40">
        <f t="shared" si="59"/>
        <v>0</v>
      </c>
      <c r="CI54" s="40">
        <f>DC54*'[3]CAMBARÁ - CITROS'!$U$5</f>
        <v>0</v>
      </c>
      <c r="CJ54" s="40" t="str">
        <f t="shared" si="13"/>
        <v/>
      </c>
      <c r="CK54" s="40">
        <f>'[1]CB I'!$P54</f>
        <v>0</v>
      </c>
      <c r="CL54" s="40">
        <f t="shared" si="60"/>
        <v>0</v>
      </c>
      <c r="CM54" s="40">
        <f t="shared" si="61"/>
        <v>0</v>
      </c>
      <c r="CN54" s="40">
        <f t="shared" si="62"/>
        <v>0</v>
      </c>
      <c r="CO54" s="40">
        <f t="shared" si="63"/>
        <v>0</v>
      </c>
      <c r="CP54" s="40">
        <f>DD54*'[3]CAMBARÁ - CITROS'!$U$5</f>
        <v>0</v>
      </c>
      <c r="CQ54" s="40" t="str">
        <f t="shared" si="14"/>
        <v/>
      </c>
      <c r="CS54" s="197"/>
      <c r="CT54" s="197">
        <f>27828.55</f>
        <v>27828.55</v>
      </c>
      <c r="CU54" s="197">
        <v>18622.050000000047</v>
      </c>
      <c r="CV54" s="197"/>
      <c r="CW54" s="197"/>
      <c r="CX54" s="197"/>
      <c r="CY54" s="197"/>
      <c r="CZ54" s="197"/>
      <c r="DA54" s="197"/>
      <c r="DB54" s="197"/>
      <c r="DC54" s="197"/>
      <c r="DD54" s="197"/>
      <c r="DE54" s="198"/>
      <c r="DF54" s="198"/>
    </row>
    <row r="55" spans="1:110" s="26" customFormat="1" ht="16" customHeight="1" thickBot="1" x14ac:dyDescent="0.25">
      <c r="A55" s="119" t="s">
        <v>79</v>
      </c>
      <c r="B55" s="63">
        <f t="shared" ref="B55:J55" si="67">SUM(B4:B54)</f>
        <v>6903411.607320833</v>
      </c>
      <c r="C55" s="64">
        <f t="shared" si="67"/>
        <v>6764653.0340136867</v>
      </c>
      <c r="D55" s="65">
        <f t="shared" si="67"/>
        <v>138758.57330714873</v>
      </c>
      <c r="E55" s="63">
        <f t="shared" si="67"/>
        <v>2823187.9720808468</v>
      </c>
      <c r="F55" s="66">
        <f t="shared" si="67"/>
        <v>2766441.8938420219</v>
      </c>
      <c r="G55" s="67">
        <f t="shared" si="67"/>
        <v>56746.078238825015</v>
      </c>
      <c r="H55" s="64">
        <f t="shared" si="67"/>
        <v>5019108.1467722123</v>
      </c>
      <c r="I55" s="66">
        <f t="shared" si="67"/>
        <v>102953.43785092505</v>
      </c>
      <c r="J55" s="66">
        <f t="shared" si="67"/>
        <v>5122061.5846231394</v>
      </c>
      <c r="K55" s="120">
        <f>+J55/E55-1</f>
        <v>0.81428287286442869</v>
      </c>
      <c r="L55" s="121">
        <f t="shared" ref="L55:Q55" si="68">SUM(L4:L54)</f>
        <v>662037.77995674766</v>
      </c>
      <c r="M55" s="121">
        <f t="shared" si="68"/>
        <v>648730.82057961693</v>
      </c>
      <c r="N55" s="121">
        <f t="shared" si="17"/>
        <v>13306.959377130626</v>
      </c>
      <c r="O55" s="121">
        <f t="shared" si="68"/>
        <v>848008.00976623525</v>
      </c>
      <c r="P55" s="121">
        <f t="shared" si="68"/>
        <v>17394.592301562734</v>
      </c>
      <c r="Q55" s="121">
        <f t="shared" si="68"/>
        <v>865402.60206779756</v>
      </c>
      <c r="R55" s="121">
        <f>+Q55/L55-1</f>
        <v>0.30718008589228263</v>
      </c>
      <c r="S55" s="121">
        <f t="shared" ref="S55:X55" si="69">SUM(S4:S54)</f>
        <v>613972.88181346992</v>
      </c>
      <c r="T55" s="121">
        <f t="shared" si="69"/>
        <v>601632.02688901895</v>
      </c>
      <c r="U55" s="121">
        <f t="shared" si="21"/>
        <v>12340.854924450743</v>
      </c>
      <c r="V55" s="121">
        <f t="shared" si="69"/>
        <v>703741.55903732067</v>
      </c>
      <c r="W55" s="121">
        <f t="shared" si="69"/>
        <v>14435.355992091179</v>
      </c>
      <c r="X55" s="121">
        <f t="shared" si="69"/>
        <v>718176.9150294119</v>
      </c>
      <c r="Y55" s="121">
        <f>+X55/S55-1</f>
        <v>0.16972090511254856</v>
      </c>
      <c r="Z55" s="121">
        <f t="shared" ref="Z55:AE55" si="70">SUM(Z4:Z54)</f>
        <v>848881.30443460017</v>
      </c>
      <c r="AA55" s="121">
        <f t="shared" si="70"/>
        <v>831818.79021546466</v>
      </c>
      <c r="AB55" s="121">
        <f t="shared" si="25"/>
        <v>17062.514219135461</v>
      </c>
      <c r="AC55" s="121">
        <f t="shared" si="70"/>
        <v>989568.83415989846</v>
      </c>
      <c r="AD55" s="121">
        <f t="shared" si="70"/>
        <v>20298.329999606038</v>
      </c>
      <c r="AE55" s="121">
        <f t="shared" si="70"/>
        <v>1009867.1641595043</v>
      </c>
      <c r="AF55" s="121">
        <f>+AE55/Z55-1</f>
        <v>0.189644722865147</v>
      </c>
      <c r="AG55" s="121">
        <f t="shared" ref="AG55:AL55" si="71">SUM(AG4:AG54)</f>
        <v>698296.00587602926</v>
      </c>
      <c r="AH55" s="121">
        <f t="shared" si="71"/>
        <v>684260.25615792105</v>
      </c>
      <c r="AI55" s="121">
        <f t="shared" si="29"/>
        <v>14035.749718108185</v>
      </c>
      <c r="AJ55" s="121">
        <f t="shared" si="71"/>
        <v>848334.74601701181</v>
      </c>
      <c r="AK55" s="121">
        <f t="shared" si="71"/>
        <v>17401.294412635914</v>
      </c>
      <c r="AL55" s="121">
        <f t="shared" si="71"/>
        <v>865736.04042964778</v>
      </c>
      <c r="AM55" s="121">
        <f>+AL55/AG55-1</f>
        <v>0.2397837495054278</v>
      </c>
      <c r="AN55" s="121">
        <f t="shared" ref="AN55:AS55" si="72">SUM(AN4:AN54)</f>
        <v>709372.89014793898</v>
      </c>
      <c r="AO55" s="121">
        <f t="shared" si="72"/>
        <v>695114.49505596526</v>
      </c>
      <c r="AP55" s="121">
        <f t="shared" si="33"/>
        <v>14258.395091973571</v>
      </c>
      <c r="AQ55" s="121">
        <f t="shared" si="72"/>
        <v>877853.3283950669</v>
      </c>
      <c r="AR55" s="121">
        <f t="shared" si="72"/>
        <v>18006.788346505607</v>
      </c>
      <c r="AS55" s="121">
        <f t="shared" si="72"/>
        <v>895860.11674157239</v>
      </c>
      <c r="AT55" s="121">
        <f>+AS55/AN55-1</f>
        <v>0.26289026432169083</v>
      </c>
      <c r="AU55" s="121">
        <f t="shared" ref="AU55:AZ55" si="73">SUM(AU4:AU54)</f>
        <v>732975.07073418098</v>
      </c>
      <c r="AV55" s="121">
        <f t="shared" si="73"/>
        <v>718242.27181242383</v>
      </c>
      <c r="AW55" s="121">
        <f t="shared" si="37"/>
        <v>14732.798921757036</v>
      </c>
      <c r="AX55" s="121">
        <f t="shared" si="73"/>
        <v>751601.66939667973</v>
      </c>
      <c r="AY55" s="121">
        <f t="shared" si="73"/>
        <v>15417.076798523589</v>
      </c>
      <c r="AZ55" s="121">
        <f t="shared" si="73"/>
        <v>767018.74619520339</v>
      </c>
      <c r="BA55" s="121">
        <f>+AZ55/AU55-1</f>
        <v>4.6445884478612198E-2</v>
      </c>
      <c r="BB55" s="121">
        <f t="shared" ref="BB55:BG55" si="74">SUM(BB4:BB54)</f>
        <v>719172.82607516192</v>
      </c>
      <c r="BC55" s="121">
        <f t="shared" si="74"/>
        <v>704717.45227105112</v>
      </c>
      <c r="BD55" s="121">
        <f t="shared" si="41"/>
        <v>14455.373804110752</v>
      </c>
      <c r="BE55" s="121">
        <f t="shared" si="74"/>
        <v>0</v>
      </c>
      <c r="BF55" s="121">
        <f t="shared" si="74"/>
        <v>0</v>
      </c>
      <c r="BG55" s="121">
        <f t="shared" si="74"/>
        <v>0</v>
      </c>
      <c r="BH55" s="121">
        <f>+BG55/BB55-1</f>
        <v>-1</v>
      </c>
      <c r="BI55" s="121">
        <f t="shared" ref="BI55:BN55" si="75">SUM(BI4:BI54)</f>
        <v>406555.02976223518</v>
      </c>
      <c r="BJ55" s="121">
        <f t="shared" si="75"/>
        <v>398383.27366401418</v>
      </c>
      <c r="BK55" s="121">
        <f t="shared" si="45"/>
        <v>8171.7560982209252</v>
      </c>
      <c r="BL55" s="121">
        <f t="shared" si="75"/>
        <v>0</v>
      </c>
      <c r="BM55" s="121">
        <f t="shared" si="75"/>
        <v>0</v>
      </c>
      <c r="BN55" s="121">
        <f t="shared" si="75"/>
        <v>0</v>
      </c>
      <c r="BO55" s="121">
        <f>+BN55/BI55-1</f>
        <v>-1</v>
      </c>
      <c r="BP55" s="121">
        <f t="shared" ref="BP55:BU55" si="76">SUM(BP4:BP54)</f>
        <v>472489.2002228279</v>
      </c>
      <c r="BQ55" s="121">
        <f t="shared" si="76"/>
        <v>462992.16729834891</v>
      </c>
      <c r="BR55" s="121">
        <f t="shared" si="49"/>
        <v>9497.032924478839</v>
      </c>
      <c r="BS55" s="121">
        <f t="shared" si="76"/>
        <v>0</v>
      </c>
      <c r="BT55" s="121">
        <f t="shared" si="76"/>
        <v>0</v>
      </c>
      <c r="BU55" s="121">
        <f t="shared" si="76"/>
        <v>0</v>
      </c>
      <c r="BV55" s="121">
        <f>+BU55/BP55-1</f>
        <v>-1</v>
      </c>
      <c r="BW55" s="121">
        <f t="shared" ref="BW55:CB55" si="77">SUM(BW4:BW54)</f>
        <v>378120.33486612333</v>
      </c>
      <c r="BX55" s="121">
        <f t="shared" si="77"/>
        <v>370520.11613531422</v>
      </c>
      <c r="BY55" s="121">
        <f t="shared" si="53"/>
        <v>7600.2187308090779</v>
      </c>
      <c r="BZ55" s="121">
        <f t="shared" si="77"/>
        <v>0</v>
      </c>
      <c r="CA55" s="121">
        <f t="shared" si="77"/>
        <v>0</v>
      </c>
      <c r="CB55" s="121">
        <f t="shared" si="77"/>
        <v>0</v>
      </c>
      <c r="CC55" s="121">
        <f>+CB55/BW55-1</f>
        <v>-1</v>
      </c>
      <c r="CD55" s="121">
        <f t="shared" ref="CD55:CI55" si="78">SUM(CD4:CD54)</f>
        <v>330729.42421255243</v>
      </c>
      <c r="CE55" s="121">
        <f t="shared" si="78"/>
        <v>324081.76278588001</v>
      </c>
      <c r="CF55" s="121">
        <f t="shared" si="57"/>
        <v>6647.6614266723027</v>
      </c>
      <c r="CG55" s="121">
        <f t="shared" si="78"/>
        <v>0</v>
      </c>
      <c r="CH55" s="121">
        <f t="shared" si="78"/>
        <v>0</v>
      </c>
      <c r="CI55" s="121">
        <f t="shared" si="78"/>
        <v>0</v>
      </c>
      <c r="CJ55" s="121">
        <f>+CI55/CD55-1</f>
        <v>-1</v>
      </c>
      <c r="CK55" s="121">
        <f t="shared" ref="CK55:CP55" si="79">SUM(CK4:CK54)</f>
        <v>330808.85921896453</v>
      </c>
      <c r="CL55" s="121">
        <f t="shared" si="79"/>
        <v>324159.60114866321</v>
      </c>
      <c r="CM55" s="121">
        <f t="shared" si="61"/>
        <v>6649.2580703011854</v>
      </c>
      <c r="CN55" s="121">
        <f t="shared" si="79"/>
        <v>0</v>
      </c>
      <c r="CO55" s="121">
        <f t="shared" si="79"/>
        <v>0</v>
      </c>
      <c r="CP55" s="121">
        <f t="shared" si="79"/>
        <v>0</v>
      </c>
      <c r="CQ55" s="121">
        <f>+CP55/CK55-1</f>
        <v>-1</v>
      </c>
      <c r="CR55" s="72"/>
      <c r="CS55" s="200"/>
      <c r="CT55" s="200"/>
      <c r="CU55" s="200"/>
      <c r="CV55" s="200"/>
      <c r="CW55" s="200"/>
      <c r="CX55" s="200"/>
      <c r="CY55" s="200"/>
      <c r="CZ55" s="200"/>
      <c r="DA55" s="200"/>
      <c r="DB55" s="200"/>
      <c r="DC55" s="200"/>
      <c r="DD55" s="200"/>
      <c r="DE55" s="72"/>
      <c r="DF55" s="72"/>
    </row>
    <row r="56" spans="1:110" s="26" customFormat="1" ht="16" customHeight="1" x14ac:dyDescent="0.2">
      <c r="A56" s="125" t="s">
        <v>80</v>
      </c>
      <c r="B56" s="75">
        <f>+L56+S56+Z56+AG56+AN56+AU56+BB56+BI56+BP56+BW56+CD56+CK56</f>
        <v>-108056.23536332179</v>
      </c>
      <c r="C56" s="76">
        <f t="shared" ref="C56:D57" si="80">+M56+T56+AA56+AH56+AO56+AV56+BC56+BJ56+BQ56+BX56+CE56+CL56</f>
        <v>-105884.30503251898</v>
      </c>
      <c r="D56" s="77">
        <f t="shared" si="80"/>
        <v>-2171.9303308027679</v>
      </c>
      <c r="E56" s="75">
        <f>+L56+S56+Z56+AG56</f>
        <v>-36018.745121107262</v>
      </c>
      <c r="F56" s="78">
        <f t="shared" ref="F56:G57" si="81">+M56+T56+AA56+AH56</f>
        <v>-35294.768344173004</v>
      </c>
      <c r="G56" s="79">
        <f t="shared" si="81"/>
        <v>-723.97677693425578</v>
      </c>
      <c r="H56" s="76">
        <f t="shared" ref="H56:J57" si="82">+O56+V56+AC56+AJ56+AQ56+AX56+BE56+BL56+BS56+BZ56+CG56+CN56</f>
        <v>-85144.025953074059</v>
      </c>
      <c r="I56" s="78">
        <f t="shared" si="82"/>
        <v>-1746.4995628704849</v>
      </c>
      <c r="J56" s="78">
        <f t="shared" si="82"/>
        <v>-86890.525515944551</v>
      </c>
      <c r="K56" s="25">
        <f t="shared" ref="K56:K57" si="83">IF(E56=0,"",(+J56/E56-1))</f>
        <v>1.4123695932156735</v>
      </c>
      <c r="L56" s="23">
        <f>'[1]CB I'!$E56</f>
        <v>-9004.6862802768155</v>
      </c>
      <c r="M56" s="18">
        <f t="shared" ref="M56:M57" si="84">L56-N56</f>
        <v>-8823.692086043251</v>
      </c>
      <c r="N56" s="18">
        <f t="shared" si="17"/>
        <v>-180.99419423356395</v>
      </c>
      <c r="O56" s="18">
        <f t="shared" ref="O56:O57" si="85">+Q56-P56</f>
        <v>0</v>
      </c>
      <c r="P56" s="18">
        <f t="shared" ref="P56:P57" si="86">+Q56*2.01%</f>
        <v>0</v>
      </c>
      <c r="Q56" s="18">
        <f>CS56*'[2]CAMBARÁ - CITROS'!$U$5</f>
        <v>0</v>
      </c>
      <c r="R56" s="18">
        <f t="shared" ref="R56:R57" si="87">IF(L56=0,"",(+Q56/L56-1))</f>
        <v>-1</v>
      </c>
      <c r="S56" s="18">
        <f>'[1]CB I'!$F56</f>
        <v>-9004.6862802768155</v>
      </c>
      <c r="T56" s="18">
        <f t="shared" ref="T56:T57" si="88">S56-U56</f>
        <v>-8823.692086043251</v>
      </c>
      <c r="U56" s="18">
        <f t="shared" si="21"/>
        <v>-180.99419423356395</v>
      </c>
      <c r="V56" s="18">
        <f t="shared" ref="V56:V57" si="89">+X56-W56</f>
        <v>-42548.698097716231</v>
      </c>
      <c r="W56" s="18">
        <f t="shared" ref="W56:W57" si="90">+X56*2.01%</f>
        <v>-872.77153971231348</v>
      </c>
      <c r="X56" s="18">
        <f>CT56*'[2]CAMBARÁ - CITROS'!$U$5</f>
        <v>-43421.469637428541</v>
      </c>
      <c r="Y56" s="18">
        <f>IF(S56=0,"",(+X56/S56-1))</f>
        <v>3.8220968822129482</v>
      </c>
      <c r="Z56" s="18">
        <f>'[1]CB I'!$G56</f>
        <v>-9004.6862802768155</v>
      </c>
      <c r="AA56" s="18">
        <f t="shared" ref="AA56:AA57" si="91">Z56-AB56</f>
        <v>-8823.692086043251</v>
      </c>
      <c r="AB56" s="18">
        <f t="shared" si="25"/>
        <v>-180.99419423356395</v>
      </c>
      <c r="AC56" s="18">
        <f t="shared" ref="AC56:AC57" si="92">+AE56-AD56</f>
        <v>1744.970794723539</v>
      </c>
      <c r="AD56" s="18">
        <f t="shared" ref="AD56:AD57" si="93">+AE56*2.01%</f>
        <v>35.79335949989094</v>
      </c>
      <c r="AE56" s="18">
        <f>CU56*'[2]CAMBARÁ - CITROS'!$U$5</f>
        <v>1780.7641542234301</v>
      </c>
      <c r="AF56" s="18">
        <f t="shared" ref="AF56:AF57" si="94">IF(Z56=0,"",(+AE56/Z56-1))</f>
        <v>-1.197759710754597</v>
      </c>
      <c r="AG56" s="18">
        <f>'[1]CB I'!$H56</f>
        <v>-9004.6862802768155</v>
      </c>
      <c r="AH56" s="18">
        <f t="shared" ref="AH56:AH57" si="95">AG56-AI56</f>
        <v>-8823.692086043251</v>
      </c>
      <c r="AI56" s="18">
        <f t="shared" si="29"/>
        <v>-180.99419423356395</v>
      </c>
      <c r="AJ56" s="18">
        <f t="shared" ref="AJ56:AJ57" si="96">+AL56-AK56</f>
        <v>-25926.265848124796</v>
      </c>
      <c r="AK56" s="18">
        <f t="shared" ref="AK56:AK57" si="97">+AL56*2.01%</f>
        <v>-531.80726966762768</v>
      </c>
      <c r="AL56" s="18">
        <f>CV56*'[2]CAMBARÁ - CITROS'!$U$5</f>
        <v>-26458.073117792424</v>
      </c>
      <c r="AM56" s="18">
        <f t="shared" ref="AM56:AM57" si="98">IF(AG56=0,"",(+AL56/AG56-1))</f>
        <v>1.9382559585384098</v>
      </c>
      <c r="AN56" s="18">
        <f>'[1]CB I'!$I56</f>
        <v>-9004.6862802768155</v>
      </c>
      <c r="AO56" s="18">
        <f t="shared" ref="AO56:AO57" si="99">AN56-AP56</f>
        <v>-8823.692086043251</v>
      </c>
      <c r="AP56" s="18">
        <f t="shared" si="33"/>
        <v>-180.99419423356395</v>
      </c>
      <c r="AQ56" s="18">
        <f t="shared" ref="AQ56:AQ57" si="100">+AS56-AR56</f>
        <v>-20815.03417764702</v>
      </c>
      <c r="AR56" s="18">
        <f t="shared" ref="AR56:AR57" si="101">+AS56*2.01%</f>
        <v>-426.96416672181346</v>
      </c>
      <c r="AS56" s="18">
        <v>-21241.998344368832</v>
      </c>
      <c r="AT56" s="18">
        <f t="shared" ref="AT56:AT57" si="102">IF(AN56=0,"",(+AS56/AN56-1))</f>
        <v>1.3589937154052443</v>
      </c>
      <c r="AU56" s="18">
        <f>'[1]CB I'!$J56</f>
        <v>-9004.6862802768155</v>
      </c>
      <c r="AV56" s="18">
        <f t="shared" ref="AV56:AV57" si="103">AU56-AW56</f>
        <v>-8823.692086043251</v>
      </c>
      <c r="AW56" s="18">
        <f t="shared" si="37"/>
        <v>-180.99419423356395</v>
      </c>
      <c r="AX56" s="18">
        <f t="shared" ref="AX56:AX57" si="104">+AZ56-AY56</f>
        <v>2401.00137569045</v>
      </c>
      <c r="AY56" s="18">
        <f t="shared" ref="AY56:AY57" si="105">+AZ56*2.01%</f>
        <v>49.250053731378742</v>
      </c>
      <c r="AZ56" s="18">
        <v>2450.2514294218286</v>
      </c>
      <c r="BA56" s="18">
        <f t="shared" ref="BA56:BA57" si="106">IF(AU56=0,"",(+AZ56/AU56-1))</f>
        <v>-1.2721084725393126</v>
      </c>
      <c r="BB56" s="18">
        <f>'[1]CB I'!$K56</f>
        <v>-9004.6862802768155</v>
      </c>
      <c r="BC56" s="18">
        <f t="shared" ref="BC56:BC57" si="107">BB56-BD56</f>
        <v>-8823.692086043251</v>
      </c>
      <c r="BD56" s="18">
        <f t="shared" si="41"/>
        <v>-180.99419423356395</v>
      </c>
      <c r="BE56" s="18">
        <f t="shared" ref="BE56:BE57" si="108">+BG56-BF56</f>
        <v>0</v>
      </c>
      <c r="BF56" s="18">
        <f t="shared" ref="BF56:BF57" si="109">+BG56*2.01%</f>
        <v>0</v>
      </c>
      <c r="BG56" s="18">
        <f>CY56*'[3]CAMBARÁ - CITROS'!$U$5</f>
        <v>0</v>
      </c>
      <c r="BH56" s="18">
        <f t="shared" ref="BH56:BH57" si="110">IF(BB56=0,"",(+BG56/BB56-1))</f>
        <v>-1</v>
      </c>
      <c r="BI56" s="18">
        <f>'[1]CB I'!$L56</f>
        <v>-9004.6862802768155</v>
      </c>
      <c r="BJ56" s="18">
        <f t="shared" ref="BJ56:BJ57" si="111">BI56-BK56</f>
        <v>-8823.692086043251</v>
      </c>
      <c r="BK56" s="18">
        <f t="shared" si="45"/>
        <v>-180.99419423356395</v>
      </c>
      <c r="BL56" s="18">
        <f t="shared" ref="BL56:BL57" si="112">+BN56-BM56</f>
        <v>0</v>
      </c>
      <c r="BM56" s="18">
        <f t="shared" ref="BM56:BM57" si="113">+BN56*2.01%</f>
        <v>0</v>
      </c>
      <c r="BN56" s="18">
        <f>CZ56*'[3]CAMBARÁ - CITROS'!$U$5</f>
        <v>0</v>
      </c>
      <c r="BO56" s="18">
        <f t="shared" ref="BO56:BO57" si="114">IF(BI56=0,"",(+BN56/BI56-1))</f>
        <v>-1</v>
      </c>
      <c r="BP56" s="18">
        <f>'[1]CB I'!$M56</f>
        <v>-9004.6862802768155</v>
      </c>
      <c r="BQ56" s="18">
        <f t="shared" ref="BQ56:BQ57" si="115">BP56-BR56</f>
        <v>-8823.692086043251</v>
      </c>
      <c r="BR56" s="18">
        <f t="shared" si="49"/>
        <v>-180.99419423356395</v>
      </c>
      <c r="BS56" s="18">
        <f t="shared" ref="BS56:BS57" si="116">+BU56-BT56</f>
        <v>0</v>
      </c>
      <c r="BT56" s="18">
        <f t="shared" ref="BT56:BT57" si="117">+BU56*2.01%</f>
        <v>0</v>
      </c>
      <c r="BU56" s="18">
        <f>DA56*'[3]CAMBARÁ - CITROS'!$U$5</f>
        <v>0</v>
      </c>
      <c r="BV56" s="18">
        <f t="shared" ref="BV56:BV57" si="118">IF(BP56=0,"",(+BU56/BP56-1))</f>
        <v>-1</v>
      </c>
      <c r="BW56" s="18">
        <f>'[1]CB I'!$N56</f>
        <v>-9004.6862802768155</v>
      </c>
      <c r="BX56" s="18">
        <f t="shared" ref="BX56:BX57" si="119">BW56-BY56</f>
        <v>-8823.692086043251</v>
      </c>
      <c r="BY56" s="18">
        <f t="shared" si="53"/>
        <v>-180.99419423356395</v>
      </c>
      <c r="BZ56" s="18">
        <f t="shared" ref="BZ56:BZ57" si="120">+CB56-CA56</f>
        <v>0</v>
      </c>
      <c r="CA56" s="18">
        <f t="shared" ref="CA56:CA57" si="121">+CB56*2.01%</f>
        <v>0</v>
      </c>
      <c r="CB56" s="18">
        <f>DB56*'[3]CAMBARÁ - CITROS'!$U$5</f>
        <v>0</v>
      </c>
      <c r="CC56" s="18">
        <f t="shared" ref="CC56:CC57" si="122">IF(BW56=0,"",(+CB56/BW56-1))</f>
        <v>-1</v>
      </c>
      <c r="CD56" s="18">
        <f>'[1]CB I'!$O56</f>
        <v>-9004.6862802768155</v>
      </c>
      <c r="CE56" s="18">
        <f t="shared" ref="CE56:CE57" si="123">CD56-CF56</f>
        <v>-8823.692086043251</v>
      </c>
      <c r="CF56" s="18">
        <f t="shared" si="57"/>
        <v>-180.99419423356395</v>
      </c>
      <c r="CG56" s="18">
        <f t="shared" ref="CG56:CG57" si="124">+CI56-CH56</f>
        <v>0</v>
      </c>
      <c r="CH56" s="18">
        <f t="shared" ref="CH56:CH57" si="125">+CI56*2.01%</f>
        <v>0</v>
      </c>
      <c r="CI56" s="18">
        <f>DC56*'[3]CAMBARÁ - CITROS'!$U$5</f>
        <v>0</v>
      </c>
      <c r="CJ56" s="18">
        <f t="shared" ref="CJ56:CJ57" si="126">IF(CD56=0,"",(+CI56/CD56-1))</f>
        <v>-1</v>
      </c>
      <c r="CK56" s="18">
        <f>'[1]CB I'!$P56</f>
        <v>-9004.6862802768155</v>
      </c>
      <c r="CL56" s="18">
        <f t="shared" ref="CL56:CL57" si="127">CK56-CM56</f>
        <v>-8823.692086043251</v>
      </c>
      <c r="CM56" s="18">
        <f t="shared" si="61"/>
        <v>-180.99419423356395</v>
      </c>
      <c r="CN56" s="18">
        <f t="shared" ref="CN56:CN57" si="128">+CP56-CO56</f>
        <v>0</v>
      </c>
      <c r="CO56" s="18">
        <f t="shared" ref="CO56:CO57" si="129">+CP56*2.01%</f>
        <v>0</v>
      </c>
      <c r="CP56" s="18">
        <f>DD56*'[3]CAMBARÁ - CITROS'!$U$5</f>
        <v>0</v>
      </c>
      <c r="CQ56" s="18">
        <f t="shared" ref="CQ56:CQ57" si="130">IF(CK56=0,"",(+CP56/CK56-1))</f>
        <v>-1</v>
      </c>
      <c r="CS56" s="197"/>
      <c r="CT56" s="197">
        <v>-70562.039999999994</v>
      </c>
      <c r="CU56" s="197">
        <f>2893.83</f>
        <v>2893.83</v>
      </c>
      <c r="CV56" s="197">
        <f>-46401.46+3405.78</f>
        <v>-42995.68</v>
      </c>
      <c r="CW56" s="197"/>
      <c r="CX56" s="197"/>
      <c r="CY56" s="197"/>
      <c r="CZ56" s="197"/>
      <c r="DA56" s="197"/>
      <c r="DB56" s="197"/>
      <c r="DC56" s="197"/>
      <c r="DD56" s="197"/>
      <c r="DE56" s="198"/>
      <c r="DF56" s="198"/>
    </row>
    <row r="57" spans="1:110" s="26" customFormat="1" ht="16" customHeight="1" thickBot="1" x14ac:dyDescent="0.25">
      <c r="A57" s="126" t="s">
        <v>81</v>
      </c>
      <c r="B57" s="52">
        <f>+L57+S57+Z57+AG57+AN57+AU57+BB57+BI57+BP57+BW57+CD57+CK57</f>
        <v>-36018.745121107262</v>
      </c>
      <c r="C57" s="40">
        <f t="shared" si="80"/>
        <v>-35294.768344172997</v>
      </c>
      <c r="D57" s="51">
        <f t="shared" si="80"/>
        <v>-723.97677693425567</v>
      </c>
      <c r="E57" s="50">
        <f>+L57+S57+Z57+AG57</f>
        <v>-12006.248373702421</v>
      </c>
      <c r="F57" s="58">
        <f t="shared" si="81"/>
        <v>-11764.922781391002</v>
      </c>
      <c r="G57" s="85">
        <f t="shared" si="81"/>
        <v>-241.32559231141863</v>
      </c>
      <c r="H57" s="57">
        <f t="shared" si="82"/>
        <v>-18088.571203747935</v>
      </c>
      <c r="I57" s="58">
        <f t="shared" si="82"/>
        <v>-371.03814796952082</v>
      </c>
      <c r="J57" s="58">
        <f t="shared" si="82"/>
        <v>-18459.60935171746</v>
      </c>
      <c r="K57" s="127">
        <f t="shared" si="83"/>
        <v>0.53750020632173423</v>
      </c>
      <c r="L57" s="56">
        <f>'[1]CB I'!$E57</f>
        <v>-3001.5620934256053</v>
      </c>
      <c r="M57" s="57">
        <f t="shared" si="84"/>
        <v>-2941.2306953477505</v>
      </c>
      <c r="N57" s="57">
        <f t="shared" si="17"/>
        <v>-60.331398077854658</v>
      </c>
      <c r="O57" s="57">
        <f t="shared" si="85"/>
        <v>-11488.069614376405</v>
      </c>
      <c r="P57" s="57">
        <f t="shared" si="86"/>
        <v>-235.64669787627889</v>
      </c>
      <c r="Q57" s="57">
        <f>CS57*'[2]CAMBARÁ - CITROS'!$U$5</f>
        <v>-11723.716312252684</v>
      </c>
      <c r="R57" s="57">
        <f t="shared" si="87"/>
        <v>2.9058716586045064</v>
      </c>
      <c r="S57" s="57">
        <f>'[1]CB I'!$F57</f>
        <v>-3001.5620934256053</v>
      </c>
      <c r="T57" s="57">
        <f t="shared" si="88"/>
        <v>-2941.2306953477505</v>
      </c>
      <c r="U57" s="57">
        <f t="shared" si="21"/>
        <v>-60.331398077854658</v>
      </c>
      <c r="V57" s="57">
        <f t="shared" si="89"/>
        <v>-1697.3762418895687</v>
      </c>
      <c r="W57" s="57">
        <f t="shared" si="90"/>
        <v>-34.817085888335875</v>
      </c>
      <c r="X57" s="57">
        <f>CT57*'[2]CAMBARÁ - CITROS'!$U$5</f>
        <v>-1732.1933277779046</v>
      </c>
      <c r="Y57" s="57">
        <f>IF(S57=0,"",(+X57/S57-1))</f>
        <v>-0.42290271736441165</v>
      </c>
      <c r="Z57" s="57">
        <f>'[1]CB I'!$G57</f>
        <v>-3001.5620934256053</v>
      </c>
      <c r="AA57" s="57">
        <f t="shared" si="91"/>
        <v>-2941.2306953477505</v>
      </c>
      <c r="AB57" s="57">
        <f t="shared" si="25"/>
        <v>-60.331398077854658</v>
      </c>
      <c r="AC57" s="57">
        <f t="shared" si="92"/>
        <v>-7462.8053824687422</v>
      </c>
      <c r="AD57" s="57">
        <f t="shared" si="93"/>
        <v>-153.07928175081304</v>
      </c>
      <c r="AE57" s="57">
        <f>CU57*'[2]CAMBARÁ - CITROS'!$U$5</f>
        <v>-7615.8846642195549</v>
      </c>
      <c r="AF57" s="57">
        <f t="shared" si="94"/>
        <v>1.5373070511853855</v>
      </c>
      <c r="AG57" s="57">
        <f>'[1]CB I'!$H57</f>
        <v>-3001.5620934256053</v>
      </c>
      <c r="AH57" s="57">
        <f t="shared" si="95"/>
        <v>-2941.2306953477505</v>
      </c>
      <c r="AI57" s="57">
        <f t="shared" si="29"/>
        <v>-60.331398077854658</v>
      </c>
      <c r="AJ57" s="57">
        <f t="shared" si="96"/>
        <v>0</v>
      </c>
      <c r="AK57" s="57">
        <f t="shared" si="97"/>
        <v>0</v>
      </c>
      <c r="AL57" s="57">
        <f>CV57*'[2]CAMBARÁ - CITROS'!$U$5</f>
        <v>0</v>
      </c>
      <c r="AM57" s="57">
        <f t="shared" si="98"/>
        <v>-1</v>
      </c>
      <c r="AN57" s="57">
        <f>'[1]CB I'!$I57</f>
        <v>-3001.5620934256053</v>
      </c>
      <c r="AO57" s="57">
        <f t="shared" si="99"/>
        <v>-2941.2306953477505</v>
      </c>
      <c r="AP57" s="57">
        <f t="shared" si="33"/>
        <v>-60.331398077854658</v>
      </c>
      <c r="AQ57" s="57">
        <f t="shared" si="100"/>
        <v>1080.9866833894671</v>
      </c>
      <c r="AR57" s="57">
        <f t="shared" si="101"/>
        <v>22.173520089935995</v>
      </c>
      <c r="AS57" s="57">
        <v>1103.160203479403</v>
      </c>
      <c r="AT57" s="57">
        <f t="shared" si="102"/>
        <v>-1.3675286964396578</v>
      </c>
      <c r="AU57" s="57">
        <f>'[1]CB I'!$J57</f>
        <v>-3001.5620934256053</v>
      </c>
      <c r="AV57" s="57">
        <f t="shared" si="103"/>
        <v>-2941.2306953477505</v>
      </c>
      <c r="AW57" s="57">
        <f t="shared" si="37"/>
        <v>-60.331398077854658</v>
      </c>
      <c r="AX57" s="57">
        <f t="shared" si="104"/>
        <v>1478.6933515973126</v>
      </c>
      <c r="AY57" s="57">
        <f t="shared" si="105"/>
        <v>30.331397455970993</v>
      </c>
      <c r="AZ57" s="57">
        <v>1509.0247490532836</v>
      </c>
      <c r="BA57" s="57">
        <f t="shared" si="106"/>
        <v>-1.5027464706988862</v>
      </c>
      <c r="BB57" s="57">
        <f>'[1]CB I'!$K57</f>
        <v>-3001.5620934256053</v>
      </c>
      <c r="BC57" s="57">
        <f t="shared" si="107"/>
        <v>-2941.2306953477505</v>
      </c>
      <c r="BD57" s="57">
        <f t="shared" si="41"/>
        <v>-60.331398077854658</v>
      </c>
      <c r="BE57" s="57">
        <f t="shared" si="108"/>
        <v>0</v>
      </c>
      <c r="BF57" s="57">
        <f t="shared" si="109"/>
        <v>0</v>
      </c>
      <c r="BG57" s="57">
        <f>CY57*'[3]CAMBARÁ - CITROS'!$U$5</f>
        <v>0</v>
      </c>
      <c r="BH57" s="57">
        <f t="shared" si="110"/>
        <v>-1</v>
      </c>
      <c r="BI57" s="57">
        <f>'[1]CB I'!$L57</f>
        <v>-3001.5620934256053</v>
      </c>
      <c r="BJ57" s="57">
        <f t="shared" si="111"/>
        <v>-2941.2306953477505</v>
      </c>
      <c r="BK57" s="57">
        <f t="shared" si="45"/>
        <v>-60.331398077854658</v>
      </c>
      <c r="BL57" s="57">
        <f t="shared" si="112"/>
        <v>0</v>
      </c>
      <c r="BM57" s="57">
        <f t="shared" si="113"/>
        <v>0</v>
      </c>
      <c r="BN57" s="57">
        <f>CZ57*'[3]CAMBARÁ - CITROS'!$U$5</f>
        <v>0</v>
      </c>
      <c r="BO57" s="57">
        <f t="shared" si="114"/>
        <v>-1</v>
      </c>
      <c r="BP57" s="57">
        <f>'[1]CB I'!$M57</f>
        <v>-3001.5620934256053</v>
      </c>
      <c r="BQ57" s="57">
        <f t="shared" si="115"/>
        <v>-2941.2306953477505</v>
      </c>
      <c r="BR57" s="57">
        <f t="shared" si="49"/>
        <v>-60.331398077854658</v>
      </c>
      <c r="BS57" s="57">
        <f t="shared" si="116"/>
        <v>0</v>
      </c>
      <c r="BT57" s="57">
        <f t="shared" si="117"/>
        <v>0</v>
      </c>
      <c r="BU57" s="57">
        <f>DA57*'[3]CAMBARÁ - CITROS'!$U$5</f>
        <v>0</v>
      </c>
      <c r="BV57" s="57">
        <f t="shared" si="118"/>
        <v>-1</v>
      </c>
      <c r="BW57" s="57">
        <f>'[1]CB I'!$N57</f>
        <v>-3001.5620934256053</v>
      </c>
      <c r="BX57" s="57">
        <f t="shared" si="119"/>
        <v>-2941.2306953477505</v>
      </c>
      <c r="BY57" s="57">
        <f t="shared" si="53"/>
        <v>-60.331398077854658</v>
      </c>
      <c r="BZ57" s="57">
        <f t="shared" si="120"/>
        <v>0</v>
      </c>
      <c r="CA57" s="57">
        <f t="shared" si="121"/>
        <v>0</v>
      </c>
      <c r="CB57" s="57">
        <f>DB57*'[3]CAMBARÁ - CITROS'!$U$5</f>
        <v>0</v>
      </c>
      <c r="CC57" s="57">
        <f t="shared" si="122"/>
        <v>-1</v>
      </c>
      <c r="CD57" s="57">
        <f>'[1]CB I'!$O57</f>
        <v>-3001.5620934256053</v>
      </c>
      <c r="CE57" s="57">
        <f t="shared" si="123"/>
        <v>-2941.2306953477505</v>
      </c>
      <c r="CF57" s="57">
        <f t="shared" si="57"/>
        <v>-60.331398077854658</v>
      </c>
      <c r="CG57" s="57">
        <f t="shared" si="124"/>
        <v>0</v>
      </c>
      <c r="CH57" s="57">
        <f t="shared" si="125"/>
        <v>0</v>
      </c>
      <c r="CI57" s="57">
        <f>DC57*'[3]CAMBARÁ - CITROS'!$U$5</f>
        <v>0</v>
      </c>
      <c r="CJ57" s="57">
        <f t="shared" si="126"/>
        <v>-1</v>
      </c>
      <c r="CK57" s="57">
        <f>'[1]CB I'!$P57</f>
        <v>-3001.5620934256053</v>
      </c>
      <c r="CL57" s="57">
        <f t="shared" si="127"/>
        <v>-2941.2306953477505</v>
      </c>
      <c r="CM57" s="57">
        <f t="shared" si="61"/>
        <v>-60.331398077854658</v>
      </c>
      <c r="CN57" s="57">
        <f t="shared" si="128"/>
        <v>0</v>
      </c>
      <c r="CO57" s="57">
        <f t="shared" si="129"/>
        <v>0</v>
      </c>
      <c r="CP57" s="57">
        <f>DD57*'[3]CAMBARÁ - CITROS'!$U$5</f>
        <v>0</v>
      </c>
      <c r="CQ57" s="57">
        <f t="shared" si="130"/>
        <v>-1</v>
      </c>
      <c r="CS57" s="197">
        <v>-19051.62</v>
      </c>
      <c r="CT57" s="197">
        <v>-2814.9</v>
      </c>
      <c r="CU57" s="197">
        <v>-12376.19</v>
      </c>
      <c r="CV57" s="197"/>
      <c r="CW57" s="197"/>
      <c r="CX57" s="197"/>
      <c r="CY57" s="197"/>
      <c r="CZ57" s="197"/>
      <c r="DA57" s="197"/>
      <c r="DB57" s="197"/>
      <c r="DC57" s="197"/>
      <c r="DD57" s="197"/>
      <c r="DE57" s="198"/>
      <c r="DF57" s="198"/>
    </row>
    <row r="58" spans="1:110" s="26" customFormat="1" ht="16" customHeight="1" thickBot="1" x14ac:dyDescent="0.25">
      <c r="A58" s="131" t="s">
        <v>82</v>
      </c>
      <c r="B58" s="89">
        <f>+B55+B56+B57</f>
        <v>6759336.6268364042</v>
      </c>
      <c r="C58" s="90">
        <f t="shared" ref="C58:D58" si="131">+C55+C56+C57</f>
        <v>6623473.9606369948</v>
      </c>
      <c r="D58" s="91">
        <f t="shared" si="131"/>
        <v>135862.6661994117</v>
      </c>
      <c r="E58" s="92">
        <f t="shared" ref="E58:J58" si="132">SUM(E55:E57)</f>
        <v>2775162.9785860367</v>
      </c>
      <c r="F58" s="93">
        <f t="shared" si="132"/>
        <v>2719382.2027164577</v>
      </c>
      <c r="G58" s="94">
        <f t="shared" si="132"/>
        <v>55780.775869579338</v>
      </c>
      <c r="H58" s="95">
        <f t="shared" si="132"/>
        <v>4915875.5496153906</v>
      </c>
      <c r="I58" s="96">
        <f t="shared" si="132"/>
        <v>100835.90014008505</v>
      </c>
      <c r="J58" s="96">
        <f t="shared" si="132"/>
        <v>5016711.4497554768</v>
      </c>
      <c r="K58" s="132">
        <f>+J58/E55-1</f>
        <v>0.77696685426790091</v>
      </c>
      <c r="L58" s="133">
        <f t="shared" ref="L58:X58" si="133">SUM(L55:L57)</f>
        <v>650031.53158304514</v>
      </c>
      <c r="M58" s="133">
        <f t="shared" si="133"/>
        <v>636965.89779822587</v>
      </c>
      <c r="N58" s="133">
        <f t="shared" si="17"/>
        <v>13065.633784819205</v>
      </c>
      <c r="O58" s="133">
        <f t="shared" si="133"/>
        <v>836519.94015185884</v>
      </c>
      <c r="P58" s="133">
        <f t="shared" si="133"/>
        <v>17158.945603686454</v>
      </c>
      <c r="Q58" s="133">
        <f t="shared" si="133"/>
        <v>853678.88575554488</v>
      </c>
      <c r="R58" s="133">
        <f>+Q58/L55-1</f>
        <v>0.28947155525069501</v>
      </c>
      <c r="S58" s="133">
        <f t="shared" si="133"/>
        <v>601966.63343976741</v>
      </c>
      <c r="T58" s="133">
        <f t="shared" si="133"/>
        <v>589867.10410762788</v>
      </c>
      <c r="U58" s="133">
        <f t="shared" si="21"/>
        <v>12099.529332139322</v>
      </c>
      <c r="V58" s="133">
        <f t="shared" si="133"/>
        <v>659495.48469771491</v>
      </c>
      <c r="W58" s="133">
        <f t="shared" si="133"/>
        <v>13527.767366490531</v>
      </c>
      <c r="X58" s="133">
        <f t="shared" si="133"/>
        <v>673023.25206420547</v>
      </c>
      <c r="Y58" s="133">
        <f>+X58/S55-1</f>
        <v>9.6177489266823235E-2</v>
      </c>
      <c r="Z58" s="133">
        <f t="shared" ref="Z58:AE58" si="134">SUM(Z55:Z57)</f>
        <v>836875.05606089765</v>
      </c>
      <c r="AA58" s="133">
        <f t="shared" si="134"/>
        <v>820053.86743407359</v>
      </c>
      <c r="AB58" s="133">
        <f t="shared" si="25"/>
        <v>16821.188626824041</v>
      </c>
      <c r="AC58" s="133">
        <f t="shared" si="134"/>
        <v>983850.9995721532</v>
      </c>
      <c r="AD58" s="133">
        <f t="shared" si="134"/>
        <v>20181.044077355116</v>
      </c>
      <c r="AE58" s="133">
        <f t="shared" si="134"/>
        <v>1004032.0436495082</v>
      </c>
      <c r="AF58" s="133">
        <f>+AE58/Z55-1</f>
        <v>0.18277082838836534</v>
      </c>
      <c r="AG58" s="133">
        <f t="shared" ref="AG58:AL58" si="135">SUM(AG55:AG57)</f>
        <v>686289.75750232674</v>
      </c>
      <c r="AH58" s="133">
        <f t="shared" si="135"/>
        <v>672495.33337652998</v>
      </c>
      <c r="AI58" s="133">
        <f t="shared" si="29"/>
        <v>13794.424125796764</v>
      </c>
      <c r="AJ58" s="133">
        <f t="shared" si="135"/>
        <v>822408.48016888706</v>
      </c>
      <c r="AK58" s="133">
        <f t="shared" si="135"/>
        <v>16869.487142968286</v>
      </c>
      <c r="AL58" s="133">
        <f t="shared" si="135"/>
        <v>839277.96731185541</v>
      </c>
      <c r="AM58" s="133">
        <f>+AL58/AG55-1</f>
        <v>0.20189426869048299</v>
      </c>
      <c r="AN58" s="133">
        <f t="shared" ref="AN58:AS58" si="136">SUM(AN55:AN57)</f>
        <v>697366.64177423646</v>
      </c>
      <c r="AO58" s="133">
        <f t="shared" si="136"/>
        <v>683349.5722745742</v>
      </c>
      <c r="AP58" s="133">
        <f t="shared" si="33"/>
        <v>14017.06949966215</v>
      </c>
      <c r="AQ58" s="133">
        <f t="shared" si="136"/>
        <v>858119.28090080945</v>
      </c>
      <c r="AR58" s="133">
        <f t="shared" si="136"/>
        <v>17601.997699873729</v>
      </c>
      <c r="AS58" s="133">
        <f t="shared" si="136"/>
        <v>875721.27860068285</v>
      </c>
      <c r="AT58" s="133">
        <f>+AS58/AN55-1</f>
        <v>0.23450062831982788</v>
      </c>
      <c r="AU58" s="133">
        <f t="shared" ref="AU58:AZ58" si="137">SUM(AU55:AU57)</f>
        <v>720968.82236047846</v>
      </c>
      <c r="AV58" s="133">
        <f t="shared" si="137"/>
        <v>706477.34903103276</v>
      </c>
      <c r="AW58" s="133">
        <f t="shared" si="37"/>
        <v>14491.473329445615</v>
      </c>
      <c r="AX58" s="133">
        <f t="shared" si="137"/>
        <v>755481.36412396748</v>
      </c>
      <c r="AY58" s="133">
        <f t="shared" si="137"/>
        <v>15496.658249710939</v>
      </c>
      <c r="AZ58" s="133">
        <f t="shared" si="137"/>
        <v>770978.02237367851</v>
      </c>
      <c r="BA58" s="133">
        <f>+AZ58/AU55-1</f>
        <v>5.1847536371778746E-2</v>
      </c>
      <c r="BB58" s="133">
        <f t="shared" ref="BB58:BG58" si="138">SUM(BB55:BB57)</f>
        <v>707166.57770145941</v>
      </c>
      <c r="BC58" s="133">
        <f t="shared" si="138"/>
        <v>692952.52948966005</v>
      </c>
      <c r="BD58" s="133">
        <f t="shared" si="41"/>
        <v>14214.048211799331</v>
      </c>
      <c r="BE58" s="133">
        <f t="shared" si="138"/>
        <v>0</v>
      </c>
      <c r="BF58" s="133">
        <f t="shared" si="138"/>
        <v>0</v>
      </c>
      <c r="BG58" s="133">
        <f t="shared" si="138"/>
        <v>0</v>
      </c>
      <c r="BH58" s="133">
        <f>+BG58/BB55-1</f>
        <v>-1</v>
      </c>
      <c r="BI58" s="133">
        <f t="shared" ref="BI58:BN58" si="139">SUM(BI55:BI57)</f>
        <v>394548.78138853278</v>
      </c>
      <c r="BJ58" s="133">
        <f t="shared" si="139"/>
        <v>386618.35088262317</v>
      </c>
      <c r="BK58" s="133">
        <f t="shared" si="45"/>
        <v>7930.4305059095077</v>
      </c>
      <c r="BL58" s="133">
        <f t="shared" si="139"/>
        <v>0</v>
      </c>
      <c r="BM58" s="133">
        <f t="shared" si="139"/>
        <v>0</v>
      </c>
      <c r="BN58" s="133">
        <f t="shared" si="139"/>
        <v>0</v>
      </c>
      <c r="BO58" s="133">
        <f>+BN58/BI55-1</f>
        <v>-1</v>
      </c>
      <c r="BP58" s="133">
        <f t="shared" ref="BP58:BU58" si="140">SUM(BP55:BP57)</f>
        <v>460482.9518491255</v>
      </c>
      <c r="BQ58" s="133">
        <f t="shared" si="140"/>
        <v>451227.2445169579</v>
      </c>
      <c r="BR58" s="133">
        <f t="shared" si="49"/>
        <v>9255.7073321674216</v>
      </c>
      <c r="BS58" s="133">
        <f t="shared" si="140"/>
        <v>0</v>
      </c>
      <c r="BT58" s="133">
        <f t="shared" si="140"/>
        <v>0</v>
      </c>
      <c r="BU58" s="133">
        <f t="shared" si="140"/>
        <v>0</v>
      </c>
      <c r="BV58" s="133">
        <f>+BU58/BP55-1</f>
        <v>-1</v>
      </c>
      <c r="BW58" s="133">
        <f t="shared" ref="BW58:CB58" si="141">SUM(BW55:BW57)</f>
        <v>366114.08649242093</v>
      </c>
      <c r="BX58" s="133">
        <f t="shared" si="141"/>
        <v>358755.19335392321</v>
      </c>
      <c r="BY58" s="133">
        <f t="shared" si="53"/>
        <v>7358.8931384976595</v>
      </c>
      <c r="BZ58" s="133">
        <f t="shared" si="141"/>
        <v>0</v>
      </c>
      <c r="CA58" s="133">
        <f t="shared" si="141"/>
        <v>0</v>
      </c>
      <c r="CB58" s="133">
        <f t="shared" si="141"/>
        <v>0</v>
      </c>
      <c r="CC58" s="133">
        <f>+CB58/BW55-1</f>
        <v>-1</v>
      </c>
      <c r="CD58" s="133">
        <f t="shared" ref="CD58:CI58" si="142">SUM(CD55:CD57)</f>
        <v>318723.17583885003</v>
      </c>
      <c r="CE58" s="133">
        <f t="shared" si="142"/>
        <v>312316.840004489</v>
      </c>
      <c r="CF58" s="133">
        <f t="shared" si="57"/>
        <v>6406.3358343608843</v>
      </c>
      <c r="CG58" s="133">
        <f t="shared" si="142"/>
        <v>0</v>
      </c>
      <c r="CH58" s="133">
        <f t="shared" si="142"/>
        <v>0</v>
      </c>
      <c r="CI58" s="133">
        <f t="shared" si="142"/>
        <v>0</v>
      </c>
      <c r="CJ58" s="133">
        <f>+CI58/CD55-1</f>
        <v>-1</v>
      </c>
      <c r="CK58" s="133">
        <f t="shared" ref="CK58:CP58" si="143">SUM(CK55:CK57)</f>
        <v>318802.61084526213</v>
      </c>
      <c r="CL58" s="133">
        <f t="shared" si="143"/>
        <v>312394.67836727219</v>
      </c>
      <c r="CM58" s="133">
        <f t="shared" si="61"/>
        <v>6407.9324779897679</v>
      </c>
      <c r="CN58" s="133">
        <f t="shared" si="143"/>
        <v>0</v>
      </c>
      <c r="CO58" s="133">
        <f t="shared" si="143"/>
        <v>0</v>
      </c>
      <c r="CP58" s="133">
        <f t="shared" si="143"/>
        <v>0</v>
      </c>
      <c r="CQ58" s="133">
        <f>+CP58/CK55-1</f>
        <v>-1</v>
      </c>
      <c r="CS58" s="197"/>
      <c r="CT58" s="197"/>
      <c r="CU58" s="197"/>
      <c r="CV58" s="197"/>
      <c r="CW58" s="197"/>
      <c r="CX58" s="197"/>
      <c r="CY58" s="197"/>
      <c r="CZ58" s="197"/>
      <c r="DA58" s="197"/>
      <c r="DB58" s="197"/>
      <c r="DC58" s="197"/>
      <c r="DD58" s="197"/>
      <c r="DE58" s="198"/>
      <c r="DF58" s="198"/>
    </row>
    <row r="59" spans="1:110" ht="14.25" customHeight="1" x14ac:dyDescent="0.2">
      <c r="B59" s="155"/>
      <c r="C59" s="155"/>
      <c r="D59" s="155"/>
      <c r="J59" s="139">
        <f>J58-'[2]CAMBARÁ - CITROS'!$N$46</f>
        <v>1646699.3009743616</v>
      </c>
      <c r="K59" s="139"/>
      <c r="L59" s="139"/>
      <c r="M59" s="139"/>
      <c r="N59" s="139"/>
      <c r="O59" s="139"/>
      <c r="P59" s="139"/>
      <c r="Q59" s="139">
        <f>Q58-'[2]CAMBARÁ - CITROS'!$N$99</f>
        <v>0</v>
      </c>
      <c r="R59" s="139"/>
      <c r="S59" s="139"/>
      <c r="T59" s="139"/>
      <c r="U59" s="139"/>
      <c r="V59" s="139"/>
      <c r="W59" s="139"/>
      <c r="X59" s="139">
        <f>X58-'[2]CAMBARÁ - CITROS'!$N$151</f>
        <v>0</v>
      </c>
      <c r="Y59" s="201"/>
      <c r="AE59" s="139">
        <f>AE58-'[2]CAMBARÁ - CITROS'!$N$203</f>
        <v>0</v>
      </c>
      <c r="AL59" s="139">
        <f>AL58-'[2]CAMBARÁ - CITROS'!$N$256</f>
        <v>0</v>
      </c>
      <c r="AS59" s="139">
        <f>AS58-'[3]CAMBARÁ - CITROS'!$N$336</f>
        <v>875721.27860068285</v>
      </c>
      <c r="AZ59" s="164">
        <f>AZ58-'[3]CAMBARÁ - CITROS'!$N$393</f>
        <v>770978.02237367851</v>
      </c>
      <c r="BG59" s="164">
        <f>BG58-'[3]CAMBARÁ - CITROS'!$N$450</f>
        <v>0</v>
      </c>
      <c r="BI59" s="139"/>
      <c r="BJ59" s="139"/>
      <c r="BK59" s="139"/>
      <c r="BL59" s="139"/>
      <c r="BM59" s="139"/>
      <c r="BN59" s="202">
        <f>BN58-'[3]CAMBARÁ - CITROS'!$N$507</f>
        <v>0</v>
      </c>
      <c r="BO59" s="203"/>
      <c r="BP59" s="164"/>
      <c r="BQ59" s="164"/>
      <c r="BR59" s="164"/>
      <c r="BS59" s="164"/>
      <c r="BT59" s="164"/>
      <c r="BU59" s="139">
        <f>BU58-'[3]CAMBARÁ - CITROS'!$N$564</f>
        <v>0</v>
      </c>
      <c r="BV59" s="164"/>
      <c r="BW59" s="164"/>
      <c r="BX59" s="164"/>
      <c r="BY59" s="164"/>
      <c r="BZ59" s="164"/>
      <c r="CA59" s="164"/>
      <c r="CB59" s="139">
        <f>CB58-'[3]CAMBARÁ - CITROS'!$N$621</f>
        <v>0</v>
      </c>
      <c r="CC59" s="164"/>
      <c r="CD59" s="164"/>
      <c r="CE59" s="164"/>
      <c r="CF59" s="164"/>
      <c r="CG59" s="164"/>
      <c r="CH59" s="164"/>
      <c r="CI59" s="164">
        <f>CI58-'[3]CAMBARÁ - CITROS'!$N$678</f>
        <v>0</v>
      </c>
      <c r="CP59" s="202">
        <f>CP58-'[3]CAMBARÁ - CITROS'!$N$735</f>
        <v>0</v>
      </c>
      <c r="DE59" s="196"/>
      <c r="DF59" s="196"/>
    </row>
    <row r="60" spans="1:110" ht="14.25" customHeight="1" x14ac:dyDescent="0.2">
      <c r="L60" s="241" t="s">
        <v>83</v>
      </c>
      <c r="M60" s="242"/>
      <c r="N60" s="242"/>
      <c r="O60" s="242"/>
      <c r="P60" s="242"/>
      <c r="Q60" s="243"/>
      <c r="R60" s="244"/>
      <c r="S60" s="241" t="s">
        <v>83</v>
      </c>
      <c r="T60" s="242"/>
      <c r="U60" s="242"/>
      <c r="V60" s="242"/>
      <c r="W60" s="242"/>
      <c r="X60" s="243"/>
      <c r="Y60" s="244"/>
      <c r="Z60" s="241" t="s">
        <v>83</v>
      </c>
      <c r="AA60" s="242"/>
      <c r="AB60" s="242"/>
      <c r="AC60" s="242"/>
      <c r="AD60" s="242"/>
      <c r="AE60" s="243"/>
      <c r="AF60" s="244"/>
      <c r="AG60" s="241" t="s">
        <v>83</v>
      </c>
      <c r="AH60" s="242"/>
      <c r="AI60" s="242"/>
      <c r="AJ60" s="242"/>
      <c r="AK60" s="242"/>
      <c r="AL60" s="243"/>
      <c r="AM60" s="244"/>
      <c r="AN60" s="241" t="s">
        <v>83</v>
      </c>
      <c r="AO60" s="242"/>
      <c r="AP60" s="242"/>
      <c r="AQ60" s="242"/>
      <c r="AR60" s="242"/>
      <c r="AS60" s="243"/>
      <c r="AT60" s="244"/>
      <c r="AU60" s="241" t="s">
        <v>83</v>
      </c>
      <c r="AV60" s="242"/>
      <c r="AW60" s="242"/>
      <c r="AX60" s="242"/>
      <c r="AY60" s="242"/>
      <c r="AZ60" s="243"/>
      <c r="BA60" s="244"/>
      <c r="BB60" s="241" t="s">
        <v>83</v>
      </c>
      <c r="BC60" s="242"/>
      <c r="BD60" s="242"/>
      <c r="BE60" s="242"/>
      <c r="BF60" s="242"/>
      <c r="BG60" s="243"/>
      <c r="BH60" s="244"/>
      <c r="BI60" s="241" t="s">
        <v>83</v>
      </c>
      <c r="BJ60" s="242"/>
      <c r="BK60" s="242"/>
      <c r="BL60" s="242"/>
      <c r="BM60" s="242"/>
      <c r="BN60" s="243"/>
      <c r="BO60" s="244"/>
      <c r="BP60" s="241" t="s">
        <v>83</v>
      </c>
      <c r="BQ60" s="242"/>
      <c r="BR60" s="242"/>
      <c r="BS60" s="242"/>
      <c r="BT60" s="242"/>
      <c r="BU60" s="243"/>
      <c r="BV60" s="244"/>
      <c r="BW60" s="241" t="s">
        <v>83</v>
      </c>
      <c r="BX60" s="242"/>
      <c r="BY60" s="242"/>
      <c r="BZ60" s="242"/>
      <c r="CA60" s="242"/>
      <c r="CB60" s="243"/>
      <c r="CC60" s="244"/>
      <c r="CD60" s="241" t="s">
        <v>83</v>
      </c>
      <c r="CE60" s="242"/>
      <c r="CF60" s="242"/>
      <c r="CG60" s="242"/>
      <c r="CH60" s="242"/>
      <c r="CI60" s="243"/>
      <c r="CJ60" s="244"/>
      <c r="CK60" s="241" t="s">
        <v>83</v>
      </c>
      <c r="CL60" s="242"/>
      <c r="CM60" s="242"/>
      <c r="CN60" s="242"/>
      <c r="CO60" s="242"/>
      <c r="CP60" s="243"/>
      <c r="CQ60" s="244"/>
      <c r="DE60" s="196"/>
      <c r="DF60" s="196"/>
    </row>
    <row r="61" spans="1:110" ht="14.25" customHeight="1" x14ac:dyDescent="0.2">
      <c r="L61" s="107" t="s">
        <v>86</v>
      </c>
      <c r="M61" s="108"/>
      <c r="N61" s="108"/>
      <c r="O61" s="108"/>
      <c r="P61" s="108"/>
      <c r="Q61" s="109"/>
      <c r="R61" s="110">
        <f>1305.06-756</f>
        <v>549.05999999999995</v>
      </c>
      <c r="S61" s="107" t="s">
        <v>86</v>
      </c>
      <c r="T61" s="108"/>
      <c r="U61" s="108"/>
      <c r="V61" s="108"/>
      <c r="W61" s="108"/>
      <c r="X61" s="109"/>
      <c r="Y61" s="110">
        <v>387.12</v>
      </c>
      <c r="Z61" s="107" t="s">
        <v>86</v>
      </c>
      <c r="AA61" s="108"/>
      <c r="AB61" s="108"/>
      <c r="AC61" s="108"/>
      <c r="AD61" s="108"/>
      <c r="AE61" s="109"/>
      <c r="AF61" s="110">
        <v>591.53</v>
      </c>
      <c r="AG61" s="107" t="s">
        <v>86</v>
      </c>
      <c r="AH61" s="108"/>
      <c r="AI61" s="108"/>
      <c r="AJ61" s="108"/>
      <c r="AK61" s="108"/>
      <c r="AL61" s="109"/>
      <c r="AM61" s="110">
        <f>468.06</f>
        <v>468.06</v>
      </c>
      <c r="AN61" s="107"/>
      <c r="AO61" s="108"/>
      <c r="AP61" s="108"/>
      <c r="AQ61" s="108"/>
      <c r="AR61" s="108"/>
      <c r="AS61" s="109"/>
      <c r="AT61" s="110"/>
      <c r="AU61" s="107"/>
      <c r="AV61" s="108"/>
      <c r="AW61" s="108"/>
      <c r="AX61" s="108"/>
      <c r="AY61" s="108"/>
      <c r="AZ61" s="109"/>
      <c r="BA61" s="110"/>
      <c r="BB61" s="107"/>
      <c r="BC61" s="108"/>
      <c r="BD61" s="108"/>
      <c r="BE61" s="108"/>
      <c r="BF61" s="108"/>
      <c r="BG61" s="109"/>
      <c r="BH61" s="110"/>
      <c r="BI61" s="107"/>
      <c r="BJ61" s="108"/>
      <c r="BK61" s="108"/>
      <c r="BL61" s="108"/>
      <c r="BM61" s="108"/>
      <c r="BN61" s="109"/>
      <c r="BO61" s="110"/>
      <c r="BP61" s="107"/>
      <c r="BQ61" s="108"/>
      <c r="BR61" s="108"/>
      <c r="BS61" s="108"/>
      <c r="BT61" s="108"/>
      <c r="BU61" s="109"/>
      <c r="BV61" s="110"/>
      <c r="BW61" s="107"/>
      <c r="BX61" s="108"/>
      <c r="BY61" s="108"/>
      <c r="BZ61" s="108"/>
      <c r="CA61" s="108"/>
      <c r="CB61" s="109"/>
      <c r="CC61" s="110"/>
      <c r="CD61" s="107"/>
      <c r="CE61" s="108"/>
      <c r="CF61" s="108"/>
      <c r="CG61" s="108"/>
      <c r="CH61" s="108"/>
      <c r="CI61" s="109"/>
      <c r="CJ61" s="110"/>
      <c r="CK61" s="107"/>
      <c r="CL61" s="108"/>
      <c r="CM61" s="108"/>
      <c r="CN61" s="108"/>
      <c r="CO61" s="108"/>
      <c r="CP61" s="109"/>
      <c r="CQ61" s="110"/>
      <c r="CY61" s="155"/>
      <c r="DC61" s="111"/>
      <c r="DE61" s="196"/>
      <c r="DF61" s="196"/>
    </row>
    <row r="62" spans="1:110" ht="14.25" customHeight="1" x14ac:dyDescent="0.2">
      <c r="L62" s="107" t="s">
        <v>87</v>
      </c>
      <c r="M62" s="108"/>
      <c r="N62" s="108"/>
      <c r="O62" s="108"/>
      <c r="P62" s="108"/>
      <c r="Q62" s="109"/>
      <c r="R62" s="110">
        <f>793.74</f>
        <v>793.74</v>
      </c>
      <c r="S62" s="107" t="s">
        <v>87</v>
      </c>
      <c r="T62" s="108"/>
      <c r="U62" s="108"/>
      <c r="V62" s="108"/>
      <c r="W62" s="108"/>
      <c r="X62" s="109"/>
      <c r="Y62" s="110">
        <f>2651.05</f>
        <v>2651.05</v>
      </c>
      <c r="Z62" s="107" t="s">
        <v>87</v>
      </c>
      <c r="AA62" s="108"/>
      <c r="AB62" s="108"/>
      <c r="AC62" s="108"/>
      <c r="AD62" s="108"/>
      <c r="AE62" s="109"/>
      <c r="AF62" s="110">
        <f>751.59</f>
        <v>751.59</v>
      </c>
      <c r="AG62" s="107" t="s">
        <v>87</v>
      </c>
      <c r="AH62" s="108"/>
      <c r="AI62" s="108"/>
      <c r="AJ62" s="108"/>
      <c r="AK62" s="108"/>
      <c r="AL62" s="109"/>
      <c r="AM62" s="110">
        <f>487.78+120</f>
        <v>607.78</v>
      </c>
      <c r="AN62" s="107"/>
      <c r="AO62" s="108"/>
      <c r="AP62" s="108"/>
      <c r="AQ62" s="108"/>
      <c r="AR62" s="108"/>
      <c r="AS62" s="109"/>
      <c r="AT62" s="110"/>
      <c r="AU62" s="107"/>
      <c r="AV62" s="108"/>
      <c r="AW62" s="108"/>
      <c r="AX62" s="108"/>
      <c r="AY62" s="108"/>
      <c r="AZ62" s="109"/>
      <c r="BA62" s="110"/>
      <c r="BB62" s="107"/>
      <c r="BC62" s="108"/>
      <c r="BD62" s="108"/>
      <c r="BE62" s="108"/>
      <c r="BF62" s="108"/>
      <c r="BG62" s="109"/>
      <c r="BH62" s="110"/>
      <c r="BI62" s="107"/>
      <c r="BJ62" s="108"/>
      <c r="BK62" s="108"/>
      <c r="BL62" s="108"/>
      <c r="BM62" s="108"/>
      <c r="BN62" s="109"/>
      <c r="BO62" s="110"/>
      <c r="BP62" s="107"/>
      <c r="BQ62" s="108"/>
      <c r="BR62" s="108"/>
      <c r="BS62" s="108"/>
      <c r="BT62" s="108"/>
      <c r="BU62" s="109"/>
      <c r="BV62" s="110"/>
      <c r="BW62" s="107"/>
      <c r="BX62" s="108"/>
      <c r="BY62" s="108"/>
      <c r="BZ62" s="108"/>
      <c r="CA62" s="108"/>
      <c r="CB62" s="109"/>
      <c r="CC62" s="110"/>
      <c r="CD62" s="107"/>
      <c r="CE62" s="108"/>
      <c r="CF62" s="108"/>
      <c r="CG62" s="108"/>
      <c r="CH62" s="108"/>
      <c r="CI62" s="109"/>
      <c r="CJ62" s="110"/>
      <c r="CK62" s="107"/>
      <c r="CL62" s="108"/>
      <c r="CM62" s="108"/>
      <c r="CN62" s="108"/>
      <c r="CO62" s="108"/>
      <c r="CP62" s="109"/>
      <c r="CQ62" s="110"/>
      <c r="CY62" s="139"/>
      <c r="DC62" s="111"/>
      <c r="DE62" s="196"/>
      <c r="DF62" s="196"/>
    </row>
    <row r="63" spans="1:110" ht="14.25" customHeight="1" x14ac:dyDescent="0.2">
      <c r="L63" s="107"/>
      <c r="M63" s="108"/>
      <c r="N63" s="108"/>
      <c r="O63" s="108"/>
      <c r="P63" s="108"/>
      <c r="Q63" s="109"/>
      <c r="R63" s="110"/>
      <c r="S63" s="107"/>
      <c r="T63" s="108"/>
      <c r="U63" s="108"/>
      <c r="V63" s="108"/>
      <c r="W63" s="108"/>
      <c r="X63" s="109"/>
      <c r="Y63" s="110"/>
      <c r="Z63" s="107"/>
      <c r="AA63" s="108"/>
      <c r="AB63" s="108"/>
      <c r="AC63" s="108"/>
      <c r="AD63" s="108"/>
      <c r="AE63" s="109"/>
      <c r="AF63" s="110"/>
      <c r="AG63" s="107"/>
      <c r="AH63" s="108"/>
      <c r="AI63" s="108"/>
      <c r="AJ63" s="108"/>
      <c r="AK63" s="108"/>
      <c r="AL63" s="109"/>
      <c r="AM63" s="110"/>
      <c r="AN63" s="107"/>
      <c r="AO63" s="108"/>
      <c r="AP63" s="108"/>
      <c r="AQ63" s="108"/>
      <c r="AR63" s="108"/>
      <c r="AS63" s="109"/>
      <c r="AT63" s="110"/>
      <c r="AU63" s="107"/>
      <c r="AV63" s="108"/>
      <c r="AW63" s="108"/>
      <c r="AX63" s="108"/>
      <c r="AY63" s="108"/>
      <c r="AZ63" s="109"/>
      <c r="BA63" s="110"/>
      <c r="BB63" s="107"/>
      <c r="BC63" s="108"/>
      <c r="BD63" s="108"/>
      <c r="BE63" s="108"/>
      <c r="BF63" s="108"/>
      <c r="BG63" s="109"/>
      <c r="BH63" s="110"/>
      <c r="BI63" s="107"/>
      <c r="BJ63" s="108"/>
      <c r="BK63" s="108"/>
      <c r="BL63" s="108"/>
      <c r="BM63" s="108"/>
      <c r="BN63" s="109"/>
      <c r="BO63" s="110"/>
      <c r="BP63" s="107"/>
      <c r="BQ63" s="108"/>
      <c r="BR63" s="108"/>
      <c r="BS63" s="108"/>
      <c r="BT63" s="108"/>
      <c r="BU63" s="109"/>
      <c r="BV63" s="110"/>
      <c r="BW63" s="107"/>
      <c r="BX63" s="108"/>
      <c r="BY63" s="108"/>
      <c r="BZ63" s="108"/>
      <c r="CA63" s="108"/>
      <c r="CB63" s="109"/>
      <c r="CC63" s="110"/>
      <c r="CD63" s="107"/>
      <c r="CE63" s="108"/>
      <c r="CF63" s="108"/>
      <c r="CG63" s="108"/>
      <c r="CH63" s="108"/>
      <c r="CI63" s="109"/>
      <c r="CJ63" s="110"/>
      <c r="CK63" s="107"/>
      <c r="CL63" s="108"/>
      <c r="CM63" s="108"/>
      <c r="CN63" s="108"/>
      <c r="CO63" s="108"/>
      <c r="CP63" s="109"/>
      <c r="CQ63" s="110"/>
      <c r="CY63" s="139"/>
      <c r="DE63" s="196"/>
      <c r="DF63" s="196"/>
    </row>
    <row r="64" spans="1:110" ht="14.25" customHeight="1" x14ac:dyDescent="0.2">
      <c r="L64" s="107" t="s">
        <v>84</v>
      </c>
      <c r="M64" s="108"/>
      <c r="N64" s="108"/>
      <c r="O64" s="108"/>
      <c r="P64" s="108"/>
      <c r="Q64" s="109"/>
      <c r="R64" s="166">
        <f>13.9+864.43+50.09+4.34+80.82+3.28+780.35+229.68+122.5+410.15+48.67+8.2+7+44.64+508.92+61.83+1.16+864.43+7.19+780.63+4.13</f>
        <v>4896.34</v>
      </c>
      <c r="S64" s="107" t="s">
        <v>84</v>
      </c>
      <c r="T64" s="108"/>
      <c r="U64" s="108"/>
      <c r="V64" s="108"/>
      <c r="W64" s="108"/>
      <c r="X64" s="109"/>
      <c r="Y64" s="166">
        <f>19.69+15.11+24.06+80.83+18.32+16.41+840.1+52.72+412.95+79.48+5.48+29.53+864.43+98.44+4.34+28.74+3.28+8.75+410.15+8.2</f>
        <v>3021.01</v>
      </c>
      <c r="Z64" s="107" t="s">
        <v>84</v>
      </c>
      <c r="AA64" s="108"/>
      <c r="AB64" s="108"/>
      <c r="AC64" s="108"/>
      <c r="AD64" s="108"/>
      <c r="AE64" s="109"/>
      <c r="AF64" s="166">
        <f>20.23+4.34+21.83+3.28+131.25+410.15+8.2+42.78+864.43+12.03+44.76+354.35+61.89</f>
        <v>1979.5199999999998</v>
      </c>
      <c r="AG64" s="107" t="s">
        <v>84</v>
      </c>
      <c r="AH64" s="108"/>
      <c r="AI64" s="108"/>
      <c r="AJ64" s="108"/>
      <c r="AK64" s="108"/>
      <c r="AL64" s="109"/>
      <c r="AM64" s="166">
        <f>40.55+54.87+13.24+4.34+229.68+31.67+3.28+797.61+410.15+8.2+5.69+183.75+36.09+464.64+864.43+20.23</f>
        <v>3168.4199999999996</v>
      </c>
      <c r="AN64" s="107"/>
      <c r="AO64" s="108"/>
      <c r="AP64" s="108"/>
      <c r="AQ64" s="108"/>
      <c r="AR64" s="108"/>
      <c r="AS64" s="109"/>
      <c r="AT64" s="166"/>
      <c r="AU64" s="107"/>
      <c r="AV64" s="108"/>
      <c r="AW64" s="108"/>
      <c r="AX64" s="108"/>
      <c r="AY64" s="108"/>
      <c r="AZ64" s="109"/>
      <c r="BA64" s="166"/>
      <c r="BB64" s="107"/>
      <c r="BC64" s="108"/>
      <c r="BD64" s="108"/>
      <c r="BE64" s="108"/>
      <c r="BF64" s="108"/>
      <c r="BG64" s="109"/>
      <c r="BH64" s="166"/>
      <c r="BI64" s="107"/>
      <c r="BJ64" s="108"/>
      <c r="BK64" s="108"/>
      <c r="BL64" s="108"/>
      <c r="BM64" s="108"/>
      <c r="BN64" s="109"/>
      <c r="BO64" s="166"/>
      <c r="BP64" s="107"/>
      <c r="BQ64" s="108"/>
      <c r="BR64" s="108"/>
      <c r="BS64" s="108"/>
      <c r="BT64" s="108"/>
      <c r="BU64" s="109"/>
      <c r="BV64" s="166"/>
      <c r="BW64" s="107"/>
      <c r="BX64" s="108"/>
      <c r="BY64" s="108"/>
      <c r="BZ64" s="108"/>
      <c r="CA64" s="108"/>
      <c r="CB64" s="109"/>
      <c r="CC64" s="166"/>
      <c r="CD64" s="107"/>
      <c r="CE64" s="108"/>
      <c r="CF64" s="108"/>
      <c r="CG64" s="108"/>
      <c r="CH64" s="108"/>
      <c r="CI64" s="109"/>
      <c r="CJ64" s="166"/>
      <c r="CK64" s="107"/>
      <c r="CL64" s="108"/>
      <c r="CM64" s="108"/>
      <c r="CN64" s="108"/>
      <c r="CO64" s="108"/>
      <c r="CP64" s="109"/>
      <c r="CQ64" s="166"/>
      <c r="CY64" s="139"/>
      <c r="DE64" s="196"/>
      <c r="DF64" s="196"/>
    </row>
    <row r="65" spans="1:110" ht="14.25" customHeight="1" x14ac:dyDescent="0.2">
      <c r="L65" s="107" t="s">
        <v>192</v>
      </c>
      <c r="M65" s="108"/>
      <c r="N65" s="108"/>
      <c r="O65" s="108"/>
      <c r="P65" s="108"/>
      <c r="Q65" s="109"/>
      <c r="R65" s="110">
        <v>756</v>
      </c>
      <c r="S65" s="107" t="s">
        <v>192</v>
      </c>
      <c r="T65" s="108"/>
      <c r="U65" s="108"/>
      <c r="V65" s="108"/>
      <c r="W65" s="108"/>
      <c r="X65" s="109"/>
      <c r="Y65" s="110"/>
      <c r="Z65" s="107" t="s">
        <v>192</v>
      </c>
      <c r="AA65" s="108"/>
      <c r="AB65" s="108"/>
      <c r="AC65" s="108"/>
      <c r="AD65" s="108"/>
      <c r="AE65" s="109"/>
      <c r="AF65" s="110"/>
      <c r="AG65" s="107" t="s">
        <v>192</v>
      </c>
      <c r="AH65" s="108"/>
      <c r="AI65" s="108"/>
      <c r="AJ65" s="108"/>
      <c r="AK65" s="108"/>
      <c r="AL65" s="109"/>
      <c r="AM65" s="110"/>
      <c r="AN65" s="107"/>
      <c r="AO65" s="108"/>
      <c r="AP65" s="108"/>
      <c r="AQ65" s="108"/>
      <c r="AR65" s="108"/>
      <c r="AS65" s="109"/>
      <c r="AT65" s="110"/>
      <c r="AU65" s="107"/>
      <c r="AV65" s="108"/>
      <c r="AW65" s="108"/>
      <c r="AX65" s="108"/>
      <c r="AY65" s="108"/>
      <c r="AZ65" s="109"/>
      <c r="BA65" s="110"/>
      <c r="BB65" s="107"/>
      <c r="BC65" s="108"/>
      <c r="BD65" s="108"/>
      <c r="BE65" s="108"/>
      <c r="BF65" s="108"/>
      <c r="BG65" s="109"/>
      <c r="BH65" s="110"/>
      <c r="BI65" s="107"/>
      <c r="BJ65" s="108"/>
      <c r="BK65" s="108"/>
      <c r="BL65" s="108"/>
      <c r="BM65" s="108"/>
      <c r="BN65" s="109"/>
      <c r="BO65" s="110"/>
      <c r="BP65" s="107"/>
      <c r="BQ65" s="108"/>
      <c r="BR65" s="108"/>
      <c r="BS65" s="108"/>
      <c r="BT65" s="108"/>
      <c r="BU65" s="109"/>
      <c r="BV65" s="110"/>
      <c r="BW65" s="107"/>
      <c r="BX65" s="108"/>
      <c r="BY65" s="108"/>
      <c r="BZ65" s="108"/>
      <c r="CA65" s="108"/>
      <c r="CB65" s="109"/>
      <c r="CC65" s="110"/>
      <c r="CD65" s="107"/>
      <c r="CE65" s="108"/>
      <c r="CF65" s="108"/>
      <c r="CG65" s="108"/>
      <c r="CH65" s="108"/>
      <c r="CI65" s="109"/>
      <c r="CJ65" s="110"/>
      <c r="CK65" s="107"/>
      <c r="CL65" s="108"/>
      <c r="CM65" s="108"/>
      <c r="CN65" s="108"/>
      <c r="CO65" s="108"/>
      <c r="CP65" s="109"/>
      <c r="CQ65" s="110"/>
      <c r="CY65" s="139"/>
      <c r="DE65" s="196"/>
      <c r="DF65" s="196"/>
    </row>
    <row r="66" spans="1:110" ht="14.25" customHeight="1" x14ac:dyDescent="0.2">
      <c r="A66" s="204"/>
      <c r="L66" s="107" t="s">
        <v>90</v>
      </c>
      <c r="M66" s="108"/>
      <c r="N66" s="108"/>
      <c r="O66" s="108"/>
      <c r="P66" s="108"/>
      <c r="Q66" s="109"/>
      <c r="R66" s="110">
        <f>3300+3000</f>
        <v>6300</v>
      </c>
      <c r="S66" s="107" t="s">
        <v>90</v>
      </c>
      <c r="T66" s="108"/>
      <c r="U66" s="108"/>
      <c r="V66" s="108"/>
      <c r="W66" s="108"/>
      <c r="X66" s="109"/>
      <c r="Y66" s="110"/>
      <c r="Z66" s="107" t="s">
        <v>90</v>
      </c>
      <c r="AA66" s="108"/>
      <c r="AB66" s="108"/>
      <c r="AC66" s="108"/>
      <c r="AD66" s="108"/>
      <c r="AE66" s="109"/>
      <c r="AF66" s="110"/>
      <c r="AG66" s="107" t="s">
        <v>90</v>
      </c>
      <c r="AH66" s="108"/>
      <c r="AI66" s="108"/>
      <c r="AJ66" s="108"/>
      <c r="AK66" s="108"/>
      <c r="AL66" s="109"/>
      <c r="AM66" s="110">
        <f>1250.2</f>
        <v>1250.2</v>
      </c>
      <c r="AN66" s="107"/>
      <c r="AO66" s="108"/>
      <c r="AP66" s="108"/>
      <c r="AQ66" s="108"/>
      <c r="AR66" s="108"/>
      <c r="AS66" s="109"/>
      <c r="AT66" s="110"/>
      <c r="AU66" s="107"/>
      <c r="AV66" s="108"/>
      <c r="AW66" s="108"/>
      <c r="AX66" s="108"/>
      <c r="AY66" s="108"/>
      <c r="AZ66" s="109"/>
      <c r="BA66" s="110"/>
      <c r="BB66" s="107"/>
      <c r="BC66" s="108"/>
      <c r="BD66" s="108"/>
      <c r="BE66" s="108"/>
      <c r="BF66" s="108"/>
      <c r="BG66" s="109"/>
      <c r="BH66" s="110"/>
      <c r="BI66" s="107"/>
      <c r="BJ66" s="108"/>
      <c r="BK66" s="108"/>
      <c r="BL66" s="108"/>
      <c r="BM66" s="108"/>
      <c r="BN66" s="109"/>
      <c r="BO66" s="110"/>
      <c r="BP66" s="107"/>
      <c r="BQ66" s="108"/>
      <c r="BR66" s="108"/>
      <c r="BS66" s="108"/>
      <c r="BT66" s="108"/>
      <c r="BU66" s="109"/>
      <c r="BV66" s="110"/>
      <c r="BW66" s="107"/>
      <c r="BX66" s="108"/>
      <c r="BY66" s="108"/>
      <c r="BZ66" s="108"/>
      <c r="CA66" s="108"/>
      <c r="CB66" s="109"/>
      <c r="CC66" s="110"/>
      <c r="CD66" s="107"/>
      <c r="CE66" s="108"/>
      <c r="CF66" s="108"/>
      <c r="CG66" s="108"/>
      <c r="CH66" s="108"/>
      <c r="CI66" s="109"/>
      <c r="CJ66" s="110"/>
      <c r="CK66" s="107"/>
      <c r="CL66" s="108"/>
      <c r="CM66" s="108"/>
      <c r="CN66" s="108"/>
      <c r="CO66" s="108"/>
      <c r="CP66" s="109"/>
      <c r="CQ66" s="110"/>
      <c r="CY66" s="139"/>
      <c r="DE66" s="196"/>
      <c r="DF66" s="196"/>
    </row>
    <row r="67" spans="1:110" ht="14.25" customHeight="1" x14ac:dyDescent="0.2">
      <c r="A67" s="205"/>
      <c r="L67" s="107" t="s">
        <v>193</v>
      </c>
      <c r="M67" s="108"/>
      <c r="N67" s="108"/>
      <c r="O67" s="108"/>
      <c r="P67" s="108"/>
      <c r="Q67" s="109"/>
      <c r="R67" s="110">
        <f>1444.65+234.67+414.57</f>
        <v>2093.8900000000003</v>
      </c>
      <c r="S67" s="107" t="s">
        <v>193</v>
      </c>
      <c r="T67" s="108"/>
      <c r="U67" s="108"/>
      <c r="V67" s="108"/>
      <c r="W67" s="108"/>
      <c r="X67" s="109"/>
      <c r="Y67" s="110">
        <f>866.17+290.04+290.04+379.9</f>
        <v>1826.15</v>
      </c>
      <c r="Z67" s="107" t="s">
        <v>193</v>
      </c>
      <c r="AA67" s="108"/>
      <c r="AB67" s="108"/>
      <c r="AC67" s="108"/>
      <c r="AD67" s="108"/>
      <c r="AE67" s="109"/>
      <c r="AF67" s="110"/>
      <c r="AG67" s="107" t="s">
        <v>193</v>
      </c>
      <c r="AH67" s="108"/>
      <c r="AI67" s="108"/>
      <c r="AJ67" s="108"/>
      <c r="AK67" s="108"/>
      <c r="AL67" s="109"/>
      <c r="AM67" s="110">
        <f>273.02+360</f>
        <v>633.02</v>
      </c>
      <c r="AN67" s="107"/>
      <c r="AO67" s="108"/>
      <c r="AP67" s="108"/>
      <c r="AQ67" s="108"/>
      <c r="AR67" s="108"/>
      <c r="AS67" s="109"/>
      <c r="AT67" s="110"/>
      <c r="AU67" s="107"/>
      <c r="AV67" s="108"/>
      <c r="AW67" s="108"/>
      <c r="AX67" s="108"/>
      <c r="AY67" s="108"/>
      <c r="AZ67" s="109"/>
      <c r="BA67" s="110"/>
      <c r="BB67" s="107"/>
      <c r="BC67" s="108"/>
      <c r="BD67" s="108"/>
      <c r="BE67" s="108"/>
      <c r="BF67" s="108"/>
      <c r="BG67" s="109"/>
      <c r="BH67" s="110"/>
      <c r="BI67" s="107"/>
      <c r="BJ67" s="108"/>
      <c r="BK67" s="108"/>
      <c r="BL67" s="108"/>
      <c r="BM67" s="108"/>
      <c r="BN67" s="109"/>
      <c r="BO67" s="110"/>
      <c r="BP67" s="107"/>
      <c r="BQ67" s="108"/>
      <c r="BR67" s="108"/>
      <c r="BS67" s="108"/>
      <c r="BT67" s="108"/>
      <c r="BU67" s="109"/>
      <c r="BV67" s="110"/>
      <c r="BW67" s="107"/>
      <c r="BX67" s="108"/>
      <c r="BY67" s="108"/>
      <c r="BZ67" s="108"/>
      <c r="CA67" s="108"/>
      <c r="CB67" s="109"/>
      <c r="CC67" s="110"/>
      <c r="CD67" s="107"/>
      <c r="CE67" s="108"/>
      <c r="CF67" s="108"/>
      <c r="CG67" s="108"/>
      <c r="CH67" s="108"/>
      <c r="CI67" s="109"/>
      <c r="CJ67" s="110"/>
      <c r="CK67" s="107"/>
      <c r="CL67" s="108"/>
      <c r="CM67" s="108"/>
      <c r="CN67" s="108"/>
      <c r="CO67" s="108"/>
      <c r="CP67" s="109"/>
      <c r="CQ67" s="110"/>
      <c r="CY67" s="139"/>
      <c r="DE67" s="196"/>
      <c r="DF67" s="196"/>
    </row>
    <row r="68" spans="1:110" ht="14.25" customHeight="1" x14ac:dyDescent="0.2">
      <c r="L68" s="107" t="s">
        <v>132</v>
      </c>
      <c r="M68" s="108"/>
      <c r="N68" s="108"/>
      <c r="O68" s="108"/>
      <c r="P68" s="108"/>
      <c r="Q68" s="109"/>
      <c r="R68" s="110">
        <v>2690</v>
      </c>
      <c r="S68" s="107" t="s">
        <v>132</v>
      </c>
      <c r="T68" s="108"/>
      <c r="U68" s="108"/>
      <c r="V68" s="108"/>
      <c r="W68" s="108"/>
      <c r="X68" s="109"/>
      <c r="Y68" s="110"/>
      <c r="Z68" s="107" t="s">
        <v>132</v>
      </c>
      <c r="AA68" s="108"/>
      <c r="AB68" s="108"/>
      <c r="AC68" s="108"/>
      <c r="AD68" s="108"/>
      <c r="AE68" s="109"/>
      <c r="AF68" s="110"/>
      <c r="AG68" s="107" t="s">
        <v>132</v>
      </c>
      <c r="AH68" s="108"/>
      <c r="AI68" s="108"/>
      <c r="AJ68" s="108"/>
      <c r="AK68" s="108"/>
      <c r="AL68" s="109"/>
      <c r="AM68" s="110"/>
      <c r="AN68" s="107"/>
      <c r="AO68" s="108"/>
      <c r="AP68" s="108"/>
      <c r="AQ68" s="108"/>
      <c r="AR68" s="108"/>
      <c r="AS68" s="109"/>
      <c r="AT68" s="110"/>
      <c r="AU68" s="107"/>
      <c r="AV68" s="108"/>
      <c r="AW68" s="108"/>
      <c r="AX68" s="108"/>
      <c r="AY68" s="108"/>
      <c r="AZ68" s="109"/>
      <c r="BA68" s="110"/>
      <c r="BB68" s="107"/>
      <c r="BC68" s="108"/>
      <c r="BD68" s="108"/>
      <c r="BE68" s="108"/>
      <c r="BF68" s="108"/>
      <c r="BG68" s="109"/>
      <c r="BH68" s="110"/>
      <c r="BI68" s="107"/>
      <c r="BJ68" s="108"/>
      <c r="BK68" s="108"/>
      <c r="BL68" s="108"/>
      <c r="BM68" s="108"/>
      <c r="BN68" s="109"/>
      <c r="BO68" s="110"/>
      <c r="BP68" s="107"/>
      <c r="BQ68" s="108"/>
      <c r="BR68" s="108"/>
      <c r="BS68" s="108"/>
      <c r="BT68" s="108"/>
      <c r="BU68" s="109"/>
      <c r="BV68" s="110"/>
      <c r="BW68" s="107"/>
      <c r="BX68" s="108"/>
      <c r="BY68" s="108"/>
      <c r="BZ68" s="108"/>
      <c r="CA68" s="108"/>
      <c r="CB68" s="109"/>
      <c r="CC68" s="110"/>
      <c r="CD68" s="107"/>
      <c r="CE68" s="108"/>
      <c r="CF68" s="108"/>
      <c r="CG68" s="108"/>
      <c r="CH68" s="108"/>
      <c r="CI68" s="109"/>
      <c r="CJ68" s="110"/>
      <c r="CK68" s="107"/>
      <c r="CL68" s="108"/>
      <c r="CM68" s="108"/>
      <c r="CN68" s="108"/>
      <c r="CO68" s="108"/>
      <c r="CP68" s="109"/>
      <c r="CQ68" s="110"/>
      <c r="CY68" s="139"/>
      <c r="DE68" s="196"/>
      <c r="DF68" s="196"/>
    </row>
    <row r="69" spans="1:110" ht="14.25" customHeight="1" x14ac:dyDescent="0.2">
      <c r="L69" s="107" t="s">
        <v>94</v>
      </c>
      <c r="M69" s="108"/>
      <c r="N69" s="108"/>
      <c r="O69" s="108"/>
      <c r="P69" s="108"/>
      <c r="Q69" s="109"/>
      <c r="R69" s="110">
        <f>137.42</f>
        <v>137.41999999999999</v>
      </c>
      <c r="S69" s="107" t="s">
        <v>94</v>
      </c>
      <c r="T69" s="108"/>
      <c r="U69" s="108"/>
      <c r="V69" s="108"/>
      <c r="W69" s="108"/>
      <c r="X69" s="109"/>
      <c r="Y69" s="110"/>
      <c r="Z69" s="107" t="s">
        <v>94</v>
      </c>
      <c r="AA69" s="108"/>
      <c r="AB69" s="108"/>
      <c r="AC69" s="108"/>
      <c r="AD69" s="108"/>
      <c r="AE69" s="109"/>
      <c r="AF69" s="110"/>
      <c r="AG69" s="107" t="s">
        <v>94</v>
      </c>
      <c r="AH69" s="108"/>
      <c r="AI69" s="108"/>
      <c r="AJ69" s="108"/>
      <c r="AK69" s="108"/>
      <c r="AL69" s="109"/>
      <c r="AM69" s="110"/>
      <c r="AN69" s="107"/>
      <c r="AO69" s="108"/>
      <c r="AP69" s="108"/>
      <c r="AQ69" s="108"/>
      <c r="AR69" s="108"/>
      <c r="AS69" s="109"/>
      <c r="AT69" s="110"/>
      <c r="AU69" s="107"/>
      <c r="AV69" s="108"/>
      <c r="AW69" s="108"/>
      <c r="AX69" s="108"/>
      <c r="AY69" s="108"/>
      <c r="AZ69" s="109"/>
      <c r="BA69" s="110"/>
      <c r="BB69" s="107"/>
      <c r="BC69" s="108"/>
      <c r="BD69" s="108"/>
      <c r="BE69" s="108"/>
      <c r="BF69" s="108"/>
      <c r="BG69" s="109"/>
      <c r="BH69" s="110"/>
      <c r="BI69" s="107"/>
      <c r="BJ69" s="108"/>
      <c r="BK69" s="108"/>
      <c r="BL69" s="108"/>
      <c r="BM69" s="108"/>
      <c r="BN69" s="109"/>
      <c r="BO69" s="110"/>
      <c r="BP69" s="107"/>
      <c r="BQ69" s="108"/>
      <c r="BR69" s="108"/>
      <c r="BS69" s="108"/>
      <c r="BT69" s="108"/>
      <c r="BU69" s="109"/>
      <c r="BV69" s="110"/>
      <c r="BW69" s="107"/>
      <c r="BX69" s="108"/>
      <c r="BY69" s="108"/>
      <c r="BZ69" s="108"/>
      <c r="CA69" s="108"/>
      <c r="CB69" s="109"/>
      <c r="CC69" s="110"/>
      <c r="CD69" s="107"/>
      <c r="CE69" s="108"/>
      <c r="CF69" s="108"/>
      <c r="CG69" s="108"/>
      <c r="CH69" s="108"/>
      <c r="CI69" s="109"/>
      <c r="CJ69" s="110"/>
      <c r="CK69" s="107"/>
      <c r="CL69" s="108"/>
      <c r="CM69" s="108"/>
      <c r="CN69" s="108"/>
      <c r="CO69" s="108"/>
      <c r="CP69" s="109"/>
      <c r="CQ69" s="110"/>
      <c r="CY69" s="139"/>
      <c r="DE69" s="196"/>
      <c r="DF69" s="196"/>
    </row>
    <row r="70" spans="1:110" ht="14.25" customHeight="1" x14ac:dyDescent="0.2">
      <c r="L70" s="107" t="s">
        <v>194</v>
      </c>
      <c r="M70" s="108"/>
      <c r="N70" s="108"/>
      <c r="O70" s="108"/>
      <c r="P70" s="108"/>
      <c r="Q70" s="109"/>
      <c r="R70" s="110">
        <f>100</f>
        <v>100</v>
      </c>
      <c r="S70" s="107" t="s">
        <v>194</v>
      </c>
      <c r="T70" s="108"/>
      <c r="U70" s="108"/>
      <c r="V70" s="108"/>
      <c r="W70" s="108"/>
      <c r="X70" s="109"/>
      <c r="Y70" s="110"/>
      <c r="Z70" s="107" t="s">
        <v>194</v>
      </c>
      <c r="AA70" s="108"/>
      <c r="AB70" s="108"/>
      <c r="AC70" s="108"/>
      <c r="AD70" s="108"/>
      <c r="AE70" s="109"/>
      <c r="AF70" s="110"/>
      <c r="AG70" s="107" t="s">
        <v>194</v>
      </c>
      <c r="AH70" s="108"/>
      <c r="AI70" s="108"/>
      <c r="AJ70" s="108"/>
      <c r="AK70" s="108"/>
      <c r="AL70" s="109"/>
      <c r="AM70" s="110">
        <f>500</f>
        <v>500</v>
      </c>
      <c r="AN70" s="107"/>
      <c r="AO70" s="108"/>
      <c r="AP70" s="108"/>
      <c r="AQ70" s="108"/>
      <c r="AR70" s="108"/>
      <c r="AS70" s="109"/>
      <c r="AT70" s="110"/>
      <c r="AU70" s="107"/>
      <c r="AV70" s="108"/>
      <c r="AW70" s="108"/>
      <c r="AX70" s="108"/>
      <c r="AY70" s="108"/>
      <c r="AZ70" s="109"/>
      <c r="BA70" s="110"/>
      <c r="BB70" s="107"/>
      <c r="BC70" s="108"/>
      <c r="BD70" s="108"/>
      <c r="BE70" s="108"/>
      <c r="BF70" s="108"/>
      <c r="BG70" s="109"/>
      <c r="BH70" s="110"/>
      <c r="BI70" s="107"/>
      <c r="BJ70" s="108"/>
      <c r="BK70" s="108"/>
      <c r="BL70" s="108"/>
      <c r="BM70" s="108"/>
      <c r="BN70" s="109"/>
      <c r="BO70" s="110"/>
      <c r="BP70" s="107"/>
      <c r="BQ70" s="108"/>
      <c r="BR70" s="108"/>
      <c r="BS70" s="108"/>
      <c r="BT70" s="108"/>
      <c r="BU70" s="109"/>
      <c r="BV70" s="110"/>
      <c r="BW70" s="107"/>
      <c r="BX70" s="108"/>
      <c r="BY70" s="108"/>
      <c r="BZ70" s="108"/>
      <c r="CA70" s="108"/>
      <c r="CB70" s="109"/>
      <c r="CC70" s="110"/>
      <c r="CD70" s="107"/>
      <c r="CE70" s="108"/>
      <c r="CF70" s="108"/>
      <c r="CG70" s="108"/>
      <c r="CH70" s="108"/>
      <c r="CI70" s="109"/>
      <c r="CJ70" s="110"/>
      <c r="CK70" s="107"/>
      <c r="CL70" s="108"/>
      <c r="CM70" s="108"/>
      <c r="CN70" s="108"/>
      <c r="CO70" s="108"/>
      <c r="CP70" s="109"/>
      <c r="CQ70" s="110"/>
      <c r="CY70" s="139"/>
      <c r="DE70" s="196"/>
      <c r="DF70" s="196"/>
    </row>
    <row r="71" spans="1:110" ht="14.25" customHeight="1" x14ac:dyDescent="0.2">
      <c r="L71" s="107" t="s">
        <v>195</v>
      </c>
      <c r="M71" s="108"/>
      <c r="N71" s="108"/>
      <c r="O71" s="108"/>
      <c r="P71" s="108"/>
      <c r="Q71" s="109"/>
      <c r="R71" s="110">
        <f>751.51</f>
        <v>751.51</v>
      </c>
      <c r="S71" s="107" t="s">
        <v>195</v>
      </c>
      <c r="T71" s="108"/>
      <c r="U71" s="108"/>
      <c r="V71" s="108"/>
      <c r="W71" s="108"/>
      <c r="X71" s="109"/>
      <c r="Y71" s="110"/>
      <c r="Z71" s="107" t="s">
        <v>195</v>
      </c>
      <c r="AA71" s="108"/>
      <c r="AB71" s="108"/>
      <c r="AC71" s="108"/>
      <c r="AD71" s="108"/>
      <c r="AE71" s="109"/>
      <c r="AF71" s="110"/>
      <c r="AG71" s="107" t="s">
        <v>195</v>
      </c>
      <c r="AH71" s="108"/>
      <c r="AI71" s="108"/>
      <c r="AJ71" s="108"/>
      <c r="AK71" s="108"/>
      <c r="AL71" s="109"/>
      <c r="AM71" s="110"/>
      <c r="AN71" s="107"/>
      <c r="AO71" s="108"/>
      <c r="AP71" s="108"/>
      <c r="AQ71" s="108"/>
      <c r="AR71" s="108"/>
      <c r="AS71" s="109"/>
      <c r="AT71" s="110"/>
      <c r="AU71" s="107"/>
      <c r="AV71" s="108"/>
      <c r="AW71" s="108"/>
      <c r="AX71" s="108"/>
      <c r="AY71" s="108"/>
      <c r="AZ71" s="109"/>
      <c r="BA71" s="110"/>
      <c r="BB71" s="107"/>
      <c r="BC71" s="108"/>
      <c r="BD71" s="108"/>
      <c r="BE71" s="108"/>
      <c r="BF71" s="108"/>
      <c r="BG71" s="109"/>
      <c r="BH71" s="110"/>
      <c r="BI71" s="107"/>
      <c r="BJ71" s="108"/>
      <c r="BK71" s="108"/>
      <c r="BL71" s="108"/>
      <c r="BM71" s="108"/>
      <c r="BN71" s="109"/>
      <c r="BO71" s="110"/>
      <c r="BP71" s="107"/>
      <c r="BQ71" s="108"/>
      <c r="BR71" s="108"/>
      <c r="BS71" s="108"/>
      <c r="BT71" s="108"/>
      <c r="BU71" s="109"/>
      <c r="BV71" s="110"/>
      <c r="BW71" s="107"/>
      <c r="BX71" s="108"/>
      <c r="BY71" s="108"/>
      <c r="BZ71" s="108"/>
      <c r="CA71" s="108"/>
      <c r="CB71" s="109"/>
      <c r="CC71" s="110"/>
      <c r="CD71" s="107"/>
      <c r="CE71" s="108"/>
      <c r="CF71" s="108"/>
      <c r="CG71" s="108"/>
      <c r="CH71" s="108"/>
      <c r="CI71" s="109"/>
      <c r="CJ71" s="110"/>
      <c r="CK71" s="107"/>
      <c r="CL71" s="108"/>
      <c r="CM71" s="108"/>
      <c r="CN71" s="108"/>
      <c r="CO71" s="108"/>
      <c r="CP71" s="109"/>
      <c r="CQ71" s="110"/>
      <c r="CY71" s="139"/>
      <c r="DE71" s="196"/>
      <c r="DF71" s="196"/>
    </row>
    <row r="72" spans="1:110" ht="14.25" customHeight="1" x14ac:dyDescent="0.2">
      <c r="L72" s="107" t="s">
        <v>196</v>
      </c>
      <c r="M72" s="108"/>
      <c r="N72" s="108"/>
      <c r="O72" s="108"/>
      <c r="P72" s="108"/>
      <c r="Q72" s="109"/>
      <c r="R72" s="110">
        <f>379.9</f>
        <v>379.9</v>
      </c>
      <c r="S72" s="107" t="s">
        <v>196</v>
      </c>
      <c r="T72" s="108"/>
      <c r="U72" s="108"/>
      <c r="V72" s="108"/>
      <c r="W72" s="108"/>
      <c r="X72" s="109"/>
      <c r="Y72" s="110"/>
      <c r="Z72" s="107" t="s">
        <v>196</v>
      </c>
      <c r="AA72" s="108"/>
      <c r="AB72" s="108"/>
      <c r="AC72" s="108"/>
      <c r="AD72" s="108"/>
      <c r="AE72" s="109"/>
      <c r="AF72" s="110"/>
      <c r="AG72" s="107" t="s">
        <v>197</v>
      </c>
      <c r="AH72" s="108"/>
      <c r="AI72" s="108"/>
      <c r="AJ72" s="108"/>
      <c r="AK72" s="108"/>
      <c r="AL72" s="109"/>
      <c r="AM72" s="110">
        <f>300</f>
        <v>300</v>
      </c>
      <c r="AN72" s="107"/>
      <c r="AO72" s="108"/>
      <c r="AP72" s="108"/>
      <c r="AQ72" s="108"/>
      <c r="AR72" s="108"/>
      <c r="AS72" s="109"/>
      <c r="AT72" s="110"/>
      <c r="AU72" s="107"/>
      <c r="AV72" s="108"/>
      <c r="AW72" s="108"/>
      <c r="AX72" s="108"/>
      <c r="AY72" s="108"/>
      <c r="AZ72" s="109"/>
      <c r="BA72" s="110"/>
      <c r="BB72" s="107"/>
      <c r="BC72" s="108"/>
      <c r="BD72" s="108"/>
      <c r="BE72" s="108"/>
      <c r="BF72" s="108"/>
      <c r="BG72" s="109"/>
      <c r="BH72" s="110"/>
      <c r="BI72" s="107"/>
      <c r="BJ72" s="108"/>
      <c r="BK72" s="108"/>
      <c r="BL72" s="108"/>
      <c r="BM72" s="108"/>
      <c r="BN72" s="109"/>
      <c r="BO72" s="110"/>
      <c r="BP72" s="107"/>
      <c r="BQ72" s="108"/>
      <c r="BR72" s="108"/>
      <c r="BS72" s="108"/>
      <c r="BT72" s="108"/>
      <c r="BU72" s="109"/>
      <c r="BV72" s="110"/>
      <c r="BW72" s="107"/>
      <c r="BX72" s="108"/>
      <c r="BY72" s="108"/>
      <c r="BZ72" s="108"/>
      <c r="CA72" s="108"/>
      <c r="CB72" s="109"/>
      <c r="CC72" s="110"/>
      <c r="CD72" s="107"/>
      <c r="CE72" s="108"/>
      <c r="CF72" s="108"/>
      <c r="CG72" s="108"/>
      <c r="CH72" s="108"/>
      <c r="CI72" s="109"/>
      <c r="CJ72" s="110"/>
      <c r="CK72" s="107"/>
      <c r="CL72" s="108"/>
      <c r="CM72" s="108"/>
      <c r="CN72" s="108"/>
      <c r="CO72" s="108"/>
      <c r="CP72" s="109"/>
      <c r="CQ72" s="110"/>
      <c r="CY72" s="139"/>
      <c r="DE72" s="196"/>
      <c r="DF72" s="196"/>
    </row>
    <row r="73" spans="1:110" ht="14.25" customHeight="1" x14ac:dyDescent="0.2">
      <c r="L73" s="107" t="s">
        <v>198</v>
      </c>
      <c r="M73" s="108"/>
      <c r="N73" s="108"/>
      <c r="O73" s="108"/>
      <c r="P73" s="108"/>
      <c r="Q73" s="109"/>
      <c r="R73" s="110">
        <v>97.89</v>
      </c>
      <c r="S73" s="107" t="s">
        <v>198</v>
      </c>
      <c r="T73" s="108"/>
      <c r="U73" s="108"/>
      <c r="V73" s="108"/>
      <c r="W73" s="108"/>
      <c r="X73" s="109"/>
      <c r="Y73" s="110"/>
      <c r="Z73" s="107" t="s">
        <v>198</v>
      </c>
      <c r="AA73" s="108"/>
      <c r="AB73" s="108"/>
      <c r="AC73" s="108"/>
      <c r="AD73" s="108"/>
      <c r="AE73" s="109"/>
      <c r="AF73" s="110"/>
      <c r="AG73" s="107" t="s">
        <v>198</v>
      </c>
      <c r="AH73" s="108"/>
      <c r="AI73" s="108"/>
      <c r="AJ73" s="108"/>
      <c r="AK73" s="108"/>
      <c r="AL73" s="109"/>
      <c r="AM73" s="110"/>
      <c r="AN73" s="107"/>
      <c r="AO73" s="108"/>
      <c r="AP73" s="108"/>
      <c r="AQ73" s="108"/>
      <c r="AR73" s="108"/>
      <c r="AS73" s="109"/>
      <c r="AT73" s="110"/>
      <c r="AU73" s="107"/>
      <c r="AV73" s="108"/>
      <c r="AW73" s="108"/>
      <c r="AX73" s="108"/>
      <c r="AY73" s="108"/>
      <c r="AZ73" s="109"/>
      <c r="BA73" s="110"/>
      <c r="BB73" s="107"/>
      <c r="BC73" s="108"/>
      <c r="BD73" s="108"/>
      <c r="BE73" s="108"/>
      <c r="BF73" s="108"/>
      <c r="BG73" s="109"/>
      <c r="BH73" s="110"/>
      <c r="BI73" s="107"/>
      <c r="BJ73" s="108"/>
      <c r="BK73" s="108"/>
      <c r="BL73" s="108"/>
      <c r="BM73" s="108"/>
      <c r="BN73" s="109"/>
      <c r="BO73" s="110"/>
      <c r="BP73" s="107"/>
      <c r="BQ73" s="108"/>
      <c r="BR73" s="108"/>
      <c r="BS73" s="108"/>
      <c r="BT73" s="108"/>
      <c r="BU73" s="109"/>
      <c r="BV73" s="110"/>
      <c r="BW73" s="107"/>
      <c r="BX73" s="108"/>
      <c r="BY73" s="108"/>
      <c r="BZ73" s="108"/>
      <c r="CA73" s="108"/>
      <c r="CB73" s="109"/>
      <c r="CC73" s="110"/>
      <c r="CD73" s="107"/>
      <c r="CE73" s="108"/>
      <c r="CF73" s="108"/>
      <c r="CG73" s="108"/>
      <c r="CH73" s="108"/>
      <c r="CI73" s="109"/>
      <c r="CJ73" s="110"/>
      <c r="CK73" s="107"/>
      <c r="CL73" s="108"/>
      <c r="CM73" s="108"/>
      <c r="CN73" s="108"/>
      <c r="CO73" s="108"/>
      <c r="CP73" s="109"/>
      <c r="CQ73" s="110"/>
      <c r="CY73" s="139"/>
      <c r="DE73" s="196"/>
      <c r="DF73" s="196"/>
    </row>
    <row r="74" spans="1:110" ht="14.25" customHeight="1" x14ac:dyDescent="0.2">
      <c r="L74" s="107" t="s">
        <v>137</v>
      </c>
      <c r="M74" s="108"/>
      <c r="N74" s="108"/>
      <c r="O74" s="108"/>
      <c r="P74" s="108"/>
      <c r="Q74" s="109"/>
      <c r="R74" s="110">
        <f>2929.82</f>
        <v>2929.82</v>
      </c>
      <c r="S74" s="107" t="s">
        <v>137</v>
      </c>
      <c r="T74" s="108"/>
      <c r="U74" s="108"/>
      <c r="V74" s="108"/>
      <c r="W74" s="108"/>
      <c r="X74" s="109"/>
      <c r="Y74" s="110">
        <f>4601</f>
        <v>4601</v>
      </c>
      <c r="Z74" s="107" t="s">
        <v>137</v>
      </c>
      <c r="AA74" s="108"/>
      <c r="AB74" s="108"/>
      <c r="AC74" s="108"/>
      <c r="AD74" s="108"/>
      <c r="AE74" s="109"/>
      <c r="AF74" s="110">
        <f>3237.59</f>
        <v>3237.59</v>
      </c>
      <c r="AG74" s="107" t="s">
        <v>137</v>
      </c>
      <c r="AH74" s="108"/>
      <c r="AI74" s="108"/>
      <c r="AJ74" s="108"/>
      <c r="AK74" s="108"/>
      <c r="AL74" s="109"/>
      <c r="AM74" s="110">
        <f>3780</f>
        <v>3780</v>
      </c>
      <c r="AN74" s="107"/>
      <c r="AO74" s="108"/>
      <c r="AP74" s="108"/>
      <c r="AQ74" s="108"/>
      <c r="AR74" s="108"/>
      <c r="AS74" s="109"/>
      <c r="AT74" s="110"/>
      <c r="AU74" s="107"/>
      <c r="AV74" s="108"/>
      <c r="AW74" s="108"/>
      <c r="AX74" s="108"/>
      <c r="AY74" s="108"/>
      <c r="AZ74" s="109"/>
      <c r="BA74" s="110"/>
      <c r="BB74" s="107"/>
      <c r="BC74" s="108"/>
      <c r="BD74" s="108"/>
      <c r="BE74" s="108"/>
      <c r="BF74" s="108"/>
      <c r="BG74" s="109"/>
      <c r="BH74" s="110"/>
      <c r="BI74" s="107"/>
      <c r="BJ74" s="108"/>
      <c r="BK74" s="108"/>
      <c r="BL74" s="108"/>
      <c r="BM74" s="108"/>
      <c r="BN74" s="109"/>
      <c r="BO74" s="110"/>
      <c r="BP74" s="107"/>
      <c r="BQ74" s="108"/>
      <c r="BR74" s="108"/>
      <c r="BS74" s="108"/>
      <c r="BT74" s="108"/>
      <c r="BU74" s="109"/>
      <c r="BV74" s="110"/>
      <c r="BW74" s="107"/>
      <c r="BX74" s="108"/>
      <c r="BY74" s="108"/>
      <c r="BZ74" s="108"/>
      <c r="CA74" s="108"/>
      <c r="CB74" s="109"/>
      <c r="CC74" s="110"/>
      <c r="CD74" s="107"/>
      <c r="CE74" s="108"/>
      <c r="CF74" s="108"/>
      <c r="CG74" s="108"/>
      <c r="CH74" s="108"/>
      <c r="CI74" s="109"/>
      <c r="CJ74" s="110"/>
      <c r="CK74" s="107"/>
      <c r="CL74" s="108"/>
      <c r="CM74" s="108"/>
      <c r="CN74" s="108"/>
      <c r="CO74" s="108"/>
      <c r="CP74" s="109"/>
      <c r="CQ74" s="110"/>
      <c r="CY74" s="139"/>
      <c r="DE74" s="196"/>
      <c r="DF74" s="196"/>
    </row>
    <row r="75" spans="1:110" ht="14.25" customHeight="1" x14ac:dyDescent="0.2">
      <c r="L75" s="107" t="s">
        <v>98</v>
      </c>
      <c r="M75" s="108"/>
      <c r="N75" s="108"/>
      <c r="O75" s="108"/>
      <c r="P75" s="108"/>
      <c r="Q75" s="108"/>
      <c r="R75" s="110">
        <f>94.31</f>
        <v>94.31</v>
      </c>
      <c r="S75" s="107" t="s">
        <v>98</v>
      </c>
      <c r="T75" s="108"/>
      <c r="U75" s="108"/>
      <c r="V75" s="108"/>
      <c r="W75" s="108"/>
      <c r="X75" s="109"/>
      <c r="Y75" s="110">
        <f>93.6</f>
        <v>93.6</v>
      </c>
      <c r="Z75" s="107" t="s">
        <v>98</v>
      </c>
      <c r="AA75" s="108"/>
      <c r="AB75" s="108"/>
      <c r="AC75" s="108"/>
      <c r="AD75" s="108"/>
      <c r="AE75" s="109"/>
      <c r="AF75" s="110">
        <f>186.55</f>
        <v>186.55</v>
      </c>
      <c r="AG75" s="107" t="s">
        <v>98</v>
      </c>
      <c r="AH75" s="108"/>
      <c r="AI75" s="108"/>
      <c r="AJ75" s="108"/>
      <c r="AK75" s="108"/>
      <c r="AL75" s="109"/>
      <c r="AM75" s="110">
        <f>92.21</f>
        <v>92.21</v>
      </c>
      <c r="AN75" s="107"/>
      <c r="AO75" s="108"/>
      <c r="AP75" s="108"/>
      <c r="AQ75" s="108"/>
      <c r="AR75" s="108"/>
      <c r="AS75" s="109"/>
      <c r="AT75" s="110"/>
      <c r="AU75" s="107"/>
      <c r="AV75" s="108"/>
      <c r="AW75" s="108"/>
      <c r="AX75" s="108"/>
      <c r="AY75" s="108"/>
      <c r="AZ75" s="109"/>
      <c r="BA75" s="110"/>
      <c r="BB75" s="107"/>
      <c r="BC75" s="108"/>
      <c r="BD75" s="108"/>
      <c r="BE75" s="108"/>
      <c r="BF75" s="108"/>
      <c r="BG75" s="109"/>
      <c r="BH75" s="110"/>
      <c r="BI75" s="107"/>
      <c r="BJ75" s="108"/>
      <c r="BK75" s="108"/>
      <c r="BL75" s="108"/>
      <c r="BM75" s="108"/>
      <c r="BN75" s="109"/>
      <c r="BO75" s="110"/>
      <c r="BP75" s="107"/>
      <c r="BQ75" s="108"/>
      <c r="BR75" s="108"/>
      <c r="BS75" s="108"/>
      <c r="BT75" s="108"/>
      <c r="BU75" s="109"/>
      <c r="BV75" s="110"/>
      <c r="BW75" s="107"/>
      <c r="BX75" s="108"/>
      <c r="BY75" s="108"/>
      <c r="BZ75" s="108"/>
      <c r="CA75" s="108"/>
      <c r="CB75" s="109"/>
      <c r="CC75" s="110"/>
      <c r="CD75" s="107"/>
      <c r="CE75" s="108"/>
      <c r="CF75" s="108"/>
      <c r="CG75" s="108"/>
      <c r="CH75" s="108"/>
      <c r="CI75" s="109"/>
      <c r="CJ75" s="110"/>
      <c r="CK75" s="107"/>
      <c r="CL75" s="108"/>
      <c r="CM75" s="108"/>
      <c r="CN75" s="108"/>
      <c r="CO75" s="108"/>
      <c r="CP75" s="109"/>
      <c r="CQ75" s="110"/>
      <c r="CY75" s="139"/>
      <c r="DE75" s="196"/>
      <c r="DF75" s="196"/>
    </row>
    <row r="76" spans="1:110" ht="14.25" customHeight="1" x14ac:dyDescent="0.2">
      <c r="L76" s="107"/>
      <c r="M76" s="108"/>
      <c r="N76" s="108"/>
      <c r="O76" s="108"/>
      <c r="P76" s="108"/>
      <c r="Q76" s="108"/>
      <c r="R76" s="110"/>
      <c r="S76" s="107" t="s">
        <v>99</v>
      </c>
      <c r="T76" s="108"/>
      <c r="U76" s="108"/>
      <c r="V76" s="108"/>
      <c r="W76" s="108"/>
      <c r="X76" s="108"/>
      <c r="Y76" s="110">
        <f>1048.61</f>
        <v>1048.6099999999999</v>
      </c>
      <c r="Z76" s="107" t="s">
        <v>99</v>
      </c>
      <c r="AA76" s="108"/>
      <c r="AB76" s="108"/>
      <c r="AC76" s="108"/>
      <c r="AD76" s="108"/>
      <c r="AE76" s="108"/>
      <c r="AF76" s="110">
        <f>379.88</f>
        <v>379.88</v>
      </c>
      <c r="AG76" s="107" t="s">
        <v>99</v>
      </c>
      <c r="AH76" s="108"/>
      <c r="AI76" s="108"/>
      <c r="AJ76" s="108"/>
      <c r="AK76" s="108"/>
      <c r="AL76" s="108"/>
      <c r="AM76" s="110"/>
      <c r="AN76" s="107"/>
      <c r="AO76" s="108"/>
      <c r="AP76" s="108"/>
      <c r="AQ76" s="108"/>
      <c r="AR76" s="108"/>
      <c r="AS76" s="108"/>
      <c r="AT76" s="110"/>
      <c r="AU76" s="107"/>
      <c r="AV76" s="108"/>
      <c r="AW76" s="108"/>
      <c r="AX76" s="108"/>
      <c r="AY76" s="108"/>
      <c r="AZ76" s="108"/>
      <c r="BA76" s="110"/>
      <c r="BB76" s="107"/>
      <c r="BC76" s="108"/>
      <c r="BD76" s="108"/>
      <c r="BE76" s="108"/>
      <c r="BF76" s="108"/>
      <c r="BG76" s="108"/>
      <c r="BH76" s="110"/>
      <c r="BI76" s="107"/>
      <c r="BJ76" s="108"/>
      <c r="BK76" s="108"/>
      <c r="BL76" s="108"/>
      <c r="BM76" s="108"/>
      <c r="BN76" s="108"/>
      <c r="BO76" s="110"/>
      <c r="BP76" s="107"/>
      <c r="BQ76" s="108"/>
      <c r="BR76" s="108"/>
      <c r="BS76" s="108"/>
      <c r="BT76" s="108"/>
      <c r="BU76" s="108"/>
      <c r="BV76" s="110"/>
      <c r="BW76" s="107"/>
      <c r="BX76" s="108"/>
      <c r="BY76" s="108"/>
      <c r="BZ76" s="108"/>
      <c r="CA76" s="108"/>
      <c r="CB76" s="108"/>
      <c r="CC76" s="110"/>
      <c r="CD76" s="107"/>
      <c r="CE76" s="108"/>
      <c r="CF76" s="108"/>
      <c r="CG76" s="108"/>
      <c r="CH76" s="108"/>
      <c r="CI76" s="108"/>
      <c r="CJ76" s="110"/>
      <c r="CK76" s="107"/>
      <c r="CL76" s="108"/>
      <c r="CM76" s="108"/>
      <c r="CN76" s="108"/>
      <c r="CO76" s="108"/>
      <c r="CP76" s="108"/>
      <c r="CQ76" s="110"/>
      <c r="CY76" s="139"/>
      <c r="DE76" s="196"/>
      <c r="DF76" s="196"/>
    </row>
    <row r="77" spans="1:110" ht="14.25" customHeight="1" x14ac:dyDescent="0.2">
      <c r="L77" s="107"/>
      <c r="M77" s="108"/>
      <c r="N77" s="108"/>
      <c r="O77" s="108"/>
      <c r="P77" s="108"/>
      <c r="Q77" s="108"/>
      <c r="R77" s="110"/>
      <c r="S77" s="107" t="s">
        <v>199</v>
      </c>
      <c r="T77" s="108"/>
      <c r="U77" s="108"/>
      <c r="V77" s="108"/>
      <c r="W77" s="108"/>
      <c r="X77" s="108"/>
      <c r="Y77" s="110">
        <f>883.77</f>
        <v>883.77</v>
      </c>
      <c r="Z77" s="107" t="s">
        <v>199</v>
      </c>
      <c r="AA77" s="108"/>
      <c r="AB77" s="108"/>
      <c r="AC77" s="108"/>
      <c r="AD77" s="108"/>
      <c r="AE77" s="108"/>
      <c r="AF77" s="110"/>
      <c r="AG77" s="107" t="s">
        <v>200</v>
      </c>
      <c r="AH77" s="108"/>
      <c r="AI77" s="108"/>
      <c r="AJ77" s="108"/>
      <c r="AK77" s="108"/>
      <c r="AL77" s="108"/>
      <c r="AM77" s="110">
        <v>250</v>
      </c>
      <c r="AN77" s="107"/>
      <c r="AO77" s="108"/>
      <c r="AP77" s="108"/>
      <c r="AQ77" s="108"/>
      <c r="AR77" s="108"/>
      <c r="AS77" s="108"/>
      <c r="AT77" s="110"/>
      <c r="AU77" s="107"/>
      <c r="AV77" s="108"/>
      <c r="AW77" s="108"/>
      <c r="AX77" s="108"/>
      <c r="AY77" s="108"/>
      <c r="AZ77" s="108"/>
      <c r="BA77" s="110"/>
      <c r="BB77" s="107"/>
      <c r="BC77" s="108"/>
      <c r="BD77" s="108"/>
      <c r="BE77" s="108"/>
      <c r="BF77" s="108"/>
      <c r="BG77" s="108"/>
      <c r="BH77" s="110"/>
      <c r="BI77" s="107"/>
      <c r="BJ77" s="108"/>
      <c r="BK77" s="108"/>
      <c r="BL77" s="108"/>
      <c r="BM77" s="108"/>
      <c r="BN77" s="108"/>
      <c r="BO77" s="110"/>
      <c r="BP77" s="107"/>
      <c r="BQ77" s="108"/>
      <c r="BR77" s="108"/>
      <c r="BS77" s="108"/>
      <c r="BT77" s="108"/>
      <c r="BU77" s="108"/>
      <c r="BV77" s="110"/>
      <c r="BW77" s="107"/>
      <c r="BX77" s="108"/>
      <c r="BY77" s="108"/>
      <c r="BZ77" s="108"/>
      <c r="CA77" s="108"/>
      <c r="CB77" s="108"/>
      <c r="CC77" s="110"/>
      <c r="CD77" s="107"/>
      <c r="CE77" s="108"/>
      <c r="CF77" s="108"/>
      <c r="CG77" s="108"/>
      <c r="CH77" s="108"/>
      <c r="CI77" s="108"/>
      <c r="CJ77" s="110"/>
      <c r="CK77" s="107"/>
      <c r="CL77" s="108"/>
      <c r="CM77" s="108"/>
      <c r="CN77" s="108"/>
      <c r="CO77" s="108"/>
      <c r="CP77" s="108"/>
      <c r="CQ77" s="110"/>
      <c r="CY77" s="139"/>
      <c r="DE77" s="196"/>
      <c r="DF77" s="196"/>
    </row>
    <row r="78" spans="1:110" ht="14.25" customHeight="1" x14ac:dyDescent="0.2">
      <c r="L78" s="107"/>
      <c r="M78" s="108"/>
      <c r="N78" s="108"/>
      <c r="O78" s="108"/>
      <c r="P78" s="108"/>
      <c r="Q78" s="108"/>
      <c r="R78" s="110"/>
      <c r="S78" s="107" t="s">
        <v>129</v>
      </c>
      <c r="T78" s="108"/>
      <c r="U78" s="108"/>
      <c r="V78" s="108"/>
      <c r="W78" s="108"/>
      <c r="X78" s="108"/>
      <c r="Y78" s="110">
        <f>238.74</f>
        <v>238.74</v>
      </c>
      <c r="Z78" s="107" t="s">
        <v>129</v>
      </c>
      <c r="AA78" s="108"/>
      <c r="AB78" s="108"/>
      <c r="AC78" s="108"/>
      <c r="AD78" s="108"/>
      <c r="AE78" s="108"/>
      <c r="AF78" s="110"/>
      <c r="AG78" s="107" t="s">
        <v>129</v>
      </c>
      <c r="AH78" s="108"/>
      <c r="AI78" s="108"/>
      <c r="AJ78" s="108"/>
      <c r="AK78" s="108"/>
      <c r="AL78" s="108"/>
      <c r="AM78" s="110">
        <f>238.74</f>
        <v>238.74</v>
      </c>
      <c r="AN78" s="107"/>
      <c r="AO78" s="108"/>
      <c r="AP78" s="108"/>
      <c r="AQ78" s="108"/>
      <c r="AR78" s="108"/>
      <c r="AS78" s="108"/>
      <c r="AT78" s="110"/>
      <c r="AU78" s="107"/>
      <c r="AV78" s="108"/>
      <c r="AW78" s="108"/>
      <c r="AX78" s="108"/>
      <c r="AY78" s="108"/>
      <c r="AZ78" s="108"/>
      <c r="BA78" s="110"/>
      <c r="BB78" s="107"/>
      <c r="BC78" s="108"/>
      <c r="BD78" s="108"/>
      <c r="BE78" s="108"/>
      <c r="BF78" s="108"/>
      <c r="BG78" s="108"/>
      <c r="BH78" s="110"/>
      <c r="BI78" s="107"/>
      <c r="BJ78" s="108"/>
      <c r="BK78" s="108"/>
      <c r="BL78" s="108"/>
      <c r="BM78" s="108"/>
      <c r="BN78" s="108"/>
      <c r="BO78" s="110"/>
      <c r="BP78" s="107"/>
      <c r="BQ78" s="108"/>
      <c r="BR78" s="108"/>
      <c r="BS78" s="108"/>
      <c r="BT78" s="108"/>
      <c r="BU78" s="108"/>
      <c r="BV78" s="110"/>
      <c r="BW78" s="107"/>
      <c r="BX78" s="108"/>
      <c r="BY78" s="108"/>
      <c r="BZ78" s="108"/>
      <c r="CA78" s="108"/>
      <c r="CB78" s="108"/>
      <c r="CC78" s="110"/>
      <c r="CD78" s="107"/>
      <c r="CE78" s="108"/>
      <c r="CF78" s="108"/>
      <c r="CG78" s="108"/>
      <c r="CH78" s="108"/>
      <c r="CI78" s="108"/>
      <c r="CJ78" s="110"/>
      <c r="CK78" s="107"/>
      <c r="CL78" s="108"/>
      <c r="CM78" s="108"/>
      <c r="CN78" s="108"/>
      <c r="CO78" s="108"/>
      <c r="CP78" s="108"/>
      <c r="CQ78" s="110"/>
      <c r="CY78" s="139"/>
      <c r="DE78" s="196"/>
      <c r="DF78" s="196"/>
    </row>
    <row r="79" spans="1:110" ht="14.25" customHeight="1" x14ac:dyDescent="0.2">
      <c r="L79" s="107"/>
      <c r="M79" s="108"/>
      <c r="N79" s="108"/>
      <c r="O79" s="108"/>
      <c r="P79" s="108"/>
      <c r="Q79" s="108"/>
      <c r="R79" s="167"/>
      <c r="S79" s="107"/>
      <c r="T79" s="108"/>
      <c r="U79" s="108"/>
      <c r="V79" s="108"/>
      <c r="W79" s="108"/>
      <c r="X79" s="108"/>
      <c r="Y79" s="167"/>
      <c r="Z79" s="107" t="s">
        <v>123</v>
      </c>
      <c r="AA79" s="108"/>
      <c r="AB79" s="108"/>
      <c r="AC79" s="108"/>
      <c r="AD79" s="108"/>
      <c r="AE79" s="108"/>
      <c r="AF79" s="167">
        <f>485</f>
        <v>485</v>
      </c>
      <c r="AG79" s="107" t="s">
        <v>123</v>
      </c>
      <c r="AH79" s="108"/>
      <c r="AI79" s="108"/>
      <c r="AJ79" s="108"/>
      <c r="AK79" s="108"/>
      <c r="AL79" s="108"/>
      <c r="AM79" s="167"/>
      <c r="AN79" s="107"/>
      <c r="AO79" s="108"/>
      <c r="AP79" s="108"/>
      <c r="AQ79" s="108"/>
      <c r="AR79" s="108"/>
      <c r="AS79" s="108"/>
      <c r="AT79" s="167"/>
      <c r="AU79" s="107"/>
      <c r="AV79" s="108"/>
      <c r="AW79" s="108"/>
      <c r="AX79" s="108"/>
      <c r="AY79" s="108"/>
      <c r="AZ79" s="108"/>
      <c r="BA79" s="167"/>
      <c r="BB79" s="107"/>
      <c r="BC79" s="108"/>
      <c r="BD79" s="108"/>
      <c r="BE79" s="108"/>
      <c r="BF79" s="108"/>
      <c r="BG79" s="108"/>
      <c r="BH79" s="167"/>
      <c r="BI79" s="107"/>
      <c r="BJ79" s="108"/>
      <c r="BK79" s="108"/>
      <c r="BL79" s="108"/>
      <c r="BM79" s="108"/>
      <c r="BN79" s="108"/>
      <c r="BO79" s="167"/>
      <c r="BP79" s="107"/>
      <c r="BQ79" s="108"/>
      <c r="BR79" s="108"/>
      <c r="BS79" s="108"/>
      <c r="BT79" s="108"/>
      <c r="BU79" s="108"/>
      <c r="BV79" s="167"/>
      <c r="BW79" s="107"/>
      <c r="BX79" s="108"/>
      <c r="BY79" s="108"/>
      <c r="BZ79" s="108"/>
      <c r="CA79" s="108"/>
      <c r="CB79" s="108"/>
      <c r="CC79" s="167"/>
      <c r="CD79" s="107"/>
      <c r="CE79" s="108"/>
      <c r="CF79" s="108"/>
      <c r="CG79" s="108"/>
      <c r="CH79" s="108"/>
      <c r="CI79" s="108"/>
      <c r="CJ79" s="167"/>
      <c r="CK79" s="107"/>
      <c r="CL79" s="108"/>
      <c r="CM79" s="108"/>
      <c r="CN79" s="108"/>
      <c r="CO79" s="108"/>
      <c r="CP79" s="108"/>
      <c r="CQ79" s="167"/>
      <c r="CY79" s="155"/>
      <c r="DA79" s="154"/>
      <c r="DE79" s="196"/>
      <c r="DF79" s="196"/>
    </row>
    <row r="80" spans="1:110" ht="14.25" customHeight="1" x14ac:dyDescent="0.2">
      <c r="L80" s="107"/>
      <c r="M80" s="108"/>
      <c r="N80" s="108"/>
      <c r="O80" s="108"/>
      <c r="P80" s="108"/>
      <c r="Q80" s="108"/>
      <c r="R80" s="110"/>
      <c r="S80" s="107"/>
      <c r="T80" s="108"/>
      <c r="U80" s="108"/>
      <c r="V80" s="108"/>
      <c r="W80" s="108"/>
      <c r="X80" s="108"/>
      <c r="Y80" s="110"/>
      <c r="Z80" s="107" t="s">
        <v>122</v>
      </c>
      <c r="AA80" s="108"/>
      <c r="AB80" s="108"/>
      <c r="AC80" s="108"/>
      <c r="AD80" s="108"/>
      <c r="AE80" s="108"/>
      <c r="AF80" s="110">
        <v>609</v>
      </c>
      <c r="AG80" s="107" t="s">
        <v>122</v>
      </c>
      <c r="AH80" s="108"/>
      <c r="AI80" s="108"/>
      <c r="AJ80" s="108"/>
      <c r="AK80" s="108"/>
      <c r="AL80" s="108"/>
      <c r="AM80" s="110"/>
      <c r="AN80" s="107"/>
      <c r="AO80" s="108"/>
      <c r="AP80" s="108"/>
      <c r="AQ80" s="108"/>
      <c r="AR80" s="108"/>
      <c r="AS80" s="108"/>
      <c r="AT80" s="110"/>
      <c r="AU80" s="107"/>
      <c r="AV80" s="108"/>
      <c r="AW80" s="108"/>
      <c r="AX80" s="108"/>
      <c r="AY80" s="108"/>
      <c r="AZ80" s="108"/>
      <c r="BA80" s="110"/>
      <c r="BB80" s="107"/>
      <c r="BC80" s="108"/>
      <c r="BD80" s="108"/>
      <c r="BE80" s="108"/>
      <c r="BF80" s="108"/>
      <c r="BG80" s="108"/>
      <c r="BH80" s="110"/>
      <c r="BI80" s="107"/>
      <c r="BJ80" s="108"/>
      <c r="BK80" s="108"/>
      <c r="BL80" s="108"/>
      <c r="BM80" s="108"/>
      <c r="BN80" s="108"/>
      <c r="BO80" s="110"/>
      <c r="BP80" s="107"/>
      <c r="BQ80" s="108"/>
      <c r="BR80" s="108"/>
      <c r="BS80" s="108"/>
      <c r="BT80" s="108"/>
      <c r="BU80" s="108"/>
      <c r="BV80" s="110"/>
      <c r="BW80" s="107"/>
      <c r="BX80" s="108"/>
      <c r="BY80" s="108"/>
      <c r="BZ80" s="108"/>
      <c r="CA80" s="108"/>
      <c r="CB80" s="108"/>
      <c r="CC80" s="110"/>
      <c r="CD80" s="107"/>
      <c r="CE80" s="108"/>
      <c r="CF80" s="108"/>
      <c r="CG80" s="108"/>
      <c r="CH80" s="108"/>
      <c r="CI80" s="108"/>
      <c r="CJ80" s="110"/>
      <c r="CK80" s="107"/>
      <c r="CL80" s="108"/>
      <c r="CM80" s="108"/>
      <c r="CN80" s="108"/>
      <c r="CO80" s="108"/>
      <c r="CP80" s="108"/>
      <c r="CQ80" s="110"/>
      <c r="DA80" s="154"/>
      <c r="DE80" s="196"/>
      <c r="DF80" s="196"/>
    </row>
    <row r="81" spans="12:110" ht="14.25" customHeight="1" x14ac:dyDescent="0.2">
      <c r="L81" s="107"/>
      <c r="M81" s="108"/>
      <c r="N81" s="108"/>
      <c r="O81" s="108"/>
      <c r="P81" s="108"/>
      <c r="Q81" s="108"/>
      <c r="R81" s="176"/>
      <c r="S81" s="107"/>
      <c r="T81" s="108"/>
      <c r="U81" s="108"/>
      <c r="V81" s="108"/>
      <c r="W81" s="108"/>
      <c r="X81" s="108"/>
      <c r="Y81" s="176"/>
      <c r="Z81" s="107"/>
      <c r="AA81" s="108"/>
      <c r="AB81" s="108"/>
      <c r="AC81" s="108"/>
      <c r="AD81" s="108"/>
      <c r="AE81" s="108"/>
      <c r="AF81" s="176"/>
      <c r="AG81" s="107"/>
      <c r="AH81" s="108"/>
      <c r="AI81" s="108"/>
      <c r="AJ81" s="108"/>
      <c r="AK81" s="108"/>
      <c r="AL81" s="108"/>
      <c r="AM81" s="176"/>
      <c r="AN81" s="107"/>
      <c r="AO81" s="108"/>
      <c r="AP81" s="108"/>
      <c r="AQ81" s="108"/>
      <c r="AR81" s="108"/>
      <c r="AS81" s="108"/>
      <c r="AT81" s="176"/>
      <c r="AU81" s="107"/>
      <c r="AV81" s="108"/>
      <c r="AW81" s="108"/>
      <c r="AX81" s="108"/>
      <c r="AY81" s="108"/>
      <c r="AZ81" s="108"/>
      <c r="BA81" s="176"/>
      <c r="BB81" s="107"/>
      <c r="BC81" s="108"/>
      <c r="BD81" s="108"/>
      <c r="BE81" s="108"/>
      <c r="BF81" s="108"/>
      <c r="BG81" s="108"/>
      <c r="BH81" s="176"/>
      <c r="BI81" s="107"/>
      <c r="BJ81" s="108"/>
      <c r="BK81" s="108"/>
      <c r="BL81" s="108"/>
      <c r="BM81" s="108"/>
      <c r="BN81" s="108"/>
      <c r="BO81" s="176"/>
      <c r="BP81" s="107"/>
      <c r="BQ81" s="108"/>
      <c r="BR81" s="108"/>
      <c r="BS81" s="108"/>
      <c r="BT81" s="108"/>
      <c r="BU81" s="108"/>
      <c r="BV81" s="176"/>
      <c r="BW81" s="107"/>
      <c r="BX81" s="108"/>
      <c r="BY81" s="108"/>
      <c r="BZ81" s="108"/>
      <c r="CA81" s="108"/>
      <c r="CB81" s="108"/>
      <c r="CC81" s="176"/>
      <c r="CD81" s="107"/>
      <c r="CE81" s="108"/>
      <c r="CF81" s="108"/>
      <c r="CG81" s="108"/>
      <c r="CH81" s="108"/>
      <c r="CI81" s="108"/>
      <c r="CJ81" s="176"/>
      <c r="CK81" s="107"/>
      <c r="CL81" s="108"/>
      <c r="CM81" s="108"/>
      <c r="CN81" s="108"/>
      <c r="CO81" s="108"/>
      <c r="CP81" s="108"/>
      <c r="CQ81" s="176"/>
      <c r="DA81" s="154"/>
      <c r="DE81" s="196"/>
      <c r="DF81" s="196"/>
    </row>
    <row r="82" spans="12:110" ht="14.25" customHeight="1" x14ac:dyDescent="0.2">
      <c r="L82" s="107"/>
      <c r="M82" s="108"/>
      <c r="N82" s="108"/>
      <c r="O82" s="108"/>
      <c r="P82" s="108"/>
      <c r="Q82" s="108"/>
      <c r="R82" s="110"/>
      <c r="S82" s="107"/>
      <c r="T82" s="108"/>
      <c r="U82" s="108"/>
      <c r="V82" s="108"/>
      <c r="W82" s="108"/>
      <c r="X82" s="108"/>
      <c r="Y82" s="110"/>
      <c r="Z82" s="107"/>
      <c r="AA82" s="108"/>
      <c r="AB82" s="108"/>
      <c r="AC82" s="108"/>
      <c r="AD82" s="108"/>
      <c r="AE82" s="108"/>
      <c r="AF82" s="110"/>
      <c r="AG82" s="107"/>
      <c r="AH82" s="108"/>
      <c r="AI82" s="108"/>
      <c r="AJ82" s="108"/>
      <c r="AK82" s="108"/>
      <c r="AL82" s="108"/>
      <c r="AM82" s="110"/>
      <c r="AN82" s="107"/>
      <c r="AO82" s="108"/>
      <c r="AP82" s="108"/>
      <c r="AQ82" s="108"/>
      <c r="AR82" s="108"/>
      <c r="AS82" s="108"/>
      <c r="AT82" s="110"/>
      <c r="AU82" s="107"/>
      <c r="AV82" s="108"/>
      <c r="AW82" s="108"/>
      <c r="AX82" s="108"/>
      <c r="AY82" s="108"/>
      <c r="AZ82" s="108"/>
      <c r="BA82" s="110"/>
      <c r="BB82" s="107"/>
      <c r="BC82" s="108"/>
      <c r="BD82" s="108"/>
      <c r="BE82" s="108"/>
      <c r="BF82" s="108"/>
      <c r="BG82" s="108"/>
      <c r="BH82" s="110"/>
      <c r="BI82" s="107"/>
      <c r="BJ82" s="108"/>
      <c r="BK82" s="108"/>
      <c r="BL82" s="108"/>
      <c r="BM82" s="108"/>
      <c r="BN82" s="108"/>
      <c r="BO82" s="110"/>
      <c r="BP82" s="107"/>
      <c r="BQ82" s="108"/>
      <c r="BR82" s="108"/>
      <c r="BS82" s="108"/>
      <c r="BT82" s="108"/>
      <c r="BU82" s="108"/>
      <c r="BV82" s="110"/>
      <c r="BW82" s="107"/>
      <c r="BX82" s="108"/>
      <c r="BY82" s="108"/>
      <c r="BZ82" s="108"/>
      <c r="CA82" s="108"/>
      <c r="CB82" s="108"/>
      <c r="CC82" s="110"/>
      <c r="CD82" s="107"/>
      <c r="CE82" s="108"/>
      <c r="CF82" s="108"/>
      <c r="CG82" s="108"/>
      <c r="CH82" s="108"/>
      <c r="CI82" s="108"/>
      <c r="CJ82" s="110"/>
      <c r="CK82" s="107"/>
      <c r="CL82" s="108"/>
      <c r="CM82" s="108"/>
      <c r="CN82" s="108"/>
      <c r="CO82" s="108"/>
      <c r="CP82" s="108"/>
      <c r="CQ82" s="110"/>
      <c r="DA82" s="154"/>
      <c r="DE82" s="196"/>
      <c r="DF82" s="196"/>
    </row>
    <row r="83" spans="12:110" ht="14.25" customHeight="1" x14ac:dyDescent="0.2">
      <c r="L83" s="172" t="s">
        <v>82</v>
      </c>
      <c r="M83" s="173"/>
      <c r="N83" s="173"/>
      <c r="O83" s="173"/>
      <c r="P83" s="173"/>
      <c r="Q83" s="206"/>
      <c r="R83" s="168">
        <f>SUM(R61:R82)</f>
        <v>22569.879999999997</v>
      </c>
      <c r="S83" s="172" t="s">
        <v>82</v>
      </c>
      <c r="T83" s="173"/>
      <c r="U83" s="173"/>
      <c r="V83" s="173"/>
      <c r="W83" s="173"/>
      <c r="X83" s="206"/>
      <c r="Y83" s="168">
        <f>SUM(Y61:Y82)</f>
        <v>14751.050000000001</v>
      </c>
      <c r="Z83" s="172" t="s">
        <v>82</v>
      </c>
      <c r="AA83" s="173"/>
      <c r="AB83" s="173"/>
      <c r="AC83" s="173"/>
      <c r="AD83" s="173"/>
      <c r="AE83" s="206"/>
      <c r="AF83" s="168">
        <f>SUM(AF61:AF82)</f>
        <v>8220.66</v>
      </c>
      <c r="AG83" s="172" t="s">
        <v>82</v>
      </c>
      <c r="AH83" s="173"/>
      <c r="AI83" s="173"/>
      <c r="AJ83" s="173"/>
      <c r="AK83" s="173"/>
      <c r="AL83" s="206"/>
      <c r="AM83" s="168">
        <f>SUM(AM61:AM82)</f>
        <v>11288.429999999998</v>
      </c>
      <c r="AN83" s="172" t="s">
        <v>82</v>
      </c>
      <c r="AO83" s="173"/>
      <c r="AP83" s="173"/>
      <c r="AQ83" s="173"/>
      <c r="AR83" s="173"/>
      <c r="AS83" s="206"/>
      <c r="AT83" s="168">
        <f>SUM(AT61:AT82)</f>
        <v>0</v>
      </c>
      <c r="AU83" s="172" t="s">
        <v>82</v>
      </c>
      <c r="AV83" s="173"/>
      <c r="AW83" s="173"/>
      <c r="AX83" s="173"/>
      <c r="AY83" s="173"/>
      <c r="AZ83" s="206"/>
      <c r="BA83" s="168">
        <f>SUM(BA61:BA82)</f>
        <v>0</v>
      </c>
      <c r="BB83" s="172" t="s">
        <v>82</v>
      </c>
      <c r="BC83" s="173"/>
      <c r="BD83" s="173"/>
      <c r="BE83" s="173"/>
      <c r="BF83" s="173"/>
      <c r="BG83" s="206"/>
      <c r="BH83" s="168">
        <f>SUM(BH61:BH82)</f>
        <v>0</v>
      </c>
      <c r="BI83" s="172" t="s">
        <v>82</v>
      </c>
      <c r="BJ83" s="173"/>
      <c r="BK83" s="173"/>
      <c r="BL83" s="173"/>
      <c r="BM83" s="173"/>
      <c r="BN83" s="206"/>
      <c r="BO83" s="168">
        <f>SUM(BO61:BO82)</f>
        <v>0</v>
      </c>
      <c r="BP83" s="172" t="s">
        <v>82</v>
      </c>
      <c r="BQ83" s="173"/>
      <c r="BR83" s="173"/>
      <c r="BS83" s="173"/>
      <c r="BT83" s="173"/>
      <c r="BU83" s="206"/>
      <c r="BV83" s="168">
        <f>SUM(BV61:BV82)</f>
        <v>0</v>
      </c>
      <c r="BW83" s="172" t="s">
        <v>82</v>
      </c>
      <c r="BX83" s="173"/>
      <c r="BY83" s="173"/>
      <c r="BZ83" s="173"/>
      <c r="CA83" s="173"/>
      <c r="CB83" s="206"/>
      <c r="CC83" s="168">
        <f>SUM(CC61:CC82)</f>
        <v>0</v>
      </c>
      <c r="CD83" s="172" t="s">
        <v>82</v>
      </c>
      <c r="CE83" s="173"/>
      <c r="CF83" s="173"/>
      <c r="CG83" s="173"/>
      <c r="CH83" s="173"/>
      <c r="CI83" s="206"/>
      <c r="CJ83" s="168">
        <f>SUM(CJ61:CJ82)</f>
        <v>0</v>
      </c>
      <c r="CK83" s="172" t="s">
        <v>82</v>
      </c>
      <c r="CL83" s="173"/>
      <c r="CM83" s="173"/>
      <c r="CN83" s="173"/>
      <c r="CO83" s="173"/>
      <c r="CP83" s="206"/>
      <c r="CQ83" s="168">
        <f>SUM(CQ61:CQ82)</f>
        <v>0</v>
      </c>
      <c r="DA83" s="154"/>
      <c r="DE83" s="196"/>
      <c r="DF83" s="196"/>
    </row>
    <row r="84" spans="12:110" ht="14.25" customHeight="1" x14ac:dyDescent="0.2">
      <c r="DE84" s="196"/>
      <c r="DF84" s="196"/>
    </row>
    <row r="85" spans="12:110" ht="14.25" customHeight="1" x14ac:dyDescent="0.2">
      <c r="DE85" s="196"/>
      <c r="DF85" s="196"/>
    </row>
    <row r="86" spans="12:110" ht="14.25" customHeight="1" x14ac:dyDescent="0.2">
      <c r="DE86" s="196"/>
      <c r="DF86" s="196"/>
    </row>
    <row r="87" spans="12:110" ht="14.25" customHeight="1" x14ac:dyDescent="0.2">
      <c r="DE87" s="196"/>
      <c r="DF87" s="196"/>
    </row>
    <row r="88" spans="12:110" ht="14.25" customHeight="1" x14ac:dyDescent="0.2">
      <c r="DE88" s="196"/>
      <c r="DF88" s="196"/>
    </row>
    <row r="89" spans="12:110" ht="14.25" customHeight="1" x14ac:dyDescent="0.2">
      <c r="DE89" s="196"/>
      <c r="DF89" s="196"/>
    </row>
    <row r="90" spans="12:110" ht="14.25" customHeight="1" x14ac:dyDescent="0.2">
      <c r="DE90" s="196"/>
      <c r="DF90" s="196"/>
    </row>
    <row r="91" spans="12:110" ht="14.25" customHeight="1" x14ac:dyDescent="0.2">
      <c r="DE91" s="196"/>
      <c r="DF91" s="196"/>
    </row>
    <row r="92" spans="12:110" ht="14.25" customHeight="1" x14ac:dyDescent="0.2">
      <c r="DE92" s="196"/>
      <c r="DF92" s="196"/>
    </row>
    <row r="93" spans="12:110" ht="14.25" customHeight="1" x14ac:dyDescent="0.2">
      <c r="DE93" s="196"/>
      <c r="DF93" s="196"/>
    </row>
    <row r="94" spans="12:110" ht="14.25" customHeight="1" x14ac:dyDescent="0.2">
      <c r="DE94" s="196"/>
      <c r="DF94" s="196"/>
    </row>
    <row r="95" spans="12:110" ht="14.25" customHeight="1" x14ac:dyDescent="0.2">
      <c r="DE95" s="196"/>
      <c r="DF95" s="196"/>
    </row>
    <row r="96" spans="12:110" ht="14.25" customHeight="1" x14ac:dyDescent="0.2">
      <c r="DE96" s="196"/>
      <c r="DF96" s="196"/>
    </row>
    <row r="97" spans="109:110" ht="14.25" customHeight="1" x14ac:dyDescent="0.2">
      <c r="DE97" s="196"/>
      <c r="DF97" s="196"/>
    </row>
    <row r="98" spans="109:110" ht="14.25" customHeight="1" x14ac:dyDescent="0.2">
      <c r="DE98" s="196"/>
      <c r="DF98" s="196"/>
    </row>
    <row r="99" spans="109:110" ht="14.25" customHeight="1" x14ac:dyDescent="0.2">
      <c r="DE99" s="196"/>
      <c r="DF99" s="196"/>
    </row>
    <row r="100" spans="109:110" ht="14.25" customHeight="1" x14ac:dyDescent="0.2">
      <c r="DE100" s="196"/>
      <c r="DF100" s="196"/>
    </row>
    <row r="101" spans="109:110" ht="14.25" customHeight="1" x14ac:dyDescent="0.2">
      <c r="DE101" s="196"/>
      <c r="DF101" s="196"/>
    </row>
    <row r="102" spans="109:110" ht="14.25" customHeight="1" x14ac:dyDescent="0.2">
      <c r="DE102" s="196"/>
      <c r="DF102" s="196"/>
    </row>
    <row r="103" spans="109:110" ht="14.25" customHeight="1" x14ac:dyDescent="0.2">
      <c r="DE103" s="196"/>
      <c r="DF103" s="196"/>
    </row>
    <row r="104" spans="109:110" ht="14.25" customHeight="1" x14ac:dyDescent="0.2">
      <c r="DE104" s="196"/>
      <c r="DF104" s="196"/>
    </row>
    <row r="105" spans="109:110" ht="14.25" customHeight="1" x14ac:dyDescent="0.2">
      <c r="DE105" s="196"/>
      <c r="DF105" s="196"/>
    </row>
    <row r="106" spans="109:110" ht="14.25" customHeight="1" x14ac:dyDescent="0.2">
      <c r="DE106" s="196"/>
      <c r="DF106" s="196"/>
    </row>
    <row r="107" spans="109:110" ht="14.25" customHeight="1" x14ac:dyDescent="0.2">
      <c r="DE107" s="196"/>
      <c r="DF107" s="196"/>
    </row>
    <row r="108" spans="109:110" ht="14.25" customHeight="1" x14ac:dyDescent="0.2">
      <c r="DE108" s="196"/>
      <c r="DF108" s="196"/>
    </row>
    <row r="109" spans="109:110" ht="14.25" customHeight="1" x14ac:dyDescent="0.2">
      <c r="DE109" s="196"/>
      <c r="DF109" s="196"/>
    </row>
    <row r="110" spans="109:110" ht="14.25" customHeight="1" x14ac:dyDescent="0.2">
      <c r="DE110" s="196"/>
      <c r="DF110" s="196"/>
    </row>
    <row r="111" spans="109:110" ht="14.25" customHeight="1" x14ac:dyDescent="0.2">
      <c r="DE111" s="196"/>
      <c r="DF111" s="196"/>
    </row>
    <row r="112" spans="109:110" ht="14.25" customHeight="1" x14ac:dyDescent="0.2">
      <c r="DE112" s="196"/>
      <c r="DF112" s="196"/>
    </row>
    <row r="113" spans="109:110" ht="14.25" customHeight="1" x14ac:dyDescent="0.2">
      <c r="DE113" s="196"/>
      <c r="DF113" s="196"/>
    </row>
    <row r="114" spans="109:110" ht="14.25" customHeight="1" x14ac:dyDescent="0.2">
      <c r="DE114" s="196"/>
      <c r="DF114" s="196"/>
    </row>
    <row r="115" spans="109:110" ht="14.25" customHeight="1" x14ac:dyDescent="0.2">
      <c r="DE115" s="196"/>
      <c r="DF115" s="196"/>
    </row>
    <row r="116" spans="109:110" ht="14.25" customHeight="1" x14ac:dyDescent="0.2">
      <c r="DE116" s="196"/>
      <c r="DF116" s="196"/>
    </row>
    <row r="117" spans="109:110" ht="14.25" customHeight="1" x14ac:dyDescent="0.2">
      <c r="DE117" s="196"/>
      <c r="DF117" s="196"/>
    </row>
    <row r="118" spans="109:110" ht="14.25" customHeight="1" x14ac:dyDescent="0.2">
      <c r="DE118" s="196"/>
      <c r="DF118" s="196"/>
    </row>
    <row r="119" spans="109:110" ht="14.25" customHeight="1" x14ac:dyDescent="0.2">
      <c r="DE119" s="196"/>
      <c r="DF119" s="196"/>
    </row>
    <row r="120" spans="109:110" ht="14.25" customHeight="1" x14ac:dyDescent="0.2">
      <c r="DE120" s="196"/>
      <c r="DF120" s="196"/>
    </row>
    <row r="121" spans="109:110" ht="14.25" customHeight="1" x14ac:dyDescent="0.2">
      <c r="DE121" s="196"/>
      <c r="DF121" s="196"/>
    </row>
    <row r="122" spans="109:110" ht="14.25" customHeight="1" x14ac:dyDescent="0.2">
      <c r="DE122" s="196"/>
      <c r="DF122" s="196"/>
    </row>
    <row r="123" spans="109:110" ht="14.25" customHeight="1" x14ac:dyDescent="0.2">
      <c r="DE123" s="196"/>
      <c r="DF123" s="196"/>
    </row>
    <row r="124" spans="109:110" ht="14.25" customHeight="1" x14ac:dyDescent="0.2">
      <c r="DE124" s="196"/>
      <c r="DF124" s="196"/>
    </row>
    <row r="125" spans="109:110" ht="14.25" customHeight="1" x14ac:dyDescent="0.2">
      <c r="DE125" s="196"/>
      <c r="DF125" s="196"/>
    </row>
    <row r="126" spans="109:110" ht="14.25" customHeight="1" x14ac:dyDescent="0.2">
      <c r="DE126" s="196"/>
      <c r="DF126" s="196"/>
    </row>
    <row r="127" spans="109:110" ht="14.25" customHeight="1" x14ac:dyDescent="0.2">
      <c r="DE127" s="196"/>
      <c r="DF127" s="196"/>
    </row>
    <row r="128" spans="109:110" ht="14.25" customHeight="1" x14ac:dyDescent="0.2">
      <c r="DE128" s="196"/>
      <c r="DF128" s="196"/>
    </row>
    <row r="129" spans="109:110" ht="14.25" customHeight="1" x14ac:dyDescent="0.2">
      <c r="DE129" s="196"/>
      <c r="DF129" s="196"/>
    </row>
    <row r="130" spans="109:110" ht="14.25" customHeight="1" x14ac:dyDescent="0.2">
      <c r="DE130" s="196"/>
      <c r="DF130" s="196"/>
    </row>
    <row r="131" spans="109:110" ht="14.25" customHeight="1" x14ac:dyDescent="0.2">
      <c r="DE131" s="196"/>
      <c r="DF131" s="196"/>
    </row>
    <row r="132" spans="109:110" ht="14.25" customHeight="1" x14ac:dyDescent="0.2">
      <c r="DE132" s="196"/>
      <c r="DF132" s="196"/>
    </row>
    <row r="133" spans="109:110" ht="14.25" customHeight="1" x14ac:dyDescent="0.2">
      <c r="DE133" s="196"/>
      <c r="DF133" s="196"/>
    </row>
    <row r="134" spans="109:110" ht="14.25" customHeight="1" x14ac:dyDescent="0.2">
      <c r="DE134" s="196"/>
      <c r="DF134" s="196"/>
    </row>
    <row r="135" spans="109:110" ht="14.25" customHeight="1" x14ac:dyDescent="0.2">
      <c r="DE135" s="196"/>
      <c r="DF135" s="196"/>
    </row>
    <row r="136" spans="109:110" ht="14.25" customHeight="1" x14ac:dyDescent="0.2">
      <c r="DE136" s="196"/>
      <c r="DF136" s="196"/>
    </row>
    <row r="137" spans="109:110" ht="14.25" customHeight="1" x14ac:dyDescent="0.2">
      <c r="DE137" s="196"/>
      <c r="DF137" s="196"/>
    </row>
    <row r="138" spans="109:110" ht="14.25" customHeight="1" x14ac:dyDescent="0.2">
      <c r="DE138" s="196"/>
      <c r="DF138" s="196"/>
    </row>
    <row r="139" spans="109:110" ht="14.25" customHeight="1" x14ac:dyDescent="0.2">
      <c r="DE139" s="196"/>
      <c r="DF139" s="196"/>
    </row>
    <row r="140" spans="109:110" ht="14.25" customHeight="1" x14ac:dyDescent="0.2">
      <c r="DE140" s="196"/>
      <c r="DF140" s="196"/>
    </row>
    <row r="141" spans="109:110" ht="14.25" customHeight="1" x14ac:dyDescent="0.2">
      <c r="DE141" s="196"/>
      <c r="DF141" s="196"/>
    </row>
    <row r="142" spans="109:110" ht="14.25" customHeight="1" x14ac:dyDescent="0.2">
      <c r="DE142" s="196"/>
      <c r="DF142" s="196"/>
    </row>
    <row r="143" spans="109:110" ht="14.25" customHeight="1" x14ac:dyDescent="0.2">
      <c r="DE143" s="196"/>
      <c r="DF143" s="196"/>
    </row>
    <row r="144" spans="109:110" ht="14.25" customHeight="1" x14ac:dyDescent="0.2">
      <c r="DE144" s="196"/>
      <c r="DF144" s="196"/>
    </row>
    <row r="145" spans="105:110" ht="14.25" customHeight="1" x14ac:dyDescent="0.2">
      <c r="DE145" s="196"/>
      <c r="DF145" s="196"/>
    </row>
    <row r="146" spans="105:110" ht="14.25" customHeight="1" x14ac:dyDescent="0.2">
      <c r="DE146" s="196"/>
      <c r="DF146" s="196"/>
    </row>
    <row r="147" spans="105:110" ht="14.25" customHeight="1" x14ac:dyDescent="0.2">
      <c r="DE147" s="196"/>
      <c r="DF147" s="196"/>
    </row>
    <row r="148" spans="105:110" ht="14.25" customHeight="1" x14ac:dyDescent="0.2">
      <c r="DE148" s="196"/>
      <c r="DF148" s="196"/>
    </row>
    <row r="149" spans="105:110" ht="14.25" customHeight="1" x14ac:dyDescent="0.2">
      <c r="DE149" s="196"/>
      <c r="DF149" s="196"/>
    </row>
    <row r="150" spans="105:110" ht="14.25" customHeight="1" x14ac:dyDescent="0.2">
      <c r="DE150" s="196"/>
      <c r="DF150" s="196"/>
    </row>
    <row r="151" spans="105:110" ht="14.25" customHeight="1" x14ac:dyDescent="0.2">
      <c r="DE151" s="196"/>
      <c r="DF151" s="196"/>
    </row>
    <row r="152" spans="105:110" ht="14.25" customHeight="1" x14ac:dyDescent="0.2">
      <c r="DE152" s="196"/>
      <c r="DF152" s="196"/>
    </row>
    <row r="153" spans="105:110" ht="14.25" customHeight="1" x14ac:dyDescent="0.2">
      <c r="DE153" s="196"/>
      <c r="DF153" s="196"/>
    </row>
    <row r="154" spans="105:110" ht="14.25" customHeight="1" x14ac:dyDescent="0.2">
      <c r="DE154" s="196"/>
      <c r="DF154" s="196"/>
    </row>
    <row r="155" spans="105:110" ht="14.25" customHeight="1" x14ac:dyDescent="0.2">
      <c r="DA155" s="154"/>
      <c r="DE155" s="196"/>
      <c r="DF155" s="196"/>
    </row>
    <row r="156" spans="105:110" ht="14.25" customHeight="1" x14ac:dyDescent="0.2">
      <c r="DA156" s="154"/>
      <c r="DE156" s="196"/>
      <c r="DF156" s="196"/>
    </row>
    <row r="157" spans="105:110" ht="14.25" customHeight="1" x14ac:dyDescent="0.2">
      <c r="DA157" s="154"/>
      <c r="DE157" s="196"/>
      <c r="DF157" s="196"/>
    </row>
    <row r="158" spans="105:110" ht="14.25" customHeight="1" x14ac:dyDescent="0.2">
      <c r="DA158" s="154"/>
      <c r="DE158" s="196"/>
      <c r="DF158" s="196"/>
    </row>
    <row r="159" spans="105:110" ht="14.25" customHeight="1" x14ac:dyDescent="0.2">
      <c r="DA159" s="154"/>
      <c r="DE159" s="196"/>
      <c r="DF159" s="196"/>
    </row>
    <row r="160" spans="105:110" ht="14.25" customHeight="1" x14ac:dyDescent="0.2">
      <c r="DA160" s="154"/>
      <c r="DE160" s="196"/>
      <c r="DF160" s="196"/>
    </row>
    <row r="161" spans="105:110" ht="14.25" customHeight="1" x14ac:dyDescent="0.2">
      <c r="DA161" s="154"/>
      <c r="DE161" s="196"/>
      <c r="DF161" s="196"/>
    </row>
    <row r="162" spans="105:110" ht="14.25" customHeight="1" x14ac:dyDescent="0.2">
      <c r="DA162" s="154"/>
      <c r="DE162" s="196"/>
      <c r="DF162" s="196"/>
    </row>
    <row r="163" spans="105:110" ht="14.25" customHeight="1" x14ac:dyDescent="0.2">
      <c r="DA163" s="154"/>
      <c r="DE163" s="196"/>
      <c r="DF163" s="196"/>
    </row>
    <row r="164" spans="105:110" ht="14.25" customHeight="1" x14ac:dyDescent="0.2">
      <c r="DA164" s="154"/>
      <c r="DE164" s="196"/>
      <c r="DF164" s="196"/>
    </row>
    <row r="165" spans="105:110" ht="14.25" customHeight="1" x14ac:dyDescent="0.2">
      <c r="DA165" s="154"/>
      <c r="DE165" s="196"/>
      <c r="DF165" s="196"/>
    </row>
    <row r="166" spans="105:110" ht="14.25" customHeight="1" x14ac:dyDescent="0.2">
      <c r="DA166" s="154"/>
      <c r="DE166" s="196"/>
      <c r="DF166" s="196"/>
    </row>
    <row r="167" spans="105:110" ht="14.25" customHeight="1" x14ac:dyDescent="0.2">
      <c r="DA167" s="154"/>
      <c r="DE167" s="196"/>
      <c r="DF167" s="196"/>
    </row>
    <row r="168" spans="105:110" ht="14.25" customHeight="1" x14ac:dyDescent="0.2">
      <c r="DA168" s="154"/>
      <c r="DE168" s="196"/>
      <c r="DF168" s="196"/>
    </row>
    <row r="169" spans="105:110" ht="14.25" customHeight="1" x14ac:dyDescent="0.2">
      <c r="DA169" s="154"/>
      <c r="DE169" s="196"/>
      <c r="DF169" s="196"/>
    </row>
    <row r="170" spans="105:110" ht="14.25" customHeight="1" x14ac:dyDescent="0.2">
      <c r="DA170" s="154"/>
      <c r="DE170" s="196"/>
      <c r="DF170" s="196"/>
    </row>
    <row r="171" spans="105:110" ht="14.25" customHeight="1" x14ac:dyDescent="0.2">
      <c r="DA171" s="154"/>
      <c r="DE171" s="196"/>
      <c r="DF171" s="196"/>
    </row>
    <row r="172" spans="105:110" ht="14.25" customHeight="1" x14ac:dyDescent="0.2">
      <c r="DA172" s="154"/>
      <c r="DE172" s="196"/>
      <c r="DF172" s="196"/>
    </row>
    <row r="173" spans="105:110" ht="14.25" customHeight="1" x14ac:dyDescent="0.2">
      <c r="DA173" s="154"/>
      <c r="DE173" s="196"/>
      <c r="DF173" s="196"/>
    </row>
    <row r="174" spans="105:110" ht="14.25" customHeight="1" x14ac:dyDescent="0.2">
      <c r="DA174" s="154"/>
      <c r="DE174" s="196"/>
      <c r="DF174" s="196"/>
    </row>
    <row r="175" spans="105:110" ht="14.25" customHeight="1" x14ac:dyDescent="0.2">
      <c r="DA175" s="154"/>
      <c r="DE175" s="196"/>
      <c r="DF175" s="196"/>
    </row>
    <row r="176" spans="105:110" ht="14.25" customHeight="1" x14ac:dyDescent="0.2">
      <c r="DA176" s="154"/>
      <c r="DE176" s="196"/>
      <c r="DF176" s="196"/>
    </row>
    <row r="177" spans="105:110" ht="14.25" customHeight="1" x14ac:dyDescent="0.2">
      <c r="DA177" s="154"/>
      <c r="DE177" s="196"/>
      <c r="DF177" s="196"/>
    </row>
    <row r="178" spans="105:110" ht="14.25" customHeight="1" x14ac:dyDescent="0.2">
      <c r="DA178" s="154"/>
      <c r="DE178" s="196"/>
      <c r="DF178" s="196"/>
    </row>
    <row r="179" spans="105:110" ht="14.25" customHeight="1" x14ac:dyDescent="0.2">
      <c r="DA179" s="154"/>
      <c r="DE179" s="196"/>
      <c r="DF179" s="196"/>
    </row>
    <row r="180" spans="105:110" ht="14.25" customHeight="1" x14ac:dyDescent="0.2">
      <c r="DA180" s="154"/>
      <c r="DE180" s="196"/>
      <c r="DF180" s="196"/>
    </row>
    <row r="181" spans="105:110" ht="14.25" customHeight="1" x14ac:dyDescent="0.2">
      <c r="DA181" s="154"/>
      <c r="DE181" s="196"/>
      <c r="DF181" s="196"/>
    </row>
    <row r="182" spans="105:110" ht="14.25" customHeight="1" x14ac:dyDescent="0.2">
      <c r="DA182" s="154"/>
      <c r="DE182" s="196"/>
      <c r="DF182" s="196"/>
    </row>
    <row r="183" spans="105:110" ht="14.25" customHeight="1" x14ac:dyDescent="0.2">
      <c r="DA183" s="154"/>
      <c r="DE183" s="196"/>
      <c r="DF183" s="196"/>
    </row>
    <row r="184" spans="105:110" ht="14.25" customHeight="1" x14ac:dyDescent="0.2">
      <c r="DA184" s="154"/>
      <c r="DE184" s="196"/>
      <c r="DF184" s="196"/>
    </row>
    <row r="185" spans="105:110" ht="14.25" customHeight="1" x14ac:dyDescent="0.2">
      <c r="DA185" s="154"/>
      <c r="DE185" s="196"/>
      <c r="DF185" s="196"/>
    </row>
    <row r="186" spans="105:110" ht="14.25" customHeight="1" x14ac:dyDescent="0.2">
      <c r="DA186" s="154"/>
      <c r="DE186" s="196"/>
      <c r="DF186" s="196"/>
    </row>
    <row r="187" spans="105:110" ht="14.25" customHeight="1" x14ac:dyDescent="0.2">
      <c r="DA187" s="154"/>
      <c r="DE187" s="196"/>
      <c r="DF187" s="196"/>
    </row>
    <row r="188" spans="105:110" ht="14.25" customHeight="1" x14ac:dyDescent="0.2">
      <c r="DA188" s="154"/>
      <c r="DE188" s="196"/>
      <c r="DF188" s="196"/>
    </row>
    <row r="189" spans="105:110" ht="14.25" customHeight="1" x14ac:dyDescent="0.2">
      <c r="DA189" s="154"/>
      <c r="DE189" s="196"/>
      <c r="DF189" s="196"/>
    </row>
    <row r="190" spans="105:110" ht="14.25" customHeight="1" x14ac:dyDescent="0.2">
      <c r="DA190" s="154"/>
      <c r="DE190" s="196"/>
      <c r="DF190" s="196"/>
    </row>
    <row r="191" spans="105:110" ht="14.25" customHeight="1" x14ac:dyDescent="0.2">
      <c r="DA191" s="154"/>
      <c r="DE191" s="196"/>
      <c r="DF191" s="196"/>
    </row>
    <row r="192" spans="105:110" ht="14.25" customHeight="1" x14ac:dyDescent="0.2">
      <c r="DA192" s="154"/>
      <c r="DE192" s="196"/>
      <c r="DF192" s="196"/>
    </row>
    <row r="193" spans="105:110" ht="14.25" customHeight="1" x14ac:dyDescent="0.2">
      <c r="DA193" s="154"/>
      <c r="DE193" s="196"/>
      <c r="DF193" s="196"/>
    </row>
    <row r="194" spans="105:110" ht="14.25" customHeight="1" x14ac:dyDescent="0.2">
      <c r="DA194" s="154"/>
      <c r="DE194" s="196"/>
      <c r="DF194" s="196"/>
    </row>
    <row r="195" spans="105:110" ht="14.25" customHeight="1" x14ac:dyDescent="0.2">
      <c r="DA195" s="154"/>
      <c r="DE195" s="196"/>
      <c r="DF195" s="196"/>
    </row>
    <row r="196" spans="105:110" ht="14.25" customHeight="1" x14ac:dyDescent="0.2">
      <c r="DA196" s="154"/>
      <c r="DE196" s="196"/>
      <c r="DF196" s="196"/>
    </row>
    <row r="197" spans="105:110" ht="14.25" customHeight="1" x14ac:dyDescent="0.2">
      <c r="DA197" s="154"/>
      <c r="DE197" s="196"/>
      <c r="DF197" s="196"/>
    </row>
    <row r="198" spans="105:110" ht="14.25" customHeight="1" x14ac:dyDescent="0.2">
      <c r="DA198" s="154"/>
      <c r="DE198" s="196"/>
      <c r="DF198" s="196"/>
    </row>
    <row r="199" spans="105:110" ht="14.25" customHeight="1" x14ac:dyDescent="0.2">
      <c r="DA199" s="154"/>
      <c r="DE199" s="196"/>
      <c r="DF199" s="196"/>
    </row>
    <row r="200" spans="105:110" ht="14.25" customHeight="1" x14ac:dyDescent="0.2">
      <c r="DA200" s="154"/>
      <c r="DE200" s="196"/>
      <c r="DF200" s="196"/>
    </row>
    <row r="201" spans="105:110" ht="14.25" customHeight="1" x14ac:dyDescent="0.2">
      <c r="DA201" s="154"/>
      <c r="DE201" s="196"/>
      <c r="DF201" s="196"/>
    </row>
    <row r="202" spans="105:110" ht="14.25" customHeight="1" x14ac:dyDescent="0.2">
      <c r="DA202" s="154"/>
      <c r="DE202" s="196"/>
      <c r="DF202" s="196"/>
    </row>
    <row r="203" spans="105:110" ht="14.25" customHeight="1" x14ac:dyDescent="0.2">
      <c r="DA203" s="154"/>
      <c r="DE203" s="196"/>
      <c r="DF203" s="196"/>
    </row>
    <row r="204" spans="105:110" ht="14.25" customHeight="1" x14ac:dyDescent="0.2">
      <c r="DA204" s="154"/>
      <c r="DE204" s="196"/>
      <c r="DF204" s="196"/>
    </row>
    <row r="205" spans="105:110" ht="14.25" customHeight="1" x14ac:dyDescent="0.2">
      <c r="DA205" s="154"/>
      <c r="DE205" s="196"/>
      <c r="DF205" s="196"/>
    </row>
    <row r="206" spans="105:110" ht="14.25" customHeight="1" x14ac:dyDescent="0.2">
      <c r="DA206" s="154"/>
      <c r="DE206" s="196"/>
      <c r="DF206" s="196"/>
    </row>
    <row r="207" spans="105:110" ht="14.25" customHeight="1" x14ac:dyDescent="0.2">
      <c r="DA207" s="154"/>
      <c r="DE207" s="196"/>
      <c r="DF207" s="196"/>
    </row>
    <row r="208" spans="105:110" ht="14.25" customHeight="1" x14ac:dyDescent="0.2">
      <c r="DA208" s="154"/>
      <c r="DE208" s="196"/>
      <c r="DF208" s="196"/>
    </row>
    <row r="209" spans="105:110" ht="14.25" customHeight="1" x14ac:dyDescent="0.2">
      <c r="DA209" s="154"/>
      <c r="DE209" s="196"/>
      <c r="DF209" s="196"/>
    </row>
    <row r="210" spans="105:110" ht="14.25" customHeight="1" x14ac:dyDescent="0.2">
      <c r="DA210" s="154"/>
      <c r="DE210" s="196"/>
      <c r="DF210" s="196"/>
    </row>
    <row r="211" spans="105:110" ht="14.25" customHeight="1" x14ac:dyDescent="0.2">
      <c r="DA211" s="154"/>
      <c r="DE211" s="196"/>
      <c r="DF211" s="196"/>
    </row>
    <row r="212" spans="105:110" ht="14.25" customHeight="1" x14ac:dyDescent="0.2">
      <c r="DA212" s="154"/>
      <c r="DE212" s="196"/>
      <c r="DF212" s="196"/>
    </row>
    <row r="213" spans="105:110" ht="14.25" customHeight="1" x14ac:dyDescent="0.2">
      <c r="DA213" s="154"/>
      <c r="DE213" s="196"/>
      <c r="DF213" s="196"/>
    </row>
    <row r="214" spans="105:110" ht="14.25" customHeight="1" x14ac:dyDescent="0.2">
      <c r="DA214" s="154"/>
      <c r="DE214" s="196"/>
      <c r="DF214" s="196"/>
    </row>
    <row r="215" spans="105:110" ht="14.25" customHeight="1" x14ac:dyDescent="0.2">
      <c r="DA215" s="154"/>
      <c r="DE215" s="196"/>
      <c r="DF215" s="196"/>
    </row>
    <row r="216" spans="105:110" ht="14.25" customHeight="1" x14ac:dyDescent="0.2">
      <c r="DA216" s="154"/>
      <c r="DE216" s="196"/>
      <c r="DF216" s="196"/>
    </row>
    <row r="217" spans="105:110" ht="14.25" customHeight="1" x14ac:dyDescent="0.2">
      <c r="DA217" s="154"/>
      <c r="DE217" s="196"/>
      <c r="DF217" s="196"/>
    </row>
    <row r="218" spans="105:110" ht="14.25" customHeight="1" x14ac:dyDescent="0.2">
      <c r="DA218" s="154"/>
      <c r="DE218" s="196"/>
      <c r="DF218" s="196"/>
    </row>
    <row r="219" spans="105:110" ht="14.25" customHeight="1" x14ac:dyDescent="0.2">
      <c r="DA219" s="154"/>
      <c r="DE219" s="196"/>
      <c r="DF219" s="196"/>
    </row>
    <row r="220" spans="105:110" ht="14.25" customHeight="1" x14ac:dyDescent="0.2">
      <c r="DA220" s="154"/>
      <c r="DE220" s="196"/>
      <c r="DF220" s="196"/>
    </row>
    <row r="221" spans="105:110" ht="14.25" customHeight="1" x14ac:dyDescent="0.2">
      <c r="DA221" s="154"/>
      <c r="DE221" s="196"/>
      <c r="DF221" s="196"/>
    </row>
    <row r="222" spans="105:110" ht="14.25" customHeight="1" x14ac:dyDescent="0.2">
      <c r="DA222" s="154"/>
      <c r="DE222" s="196"/>
      <c r="DF222" s="196"/>
    </row>
    <row r="223" spans="105:110" ht="14.25" customHeight="1" x14ac:dyDescent="0.2">
      <c r="DA223" s="154"/>
      <c r="DE223" s="196"/>
      <c r="DF223" s="196"/>
    </row>
    <row r="224" spans="105:110" ht="14.25" customHeight="1" x14ac:dyDescent="0.2">
      <c r="DA224" s="154"/>
      <c r="DE224" s="196"/>
      <c r="DF224" s="196"/>
    </row>
    <row r="225" spans="105:110" ht="14.25" customHeight="1" x14ac:dyDescent="0.2">
      <c r="DA225" s="154"/>
      <c r="DE225" s="196"/>
      <c r="DF225" s="196"/>
    </row>
    <row r="226" spans="105:110" ht="14.25" customHeight="1" x14ac:dyDescent="0.2">
      <c r="DA226" s="154"/>
      <c r="DE226" s="196"/>
      <c r="DF226" s="196"/>
    </row>
    <row r="227" spans="105:110" ht="14.25" customHeight="1" x14ac:dyDescent="0.2">
      <c r="DA227" s="154"/>
      <c r="DE227" s="196"/>
      <c r="DF227" s="196"/>
    </row>
    <row r="228" spans="105:110" ht="14.25" customHeight="1" x14ac:dyDescent="0.2">
      <c r="DA228" s="154"/>
      <c r="DE228" s="196"/>
      <c r="DF228" s="196"/>
    </row>
    <row r="229" spans="105:110" ht="14.25" customHeight="1" x14ac:dyDescent="0.2">
      <c r="DA229" s="154"/>
      <c r="DE229" s="196"/>
      <c r="DF229" s="196"/>
    </row>
    <row r="230" spans="105:110" ht="14.25" customHeight="1" x14ac:dyDescent="0.2">
      <c r="DA230" s="154"/>
      <c r="DE230" s="196"/>
      <c r="DF230" s="196"/>
    </row>
    <row r="231" spans="105:110" ht="14.25" customHeight="1" x14ac:dyDescent="0.2">
      <c r="DA231" s="154"/>
      <c r="DE231" s="196"/>
      <c r="DF231" s="196"/>
    </row>
    <row r="232" spans="105:110" ht="14.25" customHeight="1" x14ac:dyDescent="0.2">
      <c r="DA232" s="154"/>
      <c r="DE232" s="196"/>
      <c r="DF232" s="196"/>
    </row>
    <row r="233" spans="105:110" ht="14.25" customHeight="1" x14ac:dyDescent="0.2">
      <c r="DA233" s="154"/>
      <c r="DE233" s="196"/>
      <c r="DF233" s="196"/>
    </row>
    <row r="234" spans="105:110" ht="14.25" customHeight="1" x14ac:dyDescent="0.2">
      <c r="DA234" s="154"/>
      <c r="DE234" s="196"/>
      <c r="DF234" s="196"/>
    </row>
    <row r="235" spans="105:110" ht="14.25" customHeight="1" x14ac:dyDescent="0.2">
      <c r="DA235" s="154"/>
      <c r="DE235" s="196"/>
      <c r="DF235" s="196"/>
    </row>
    <row r="236" spans="105:110" ht="14.25" customHeight="1" x14ac:dyDescent="0.2">
      <c r="DA236" s="154"/>
      <c r="DE236" s="196"/>
      <c r="DF236" s="196"/>
    </row>
    <row r="237" spans="105:110" ht="14.25" customHeight="1" x14ac:dyDescent="0.2">
      <c r="DA237" s="154"/>
      <c r="DE237" s="196"/>
      <c r="DF237" s="196"/>
    </row>
    <row r="238" spans="105:110" ht="14.25" customHeight="1" x14ac:dyDescent="0.2">
      <c r="DA238" s="154"/>
      <c r="DE238" s="196"/>
      <c r="DF238" s="196"/>
    </row>
    <row r="239" spans="105:110" ht="14.25" customHeight="1" x14ac:dyDescent="0.2">
      <c r="DA239" s="154"/>
      <c r="DE239" s="196"/>
      <c r="DF239" s="196"/>
    </row>
    <row r="240" spans="105:110" ht="14.25" customHeight="1" x14ac:dyDescent="0.2">
      <c r="DA240" s="154"/>
      <c r="DE240" s="196"/>
      <c r="DF240" s="196"/>
    </row>
    <row r="241" spans="105:110" ht="14.25" customHeight="1" x14ac:dyDescent="0.2">
      <c r="DA241" s="154"/>
      <c r="DE241" s="196"/>
      <c r="DF241" s="196"/>
    </row>
    <row r="242" spans="105:110" ht="14.25" customHeight="1" x14ac:dyDescent="0.2">
      <c r="DA242" s="154"/>
      <c r="DE242" s="196"/>
      <c r="DF242" s="196"/>
    </row>
    <row r="243" spans="105:110" ht="14.25" customHeight="1" x14ac:dyDescent="0.2">
      <c r="DA243" s="154"/>
      <c r="DE243" s="196"/>
      <c r="DF243" s="196"/>
    </row>
    <row r="244" spans="105:110" ht="14.25" customHeight="1" x14ac:dyDescent="0.2">
      <c r="DA244" s="154"/>
      <c r="DE244" s="196"/>
      <c r="DF244" s="196"/>
    </row>
    <row r="245" spans="105:110" ht="14.25" customHeight="1" x14ac:dyDescent="0.2">
      <c r="DA245" s="154"/>
      <c r="DE245" s="196"/>
      <c r="DF245" s="196"/>
    </row>
    <row r="246" spans="105:110" ht="14.25" customHeight="1" x14ac:dyDescent="0.2">
      <c r="DA246" s="154"/>
      <c r="DE246" s="196"/>
      <c r="DF246" s="196"/>
    </row>
    <row r="247" spans="105:110" ht="14.25" customHeight="1" x14ac:dyDescent="0.2">
      <c r="DA247" s="154"/>
      <c r="DE247" s="196"/>
      <c r="DF247" s="196"/>
    </row>
    <row r="248" spans="105:110" ht="14.25" customHeight="1" x14ac:dyDescent="0.2">
      <c r="DA248" s="154"/>
      <c r="DE248" s="196"/>
      <c r="DF248" s="196"/>
    </row>
    <row r="249" spans="105:110" ht="14.25" customHeight="1" x14ac:dyDescent="0.2">
      <c r="DA249" s="154"/>
      <c r="DE249" s="196"/>
      <c r="DF249" s="196"/>
    </row>
    <row r="250" spans="105:110" ht="14.25" customHeight="1" x14ac:dyDescent="0.2">
      <c r="DA250" s="154"/>
      <c r="DE250" s="196"/>
      <c r="DF250" s="196"/>
    </row>
    <row r="251" spans="105:110" ht="14.25" customHeight="1" x14ac:dyDescent="0.2">
      <c r="DA251" s="154"/>
      <c r="DE251" s="196"/>
      <c r="DF251" s="196"/>
    </row>
    <row r="252" spans="105:110" ht="14.25" customHeight="1" x14ac:dyDescent="0.2">
      <c r="DA252" s="154"/>
      <c r="DE252" s="196"/>
      <c r="DF252" s="196"/>
    </row>
    <row r="253" spans="105:110" ht="14.25" customHeight="1" x14ac:dyDescent="0.2">
      <c r="DA253" s="154"/>
      <c r="DE253" s="196"/>
      <c r="DF253" s="196"/>
    </row>
    <row r="254" spans="105:110" ht="14.25" customHeight="1" x14ac:dyDescent="0.2">
      <c r="DA254" s="154"/>
      <c r="DE254" s="196"/>
      <c r="DF254" s="196"/>
    </row>
    <row r="255" spans="105:110" ht="14.25" customHeight="1" x14ac:dyDescent="0.2">
      <c r="DA255" s="154"/>
      <c r="DE255" s="196"/>
      <c r="DF255" s="196"/>
    </row>
    <row r="256" spans="105:110" ht="14.25" customHeight="1" x14ac:dyDescent="0.2">
      <c r="DA256" s="154"/>
      <c r="DE256" s="196"/>
      <c r="DF256" s="196"/>
    </row>
    <row r="257" spans="105:110" ht="14.25" customHeight="1" x14ac:dyDescent="0.2">
      <c r="DA257" s="154"/>
      <c r="DE257" s="196"/>
      <c r="DF257" s="196"/>
    </row>
    <row r="258" spans="105:110" ht="14.25" customHeight="1" x14ac:dyDescent="0.2">
      <c r="DA258" s="154"/>
      <c r="DE258" s="196"/>
      <c r="DF258" s="196"/>
    </row>
    <row r="259" spans="105:110" ht="14.25" customHeight="1" x14ac:dyDescent="0.2">
      <c r="DA259" s="154"/>
      <c r="DE259" s="196"/>
      <c r="DF259" s="196"/>
    </row>
    <row r="260" spans="105:110" ht="14.25" customHeight="1" x14ac:dyDescent="0.2">
      <c r="DA260" s="154"/>
      <c r="DE260" s="196"/>
      <c r="DF260" s="196"/>
    </row>
    <row r="261" spans="105:110" ht="14.25" customHeight="1" x14ac:dyDescent="0.2">
      <c r="DA261" s="154"/>
      <c r="DE261" s="196"/>
      <c r="DF261" s="196"/>
    </row>
    <row r="262" spans="105:110" ht="14.25" customHeight="1" x14ac:dyDescent="0.2">
      <c r="DA262" s="154"/>
      <c r="DE262" s="196"/>
      <c r="DF262" s="196"/>
    </row>
    <row r="263" spans="105:110" ht="14.25" customHeight="1" x14ac:dyDescent="0.2">
      <c r="DA263" s="154"/>
      <c r="DE263" s="196"/>
      <c r="DF263" s="196"/>
    </row>
    <row r="264" spans="105:110" ht="14.25" customHeight="1" x14ac:dyDescent="0.2">
      <c r="DA264" s="154"/>
      <c r="DE264" s="196"/>
      <c r="DF264" s="196"/>
    </row>
    <row r="265" spans="105:110" ht="14.25" customHeight="1" x14ac:dyDescent="0.2">
      <c r="DA265" s="154"/>
      <c r="DE265" s="196"/>
      <c r="DF265" s="196"/>
    </row>
    <row r="266" spans="105:110" ht="14.25" customHeight="1" x14ac:dyDescent="0.2">
      <c r="DA266" s="154"/>
      <c r="DE266" s="196"/>
      <c r="DF266" s="196"/>
    </row>
    <row r="267" spans="105:110" ht="14.25" customHeight="1" x14ac:dyDescent="0.2">
      <c r="DA267" s="154"/>
      <c r="DE267" s="196"/>
      <c r="DF267" s="196"/>
    </row>
    <row r="268" spans="105:110" ht="14.25" customHeight="1" x14ac:dyDescent="0.2">
      <c r="DA268" s="154"/>
      <c r="DE268" s="196"/>
      <c r="DF268" s="196"/>
    </row>
    <row r="269" spans="105:110" ht="14.25" customHeight="1" x14ac:dyDescent="0.2">
      <c r="DA269" s="154"/>
      <c r="DE269" s="196"/>
      <c r="DF269" s="196"/>
    </row>
    <row r="270" spans="105:110" ht="14.25" customHeight="1" x14ac:dyDescent="0.2">
      <c r="DA270" s="154"/>
      <c r="DE270" s="196"/>
      <c r="DF270" s="196"/>
    </row>
    <row r="271" spans="105:110" ht="14.25" customHeight="1" x14ac:dyDescent="0.2">
      <c r="DA271" s="154"/>
      <c r="DE271" s="196"/>
      <c r="DF271" s="196"/>
    </row>
    <row r="272" spans="105:110" ht="14.25" customHeight="1" x14ac:dyDescent="0.2">
      <c r="DA272" s="154"/>
      <c r="DE272" s="196"/>
      <c r="DF272" s="196"/>
    </row>
    <row r="273" spans="105:110" ht="14.25" customHeight="1" x14ac:dyDescent="0.2">
      <c r="DA273" s="154"/>
      <c r="DE273" s="196"/>
      <c r="DF273" s="196"/>
    </row>
    <row r="274" spans="105:110" ht="14.25" customHeight="1" x14ac:dyDescent="0.2">
      <c r="DA274" s="154"/>
      <c r="DE274" s="196"/>
      <c r="DF274" s="196"/>
    </row>
    <row r="275" spans="105:110" ht="14.25" customHeight="1" x14ac:dyDescent="0.2">
      <c r="DA275" s="154"/>
      <c r="DE275" s="196"/>
      <c r="DF275" s="196"/>
    </row>
    <row r="276" spans="105:110" ht="14.25" customHeight="1" x14ac:dyDescent="0.2">
      <c r="DA276" s="154"/>
      <c r="DE276" s="196"/>
      <c r="DF276" s="196"/>
    </row>
    <row r="277" spans="105:110" ht="14.25" customHeight="1" x14ac:dyDescent="0.2">
      <c r="DA277" s="154"/>
      <c r="DE277" s="196"/>
      <c r="DF277" s="196"/>
    </row>
    <row r="278" spans="105:110" ht="14.25" customHeight="1" x14ac:dyDescent="0.2">
      <c r="DA278" s="154"/>
      <c r="DE278" s="196"/>
      <c r="DF278" s="196"/>
    </row>
    <row r="279" spans="105:110" ht="14.25" customHeight="1" x14ac:dyDescent="0.2">
      <c r="DA279" s="154"/>
      <c r="DE279" s="196"/>
      <c r="DF279" s="196"/>
    </row>
    <row r="280" spans="105:110" ht="14.25" customHeight="1" x14ac:dyDescent="0.2">
      <c r="DA280" s="154"/>
      <c r="DE280" s="196"/>
      <c r="DF280" s="196"/>
    </row>
    <row r="281" spans="105:110" ht="14.25" customHeight="1" x14ac:dyDescent="0.2">
      <c r="DA281" s="154"/>
      <c r="DE281" s="196"/>
      <c r="DF281" s="196"/>
    </row>
    <row r="282" spans="105:110" ht="14.25" customHeight="1" x14ac:dyDescent="0.2">
      <c r="DA282" s="154"/>
      <c r="DE282" s="196"/>
      <c r="DF282" s="196"/>
    </row>
    <row r="283" spans="105:110" ht="14.25" customHeight="1" x14ac:dyDescent="0.2">
      <c r="DA283" s="154"/>
      <c r="DE283" s="196"/>
      <c r="DF283" s="196"/>
    </row>
    <row r="284" spans="105:110" ht="14.25" customHeight="1" x14ac:dyDescent="0.2">
      <c r="DA284" s="154"/>
      <c r="DE284" s="196"/>
      <c r="DF284" s="196"/>
    </row>
    <row r="285" spans="105:110" ht="14.25" customHeight="1" x14ac:dyDescent="0.2">
      <c r="DA285" s="154"/>
      <c r="DE285" s="196"/>
      <c r="DF285" s="196"/>
    </row>
    <row r="286" spans="105:110" ht="14.25" customHeight="1" x14ac:dyDescent="0.2">
      <c r="DA286" s="154"/>
      <c r="DE286" s="196"/>
      <c r="DF286" s="196"/>
    </row>
    <row r="287" spans="105:110" ht="14.25" customHeight="1" x14ac:dyDescent="0.2">
      <c r="DA287" s="154"/>
      <c r="DE287" s="196"/>
      <c r="DF287" s="196"/>
    </row>
    <row r="288" spans="105:110" ht="14.25" customHeight="1" x14ac:dyDescent="0.2">
      <c r="DA288" s="154"/>
      <c r="DE288" s="196"/>
      <c r="DF288" s="196"/>
    </row>
    <row r="289" spans="105:110" ht="14.25" customHeight="1" x14ac:dyDescent="0.2">
      <c r="DA289" s="154"/>
      <c r="DE289" s="196"/>
      <c r="DF289" s="196"/>
    </row>
    <row r="290" spans="105:110" ht="14.25" customHeight="1" x14ac:dyDescent="0.2">
      <c r="DA290" s="154"/>
      <c r="DE290" s="196"/>
      <c r="DF290" s="196"/>
    </row>
    <row r="291" spans="105:110" ht="14.25" customHeight="1" x14ac:dyDescent="0.2">
      <c r="DA291" s="154"/>
      <c r="DE291" s="196"/>
      <c r="DF291" s="196"/>
    </row>
    <row r="292" spans="105:110" ht="14.25" customHeight="1" x14ac:dyDescent="0.2">
      <c r="DA292" s="154"/>
      <c r="DE292" s="196"/>
      <c r="DF292" s="196"/>
    </row>
    <row r="293" spans="105:110" ht="14.25" customHeight="1" x14ac:dyDescent="0.2">
      <c r="DA293" s="154"/>
      <c r="DE293" s="196"/>
      <c r="DF293" s="196"/>
    </row>
    <row r="294" spans="105:110" ht="14.25" customHeight="1" x14ac:dyDescent="0.2">
      <c r="DA294" s="154"/>
      <c r="DE294" s="196"/>
      <c r="DF294" s="196"/>
    </row>
    <row r="295" spans="105:110" ht="14.25" customHeight="1" x14ac:dyDescent="0.2">
      <c r="DA295" s="154"/>
      <c r="DE295" s="196"/>
      <c r="DF295" s="196"/>
    </row>
    <row r="296" spans="105:110" ht="14.25" customHeight="1" x14ac:dyDescent="0.2">
      <c r="DA296" s="154"/>
      <c r="DE296" s="196"/>
      <c r="DF296" s="196"/>
    </row>
    <row r="297" spans="105:110" ht="14.25" customHeight="1" x14ac:dyDescent="0.2">
      <c r="DA297" s="154"/>
      <c r="DE297" s="196"/>
      <c r="DF297" s="196"/>
    </row>
    <row r="298" spans="105:110" ht="14.25" customHeight="1" x14ac:dyDescent="0.2">
      <c r="DA298" s="154"/>
      <c r="DE298" s="196"/>
      <c r="DF298" s="196"/>
    </row>
    <row r="299" spans="105:110" ht="14.25" customHeight="1" x14ac:dyDescent="0.2">
      <c r="DA299" s="154"/>
      <c r="DE299" s="196"/>
      <c r="DF299" s="196"/>
    </row>
    <row r="300" spans="105:110" ht="14.25" customHeight="1" x14ac:dyDescent="0.2">
      <c r="DA300" s="154"/>
      <c r="DE300" s="196"/>
      <c r="DF300" s="196"/>
    </row>
    <row r="301" spans="105:110" ht="14.25" customHeight="1" x14ac:dyDescent="0.2">
      <c r="DA301" s="154"/>
      <c r="DE301" s="196"/>
      <c r="DF301" s="196"/>
    </row>
    <row r="302" spans="105:110" ht="14.25" customHeight="1" x14ac:dyDescent="0.2">
      <c r="DA302" s="154"/>
      <c r="DE302" s="196"/>
      <c r="DF302" s="196"/>
    </row>
    <row r="303" spans="105:110" ht="14.25" customHeight="1" x14ac:dyDescent="0.2">
      <c r="DA303" s="154"/>
      <c r="DE303" s="196"/>
      <c r="DF303" s="196"/>
    </row>
    <row r="304" spans="105:110" ht="14.25" customHeight="1" x14ac:dyDescent="0.2">
      <c r="DA304" s="154"/>
      <c r="DE304" s="196"/>
      <c r="DF304" s="196"/>
    </row>
    <row r="305" spans="105:110" ht="14.25" customHeight="1" x14ac:dyDescent="0.2">
      <c r="DA305" s="154"/>
      <c r="DE305" s="196"/>
      <c r="DF305" s="196"/>
    </row>
    <row r="306" spans="105:110" ht="14.25" customHeight="1" x14ac:dyDescent="0.2">
      <c r="DA306" s="154"/>
      <c r="DE306" s="196"/>
      <c r="DF306" s="196"/>
    </row>
    <row r="307" spans="105:110" ht="14.25" customHeight="1" x14ac:dyDescent="0.2">
      <c r="DA307" s="154"/>
      <c r="DE307" s="196"/>
      <c r="DF307" s="196"/>
    </row>
    <row r="308" spans="105:110" ht="14.25" customHeight="1" x14ac:dyDescent="0.2">
      <c r="DA308" s="154"/>
      <c r="DE308" s="196"/>
      <c r="DF308" s="196"/>
    </row>
    <row r="309" spans="105:110" ht="14.25" customHeight="1" x14ac:dyDescent="0.2">
      <c r="DA309" s="154"/>
      <c r="DE309" s="196"/>
      <c r="DF309" s="196"/>
    </row>
    <row r="310" spans="105:110" ht="14.25" customHeight="1" x14ac:dyDescent="0.2">
      <c r="DA310" s="154"/>
      <c r="DE310" s="196"/>
      <c r="DF310" s="196"/>
    </row>
    <row r="311" spans="105:110" ht="14.25" customHeight="1" x14ac:dyDescent="0.2">
      <c r="DA311" s="154"/>
      <c r="DE311" s="196"/>
      <c r="DF311" s="196"/>
    </row>
    <row r="312" spans="105:110" ht="14.25" customHeight="1" x14ac:dyDescent="0.2">
      <c r="DA312" s="154"/>
      <c r="DE312" s="196"/>
      <c r="DF312" s="196"/>
    </row>
    <row r="313" spans="105:110" ht="14.25" customHeight="1" x14ac:dyDescent="0.2">
      <c r="DA313" s="154"/>
      <c r="DE313" s="196"/>
      <c r="DF313" s="196"/>
    </row>
    <row r="314" spans="105:110" ht="14.25" customHeight="1" x14ac:dyDescent="0.2">
      <c r="DA314" s="154"/>
      <c r="DE314" s="196"/>
      <c r="DF314" s="196"/>
    </row>
    <row r="315" spans="105:110" ht="14.25" customHeight="1" x14ac:dyDescent="0.2">
      <c r="DA315" s="154"/>
      <c r="DE315" s="196"/>
      <c r="DF315" s="196"/>
    </row>
    <row r="316" spans="105:110" ht="14.25" customHeight="1" x14ac:dyDescent="0.2">
      <c r="DA316" s="154"/>
      <c r="DE316" s="196"/>
      <c r="DF316" s="196"/>
    </row>
    <row r="317" spans="105:110" ht="14.25" customHeight="1" x14ac:dyDescent="0.2">
      <c r="DA317" s="154"/>
      <c r="DE317" s="196"/>
      <c r="DF317" s="196"/>
    </row>
    <row r="318" spans="105:110" ht="14.25" customHeight="1" x14ac:dyDescent="0.2">
      <c r="DA318" s="154"/>
      <c r="DE318" s="196"/>
      <c r="DF318" s="196"/>
    </row>
    <row r="319" spans="105:110" ht="14.25" customHeight="1" x14ac:dyDescent="0.2">
      <c r="DA319" s="154"/>
      <c r="DE319" s="196"/>
      <c r="DF319" s="196"/>
    </row>
    <row r="320" spans="105:110" ht="14.25" customHeight="1" x14ac:dyDescent="0.2">
      <c r="DA320" s="154"/>
      <c r="DE320" s="196"/>
      <c r="DF320" s="196"/>
    </row>
    <row r="321" spans="105:110" ht="14.25" customHeight="1" x14ac:dyDescent="0.2">
      <c r="DA321" s="154"/>
      <c r="DE321" s="196"/>
      <c r="DF321" s="196"/>
    </row>
    <row r="322" spans="105:110" ht="14.25" customHeight="1" x14ac:dyDescent="0.2">
      <c r="DA322" s="154"/>
      <c r="DE322" s="196"/>
      <c r="DF322" s="196"/>
    </row>
    <row r="323" spans="105:110" ht="14.25" customHeight="1" x14ac:dyDescent="0.2">
      <c r="DA323" s="154"/>
      <c r="DE323" s="196"/>
      <c r="DF323" s="196"/>
    </row>
    <row r="324" spans="105:110" ht="14.25" customHeight="1" x14ac:dyDescent="0.2">
      <c r="DA324" s="154"/>
      <c r="DE324" s="196"/>
      <c r="DF324" s="196"/>
    </row>
    <row r="325" spans="105:110" ht="14.25" customHeight="1" x14ac:dyDescent="0.2">
      <c r="DA325" s="154"/>
      <c r="DE325" s="196"/>
      <c r="DF325" s="196"/>
    </row>
    <row r="326" spans="105:110" ht="14.25" customHeight="1" x14ac:dyDescent="0.2">
      <c r="DA326" s="154"/>
      <c r="DE326" s="196"/>
      <c r="DF326" s="196"/>
    </row>
    <row r="327" spans="105:110" ht="14.25" customHeight="1" x14ac:dyDescent="0.2">
      <c r="DA327" s="154"/>
      <c r="DE327" s="196"/>
      <c r="DF327" s="196"/>
    </row>
    <row r="328" spans="105:110" ht="14.25" customHeight="1" x14ac:dyDescent="0.2">
      <c r="DA328" s="154"/>
      <c r="DE328" s="196"/>
      <c r="DF328" s="196"/>
    </row>
    <row r="329" spans="105:110" ht="14.25" customHeight="1" x14ac:dyDescent="0.2">
      <c r="DA329" s="154"/>
      <c r="DE329" s="196"/>
      <c r="DF329" s="196"/>
    </row>
    <row r="330" spans="105:110" ht="14.25" customHeight="1" x14ac:dyDescent="0.2">
      <c r="DA330" s="154"/>
      <c r="DE330" s="196"/>
      <c r="DF330" s="196"/>
    </row>
    <row r="331" spans="105:110" ht="14.25" customHeight="1" x14ac:dyDescent="0.2">
      <c r="DA331" s="154"/>
      <c r="DE331" s="196"/>
      <c r="DF331" s="196"/>
    </row>
    <row r="332" spans="105:110" ht="14.25" customHeight="1" x14ac:dyDescent="0.2">
      <c r="DA332" s="154"/>
      <c r="DE332" s="196"/>
      <c r="DF332" s="196"/>
    </row>
    <row r="333" spans="105:110" ht="14.25" customHeight="1" x14ac:dyDescent="0.2">
      <c r="DA333" s="154"/>
      <c r="DE333" s="196"/>
      <c r="DF333" s="196"/>
    </row>
    <row r="334" spans="105:110" ht="14.25" customHeight="1" x14ac:dyDescent="0.2">
      <c r="DA334" s="154"/>
      <c r="DE334" s="196"/>
      <c r="DF334" s="196"/>
    </row>
    <row r="335" spans="105:110" ht="14.25" customHeight="1" x14ac:dyDescent="0.2">
      <c r="DA335" s="154"/>
      <c r="DE335" s="196"/>
      <c r="DF335" s="196"/>
    </row>
    <row r="336" spans="105:110" ht="14.25" customHeight="1" x14ac:dyDescent="0.2">
      <c r="DA336" s="154"/>
      <c r="DE336" s="196"/>
      <c r="DF336" s="196"/>
    </row>
    <row r="337" spans="105:110" ht="14.25" customHeight="1" x14ac:dyDescent="0.2">
      <c r="DA337" s="154"/>
      <c r="DE337" s="196"/>
      <c r="DF337" s="196"/>
    </row>
    <row r="338" spans="105:110" ht="14.25" customHeight="1" x14ac:dyDescent="0.2">
      <c r="DA338" s="154"/>
      <c r="DE338" s="196"/>
      <c r="DF338" s="196"/>
    </row>
    <row r="339" spans="105:110" ht="14.25" customHeight="1" x14ac:dyDescent="0.2">
      <c r="DA339" s="154"/>
      <c r="DE339" s="196"/>
      <c r="DF339" s="196"/>
    </row>
    <row r="340" spans="105:110" ht="14.25" customHeight="1" x14ac:dyDescent="0.2">
      <c r="DA340" s="154"/>
      <c r="DE340" s="196"/>
      <c r="DF340" s="196"/>
    </row>
    <row r="341" spans="105:110" ht="14.25" customHeight="1" x14ac:dyDescent="0.2">
      <c r="DA341" s="154"/>
      <c r="DE341" s="196"/>
      <c r="DF341" s="196"/>
    </row>
    <row r="342" spans="105:110" ht="14.25" customHeight="1" x14ac:dyDescent="0.2">
      <c r="DA342" s="154"/>
      <c r="DE342" s="196"/>
      <c r="DF342" s="196"/>
    </row>
    <row r="343" spans="105:110" ht="14.25" customHeight="1" x14ac:dyDescent="0.2">
      <c r="DA343" s="154"/>
      <c r="DE343" s="196"/>
      <c r="DF343" s="196"/>
    </row>
    <row r="344" spans="105:110" ht="14.25" customHeight="1" x14ac:dyDescent="0.2">
      <c r="DA344" s="154"/>
      <c r="DE344" s="196"/>
      <c r="DF344" s="196"/>
    </row>
    <row r="345" spans="105:110" ht="14.25" customHeight="1" x14ac:dyDescent="0.2">
      <c r="DA345" s="154"/>
      <c r="DE345" s="196"/>
      <c r="DF345" s="196"/>
    </row>
    <row r="346" spans="105:110" ht="14.25" customHeight="1" x14ac:dyDescent="0.2">
      <c r="DA346" s="154"/>
      <c r="DE346" s="196"/>
      <c r="DF346" s="196"/>
    </row>
    <row r="347" spans="105:110" ht="14.25" customHeight="1" x14ac:dyDescent="0.2">
      <c r="DA347" s="154"/>
      <c r="DE347" s="196"/>
      <c r="DF347" s="196"/>
    </row>
    <row r="348" spans="105:110" ht="14.25" customHeight="1" x14ac:dyDescent="0.2">
      <c r="DA348" s="154"/>
      <c r="DE348" s="196"/>
      <c r="DF348" s="196"/>
    </row>
    <row r="349" spans="105:110" ht="14.25" customHeight="1" x14ac:dyDescent="0.2">
      <c r="DA349" s="154"/>
      <c r="DE349" s="196"/>
      <c r="DF349" s="196"/>
    </row>
    <row r="350" spans="105:110" ht="14.25" customHeight="1" x14ac:dyDescent="0.2">
      <c r="DA350" s="154"/>
      <c r="DE350" s="196"/>
      <c r="DF350" s="196"/>
    </row>
    <row r="351" spans="105:110" ht="14.25" customHeight="1" x14ac:dyDescent="0.2">
      <c r="DA351" s="154"/>
      <c r="DE351" s="196"/>
      <c r="DF351" s="196"/>
    </row>
    <row r="352" spans="105:110" ht="14.25" customHeight="1" x14ac:dyDescent="0.2">
      <c r="DA352" s="154"/>
      <c r="DE352" s="196"/>
      <c r="DF352" s="196"/>
    </row>
    <row r="353" spans="105:110" ht="14.25" customHeight="1" x14ac:dyDescent="0.2">
      <c r="DA353" s="154"/>
      <c r="DE353" s="196"/>
      <c r="DF353" s="196"/>
    </row>
    <row r="354" spans="105:110" ht="14.25" customHeight="1" x14ac:dyDescent="0.2">
      <c r="DA354" s="154"/>
      <c r="DE354" s="196"/>
      <c r="DF354" s="196"/>
    </row>
    <row r="355" spans="105:110" ht="14.25" customHeight="1" x14ac:dyDescent="0.2">
      <c r="DA355" s="154"/>
      <c r="DE355" s="196"/>
      <c r="DF355" s="196"/>
    </row>
    <row r="356" spans="105:110" ht="14.25" customHeight="1" x14ac:dyDescent="0.2">
      <c r="DA356" s="154"/>
      <c r="DE356" s="196"/>
      <c r="DF356" s="196"/>
    </row>
    <row r="357" spans="105:110" ht="14.25" customHeight="1" x14ac:dyDescent="0.2">
      <c r="DA357" s="154"/>
      <c r="DE357" s="196"/>
      <c r="DF357" s="196"/>
    </row>
    <row r="358" spans="105:110" ht="14.25" customHeight="1" x14ac:dyDescent="0.2">
      <c r="DA358" s="154"/>
      <c r="DE358" s="196"/>
      <c r="DF358" s="196"/>
    </row>
    <row r="359" spans="105:110" ht="14.25" customHeight="1" x14ac:dyDescent="0.2">
      <c r="DA359" s="154"/>
      <c r="DE359" s="196"/>
      <c r="DF359" s="196"/>
    </row>
    <row r="360" spans="105:110" ht="14.25" customHeight="1" x14ac:dyDescent="0.2">
      <c r="DA360" s="154"/>
      <c r="DE360" s="196"/>
      <c r="DF360" s="196"/>
    </row>
    <row r="361" spans="105:110" ht="14.25" customHeight="1" x14ac:dyDescent="0.2">
      <c r="DA361" s="154"/>
      <c r="DE361" s="196"/>
      <c r="DF361" s="196"/>
    </row>
    <row r="362" spans="105:110" ht="14.25" customHeight="1" x14ac:dyDescent="0.2">
      <c r="DA362" s="154"/>
      <c r="DE362" s="196"/>
      <c r="DF362" s="196"/>
    </row>
    <row r="363" spans="105:110" ht="14.25" customHeight="1" x14ac:dyDescent="0.2">
      <c r="DA363" s="154"/>
      <c r="DE363" s="196"/>
      <c r="DF363" s="196"/>
    </row>
    <row r="364" spans="105:110" ht="14.25" customHeight="1" x14ac:dyDescent="0.2">
      <c r="DA364" s="154"/>
      <c r="DE364" s="196"/>
      <c r="DF364" s="196"/>
    </row>
    <row r="365" spans="105:110" ht="14.25" customHeight="1" x14ac:dyDescent="0.2">
      <c r="DA365" s="154"/>
      <c r="DE365" s="196"/>
      <c r="DF365" s="196"/>
    </row>
    <row r="366" spans="105:110" ht="14.25" customHeight="1" x14ac:dyDescent="0.2">
      <c r="DA366" s="154"/>
      <c r="DE366" s="196"/>
      <c r="DF366" s="196"/>
    </row>
    <row r="367" spans="105:110" ht="14.25" customHeight="1" x14ac:dyDescent="0.2">
      <c r="DA367" s="154"/>
      <c r="DE367" s="196"/>
      <c r="DF367" s="196"/>
    </row>
    <row r="368" spans="105:110" ht="14.25" customHeight="1" x14ac:dyDescent="0.2">
      <c r="DA368" s="154"/>
      <c r="DE368" s="196"/>
      <c r="DF368" s="196"/>
    </row>
    <row r="369" spans="105:110" ht="14.25" customHeight="1" x14ac:dyDescent="0.2">
      <c r="DA369" s="154"/>
      <c r="DE369" s="196"/>
      <c r="DF369" s="196"/>
    </row>
    <row r="370" spans="105:110" ht="14.25" customHeight="1" x14ac:dyDescent="0.2">
      <c r="DA370" s="154"/>
      <c r="DE370" s="196"/>
      <c r="DF370" s="196"/>
    </row>
    <row r="371" spans="105:110" ht="14.25" customHeight="1" x14ac:dyDescent="0.2">
      <c r="DA371" s="154"/>
      <c r="DE371" s="196"/>
      <c r="DF371" s="196"/>
    </row>
    <row r="372" spans="105:110" ht="14.25" customHeight="1" x14ac:dyDescent="0.2">
      <c r="DA372" s="154"/>
      <c r="DE372" s="196"/>
      <c r="DF372" s="196"/>
    </row>
    <row r="373" spans="105:110" ht="14.25" customHeight="1" x14ac:dyDescent="0.2">
      <c r="DA373" s="154"/>
      <c r="DE373" s="196"/>
      <c r="DF373" s="196"/>
    </row>
    <row r="374" spans="105:110" ht="14.25" customHeight="1" x14ac:dyDescent="0.2">
      <c r="DA374" s="154"/>
      <c r="DE374" s="196"/>
      <c r="DF374" s="196"/>
    </row>
    <row r="375" spans="105:110" ht="14.25" customHeight="1" x14ac:dyDescent="0.2">
      <c r="DA375" s="154"/>
      <c r="DE375" s="196"/>
      <c r="DF375" s="196"/>
    </row>
    <row r="376" spans="105:110" ht="14.25" customHeight="1" x14ac:dyDescent="0.2">
      <c r="DA376" s="154"/>
      <c r="DE376" s="196"/>
      <c r="DF376" s="196"/>
    </row>
    <row r="377" spans="105:110" ht="14.25" customHeight="1" x14ac:dyDescent="0.2">
      <c r="DA377" s="154"/>
      <c r="DE377" s="196"/>
      <c r="DF377" s="196"/>
    </row>
    <row r="378" spans="105:110" ht="14.25" customHeight="1" x14ac:dyDescent="0.2">
      <c r="DA378" s="154"/>
      <c r="DE378" s="196"/>
      <c r="DF378" s="196"/>
    </row>
    <row r="379" spans="105:110" ht="14.25" customHeight="1" x14ac:dyDescent="0.2">
      <c r="DA379" s="154"/>
      <c r="DE379" s="196"/>
      <c r="DF379" s="196"/>
    </row>
    <row r="380" spans="105:110" ht="14.25" customHeight="1" x14ac:dyDescent="0.2">
      <c r="DA380" s="154"/>
      <c r="DE380" s="196"/>
      <c r="DF380" s="196"/>
    </row>
    <row r="381" spans="105:110" ht="14.25" customHeight="1" x14ac:dyDescent="0.2">
      <c r="DA381" s="154"/>
      <c r="DE381" s="196"/>
      <c r="DF381" s="196"/>
    </row>
    <row r="382" spans="105:110" ht="14.25" customHeight="1" x14ac:dyDescent="0.2">
      <c r="DA382" s="154"/>
      <c r="DE382" s="196"/>
      <c r="DF382" s="196"/>
    </row>
    <row r="383" spans="105:110" ht="14.25" customHeight="1" x14ac:dyDescent="0.2">
      <c r="DA383" s="154"/>
      <c r="DE383" s="196"/>
      <c r="DF383" s="196"/>
    </row>
    <row r="384" spans="105:110" ht="14.25" customHeight="1" x14ac:dyDescent="0.2">
      <c r="DA384" s="154"/>
      <c r="DE384" s="196"/>
      <c r="DF384" s="196"/>
    </row>
    <row r="385" spans="105:110" ht="14.25" customHeight="1" x14ac:dyDescent="0.2">
      <c r="DA385" s="154"/>
      <c r="DE385" s="196"/>
      <c r="DF385" s="196"/>
    </row>
    <row r="386" spans="105:110" ht="14.25" customHeight="1" x14ac:dyDescent="0.2">
      <c r="DA386" s="154"/>
      <c r="DE386" s="196"/>
      <c r="DF386" s="196"/>
    </row>
    <row r="387" spans="105:110" ht="14.25" customHeight="1" x14ac:dyDescent="0.2">
      <c r="DA387" s="154"/>
      <c r="DE387" s="196"/>
      <c r="DF387" s="196"/>
    </row>
    <row r="388" spans="105:110" ht="14.25" customHeight="1" x14ac:dyDescent="0.2">
      <c r="DA388" s="154"/>
      <c r="DE388" s="196"/>
      <c r="DF388" s="196"/>
    </row>
    <row r="389" spans="105:110" ht="14.25" customHeight="1" x14ac:dyDescent="0.2">
      <c r="DA389" s="154"/>
      <c r="DE389" s="196"/>
      <c r="DF389" s="196"/>
    </row>
    <row r="390" spans="105:110" ht="14.25" customHeight="1" x14ac:dyDescent="0.2">
      <c r="DA390" s="154"/>
      <c r="DE390" s="196"/>
      <c r="DF390" s="196"/>
    </row>
    <row r="391" spans="105:110" ht="14.25" customHeight="1" x14ac:dyDescent="0.2">
      <c r="DA391" s="154"/>
      <c r="DE391" s="196"/>
      <c r="DF391" s="196"/>
    </row>
    <row r="392" spans="105:110" ht="14.25" customHeight="1" x14ac:dyDescent="0.2">
      <c r="DA392" s="154"/>
      <c r="DE392" s="196"/>
      <c r="DF392" s="196"/>
    </row>
    <row r="393" spans="105:110" ht="14.25" customHeight="1" x14ac:dyDescent="0.2">
      <c r="DA393" s="154"/>
      <c r="DE393" s="196"/>
      <c r="DF393" s="196"/>
    </row>
    <row r="394" spans="105:110" ht="14.25" customHeight="1" x14ac:dyDescent="0.2">
      <c r="DA394" s="154"/>
      <c r="DE394" s="196"/>
      <c r="DF394" s="196"/>
    </row>
    <row r="395" spans="105:110" ht="14.25" customHeight="1" x14ac:dyDescent="0.2">
      <c r="DA395" s="154"/>
      <c r="DE395" s="196"/>
      <c r="DF395" s="196"/>
    </row>
    <row r="396" spans="105:110" ht="14.25" customHeight="1" x14ac:dyDescent="0.2">
      <c r="DA396" s="154"/>
      <c r="DE396" s="196"/>
      <c r="DF396" s="196"/>
    </row>
    <row r="397" spans="105:110" ht="14.25" customHeight="1" x14ac:dyDescent="0.2">
      <c r="DA397" s="154"/>
      <c r="DE397" s="196"/>
      <c r="DF397" s="196"/>
    </row>
    <row r="398" spans="105:110" ht="14.25" customHeight="1" x14ac:dyDescent="0.2">
      <c r="DA398" s="154"/>
      <c r="DE398" s="196"/>
      <c r="DF398" s="196"/>
    </row>
    <row r="399" spans="105:110" ht="14.25" customHeight="1" x14ac:dyDescent="0.2">
      <c r="DA399" s="154"/>
      <c r="DE399" s="196"/>
      <c r="DF399" s="196"/>
    </row>
    <row r="400" spans="105:110" ht="14.25" customHeight="1" x14ac:dyDescent="0.2">
      <c r="DA400" s="154"/>
      <c r="DE400" s="196"/>
      <c r="DF400" s="196"/>
    </row>
    <row r="401" spans="105:110" ht="14.25" customHeight="1" x14ac:dyDescent="0.2">
      <c r="DA401" s="154"/>
      <c r="DE401" s="196"/>
      <c r="DF401" s="196"/>
    </row>
    <row r="402" spans="105:110" ht="14.25" customHeight="1" x14ac:dyDescent="0.2">
      <c r="DA402" s="154"/>
      <c r="DE402" s="196"/>
      <c r="DF402" s="196"/>
    </row>
    <row r="403" spans="105:110" ht="14.25" customHeight="1" x14ac:dyDescent="0.2">
      <c r="DA403" s="154"/>
      <c r="DE403" s="196"/>
      <c r="DF403" s="196"/>
    </row>
    <row r="404" spans="105:110" ht="14.25" customHeight="1" x14ac:dyDescent="0.2">
      <c r="DA404" s="154"/>
      <c r="DE404" s="196"/>
      <c r="DF404" s="196"/>
    </row>
    <row r="405" spans="105:110" ht="14.25" customHeight="1" x14ac:dyDescent="0.2">
      <c r="DA405" s="154"/>
      <c r="DE405" s="196"/>
      <c r="DF405" s="196"/>
    </row>
    <row r="406" spans="105:110" ht="14.25" customHeight="1" x14ac:dyDescent="0.2">
      <c r="DA406" s="154"/>
      <c r="DE406" s="196"/>
      <c r="DF406" s="196"/>
    </row>
    <row r="407" spans="105:110" ht="14.25" customHeight="1" x14ac:dyDescent="0.2">
      <c r="DA407" s="154"/>
      <c r="DE407" s="196"/>
      <c r="DF407" s="196"/>
    </row>
    <row r="408" spans="105:110" ht="14.25" customHeight="1" x14ac:dyDescent="0.2">
      <c r="DA408" s="154"/>
      <c r="DE408" s="196"/>
      <c r="DF408" s="196"/>
    </row>
    <row r="409" spans="105:110" ht="14.25" customHeight="1" x14ac:dyDescent="0.2">
      <c r="DA409" s="154"/>
      <c r="DE409" s="196"/>
      <c r="DF409" s="196"/>
    </row>
    <row r="410" spans="105:110" ht="14.25" customHeight="1" x14ac:dyDescent="0.2">
      <c r="DA410" s="154"/>
      <c r="DE410" s="196"/>
      <c r="DF410" s="196"/>
    </row>
    <row r="411" spans="105:110" ht="14.25" customHeight="1" x14ac:dyDescent="0.2">
      <c r="DA411" s="154"/>
      <c r="DE411" s="196"/>
      <c r="DF411" s="196"/>
    </row>
    <row r="412" spans="105:110" ht="14.25" customHeight="1" x14ac:dyDescent="0.2">
      <c r="DA412" s="154"/>
      <c r="DE412" s="196"/>
      <c r="DF412" s="196"/>
    </row>
    <row r="413" spans="105:110" ht="14.25" customHeight="1" x14ac:dyDescent="0.2">
      <c r="DA413" s="154"/>
      <c r="DE413" s="196"/>
      <c r="DF413" s="196"/>
    </row>
    <row r="414" spans="105:110" ht="14.25" customHeight="1" x14ac:dyDescent="0.2">
      <c r="DA414" s="154"/>
      <c r="DE414" s="196"/>
      <c r="DF414" s="196"/>
    </row>
    <row r="415" spans="105:110" ht="14.25" customHeight="1" x14ac:dyDescent="0.2">
      <c r="DA415" s="154"/>
      <c r="DE415" s="196"/>
      <c r="DF415" s="196"/>
    </row>
    <row r="416" spans="105:110" ht="14.25" customHeight="1" x14ac:dyDescent="0.2">
      <c r="DA416" s="154"/>
      <c r="DE416" s="196"/>
      <c r="DF416" s="196"/>
    </row>
    <row r="417" spans="105:110" ht="14.25" customHeight="1" x14ac:dyDescent="0.2">
      <c r="DA417" s="154"/>
      <c r="DE417" s="196"/>
      <c r="DF417" s="196"/>
    </row>
    <row r="418" spans="105:110" ht="14.25" customHeight="1" x14ac:dyDescent="0.2">
      <c r="DA418" s="154"/>
      <c r="DE418" s="196"/>
      <c r="DF418" s="196"/>
    </row>
    <row r="419" spans="105:110" ht="14.25" customHeight="1" x14ac:dyDescent="0.2">
      <c r="DA419" s="154"/>
      <c r="DE419" s="196"/>
      <c r="DF419" s="196"/>
    </row>
    <row r="420" spans="105:110" ht="14.25" customHeight="1" x14ac:dyDescent="0.2">
      <c r="DA420" s="154"/>
      <c r="DE420" s="196"/>
      <c r="DF420" s="196"/>
    </row>
    <row r="421" spans="105:110" ht="14.25" customHeight="1" x14ac:dyDescent="0.2">
      <c r="DA421" s="154"/>
      <c r="DE421" s="196"/>
      <c r="DF421" s="196"/>
    </row>
    <row r="422" spans="105:110" ht="14.25" customHeight="1" x14ac:dyDescent="0.2">
      <c r="DA422" s="154"/>
      <c r="DE422" s="196"/>
      <c r="DF422" s="196"/>
    </row>
    <row r="423" spans="105:110" ht="14.25" customHeight="1" x14ac:dyDescent="0.2">
      <c r="DA423" s="154"/>
      <c r="DE423" s="196"/>
      <c r="DF423" s="196"/>
    </row>
    <row r="424" spans="105:110" ht="14.25" customHeight="1" x14ac:dyDescent="0.2">
      <c r="DA424" s="154"/>
      <c r="DE424" s="196"/>
      <c r="DF424" s="196"/>
    </row>
    <row r="425" spans="105:110" ht="14.25" customHeight="1" x14ac:dyDescent="0.2">
      <c r="DA425" s="154"/>
      <c r="DE425" s="196"/>
      <c r="DF425" s="196"/>
    </row>
    <row r="426" spans="105:110" ht="14.25" customHeight="1" x14ac:dyDescent="0.2">
      <c r="DA426" s="154"/>
      <c r="DE426" s="196"/>
      <c r="DF426" s="196"/>
    </row>
    <row r="427" spans="105:110" ht="14.25" customHeight="1" x14ac:dyDescent="0.2">
      <c r="DA427" s="154"/>
      <c r="DE427" s="196"/>
      <c r="DF427" s="196"/>
    </row>
    <row r="428" spans="105:110" ht="14.25" customHeight="1" x14ac:dyDescent="0.2">
      <c r="DA428" s="154"/>
      <c r="DE428" s="196"/>
      <c r="DF428" s="196"/>
    </row>
    <row r="429" spans="105:110" ht="14.25" customHeight="1" x14ac:dyDescent="0.2">
      <c r="DA429" s="154"/>
      <c r="DE429" s="196"/>
      <c r="DF429" s="196"/>
    </row>
    <row r="430" spans="105:110" ht="14.25" customHeight="1" x14ac:dyDescent="0.2">
      <c r="DA430" s="154"/>
      <c r="DE430" s="196"/>
      <c r="DF430" s="196"/>
    </row>
    <row r="431" spans="105:110" ht="14.25" customHeight="1" x14ac:dyDescent="0.2">
      <c r="DA431" s="154"/>
      <c r="DE431" s="196"/>
      <c r="DF431" s="196"/>
    </row>
    <row r="432" spans="105:110" ht="14.25" customHeight="1" x14ac:dyDescent="0.2">
      <c r="DA432" s="154"/>
      <c r="DE432" s="196"/>
      <c r="DF432" s="196"/>
    </row>
    <row r="433" spans="105:110" ht="14.25" customHeight="1" x14ac:dyDescent="0.2">
      <c r="DA433" s="154"/>
      <c r="DE433" s="196"/>
      <c r="DF433" s="196"/>
    </row>
    <row r="434" spans="105:110" ht="14.25" customHeight="1" x14ac:dyDescent="0.2">
      <c r="DA434" s="154"/>
      <c r="DE434" s="196"/>
      <c r="DF434" s="196"/>
    </row>
    <row r="435" spans="105:110" ht="14.25" customHeight="1" x14ac:dyDescent="0.2">
      <c r="DA435" s="154"/>
      <c r="DE435" s="196"/>
      <c r="DF435" s="196"/>
    </row>
    <row r="436" spans="105:110" ht="14.25" customHeight="1" x14ac:dyDescent="0.2">
      <c r="DA436" s="154"/>
      <c r="DE436" s="196"/>
      <c r="DF436" s="196"/>
    </row>
    <row r="437" spans="105:110" ht="14.25" customHeight="1" x14ac:dyDescent="0.2">
      <c r="DA437" s="154"/>
      <c r="DE437" s="196"/>
      <c r="DF437" s="196"/>
    </row>
    <row r="438" spans="105:110" ht="14.25" customHeight="1" x14ac:dyDescent="0.2">
      <c r="DA438" s="154"/>
      <c r="DE438" s="196"/>
      <c r="DF438" s="196"/>
    </row>
    <row r="439" spans="105:110" ht="14.25" customHeight="1" x14ac:dyDescent="0.2">
      <c r="DA439" s="154"/>
      <c r="DE439" s="196"/>
      <c r="DF439" s="196"/>
    </row>
    <row r="440" spans="105:110" ht="14.25" customHeight="1" x14ac:dyDescent="0.2">
      <c r="DA440" s="154"/>
      <c r="DE440" s="196"/>
      <c r="DF440" s="196"/>
    </row>
    <row r="441" spans="105:110" ht="14.25" customHeight="1" x14ac:dyDescent="0.2">
      <c r="DA441" s="154"/>
      <c r="DE441" s="196"/>
      <c r="DF441" s="196"/>
    </row>
    <row r="442" spans="105:110" ht="14.25" customHeight="1" x14ac:dyDescent="0.2">
      <c r="DA442" s="154"/>
      <c r="DE442" s="196"/>
      <c r="DF442" s="196"/>
    </row>
    <row r="443" spans="105:110" ht="14.25" customHeight="1" x14ac:dyDescent="0.2">
      <c r="DA443" s="154"/>
      <c r="DE443" s="196"/>
      <c r="DF443" s="196"/>
    </row>
    <row r="444" spans="105:110" ht="14.25" customHeight="1" x14ac:dyDescent="0.2">
      <c r="DA444" s="154"/>
      <c r="DE444" s="196"/>
      <c r="DF444" s="196"/>
    </row>
    <row r="445" spans="105:110" ht="14.25" customHeight="1" x14ac:dyDescent="0.2">
      <c r="DA445" s="154"/>
      <c r="DE445" s="196"/>
      <c r="DF445" s="196"/>
    </row>
    <row r="446" spans="105:110" ht="14.25" customHeight="1" x14ac:dyDescent="0.2">
      <c r="DA446" s="154"/>
      <c r="DE446" s="196"/>
      <c r="DF446" s="196"/>
    </row>
    <row r="447" spans="105:110" ht="14.25" customHeight="1" x14ac:dyDescent="0.2">
      <c r="DA447" s="154"/>
      <c r="DE447" s="196"/>
      <c r="DF447" s="196"/>
    </row>
    <row r="448" spans="105:110" ht="14.25" customHeight="1" x14ac:dyDescent="0.2">
      <c r="DA448" s="154"/>
      <c r="DE448" s="196"/>
      <c r="DF448" s="196"/>
    </row>
    <row r="449" spans="105:110" ht="14.25" customHeight="1" x14ac:dyDescent="0.2">
      <c r="DA449" s="154"/>
      <c r="DE449" s="196"/>
      <c r="DF449" s="196"/>
    </row>
    <row r="450" spans="105:110" ht="14.25" customHeight="1" x14ac:dyDescent="0.2">
      <c r="DA450" s="154"/>
      <c r="DE450" s="196"/>
      <c r="DF450" s="196"/>
    </row>
    <row r="451" spans="105:110" ht="14.25" customHeight="1" x14ac:dyDescent="0.2">
      <c r="DA451" s="154"/>
      <c r="DE451" s="196"/>
      <c r="DF451" s="196"/>
    </row>
    <row r="452" spans="105:110" ht="14.25" customHeight="1" x14ac:dyDescent="0.2">
      <c r="DA452" s="154"/>
      <c r="DE452" s="196"/>
      <c r="DF452" s="196"/>
    </row>
    <row r="453" spans="105:110" ht="14.25" customHeight="1" x14ac:dyDescent="0.2">
      <c r="DA453" s="154"/>
      <c r="DE453" s="196"/>
      <c r="DF453" s="196"/>
    </row>
    <row r="454" spans="105:110" ht="14.25" customHeight="1" x14ac:dyDescent="0.2">
      <c r="DA454" s="154"/>
      <c r="DE454" s="196"/>
      <c r="DF454" s="196"/>
    </row>
    <row r="455" spans="105:110" ht="14.25" customHeight="1" x14ac:dyDescent="0.2">
      <c r="DA455" s="154"/>
      <c r="DE455" s="196"/>
      <c r="DF455" s="196"/>
    </row>
    <row r="456" spans="105:110" ht="14.25" customHeight="1" x14ac:dyDescent="0.2">
      <c r="DA456" s="154"/>
      <c r="DE456" s="196"/>
      <c r="DF456" s="196"/>
    </row>
    <row r="457" spans="105:110" ht="14.25" customHeight="1" x14ac:dyDescent="0.2">
      <c r="DA457" s="154"/>
      <c r="DE457" s="196"/>
      <c r="DF457" s="196"/>
    </row>
    <row r="458" spans="105:110" ht="14.25" customHeight="1" x14ac:dyDescent="0.2">
      <c r="DA458" s="154"/>
      <c r="DE458" s="196"/>
      <c r="DF458" s="196"/>
    </row>
    <row r="459" spans="105:110" ht="14.25" customHeight="1" x14ac:dyDescent="0.2">
      <c r="DA459" s="154"/>
      <c r="DE459" s="196"/>
      <c r="DF459" s="196"/>
    </row>
    <row r="460" spans="105:110" ht="14.25" customHeight="1" x14ac:dyDescent="0.2">
      <c r="DA460" s="154"/>
      <c r="DE460" s="196"/>
      <c r="DF460" s="196"/>
    </row>
    <row r="461" spans="105:110" ht="14.25" customHeight="1" x14ac:dyDescent="0.2">
      <c r="DA461" s="154"/>
      <c r="DE461" s="196"/>
      <c r="DF461" s="196"/>
    </row>
    <row r="462" spans="105:110" ht="14.25" customHeight="1" x14ac:dyDescent="0.2">
      <c r="DA462" s="154"/>
      <c r="DE462" s="196"/>
      <c r="DF462" s="196"/>
    </row>
    <row r="463" spans="105:110" ht="14.25" customHeight="1" x14ac:dyDescent="0.2">
      <c r="DA463" s="154"/>
      <c r="DE463" s="196"/>
      <c r="DF463" s="196"/>
    </row>
    <row r="464" spans="105:110" ht="14.25" customHeight="1" x14ac:dyDescent="0.2">
      <c r="DA464" s="154"/>
      <c r="DE464" s="196"/>
      <c r="DF464" s="196"/>
    </row>
    <row r="465" spans="105:110" ht="14.25" customHeight="1" x14ac:dyDescent="0.2">
      <c r="DA465" s="154"/>
      <c r="DE465" s="196"/>
      <c r="DF465" s="196"/>
    </row>
    <row r="466" spans="105:110" ht="14.25" customHeight="1" x14ac:dyDescent="0.2">
      <c r="DA466" s="154"/>
      <c r="DE466" s="196"/>
      <c r="DF466" s="196"/>
    </row>
    <row r="467" spans="105:110" ht="14.25" customHeight="1" x14ac:dyDescent="0.2">
      <c r="DA467" s="154"/>
      <c r="DE467" s="196"/>
      <c r="DF467" s="196"/>
    </row>
    <row r="468" spans="105:110" ht="14.25" customHeight="1" x14ac:dyDescent="0.2">
      <c r="DA468" s="154"/>
      <c r="DE468" s="196"/>
      <c r="DF468" s="196"/>
    </row>
    <row r="469" spans="105:110" ht="14.25" customHeight="1" x14ac:dyDescent="0.2">
      <c r="DA469" s="154"/>
      <c r="DE469" s="196"/>
      <c r="DF469" s="196"/>
    </row>
    <row r="470" spans="105:110" ht="14.25" customHeight="1" x14ac:dyDescent="0.2">
      <c r="DA470" s="154"/>
      <c r="DE470" s="196"/>
      <c r="DF470" s="196"/>
    </row>
    <row r="471" spans="105:110" ht="14.25" customHeight="1" x14ac:dyDescent="0.2">
      <c r="DA471" s="154"/>
      <c r="DE471" s="196"/>
      <c r="DF471" s="196"/>
    </row>
    <row r="472" spans="105:110" ht="14.25" customHeight="1" x14ac:dyDescent="0.2">
      <c r="DA472" s="154"/>
      <c r="DE472" s="196"/>
      <c r="DF472" s="196"/>
    </row>
    <row r="473" spans="105:110" ht="14.25" customHeight="1" x14ac:dyDescent="0.2">
      <c r="DA473" s="154"/>
      <c r="DE473" s="196"/>
      <c r="DF473" s="196"/>
    </row>
    <row r="474" spans="105:110" ht="14.25" customHeight="1" x14ac:dyDescent="0.2">
      <c r="DA474" s="154"/>
      <c r="DE474" s="196"/>
      <c r="DF474" s="196"/>
    </row>
    <row r="475" spans="105:110" ht="14.25" customHeight="1" x14ac:dyDescent="0.2">
      <c r="DA475" s="154"/>
      <c r="DE475" s="196"/>
      <c r="DF475" s="196"/>
    </row>
    <row r="476" spans="105:110" ht="14.25" customHeight="1" x14ac:dyDescent="0.2">
      <c r="DA476" s="154"/>
      <c r="DE476" s="196"/>
      <c r="DF476" s="196"/>
    </row>
    <row r="477" spans="105:110" ht="14.25" customHeight="1" x14ac:dyDescent="0.2">
      <c r="DA477" s="154"/>
      <c r="DE477" s="196"/>
      <c r="DF477" s="196"/>
    </row>
    <row r="478" spans="105:110" ht="14.25" customHeight="1" x14ac:dyDescent="0.2">
      <c r="DA478" s="154"/>
      <c r="DE478" s="196"/>
      <c r="DF478" s="196"/>
    </row>
    <row r="479" spans="105:110" ht="14.25" customHeight="1" x14ac:dyDescent="0.2">
      <c r="DA479" s="154"/>
      <c r="DE479" s="196"/>
      <c r="DF479" s="196"/>
    </row>
    <row r="480" spans="105:110" ht="14.25" customHeight="1" x14ac:dyDescent="0.2">
      <c r="DA480" s="154"/>
      <c r="DE480" s="196"/>
      <c r="DF480" s="196"/>
    </row>
    <row r="481" spans="105:110" ht="14.25" customHeight="1" x14ac:dyDescent="0.2">
      <c r="DA481" s="154"/>
      <c r="DE481" s="196"/>
      <c r="DF481" s="196"/>
    </row>
    <row r="482" spans="105:110" ht="14.25" customHeight="1" x14ac:dyDescent="0.2">
      <c r="DA482" s="154"/>
      <c r="DE482" s="196"/>
      <c r="DF482" s="196"/>
    </row>
    <row r="483" spans="105:110" ht="14.25" customHeight="1" x14ac:dyDescent="0.2">
      <c r="DA483" s="154"/>
      <c r="DE483" s="196"/>
      <c r="DF483" s="196"/>
    </row>
    <row r="484" spans="105:110" ht="14.25" customHeight="1" x14ac:dyDescent="0.2">
      <c r="DA484" s="154"/>
      <c r="DE484" s="196"/>
      <c r="DF484" s="196"/>
    </row>
    <row r="485" spans="105:110" ht="14.25" customHeight="1" x14ac:dyDescent="0.2">
      <c r="DA485" s="154"/>
      <c r="DE485" s="196"/>
      <c r="DF485" s="196"/>
    </row>
    <row r="486" spans="105:110" ht="14.25" customHeight="1" x14ac:dyDescent="0.2">
      <c r="DA486" s="154"/>
      <c r="DE486" s="196"/>
      <c r="DF486" s="196"/>
    </row>
    <row r="487" spans="105:110" ht="14.25" customHeight="1" x14ac:dyDescent="0.2">
      <c r="DA487" s="154"/>
      <c r="DE487" s="196"/>
      <c r="DF487" s="196"/>
    </row>
    <row r="488" spans="105:110" ht="14.25" customHeight="1" x14ac:dyDescent="0.2">
      <c r="DA488" s="154"/>
      <c r="DE488" s="196"/>
      <c r="DF488" s="196"/>
    </row>
    <row r="489" spans="105:110" ht="14.25" customHeight="1" x14ac:dyDescent="0.2">
      <c r="DA489" s="154"/>
      <c r="DE489" s="196"/>
      <c r="DF489" s="196"/>
    </row>
    <row r="490" spans="105:110" ht="14.25" customHeight="1" x14ac:dyDescent="0.2">
      <c r="DA490" s="154"/>
      <c r="DE490" s="196"/>
      <c r="DF490" s="196"/>
    </row>
    <row r="491" spans="105:110" ht="14.25" customHeight="1" x14ac:dyDescent="0.2">
      <c r="DA491" s="154"/>
      <c r="DE491" s="196"/>
      <c r="DF491" s="196"/>
    </row>
    <row r="492" spans="105:110" ht="14.25" customHeight="1" x14ac:dyDescent="0.2">
      <c r="DA492" s="154"/>
      <c r="DE492" s="196"/>
      <c r="DF492" s="196"/>
    </row>
    <row r="493" spans="105:110" ht="14.25" customHeight="1" x14ac:dyDescent="0.2">
      <c r="DA493" s="154"/>
      <c r="DE493" s="196"/>
      <c r="DF493" s="196"/>
    </row>
    <row r="494" spans="105:110" ht="14.25" customHeight="1" x14ac:dyDescent="0.2">
      <c r="DA494" s="154"/>
      <c r="DE494" s="196"/>
      <c r="DF494" s="196"/>
    </row>
    <row r="495" spans="105:110" ht="14.25" customHeight="1" x14ac:dyDescent="0.2">
      <c r="DA495" s="154"/>
      <c r="DE495" s="196"/>
      <c r="DF495" s="196"/>
    </row>
    <row r="496" spans="105:110" ht="14.25" customHeight="1" x14ac:dyDescent="0.2">
      <c r="DA496" s="154"/>
      <c r="DE496" s="196"/>
      <c r="DF496" s="196"/>
    </row>
    <row r="497" spans="105:110" ht="14.25" customHeight="1" x14ac:dyDescent="0.2">
      <c r="DA497" s="154"/>
      <c r="DE497" s="196"/>
      <c r="DF497" s="196"/>
    </row>
    <row r="498" spans="105:110" ht="14.25" customHeight="1" x14ac:dyDescent="0.2">
      <c r="DA498" s="154"/>
      <c r="DE498" s="196"/>
      <c r="DF498" s="196"/>
    </row>
    <row r="499" spans="105:110" ht="14.25" customHeight="1" x14ac:dyDescent="0.2">
      <c r="DA499" s="154"/>
      <c r="DE499" s="196"/>
      <c r="DF499" s="196"/>
    </row>
    <row r="500" spans="105:110" ht="14.25" customHeight="1" x14ac:dyDescent="0.2">
      <c r="DA500" s="154"/>
      <c r="DE500" s="196"/>
      <c r="DF500" s="196"/>
    </row>
    <row r="501" spans="105:110" ht="14.25" customHeight="1" x14ac:dyDescent="0.2">
      <c r="DA501" s="154"/>
      <c r="DE501" s="196"/>
      <c r="DF501" s="196"/>
    </row>
    <row r="502" spans="105:110" ht="14.25" customHeight="1" x14ac:dyDescent="0.2">
      <c r="DA502" s="154"/>
      <c r="DE502" s="196"/>
      <c r="DF502" s="196"/>
    </row>
    <row r="503" spans="105:110" ht="14.25" customHeight="1" x14ac:dyDescent="0.2">
      <c r="DA503" s="154"/>
      <c r="DE503" s="196"/>
      <c r="DF503" s="196"/>
    </row>
    <row r="504" spans="105:110" ht="14.25" customHeight="1" x14ac:dyDescent="0.2">
      <c r="DA504" s="154"/>
      <c r="DE504" s="196"/>
      <c r="DF504" s="196"/>
    </row>
    <row r="505" spans="105:110" ht="14.25" customHeight="1" x14ac:dyDescent="0.2">
      <c r="DA505" s="154"/>
      <c r="DE505" s="196"/>
      <c r="DF505" s="196"/>
    </row>
    <row r="506" spans="105:110" ht="14.25" customHeight="1" x14ac:dyDescent="0.2">
      <c r="DA506" s="154"/>
      <c r="DE506" s="196"/>
      <c r="DF506" s="196"/>
    </row>
    <row r="507" spans="105:110" ht="14.25" customHeight="1" x14ac:dyDescent="0.2">
      <c r="DA507" s="154"/>
      <c r="DE507" s="196"/>
      <c r="DF507" s="196"/>
    </row>
    <row r="508" spans="105:110" ht="14.25" customHeight="1" x14ac:dyDescent="0.2">
      <c r="DA508" s="154"/>
      <c r="DE508" s="196"/>
      <c r="DF508" s="196"/>
    </row>
    <row r="509" spans="105:110" ht="14.25" customHeight="1" x14ac:dyDescent="0.2">
      <c r="DA509" s="154"/>
      <c r="DE509" s="196"/>
      <c r="DF509" s="196"/>
    </row>
    <row r="510" spans="105:110" ht="14.25" customHeight="1" x14ac:dyDescent="0.2">
      <c r="DA510" s="154"/>
      <c r="DE510" s="196"/>
      <c r="DF510" s="196"/>
    </row>
    <row r="511" spans="105:110" ht="14.25" customHeight="1" x14ac:dyDescent="0.2">
      <c r="DA511" s="154"/>
      <c r="DE511" s="196"/>
      <c r="DF511" s="196"/>
    </row>
    <row r="512" spans="105:110" ht="14.25" customHeight="1" x14ac:dyDescent="0.2">
      <c r="DA512" s="154"/>
      <c r="DE512" s="196"/>
      <c r="DF512" s="196"/>
    </row>
    <row r="513" spans="105:110" ht="14.25" customHeight="1" x14ac:dyDescent="0.2">
      <c r="DA513" s="154"/>
      <c r="DE513" s="196"/>
      <c r="DF513" s="196"/>
    </row>
    <row r="514" spans="105:110" ht="14.25" customHeight="1" x14ac:dyDescent="0.2">
      <c r="DA514" s="154"/>
      <c r="DE514" s="196"/>
      <c r="DF514" s="196"/>
    </row>
    <row r="515" spans="105:110" ht="14.25" customHeight="1" x14ac:dyDescent="0.2">
      <c r="DA515" s="154"/>
      <c r="DE515" s="196"/>
      <c r="DF515" s="196"/>
    </row>
    <row r="516" spans="105:110" ht="14.25" customHeight="1" x14ac:dyDescent="0.2">
      <c r="DA516" s="154"/>
      <c r="DE516" s="196"/>
      <c r="DF516" s="196"/>
    </row>
    <row r="517" spans="105:110" ht="14.25" customHeight="1" x14ac:dyDescent="0.2">
      <c r="DA517" s="154"/>
      <c r="DE517" s="196"/>
      <c r="DF517" s="196"/>
    </row>
    <row r="518" spans="105:110" ht="14.25" customHeight="1" x14ac:dyDescent="0.2">
      <c r="DA518" s="154"/>
      <c r="DE518" s="196"/>
      <c r="DF518" s="196"/>
    </row>
    <row r="519" spans="105:110" ht="14.25" customHeight="1" x14ac:dyDescent="0.2">
      <c r="DA519" s="154"/>
      <c r="DE519" s="196"/>
      <c r="DF519" s="196"/>
    </row>
    <row r="520" spans="105:110" ht="14.25" customHeight="1" x14ac:dyDescent="0.2">
      <c r="DA520" s="154"/>
      <c r="DE520" s="196"/>
      <c r="DF520" s="196"/>
    </row>
    <row r="521" spans="105:110" ht="14.25" customHeight="1" x14ac:dyDescent="0.2">
      <c r="DA521" s="154"/>
      <c r="DE521" s="196"/>
      <c r="DF521" s="196"/>
    </row>
    <row r="522" spans="105:110" ht="14.25" customHeight="1" x14ac:dyDescent="0.2">
      <c r="DA522" s="154"/>
      <c r="DE522" s="196"/>
      <c r="DF522" s="196"/>
    </row>
    <row r="523" spans="105:110" ht="14.25" customHeight="1" x14ac:dyDescent="0.2">
      <c r="DA523" s="154"/>
      <c r="DE523" s="196"/>
      <c r="DF523" s="196"/>
    </row>
    <row r="524" spans="105:110" ht="14.25" customHeight="1" x14ac:dyDescent="0.2">
      <c r="DA524" s="154"/>
      <c r="DE524" s="196"/>
      <c r="DF524" s="196"/>
    </row>
    <row r="525" spans="105:110" ht="14.25" customHeight="1" x14ac:dyDescent="0.2">
      <c r="DA525" s="154"/>
      <c r="DE525" s="196"/>
      <c r="DF525" s="196"/>
    </row>
    <row r="526" spans="105:110" ht="14.25" customHeight="1" x14ac:dyDescent="0.2">
      <c r="DA526" s="154"/>
      <c r="DE526" s="196"/>
      <c r="DF526" s="196"/>
    </row>
    <row r="527" spans="105:110" ht="14.25" customHeight="1" x14ac:dyDescent="0.2">
      <c r="DA527" s="154"/>
      <c r="DE527" s="196"/>
      <c r="DF527" s="196"/>
    </row>
    <row r="528" spans="105:110" ht="14.25" customHeight="1" x14ac:dyDescent="0.2">
      <c r="DA528" s="154"/>
      <c r="DE528" s="196"/>
      <c r="DF528" s="196"/>
    </row>
    <row r="529" spans="105:110" ht="14.25" customHeight="1" x14ac:dyDescent="0.2">
      <c r="DA529" s="154"/>
      <c r="DE529" s="196"/>
      <c r="DF529" s="196"/>
    </row>
    <row r="530" spans="105:110" ht="14.25" customHeight="1" x14ac:dyDescent="0.2">
      <c r="DA530" s="154"/>
      <c r="DE530" s="196"/>
      <c r="DF530" s="196"/>
    </row>
    <row r="531" spans="105:110" ht="14.25" customHeight="1" x14ac:dyDescent="0.2">
      <c r="DA531" s="154"/>
      <c r="DE531" s="196"/>
      <c r="DF531" s="196"/>
    </row>
    <row r="532" spans="105:110" ht="14.25" customHeight="1" x14ac:dyDescent="0.2">
      <c r="DA532" s="154"/>
      <c r="DE532" s="196"/>
      <c r="DF532" s="196"/>
    </row>
    <row r="533" spans="105:110" ht="14.25" customHeight="1" x14ac:dyDescent="0.2">
      <c r="DA533" s="154"/>
      <c r="DE533" s="196"/>
      <c r="DF533" s="196"/>
    </row>
    <row r="534" spans="105:110" ht="14.25" customHeight="1" x14ac:dyDescent="0.2">
      <c r="DA534" s="154"/>
      <c r="DE534" s="196"/>
      <c r="DF534" s="196"/>
    </row>
    <row r="535" spans="105:110" ht="14.25" customHeight="1" x14ac:dyDescent="0.2">
      <c r="DA535" s="154"/>
      <c r="DE535" s="196"/>
      <c r="DF535" s="196"/>
    </row>
    <row r="536" spans="105:110" ht="14.25" customHeight="1" x14ac:dyDescent="0.2">
      <c r="DA536" s="154"/>
      <c r="DE536" s="196"/>
      <c r="DF536" s="196"/>
    </row>
    <row r="537" spans="105:110" ht="14.25" customHeight="1" x14ac:dyDescent="0.2">
      <c r="DA537" s="154"/>
      <c r="DE537" s="196"/>
      <c r="DF537" s="196"/>
    </row>
    <row r="538" spans="105:110" ht="14.25" customHeight="1" x14ac:dyDescent="0.2">
      <c r="DA538" s="154"/>
      <c r="DE538" s="196"/>
      <c r="DF538" s="196"/>
    </row>
    <row r="539" spans="105:110" ht="14.25" customHeight="1" x14ac:dyDescent="0.2">
      <c r="DA539" s="154"/>
      <c r="DE539" s="196"/>
      <c r="DF539" s="196"/>
    </row>
    <row r="540" spans="105:110" ht="14.25" customHeight="1" x14ac:dyDescent="0.2">
      <c r="DA540" s="154"/>
      <c r="DE540" s="196"/>
      <c r="DF540" s="196"/>
    </row>
    <row r="541" spans="105:110" ht="14.25" customHeight="1" x14ac:dyDescent="0.2">
      <c r="DA541" s="154"/>
      <c r="DE541" s="196"/>
      <c r="DF541" s="196"/>
    </row>
    <row r="542" spans="105:110" ht="14.25" customHeight="1" x14ac:dyDescent="0.2">
      <c r="DA542" s="154"/>
      <c r="DE542" s="196"/>
      <c r="DF542" s="196"/>
    </row>
    <row r="543" spans="105:110" ht="14.25" customHeight="1" x14ac:dyDescent="0.2">
      <c r="DA543" s="154"/>
      <c r="DE543" s="196"/>
      <c r="DF543" s="196"/>
    </row>
    <row r="544" spans="105:110" ht="14.25" customHeight="1" x14ac:dyDescent="0.2">
      <c r="DA544" s="154"/>
      <c r="DE544" s="196"/>
      <c r="DF544" s="196"/>
    </row>
    <row r="545" spans="105:110" ht="14.25" customHeight="1" x14ac:dyDescent="0.2">
      <c r="DA545" s="154"/>
      <c r="DE545" s="196"/>
      <c r="DF545" s="196"/>
    </row>
    <row r="546" spans="105:110" ht="14.25" customHeight="1" x14ac:dyDescent="0.2">
      <c r="DA546" s="154"/>
      <c r="DE546" s="196"/>
      <c r="DF546" s="196"/>
    </row>
    <row r="547" spans="105:110" ht="14.25" customHeight="1" x14ac:dyDescent="0.2">
      <c r="DA547" s="154"/>
      <c r="DE547" s="196"/>
      <c r="DF547" s="196"/>
    </row>
    <row r="548" spans="105:110" ht="14.25" customHeight="1" x14ac:dyDescent="0.2">
      <c r="DA548" s="154"/>
      <c r="DE548" s="196"/>
      <c r="DF548" s="196"/>
    </row>
    <row r="549" spans="105:110" ht="14.25" customHeight="1" x14ac:dyDescent="0.2">
      <c r="DA549" s="154"/>
      <c r="DE549" s="196"/>
      <c r="DF549" s="196"/>
    </row>
    <row r="550" spans="105:110" ht="14.25" customHeight="1" x14ac:dyDescent="0.2">
      <c r="DA550" s="154"/>
      <c r="DE550" s="196"/>
      <c r="DF550" s="196"/>
    </row>
    <row r="551" spans="105:110" ht="14.25" customHeight="1" x14ac:dyDescent="0.2">
      <c r="DA551" s="154"/>
      <c r="DE551" s="196"/>
      <c r="DF551" s="196"/>
    </row>
    <row r="552" spans="105:110" ht="14.25" customHeight="1" x14ac:dyDescent="0.2">
      <c r="DA552" s="154"/>
      <c r="DE552" s="196"/>
      <c r="DF552" s="196"/>
    </row>
    <row r="553" spans="105:110" ht="14.25" customHeight="1" x14ac:dyDescent="0.2">
      <c r="DA553" s="154"/>
      <c r="DE553" s="196"/>
      <c r="DF553" s="196"/>
    </row>
    <row r="554" spans="105:110" ht="14.25" customHeight="1" x14ac:dyDescent="0.2">
      <c r="DA554" s="154"/>
      <c r="DE554" s="196"/>
      <c r="DF554" s="196"/>
    </row>
    <row r="555" spans="105:110" ht="14.25" customHeight="1" x14ac:dyDescent="0.2">
      <c r="DA555" s="154"/>
      <c r="DE555" s="196"/>
      <c r="DF555" s="196"/>
    </row>
    <row r="556" spans="105:110" ht="14.25" customHeight="1" x14ac:dyDescent="0.2">
      <c r="DA556" s="154"/>
      <c r="DE556" s="196"/>
      <c r="DF556" s="196"/>
    </row>
    <row r="557" spans="105:110" ht="14.25" customHeight="1" x14ac:dyDescent="0.2">
      <c r="DA557" s="154"/>
      <c r="DE557" s="196"/>
      <c r="DF557" s="196"/>
    </row>
    <row r="558" spans="105:110" ht="14.25" customHeight="1" x14ac:dyDescent="0.2">
      <c r="DA558" s="154"/>
      <c r="DE558" s="196"/>
      <c r="DF558" s="196"/>
    </row>
    <row r="559" spans="105:110" ht="14.25" customHeight="1" x14ac:dyDescent="0.2">
      <c r="DA559" s="154"/>
      <c r="DE559" s="196"/>
      <c r="DF559" s="196"/>
    </row>
    <row r="560" spans="105:110" ht="14.25" customHeight="1" x14ac:dyDescent="0.2">
      <c r="DA560" s="154"/>
      <c r="DE560" s="196"/>
      <c r="DF560" s="196"/>
    </row>
    <row r="561" spans="105:110" ht="14.25" customHeight="1" x14ac:dyDescent="0.2">
      <c r="DA561" s="154"/>
      <c r="DE561" s="196"/>
      <c r="DF561" s="196"/>
    </row>
    <row r="562" spans="105:110" ht="14.25" customHeight="1" x14ac:dyDescent="0.2">
      <c r="DA562" s="154"/>
      <c r="DE562" s="196"/>
      <c r="DF562" s="196"/>
    </row>
    <row r="563" spans="105:110" ht="14.25" customHeight="1" x14ac:dyDescent="0.2">
      <c r="DA563" s="154"/>
      <c r="DE563" s="196"/>
      <c r="DF563" s="196"/>
    </row>
    <row r="564" spans="105:110" ht="14.25" customHeight="1" x14ac:dyDescent="0.2">
      <c r="DA564" s="154"/>
      <c r="DE564" s="196"/>
      <c r="DF564" s="196"/>
    </row>
    <row r="565" spans="105:110" ht="14.25" customHeight="1" x14ac:dyDescent="0.2">
      <c r="DA565" s="154"/>
      <c r="DE565" s="196"/>
      <c r="DF565" s="196"/>
    </row>
    <row r="566" spans="105:110" ht="14.25" customHeight="1" x14ac:dyDescent="0.2">
      <c r="DA566" s="154"/>
      <c r="DE566" s="196"/>
      <c r="DF566" s="196"/>
    </row>
    <row r="567" spans="105:110" ht="14.25" customHeight="1" x14ac:dyDescent="0.2">
      <c r="DA567" s="154"/>
      <c r="DE567" s="196"/>
      <c r="DF567" s="196"/>
    </row>
    <row r="568" spans="105:110" ht="14.25" customHeight="1" x14ac:dyDescent="0.2">
      <c r="DA568" s="154"/>
      <c r="DE568" s="196"/>
      <c r="DF568" s="196"/>
    </row>
    <row r="569" spans="105:110" ht="14.25" customHeight="1" x14ac:dyDescent="0.2">
      <c r="DA569" s="154"/>
      <c r="DE569" s="196"/>
      <c r="DF569" s="196"/>
    </row>
    <row r="570" spans="105:110" ht="14.25" customHeight="1" x14ac:dyDescent="0.2">
      <c r="DA570" s="154"/>
      <c r="DE570" s="196"/>
      <c r="DF570" s="196"/>
    </row>
    <row r="571" spans="105:110" ht="14.25" customHeight="1" x14ac:dyDescent="0.2">
      <c r="DA571" s="154"/>
      <c r="DE571" s="196"/>
      <c r="DF571" s="196"/>
    </row>
    <row r="572" spans="105:110" ht="14.25" customHeight="1" x14ac:dyDescent="0.2">
      <c r="DA572" s="154"/>
      <c r="DE572" s="196"/>
      <c r="DF572" s="196"/>
    </row>
    <row r="573" spans="105:110" ht="14.25" customHeight="1" x14ac:dyDescent="0.2">
      <c r="DA573" s="154"/>
      <c r="DE573" s="196"/>
      <c r="DF573" s="196"/>
    </row>
    <row r="574" spans="105:110" ht="14.25" customHeight="1" x14ac:dyDescent="0.2">
      <c r="DA574" s="154"/>
      <c r="DE574" s="196"/>
      <c r="DF574" s="196"/>
    </row>
    <row r="575" spans="105:110" ht="14.25" customHeight="1" x14ac:dyDescent="0.2">
      <c r="DA575" s="154"/>
      <c r="DE575" s="196"/>
      <c r="DF575" s="196"/>
    </row>
    <row r="576" spans="105:110" ht="14.25" customHeight="1" x14ac:dyDescent="0.2">
      <c r="DA576" s="154"/>
      <c r="DE576" s="196"/>
      <c r="DF576" s="196"/>
    </row>
    <row r="577" spans="105:110" ht="14.25" customHeight="1" x14ac:dyDescent="0.2">
      <c r="DA577" s="154"/>
      <c r="DE577" s="196"/>
      <c r="DF577" s="196"/>
    </row>
    <row r="578" spans="105:110" ht="14.25" customHeight="1" x14ac:dyDescent="0.2">
      <c r="DA578" s="154"/>
      <c r="DE578" s="196"/>
      <c r="DF578" s="196"/>
    </row>
    <row r="579" spans="105:110" ht="14.25" customHeight="1" x14ac:dyDescent="0.2">
      <c r="DA579" s="154"/>
      <c r="DE579" s="196"/>
      <c r="DF579" s="196"/>
    </row>
    <row r="580" spans="105:110" ht="14.25" customHeight="1" x14ac:dyDescent="0.2">
      <c r="DA580" s="154"/>
      <c r="DE580" s="196"/>
      <c r="DF580" s="196"/>
    </row>
    <row r="581" spans="105:110" ht="14.25" customHeight="1" x14ac:dyDescent="0.2">
      <c r="DA581" s="154"/>
      <c r="DE581" s="196"/>
      <c r="DF581" s="196"/>
    </row>
    <row r="582" spans="105:110" ht="14.25" customHeight="1" x14ac:dyDescent="0.2">
      <c r="DA582" s="154"/>
      <c r="DE582" s="196"/>
      <c r="DF582" s="196"/>
    </row>
    <row r="583" spans="105:110" ht="14.25" customHeight="1" x14ac:dyDescent="0.2">
      <c r="DA583" s="154"/>
      <c r="DE583" s="196"/>
      <c r="DF583" s="196"/>
    </row>
    <row r="584" spans="105:110" ht="14.25" customHeight="1" x14ac:dyDescent="0.2">
      <c r="DA584" s="154"/>
      <c r="DE584" s="196"/>
      <c r="DF584" s="196"/>
    </row>
    <row r="585" spans="105:110" ht="14.25" customHeight="1" x14ac:dyDescent="0.2">
      <c r="DA585" s="154"/>
      <c r="DE585" s="196"/>
      <c r="DF585" s="196"/>
    </row>
    <row r="586" spans="105:110" ht="14.25" customHeight="1" x14ac:dyDescent="0.2">
      <c r="DA586" s="154"/>
      <c r="DE586" s="196"/>
      <c r="DF586" s="196"/>
    </row>
    <row r="587" spans="105:110" ht="14.25" customHeight="1" x14ac:dyDescent="0.2">
      <c r="DA587" s="154"/>
      <c r="DE587" s="196"/>
      <c r="DF587" s="196"/>
    </row>
    <row r="588" spans="105:110" ht="14.25" customHeight="1" x14ac:dyDescent="0.2">
      <c r="DA588" s="154"/>
      <c r="DE588" s="196"/>
      <c r="DF588" s="196"/>
    </row>
    <row r="589" spans="105:110" ht="14.25" customHeight="1" x14ac:dyDescent="0.2">
      <c r="DA589" s="154"/>
      <c r="DE589" s="196"/>
      <c r="DF589" s="196"/>
    </row>
    <row r="590" spans="105:110" ht="14.25" customHeight="1" x14ac:dyDescent="0.2">
      <c r="DA590" s="154"/>
      <c r="DE590" s="196"/>
      <c r="DF590" s="196"/>
    </row>
    <row r="591" spans="105:110" ht="14.25" customHeight="1" x14ac:dyDescent="0.2">
      <c r="DA591" s="154"/>
      <c r="DE591" s="196"/>
      <c r="DF591" s="196"/>
    </row>
    <row r="592" spans="105:110" ht="14.25" customHeight="1" x14ac:dyDescent="0.2">
      <c r="DA592" s="154"/>
      <c r="DE592" s="196"/>
      <c r="DF592" s="196"/>
    </row>
    <row r="593" spans="105:110" ht="14.25" customHeight="1" x14ac:dyDescent="0.2">
      <c r="DA593" s="154"/>
      <c r="DE593" s="196"/>
      <c r="DF593" s="196"/>
    </row>
    <row r="594" spans="105:110" ht="14.25" customHeight="1" x14ac:dyDescent="0.2">
      <c r="DA594" s="154"/>
      <c r="DE594" s="196"/>
      <c r="DF594" s="196"/>
    </row>
    <row r="595" spans="105:110" ht="14.25" customHeight="1" x14ac:dyDescent="0.2">
      <c r="DA595" s="154"/>
      <c r="DE595" s="196"/>
      <c r="DF595" s="196"/>
    </row>
    <row r="596" spans="105:110" ht="14.25" customHeight="1" x14ac:dyDescent="0.2">
      <c r="DA596" s="154"/>
      <c r="DE596" s="196"/>
      <c r="DF596" s="196"/>
    </row>
    <row r="597" spans="105:110" ht="14.25" customHeight="1" x14ac:dyDescent="0.2">
      <c r="DA597" s="154"/>
      <c r="DE597" s="196"/>
      <c r="DF597" s="196"/>
    </row>
    <row r="598" spans="105:110" ht="14.25" customHeight="1" x14ac:dyDescent="0.2">
      <c r="DA598" s="154"/>
      <c r="DE598" s="196"/>
      <c r="DF598" s="196"/>
    </row>
    <row r="599" spans="105:110" ht="14.25" customHeight="1" x14ac:dyDescent="0.2">
      <c r="DA599" s="154"/>
      <c r="DE599" s="196"/>
      <c r="DF599" s="196"/>
    </row>
    <row r="600" spans="105:110" ht="14.25" customHeight="1" x14ac:dyDescent="0.2">
      <c r="DA600" s="154"/>
      <c r="DE600" s="196"/>
      <c r="DF600" s="196"/>
    </row>
    <row r="601" spans="105:110" ht="14.25" customHeight="1" x14ac:dyDescent="0.2">
      <c r="DA601" s="154"/>
      <c r="DE601" s="196"/>
      <c r="DF601" s="196"/>
    </row>
    <row r="602" spans="105:110" ht="14.25" customHeight="1" x14ac:dyDescent="0.2">
      <c r="DA602" s="154"/>
      <c r="DE602" s="196"/>
      <c r="DF602" s="196"/>
    </row>
    <row r="603" spans="105:110" ht="14.25" customHeight="1" x14ac:dyDescent="0.2">
      <c r="DA603" s="154"/>
      <c r="DE603" s="196"/>
      <c r="DF603" s="196"/>
    </row>
    <row r="604" spans="105:110" ht="14.25" customHeight="1" x14ac:dyDescent="0.2">
      <c r="DA604" s="154"/>
      <c r="DE604" s="196"/>
      <c r="DF604" s="196"/>
    </row>
    <row r="605" spans="105:110" ht="14.25" customHeight="1" x14ac:dyDescent="0.2">
      <c r="DA605" s="154"/>
      <c r="DE605" s="196"/>
      <c r="DF605" s="196"/>
    </row>
    <row r="606" spans="105:110" ht="14.25" customHeight="1" x14ac:dyDescent="0.2">
      <c r="DA606" s="154"/>
      <c r="DE606" s="196"/>
      <c r="DF606" s="196"/>
    </row>
    <row r="607" spans="105:110" ht="14.25" customHeight="1" x14ac:dyDescent="0.2">
      <c r="DA607" s="154"/>
      <c r="DE607" s="196"/>
      <c r="DF607" s="196"/>
    </row>
    <row r="608" spans="105:110" ht="14.25" customHeight="1" x14ac:dyDescent="0.2">
      <c r="DA608" s="154"/>
      <c r="DE608" s="196"/>
      <c r="DF608" s="196"/>
    </row>
    <row r="609" spans="105:110" ht="14.25" customHeight="1" x14ac:dyDescent="0.2">
      <c r="DA609" s="154"/>
      <c r="DE609" s="196"/>
      <c r="DF609" s="196"/>
    </row>
    <row r="610" spans="105:110" ht="14.25" customHeight="1" x14ac:dyDescent="0.2">
      <c r="DA610" s="154"/>
      <c r="DE610" s="196"/>
      <c r="DF610" s="196"/>
    </row>
    <row r="611" spans="105:110" ht="14.25" customHeight="1" x14ac:dyDescent="0.2">
      <c r="DA611" s="154"/>
      <c r="DE611" s="196"/>
      <c r="DF611" s="196"/>
    </row>
    <row r="612" spans="105:110" ht="14.25" customHeight="1" x14ac:dyDescent="0.2">
      <c r="DA612" s="154"/>
      <c r="DE612" s="196"/>
      <c r="DF612" s="196"/>
    </row>
    <row r="613" spans="105:110" ht="14.25" customHeight="1" x14ac:dyDescent="0.2">
      <c r="DA613" s="154"/>
      <c r="DE613" s="196"/>
      <c r="DF613" s="196"/>
    </row>
    <row r="614" spans="105:110" ht="14.25" customHeight="1" x14ac:dyDescent="0.2">
      <c r="DA614" s="154"/>
      <c r="DE614" s="196"/>
      <c r="DF614" s="196"/>
    </row>
    <row r="615" spans="105:110" ht="14.25" customHeight="1" x14ac:dyDescent="0.2">
      <c r="DA615" s="154"/>
      <c r="DE615" s="196"/>
      <c r="DF615" s="196"/>
    </row>
    <row r="616" spans="105:110" ht="14.25" customHeight="1" x14ac:dyDescent="0.2">
      <c r="DA616" s="154"/>
      <c r="DE616" s="196"/>
      <c r="DF616" s="196"/>
    </row>
    <row r="617" spans="105:110" ht="14.25" customHeight="1" x14ac:dyDescent="0.2">
      <c r="DA617" s="154"/>
      <c r="DE617" s="196"/>
      <c r="DF617" s="196"/>
    </row>
    <row r="618" spans="105:110" ht="14.25" customHeight="1" x14ac:dyDescent="0.2">
      <c r="DA618" s="154"/>
      <c r="DE618" s="196"/>
      <c r="DF618" s="196"/>
    </row>
    <row r="619" spans="105:110" ht="14.25" customHeight="1" x14ac:dyDescent="0.2">
      <c r="DA619" s="154"/>
      <c r="DE619" s="196"/>
      <c r="DF619" s="196"/>
    </row>
    <row r="620" spans="105:110" ht="14.25" customHeight="1" x14ac:dyDescent="0.2">
      <c r="DA620" s="154"/>
      <c r="DE620" s="196"/>
      <c r="DF620" s="196"/>
    </row>
    <row r="621" spans="105:110" ht="14.25" customHeight="1" x14ac:dyDescent="0.2">
      <c r="DA621" s="154"/>
      <c r="DE621" s="196"/>
      <c r="DF621" s="196"/>
    </row>
    <row r="622" spans="105:110" ht="14.25" customHeight="1" x14ac:dyDescent="0.2">
      <c r="DA622" s="154"/>
      <c r="DE622" s="196"/>
      <c r="DF622" s="196"/>
    </row>
    <row r="623" spans="105:110" ht="14.25" customHeight="1" x14ac:dyDescent="0.2">
      <c r="DA623" s="154"/>
      <c r="DE623" s="196"/>
      <c r="DF623" s="196"/>
    </row>
    <row r="624" spans="105:110" ht="14.25" customHeight="1" x14ac:dyDescent="0.2">
      <c r="DA624" s="154"/>
      <c r="DE624" s="196"/>
      <c r="DF624" s="196"/>
    </row>
    <row r="625" spans="105:110" ht="14.25" customHeight="1" x14ac:dyDescent="0.2">
      <c r="DA625" s="154"/>
      <c r="DE625" s="196"/>
      <c r="DF625" s="196"/>
    </row>
    <row r="626" spans="105:110" ht="14.25" customHeight="1" x14ac:dyDescent="0.2">
      <c r="DA626" s="154"/>
      <c r="DE626" s="196"/>
      <c r="DF626" s="196"/>
    </row>
    <row r="627" spans="105:110" ht="14.25" customHeight="1" x14ac:dyDescent="0.2">
      <c r="DA627" s="154"/>
      <c r="DE627" s="196"/>
      <c r="DF627" s="196"/>
    </row>
    <row r="628" spans="105:110" ht="14.25" customHeight="1" x14ac:dyDescent="0.2">
      <c r="DA628" s="154"/>
      <c r="DE628" s="196"/>
      <c r="DF628" s="196"/>
    </row>
    <row r="629" spans="105:110" ht="14.25" customHeight="1" x14ac:dyDescent="0.2">
      <c r="DA629" s="154"/>
      <c r="DE629" s="196"/>
      <c r="DF629" s="196"/>
    </row>
    <row r="630" spans="105:110" ht="14.25" customHeight="1" x14ac:dyDescent="0.2">
      <c r="DA630" s="154"/>
      <c r="DE630" s="196"/>
      <c r="DF630" s="196"/>
    </row>
    <row r="631" spans="105:110" ht="14.25" customHeight="1" x14ac:dyDescent="0.2">
      <c r="DA631" s="154"/>
      <c r="DE631" s="196"/>
      <c r="DF631" s="196"/>
    </row>
    <row r="632" spans="105:110" ht="14.25" customHeight="1" x14ac:dyDescent="0.2">
      <c r="DA632" s="154"/>
      <c r="DE632" s="196"/>
      <c r="DF632" s="196"/>
    </row>
    <row r="633" spans="105:110" ht="14.25" customHeight="1" x14ac:dyDescent="0.2">
      <c r="DA633" s="154"/>
      <c r="DE633" s="196"/>
      <c r="DF633" s="196"/>
    </row>
    <row r="634" spans="105:110" ht="14.25" customHeight="1" x14ac:dyDescent="0.2">
      <c r="DA634" s="154"/>
      <c r="DE634" s="196"/>
      <c r="DF634" s="196"/>
    </row>
    <row r="635" spans="105:110" ht="14.25" customHeight="1" x14ac:dyDescent="0.2">
      <c r="DA635" s="154"/>
      <c r="DE635" s="196"/>
      <c r="DF635" s="196"/>
    </row>
    <row r="636" spans="105:110" ht="14.25" customHeight="1" x14ac:dyDescent="0.2">
      <c r="DA636" s="154"/>
      <c r="DE636" s="196"/>
      <c r="DF636" s="196"/>
    </row>
    <row r="637" spans="105:110" ht="14.25" customHeight="1" x14ac:dyDescent="0.2">
      <c r="DA637" s="154"/>
      <c r="DE637" s="196"/>
      <c r="DF637" s="196"/>
    </row>
    <row r="638" spans="105:110" ht="14.25" customHeight="1" x14ac:dyDescent="0.2">
      <c r="DA638" s="154"/>
      <c r="DE638" s="196"/>
      <c r="DF638" s="196"/>
    </row>
    <row r="639" spans="105:110" ht="14.25" customHeight="1" x14ac:dyDescent="0.2">
      <c r="DA639" s="154"/>
      <c r="DE639" s="196"/>
      <c r="DF639" s="196"/>
    </row>
    <row r="640" spans="105:110" ht="14.25" customHeight="1" x14ac:dyDescent="0.2">
      <c r="DA640" s="154"/>
      <c r="DE640" s="196"/>
      <c r="DF640" s="196"/>
    </row>
    <row r="641" spans="105:110" ht="14.25" customHeight="1" x14ac:dyDescent="0.2">
      <c r="DA641" s="154"/>
      <c r="DE641" s="196"/>
      <c r="DF641" s="196"/>
    </row>
    <row r="642" spans="105:110" ht="14.25" customHeight="1" x14ac:dyDescent="0.2">
      <c r="DA642" s="154"/>
      <c r="DE642" s="196"/>
      <c r="DF642" s="196"/>
    </row>
    <row r="643" spans="105:110" ht="14.25" customHeight="1" x14ac:dyDescent="0.2">
      <c r="DA643" s="154"/>
      <c r="DE643" s="196"/>
      <c r="DF643" s="196"/>
    </row>
    <row r="644" spans="105:110" ht="14.25" customHeight="1" x14ac:dyDescent="0.2">
      <c r="DA644" s="154"/>
      <c r="DE644" s="196"/>
      <c r="DF644" s="196"/>
    </row>
    <row r="645" spans="105:110" ht="14.25" customHeight="1" x14ac:dyDescent="0.2">
      <c r="DA645" s="154"/>
      <c r="DE645" s="196"/>
      <c r="DF645" s="196"/>
    </row>
    <row r="646" spans="105:110" ht="14.25" customHeight="1" x14ac:dyDescent="0.2">
      <c r="DA646" s="154"/>
      <c r="DE646" s="196"/>
      <c r="DF646" s="196"/>
    </row>
    <row r="647" spans="105:110" ht="14.25" customHeight="1" x14ac:dyDescent="0.2">
      <c r="DA647" s="154"/>
      <c r="DE647" s="196"/>
      <c r="DF647" s="196"/>
    </row>
    <row r="648" spans="105:110" ht="14.25" customHeight="1" x14ac:dyDescent="0.2">
      <c r="DA648" s="154"/>
      <c r="DE648" s="196"/>
      <c r="DF648" s="196"/>
    </row>
    <row r="649" spans="105:110" ht="14.25" customHeight="1" x14ac:dyDescent="0.2">
      <c r="DA649" s="154"/>
      <c r="DE649" s="196"/>
      <c r="DF649" s="196"/>
    </row>
    <row r="650" spans="105:110" ht="14.25" customHeight="1" x14ac:dyDescent="0.2">
      <c r="DA650" s="154"/>
      <c r="DE650" s="196"/>
      <c r="DF650" s="196"/>
    </row>
    <row r="651" spans="105:110" ht="14.25" customHeight="1" x14ac:dyDescent="0.2">
      <c r="DA651" s="154"/>
      <c r="DE651" s="196"/>
      <c r="DF651" s="196"/>
    </row>
    <row r="652" spans="105:110" ht="14.25" customHeight="1" x14ac:dyDescent="0.2">
      <c r="DA652" s="154"/>
      <c r="DE652" s="196"/>
      <c r="DF652" s="196"/>
    </row>
    <row r="653" spans="105:110" ht="14.25" customHeight="1" x14ac:dyDescent="0.2">
      <c r="DA653" s="154"/>
      <c r="DE653" s="196"/>
      <c r="DF653" s="196"/>
    </row>
    <row r="654" spans="105:110" ht="14.25" customHeight="1" x14ac:dyDescent="0.2">
      <c r="DA654" s="154"/>
      <c r="DE654" s="196"/>
      <c r="DF654" s="196"/>
    </row>
    <row r="655" spans="105:110" ht="14.25" customHeight="1" x14ac:dyDescent="0.2">
      <c r="DA655" s="154"/>
      <c r="DE655" s="196"/>
      <c r="DF655" s="196"/>
    </row>
    <row r="656" spans="105:110" ht="14.25" customHeight="1" x14ac:dyDescent="0.2">
      <c r="DA656" s="154"/>
      <c r="DE656" s="196"/>
      <c r="DF656" s="196"/>
    </row>
    <row r="657" spans="105:110" ht="14.25" customHeight="1" x14ac:dyDescent="0.2">
      <c r="DA657" s="154"/>
      <c r="DE657" s="196"/>
      <c r="DF657" s="196"/>
    </row>
    <row r="658" spans="105:110" ht="14.25" customHeight="1" x14ac:dyDescent="0.2">
      <c r="DA658" s="154"/>
      <c r="DE658" s="196"/>
      <c r="DF658" s="196"/>
    </row>
    <row r="659" spans="105:110" ht="14.25" customHeight="1" x14ac:dyDescent="0.2">
      <c r="DA659" s="154"/>
      <c r="DE659" s="196"/>
      <c r="DF659" s="196"/>
    </row>
    <row r="660" spans="105:110" ht="14.25" customHeight="1" x14ac:dyDescent="0.2">
      <c r="DA660" s="154"/>
      <c r="DE660" s="196"/>
      <c r="DF660" s="196"/>
    </row>
    <row r="661" spans="105:110" ht="14.25" customHeight="1" x14ac:dyDescent="0.2">
      <c r="DA661" s="154"/>
      <c r="DE661" s="196"/>
      <c r="DF661" s="196"/>
    </row>
    <row r="662" spans="105:110" ht="14.25" customHeight="1" x14ac:dyDescent="0.2">
      <c r="DA662" s="154"/>
      <c r="DE662" s="196"/>
      <c r="DF662" s="196"/>
    </row>
    <row r="663" spans="105:110" ht="14.25" customHeight="1" x14ac:dyDescent="0.2">
      <c r="DA663" s="154"/>
      <c r="DE663" s="196"/>
      <c r="DF663" s="196"/>
    </row>
    <row r="664" spans="105:110" ht="14.25" customHeight="1" x14ac:dyDescent="0.2">
      <c r="DA664" s="154"/>
      <c r="DE664" s="196"/>
      <c r="DF664" s="196"/>
    </row>
    <row r="665" spans="105:110" ht="14.25" customHeight="1" x14ac:dyDescent="0.2">
      <c r="DA665" s="154"/>
      <c r="DE665" s="196"/>
      <c r="DF665" s="196"/>
    </row>
    <row r="666" spans="105:110" ht="14.25" customHeight="1" x14ac:dyDescent="0.2">
      <c r="DA666" s="154"/>
      <c r="DE666" s="196"/>
      <c r="DF666" s="196"/>
    </row>
    <row r="667" spans="105:110" ht="14.25" customHeight="1" x14ac:dyDescent="0.2">
      <c r="DA667" s="154"/>
      <c r="DE667" s="196"/>
      <c r="DF667" s="196"/>
    </row>
    <row r="668" spans="105:110" ht="14.25" customHeight="1" x14ac:dyDescent="0.2">
      <c r="DA668" s="154"/>
      <c r="DE668" s="196"/>
      <c r="DF668" s="196"/>
    </row>
    <row r="669" spans="105:110" ht="14.25" customHeight="1" x14ac:dyDescent="0.2">
      <c r="DA669" s="154"/>
      <c r="DE669" s="196"/>
      <c r="DF669" s="196"/>
    </row>
    <row r="670" spans="105:110" ht="14.25" customHeight="1" x14ac:dyDescent="0.2">
      <c r="DA670" s="154"/>
      <c r="DE670" s="196"/>
      <c r="DF670" s="196"/>
    </row>
    <row r="671" spans="105:110" ht="14.25" customHeight="1" x14ac:dyDescent="0.2">
      <c r="DA671" s="154"/>
      <c r="DE671" s="196"/>
      <c r="DF671" s="196"/>
    </row>
    <row r="672" spans="105:110" ht="14.25" customHeight="1" x14ac:dyDescent="0.2">
      <c r="DA672" s="154"/>
      <c r="DE672" s="196"/>
      <c r="DF672" s="196"/>
    </row>
    <row r="673" spans="105:110" ht="14.25" customHeight="1" x14ac:dyDescent="0.2">
      <c r="DA673" s="154"/>
      <c r="DE673" s="196"/>
      <c r="DF673" s="196"/>
    </row>
    <row r="674" spans="105:110" ht="14.25" customHeight="1" x14ac:dyDescent="0.2">
      <c r="DA674" s="154"/>
      <c r="DE674" s="196"/>
      <c r="DF674" s="196"/>
    </row>
    <row r="675" spans="105:110" ht="14.25" customHeight="1" x14ac:dyDescent="0.2">
      <c r="DA675" s="154"/>
      <c r="DE675" s="196"/>
      <c r="DF675" s="196"/>
    </row>
    <row r="676" spans="105:110" ht="14.25" customHeight="1" x14ac:dyDescent="0.2">
      <c r="DA676" s="154"/>
      <c r="DE676" s="196"/>
      <c r="DF676" s="196"/>
    </row>
    <row r="677" spans="105:110" ht="14.25" customHeight="1" x14ac:dyDescent="0.2">
      <c r="DA677" s="154"/>
      <c r="DE677" s="196"/>
      <c r="DF677" s="196"/>
    </row>
    <row r="678" spans="105:110" ht="14.25" customHeight="1" x14ac:dyDescent="0.2">
      <c r="DA678" s="154"/>
      <c r="DE678" s="196"/>
      <c r="DF678" s="196"/>
    </row>
    <row r="679" spans="105:110" ht="14.25" customHeight="1" x14ac:dyDescent="0.2">
      <c r="DA679" s="154"/>
      <c r="DE679" s="196"/>
      <c r="DF679" s="196"/>
    </row>
    <row r="680" spans="105:110" ht="14.25" customHeight="1" x14ac:dyDescent="0.2">
      <c r="DA680" s="154"/>
      <c r="DE680" s="196"/>
      <c r="DF680" s="196"/>
    </row>
    <row r="681" spans="105:110" ht="14.25" customHeight="1" x14ac:dyDescent="0.2">
      <c r="DA681" s="154"/>
      <c r="DE681" s="196"/>
      <c r="DF681" s="196"/>
    </row>
    <row r="682" spans="105:110" ht="14.25" customHeight="1" x14ac:dyDescent="0.2">
      <c r="DA682" s="154"/>
      <c r="DE682" s="196"/>
      <c r="DF682" s="196"/>
    </row>
    <row r="683" spans="105:110" ht="14.25" customHeight="1" x14ac:dyDescent="0.2">
      <c r="DA683" s="154"/>
      <c r="DE683" s="196"/>
      <c r="DF683" s="196"/>
    </row>
    <row r="684" spans="105:110" ht="14.25" customHeight="1" x14ac:dyDescent="0.2">
      <c r="DA684" s="154"/>
      <c r="DE684" s="196"/>
      <c r="DF684" s="196"/>
    </row>
    <row r="685" spans="105:110" ht="14.25" customHeight="1" x14ac:dyDescent="0.2">
      <c r="DA685" s="154"/>
      <c r="DE685" s="196"/>
      <c r="DF685" s="196"/>
    </row>
    <row r="686" spans="105:110" ht="14.25" customHeight="1" x14ac:dyDescent="0.2">
      <c r="DA686" s="154"/>
      <c r="DE686" s="196"/>
      <c r="DF686" s="196"/>
    </row>
    <row r="687" spans="105:110" ht="14.25" customHeight="1" x14ac:dyDescent="0.2">
      <c r="DA687" s="154"/>
      <c r="DE687" s="196"/>
      <c r="DF687" s="196"/>
    </row>
    <row r="688" spans="105:110" ht="14.25" customHeight="1" x14ac:dyDescent="0.2">
      <c r="DA688" s="154"/>
      <c r="DE688" s="196"/>
      <c r="DF688" s="196"/>
    </row>
    <row r="689" spans="105:110" ht="14.25" customHeight="1" x14ac:dyDescent="0.2">
      <c r="DA689" s="154"/>
      <c r="DE689" s="196"/>
      <c r="DF689" s="196"/>
    </row>
    <row r="690" spans="105:110" ht="14.25" customHeight="1" x14ac:dyDescent="0.2">
      <c r="DA690" s="154"/>
      <c r="DE690" s="196"/>
      <c r="DF690" s="196"/>
    </row>
    <row r="691" spans="105:110" ht="14.25" customHeight="1" x14ac:dyDescent="0.2">
      <c r="DA691" s="154"/>
      <c r="DE691" s="196"/>
      <c r="DF691" s="196"/>
    </row>
    <row r="692" spans="105:110" ht="14.25" customHeight="1" x14ac:dyDescent="0.2">
      <c r="DA692" s="154"/>
      <c r="DE692" s="196"/>
      <c r="DF692" s="196"/>
    </row>
    <row r="693" spans="105:110" ht="14.25" customHeight="1" x14ac:dyDescent="0.2">
      <c r="DA693" s="154"/>
      <c r="DE693" s="196"/>
      <c r="DF693" s="196"/>
    </row>
    <row r="694" spans="105:110" ht="14.25" customHeight="1" x14ac:dyDescent="0.2">
      <c r="DA694" s="154"/>
      <c r="DE694" s="196"/>
      <c r="DF694" s="196"/>
    </row>
    <row r="695" spans="105:110" ht="14.25" customHeight="1" x14ac:dyDescent="0.2">
      <c r="DA695" s="154"/>
      <c r="DE695" s="196"/>
      <c r="DF695" s="196"/>
    </row>
    <row r="696" spans="105:110" ht="14.25" customHeight="1" x14ac:dyDescent="0.2">
      <c r="DA696" s="154"/>
      <c r="DE696" s="196"/>
      <c r="DF696" s="196"/>
    </row>
    <row r="697" spans="105:110" ht="14.25" customHeight="1" x14ac:dyDescent="0.2">
      <c r="DA697" s="154"/>
      <c r="DE697" s="196"/>
      <c r="DF697" s="196"/>
    </row>
    <row r="698" spans="105:110" ht="14.25" customHeight="1" x14ac:dyDescent="0.2">
      <c r="DA698" s="154"/>
      <c r="DE698" s="196"/>
      <c r="DF698" s="196"/>
    </row>
    <row r="699" spans="105:110" ht="14.25" customHeight="1" x14ac:dyDescent="0.2">
      <c r="DA699" s="154"/>
      <c r="DE699" s="196"/>
      <c r="DF699" s="196"/>
    </row>
    <row r="700" spans="105:110" ht="14.25" customHeight="1" x14ac:dyDescent="0.2">
      <c r="DA700" s="154"/>
      <c r="DE700" s="196"/>
      <c r="DF700" s="196"/>
    </row>
    <row r="701" spans="105:110" ht="14.25" customHeight="1" x14ac:dyDescent="0.2">
      <c r="DA701" s="154"/>
      <c r="DE701" s="196"/>
      <c r="DF701" s="196"/>
    </row>
    <row r="702" spans="105:110" ht="14.25" customHeight="1" x14ac:dyDescent="0.2">
      <c r="DA702" s="154"/>
      <c r="DE702" s="196"/>
      <c r="DF702" s="196"/>
    </row>
    <row r="703" spans="105:110" ht="14.25" customHeight="1" x14ac:dyDescent="0.2">
      <c r="DA703" s="154"/>
      <c r="DE703" s="196"/>
      <c r="DF703" s="196"/>
    </row>
    <row r="704" spans="105:110" ht="14.25" customHeight="1" x14ac:dyDescent="0.2">
      <c r="DA704" s="154"/>
      <c r="DE704" s="196"/>
      <c r="DF704" s="196"/>
    </row>
    <row r="705" spans="105:110" ht="14.25" customHeight="1" x14ac:dyDescent="0.2">
      <c r="DA705" s="154"/>
      <c r="DE705" s="196"/>
      <c r="DF705" s="196"/>
    </row>
    <row r="706" spans="105:110" ht="14.25" customHeight="1" x14ac:dyDescent="0.2">
      <c r="DA706" s="154"/>
      <c r="DE706" s="196"/>
      <c r="DF706" s="196"/>
    </row>
    <row r="707" spans="105:110" ht="14.25" customHeight="1" x14ac:dyDescent="0.2">
      <c r="DA707" s="154"/>
      <c r="DE707" s="196"/>
      <c r="DF707" s="196"/>
    </row>
    <row r="708" spans="105:110" ht="14.25" customHeight="1" x14ac:dyDescent="0.2">
      <c r="DA708" s="154"/>
      <c r="DE708" s="196"/>
      <c r="DF708" s="196"/>
    </row>
    <row r="709" spans="105:110" ht="14.25" customHeight="1" x14ac:dyDescent="0.2">
      <c r="DA709" s="154"/>
      <c r="DE709" s="196"/>
      <c r="DF709" s="196"/>
    </row>
    <row r="710" spans="105:110" ht="14.25" customHeight="1" x14ac:dyDescent="0.2">
      <c r="DA710" s="154"/>
      <c r="DE710" s="196"/>
      <c r="DF710" s="196"/>
    </row>
    <row r="711" spans="105:110" ht="14.25" customHeight="1" x14ac:dyDescent="0.2">
      <c r="DA711" s="154"/>
      <c r="DE711" s="196"/>
      <c r="DF711" s="196"/>
    </row>
    <row r="712" spans="105:110" ht="14.25" customHeight="1" x14ac:dyDescent="0.2">
      <c r="DA712" s="154"/>
      <c r="DE712" s="196"/>
      <c r="DF712" s="196"/>
    </row>
    <row r="713" spans="105:110" ht="14.25" customHeight="1" x14ac:dyDescent="0.2">
      <c r="DA713" s="154"/>
      <c r="DE713" s="196"/>
      <c r="DF713" s="196"/>
    </row>
    <row r="714" spans="105:110" ht="14.25" customHeight="1" x14ac:dyDescent="0.2">
      <c r="DA714" s="154"/>
      <c r="DE714" s="196"/>
      <c r="DF714" s="196"/>
    </row>
    <row r="715" spans="105:110" ht="14.25" customHeight="1" x14ac:dyDescent="0.2">
      <c r="DA715" s="154"/>
      <c r="DE715" s="196"/>
      <c r="DF715" s="196"/>
    </row>
    <row r="716" spans="105:110" ht="14.25" customHeight="1" x14ac:dyDescent="0.2">
      <c r="DA716" s="154"/>
      <c r="DE716" s="196"/>
      <c r="DF716" s="196"/>
    </row>
    <row r="717" spans="105:110" ht="14.25" customHeight="1" x14ac:dyDescent="0.2">
      <c r="DA717" s="154"/>
      <c r="DE717" s="196"/>
      <c r="DF717" s="196"/>
    </row>
    <row r="718" spans="105:110" ht="14.25" customHeight="1" x14ac:dyDescent="0.2">
      <c r="DA718" s="154"/>
      <c r="DE718" s="196"/>
      <c r="DF718" s="196"/>
    </row>
    <row r="719" spans="105:110" ht="14.25" customHeight="1" x14ac:dyDescent="0.2">
      <c r="DA719" s="154"/>
      <c r="DE719" s="196"/>
      <c r="DF719" s="196"/>
    </row>
    <row r="720" spans="105:110" ht="14.25" customHeight="1" x14ac:dyDescent="0.2">
      <c r="DA720" s="154"/>
      <c r="DE720" s="196"/>
      <c r="DF720" s="196"/>
    </row>
    <row r="721" spans="105:110" ht="14.25" customHeight="1" x14ac:dyDescent="0.2">
      <c r="DA721" s="154"/>
      <c r="DE721" s="196"/>
      <c r="DF721" s="196"/>
    </row>
    <row r="722" spans="105:110" ht="14.25" customHeight="1" x14ac:dyDescent="0.2">
      <c r="DA722" s="154"/>
      <c r="DE722" s="196"/>
      <c r="DF722" s="196"/>
    </row>
    <row r="723" spans="105:110" ht="14.25" customHeight="1" x14ac:dyDescent="0.2">
      <c r="DA723" s="154"/>
      <c r="DE723" s="196"/>
      <c r="DF723" s="196"/>
    </row>
    <row r="724" spans="105:110" ht="14.25" customHeight="1" x14ac:dyDescent="0.2">
      <c r="DA724" s="154"/>
      <c r="DE724" s="196"/>
      <c r="DF724" s="196"/>
    </row>
    <row r="725" spans="105:110" ht="14.25" customHeight="1" x14ac:dyDescent="0.2">
      <c r="DA725" s="154"/>
      <c r="DE725" s="196"/>
      <c r="DF725" s="196"/>
    </row>
    <row r="726" spans="105:110" ht="14.25" customHeight="1" x14ac:dyDescent="0.2">
      <c r="DA726" s="154"/>
      <c r="DE726" s="196"/>
      <c r="DF726" s="196"/>
    </row>
    <row r="727" spans="105:110" ht="14.25" customHeight="1" x14ac:dyDescent="0.2">
      <c r="DA727" s="154"/>
      <c r="DE727" s="196"/>
      <c r="DF727" s="196"/>
    </row>
    <row r="728" spans="105:110" ht="14.25" customHeight="1" x14ac:dyDescent="0.2">
      <c r="DA728" s="154"/>
      <c r="DE728" s="196"/>
      <c r="DF728" s="196"/>
    </row>
    <row r="729" spans="105:110" ht="14.25" customHeight="1" x14ac:dyDescent="0.2">
      <c r="DA729" s="154"/>
      <c r="DE729" s="196"/>
      <c r="DF729" s="196"/>
    </row>
    <row r="730" spans="105:110" ht="14.25" customHeight="1" x14ac:dyDescent="0.2">
      <c r="DA730" s="154"/>
      <c r="DE730" s="196"/>
      <c r="DF730" s="196"/>
    </row>
    <row r="731" spans="105:110" ht="14.25" customHeight="1" x14ac:dyDescent="0.2">
      <c r="DA731" s="154"/>
      <c r="DE731" s="196"/>
      <c r="DF731" s="196"/>
    </row>
    <row r="732" spans="105:110" ht="14.25" customHeight="1" x14ac:dyDescent="0.2">
      <c r="DA732" s="154"/>
      <c r="DE732" s="196"/>
      <c r="DF732" s="196"/>
    </row>
    <row r="733" spans="105:110" ht="14.25" customHeight="1" x14ac:dyDescent="0.2">
      <c r="DA733" s="154"/>
      <c r="DE733" s="196"/>
      <c r="DF733" s="196"/>
    </row>
    <row r="734" spans="105:110" ht="14.25" customHeight="1" x14ac:dyDescent="0.2">
      <c r="DA734" s="154"/>
      <c r="DE734" s="196"/>
      <c r="DF734" s="196"/>
    </row>
    <row r="735" spans="105:110" ht="14.25" customHeight="1" x14ac:dyDescent="0.2">
      <c r="DA735" s="154"/>
      <c r="DE735" s="196"/>
      <c r="DF735" s="196"/>
    </row>
    <row r="736" spans="105:110" ht="14.25" customHeight="1" x14ac:dyDescent="0.2">
      <c r="DA736" s="154"/>
      <c r="DE736" s="196"/>
      <c r="DF736" s="196"/>
    </row>
    <row r="737" spans="105:110" ht="14.25" customHeight="1" x14ac:dyDescent="0.2">
      <c r="DA737" s="154"/>
      <c r="DE737" s="196"/>
      <c r="DF737" s="196"/>
    </row>
    <row r="738" spans="105:110" ht="14.25" customHeight="1" x14ac:dyDescent="0.2">
      <c r="DA738" s="154"/>
      <c r="DE738" s="196"/>
      <c r="DF738" s="196"/>
    </row>
    <row r="739" spans="105:110" ht="14.25" customHeight="1" x14ac:dyDescent="0.2">
      <c r="DA739" s="154"/>
      <c r="DE739" s="196"/>
      <c r="DF739" s="196"/>
    </row>
    <row r="740" spans="105:110" ht="14.25" customHeight="1" x14ac:dyDescent="0.2">
      <c r="DA740" s="154"/>
      <c r="DE740" s="196"/>
      <c r="DF740" s="196"/>
    </row>
    <row r="741" spans="105:110" ht="14.25" customHeight="1" x14ac:dyDescent="0.2">
      <c r="DA741" s="154"/>
      <c r="DE741" s="196"/>
      <c r="DF741" s="196"/>
    </row>
    <row r="742" spans="105:110" ht="14.25" customHeight="1" x14ac:dyDescent="0.2">
      <c r="DA742" s="154"/>
      <c r="DE742" s="196"/>
      <c r="DF742" s="196"/>
    </row>
    <row r="743" spans="105:110" ht="14.25" customHeight="1" x14ac:dyDescent="0.2">
      <c r="DA743" s="154"/>
      <c r="DE743" s="196"/>
      <c r="DF743" s="196"/>
    </row>
    <row r="744" spans="105:110" ht="14.25" customHeight="1" x14ac:dyDescent="0.2">
      <c r="DA744" s="154"/>
      <c r="DE744" s="196"/>
      <c r="DF744" s="196"/>
    </row>
    <row r="745" spans="105:110" ht="14.25" customHeight="1" x14ac:dyDescent="0.2">
      <c r="DA745" s="154"/>
      <c r="DE745" s="196"/>
      <c r="DF745" s="196"/>
    </row>
    <row r="746" spans="105:110" ht="14.25" customHeight="1" x14ac:dyDescent="0.2">
      <c r="DA746" s="154"/>
      <c r="DE746" s="196"/>
      <c r="DF746" s="196"/>
    </row>
    <row r="747" spans="105:110" ht="14.25" customHeight="1" x14ac:dyDescent="0.2">
      <c r="DA747" s="154"/>
      <c r="DE747" s="196"/>
      <c r="DF747" s="196"/>
    </row>
    <row r="748" spans="105:110" ht="14.25" customHeight="1" x14ac:dyDescent="0.2">
      <c r="DA748" s="154"/>
      <c r="DE748" s="196"/>
      <c r="DF748" s="196"/>
    </row>
    <row r="749" spans="105:110" ht="14.25" customHeight="1" x14ac:dyDescent="0.2">
      <c r="DA749" s="154"/>
      <c r="DE749" s="196"/>
      <c r="DF749" s="196"/>
    </row>
    <row r="750" spans="105:110" ht="14.25" customHeight="1" x14ac:dyDescent="0.2">
      <c r="DA750" s="154"/>
      <c r="DE750" s="196"/>
      <c r="DF750" s="196"/>
    </row>
    <row r="751" spans="105:110" ht="14.25" customHeight="1" x14ac:dyDescent="0.2">
      <c r="DA751" s="154"/>
      <c r="DE751" s="196"/>
      <c r="DF751" s="196"/>
    </row>
    <row r="752" spans="105:110" ht="14.25" customHeight="1" x14ac:dyDescent="0.2">
      <c r="DA752" s="154"/>
      <c r="DE752" s="196"/>
      <c r="DF752" s="196"/>
    </row>
    <row r="753" spans="105:110" ht="14.25" customHeight="1" x14ac:dyDescent="0.2">
      <c r="DA753" s="154"/>
      <c r="DE753" s="196"/>
      <c r="DF753" s="196"/>
    </row>
    <row r="754" spans="105:110" ht="14.25" customHeight="1" x14ac:dyDescent="0.2">
      <c r="DA754" s="154"/>
      <c r="DE754" s="196"/>
      <c r="DF754" s="196"/>
    </row>
    <row r="755" spans="105:110" ht="14.25" customHeight="1" x14ac:dyDescent="0.2">
      <c r="DA755" s="154"/>
      <c r="DE755" s="196"/>
      <c r="DF755" s="196"/>
    </row>
    <row r="756" spans="105:110" ht="14.25" customHeight="1" x14ac:dyDescent="0.2">
      <c r="DA756" s="154"/>
      <c r="DE756" s="196"/>
      <c r="DF756" s="196"/>
    </row>
    <row r="757" spans="105:110" ht="14.25" customHeight="1" x14ac:dyDescent="0.2">
      <c r="DA757" s="154"/>
      <c r="DE757" s="196"/>
      <c r="DF757" s="196"/>
    </row>
    <row r="758" spans="105:110" ht="14.25" customHeight="1" x14ac:dyDescent="0.2">
      <c r="DA758" s="154"/>
      <c r="DE758" s="196"/>
      <c r="DF758" s="196"/>
    </row>
    <row r="759" spans="105:110" ht="14.25" customHeight="1" x14ac:dyDescent="0.2">
      <c r="DA759" s="154"/>
      <c r="DE759" s="196"/>
      <c r="DF759" s="196"/>
    </row>
    <row r="760" spans="105:110" ht="14.25" customHeight="1" x14ac:dyDescent="0.2">
      <c r="DA760" s="154"/>
      <c r="DE760" s="196"/>
      <c r="DF760" s="196"/>
    </row>
    <row r="761" spans="105:110" ht="14.25" customHeight="1" x14ac:dyDescent="0.2">
      <c r="DA761" s="154"/>
      <c r="DE761" s="196"/>
      <c r="DF761" s="196"/>
    </row>
    <row r="762" spans="105:110" ht="14.25" customHeight="1" x14ac:dyDescent="0.2">
      <c r="DA762" s="154"/>
      <c r="DE762" s="196"/>
      <c r="DF762" s="196"/>
    </row>
    <row r="763" spans="105:110" ht="14.25" customHeight="1" x14ac:dyDescent="0.2">
      <c r="DA763" s="154"/>
      <c r="DE763" s="196"/>
      <c r="DF763" s="196"/>
    </row>
    <row r="764" spans="105:110" ht="14.25" customHeight="1" x14ac:dyDescent="0.2">
      <c r="DA764" s="154"/>
      <c r="DE764" s="196"/>
      <c r="DF764" s="196"/>
    </row>
    <row r="765" spans="105:110" ht="14.25" customHeight="1" x14ac:dyDescent="0.2">
      <c r="DA765" s="154"/>
      <c r="DE765" s="196"/>
      <c r="DF765" s="196"/>
    </row>
    <row r="766" spans="105:110" ht="14.25" customHeight="1" x14ac:dyDescent="0.2">
      <c r="DA766" s="154"/>
      <c r="DE766" s="196"/>
      <c r="DF766" s="196"/>
    </row>
    <row r="767" spans="105:110" ht="14.25" customHeight="1" x14ac:dyDescent="0.2">
      <c r="DA767" s="154"/>
      <c r="DE767" s="196"/>
      <c r="DF767" s="196"/>
    </row>
    <row r="768" spans="105:110" ht="14.25" customHeight="1" x14ac:dyDescent="0.2">
      <c r="DA768" s="154"/>
      <c r="DE768" s="196"/>
      <c r="DF768" s="196"/>
    </row>
    <row r="769" spans="105:110" ht="14.25" customHeight="1" x14ac:dyDescent="0.2">
      <c r="DA769" s="154"/>
      <c r="DE769" s="196"/>
      <c r="DF769" s="196"/>
    </row>
    <row r="770" spans="105:110" ht="14.25" customHeight="1" x14ac:dyDescent="0.2">
      <c r="DA770" s="154"/>
      <c r="DE770" s="196"/>
      <c r="DF770" s="196"/>
    </row>
    <row r="771" spans="105:110" ht="14.25" customHeight="1" x14ac:dyDescent="0.2">
      <c r="DA771" s="154"/>
      <c r="DE771" s="196"/>
      <c r="DF771" s="196"/>
    </row>
    <row r="772" spans="105:110" ht="14.25" customHeight="1" x14ac:dyDescent="0.2">
      <c r="DA772" s="154"/>
      <c r="DE772" s="196"/>
      <c r="DF772" s="196"/>
    </row>
    <row r="773" spans="105:110" ht="14.25" customHeight="1" x14ac:dyDescent="0.2">
      <c r="DA773" s="154"/>
      <c r="DE773" s="196"/>
      <c r="DF773" s="196"/>
    </row>
    <row r="774" spans="105:110" ht="14.25" customHeight="1" x14ac:dyDescent="0.2">
      <c r="DA774" s="154"/>
      <c r="DE774" s="196"/>
      <c r="DF774" s="196"/>
    </row>
    <row r="775" spans="105:110" ht="14.25" customHeight="1" x14ac:dyDescent="0.2">
      <c r="DA775" s="154"/>
      <c r="DE775" s="196"/>
      <c r="DF775" s="196"/>
    </row>
    <row r="776" spans="105:110" ht="14.25" customHeight="1" x14ac:dyDescent="0.2">
      <c r="DA776" s="154"/>
      <c r="DE776" s="196"/>
      <c r="DF776" s="196"/>
    </row>
    <row r="777" spans="105:110" ht="14.25" customHeight="1" x14ac:dyDescent="0.2">
      <c r="DA777" s="154"/>
      <c r="DE777" s="196"/>
      <c r="DF777" s="196"/>
    </row>
    <row r="778" spans="105:110" ht="14.25" customHeight="1" x14ac:dyDescent="0.2">
      <c r="DA778" s="154"/>
      <c r="DE778" s="196"/>
      <c r="DF778" s="196"/>
    </row>
    <row r="779" spans="105:110" ht="14.25" customHeight="1" x14ac:dyDescent="0.2">
      <c r="DA779" s="154"/>
      <c r="DE779" s="196"/>
      <c r="DF779" s="196"/>
    </row>
    <row r="780" spans="105:110" ht="14.25" customHeight="1" x14ac:dyDescent="0.2">
      <c r="DA780" s="154"/>
      <c r="DE780" s="196"/>
      <c r="DF780" s="196"/>
    </row>
    <row r="781" spans="105:110" ht="14.25" customHeight="1" x14ac:dyDescent="0.2">
      <c r="DA781" s="154"/>
      <c r="DE781" s="196"/>
      <c r="DF781" s="196"/>
    </row>
    <row r="782" spans="105:110" ht="14.25" customHeight="1" x14ac:dyDescent="0.2">
      <c r="DA782" s="154"/>
      <c r="DE782" s="196"/>
      <c r="DF782" s="196"/>
    </row>
    <row r="783" spans="105:110" ht="14.25" customHeight="1" x14ac:dyDescent="0.2">
      <c r="DA783" s="154"/>
      <c r="DE783" s="196"/>
      <c r="DF783" s="196"/>
    </row>
    <row r="784" spans="105:110" ht="14.25" customHeight="1" x14ac:dyDescent="0.2">
      <c r="DA784" s="154"/>
      <c r="DE784" s="196"/>
      <c r="DF784" s="196"/>
    </row>
    <row r="785" spans="105:110" ht="14.25" customHeight="1" x14ac:dyDescent="0.2">
      <c r="DA785" s="154"/>
      <c r="DE785" s="196"/>
      <c r="DF785" s="196"/>
    </row>
    <row r="786" spans="105:110" ht="14.25" customHeight="1" x14ac:dyDescent="0.2">
      <c r="DA786" s="154"/>
      <c r="DE786" s="196"/>
      <c r="DF786" s="196"/>
    </row>
    <row r="787" spans="105:110" ht="14.25" customHeight="1" x14ac:dyDescent="0.2">
      <c r="DA787" s="154"/>
      <c r="DE787" s="196"/>
      <c r="DF787" s="196"/>
    </row>
    <row r="788" spans="105:110" ht="14.25" customHeight="1" x14ac:dyDescent="0.2">
      <c r="DA788" s="154"/>
      <c r="DE788" s="196"/>
      <c r="DF788" s="196"/>
    </row>
    <row r="789" spans="105:110" ht="14.25" customHeight="1" x14ac:dyDescent="0.2">
      <c r="DA789" s="154"/>
      <c r="DE789" s="196"/>
      <c r="DF789" s="196"/>
    </row>
    <row r="790" spans="105:110" ht="14.25" customHeight="1" x14ac:dyDescent="0.2">
      <c r="DA790" s="154"/>
      <c r="DE790" s="196"/>
      <c r="DF790" s="196"/>
    </row>
    <row r="791" spans="105:110" ht="14.25" customHeight="1" x14ac:dyDescent="0.2">
      <c r="DA791" s="154"/>
      <c r="DE791" s="196"/>
      <c r="DF791" s="196"/>
    </row>
    <row r="792" spans="105:110" ht="14.25" customHeight="1" x14ac:dyDescent="0.2">
      <c r="DA792" s="154"/>
      <c r="DE792" s="196"/>
      <c r="DF792" s="196"/>
    </row>
    <row r="793" spans="105:110" ht="14.25" customHeight="1" x14ac:dyDescent="0.2">
      <c r="DA793" s="154"/>
      <c r="DE793" s="196"/>
      <c r="DF793" s="196"/>
    </row>
    <row r="794" spans="105:110" ht="14.25" customHeight="1" x14ac:dyDescent="0.2">
      <c r="DA794" s="154"/>
      <c r="DE794" s="196"/>
      <c r="DF794" s="196"/>
    </row>
    <row r="795" spans="105:110" ht="14.25" customHeight="1" x14ac:dyDescent="0.2">
      <c r="DA795" s="154"/>
      <c r="DE795" s="196"/>
      <c r="DF795" s="196"/>
    </row>
    <row r="796" spans="105:110" ht="14.25" customHeight="1" x14ac:dyDescent="0.2">
      <c r="DA796" s="154"/>
      <c r="DE796" s="196"/>
      <c r="DF796" s="196"/>
    </row>
    <row r="797" spans="105:110" ht="14.25" customHeight="1" x14ac:dyDescent="0.2">
      <c r="DA797" s="154"/>
      <c r="DE797" s="196"/>
      <c r="DF797" s="196"/>
    </row>
    <row r="798" spans="105:110" ht="14.25" customHeight="1" x14ac:dyDescent="0.2">
      <c r="DA798" s="154"/>
      <c r="DE798" s="196"/>
      <c r="DF798" s="196"/>
    </row>
    <row r="799" spans="105:110" ht="14.25" customHeight="1" x14ac:dyDescent="0.2">
      <c r="DA799" s="154"/>
      <c r="DE799" s="196"/>
      <c r="DF799" s="196"/>
    </row>
    <row r="800" spans="105:110" ht="14.25" customHeight="1" x14ac:dyDescent="0.2">
      <c r="DA800" s="154"/>
      <c r="DE800" s="196"/>
      <c r="DF800" s="196"/>
    </row>
    <row r="801" spans="105:110" ht="14.25" customHeight="1" x14ac:dyDescent="0.2">
      <c r="DA801" s="154"/>
      <c r="DE801" s="196"/>
      <c r="DF801" s="196"/>
    </row>
    <row r="802" spans="105:110" ht="14.25" customHeight="1" x14ac:dyDescent="0.2">
      <c r="DA802" s="154"/>
      <c r="DE802" s="196"/>
      <c r="DF802" s="196"/>
    </row>
    <row r="803" spans="105:110" ht="14.25" customHeight="1" x14ac:dyDescent="0.2">
      <c r="DA803" s="154"/>
      <c r="DE803" s="196"/>
      <c r="DF803" s="196"/>
    </row>
    <row r="804" spans="105:110" ht="14.25" customHeight="1" x14ac:dyDescent="0.2">
      <c r="DA804" s="154"/>
      <c r="DE804" s="196"/>
      <c r="DF804" s="196"/>
    </row>
    <row r="805" spans="105:110" ht="14.25" customHeight="1" x14ac:dyDescent="0.2">
      <c r="DA805" s="154"/>
      <c r="DE805" s="196"/>
      <c r="DF805" s="196"/>
    </row>
    <row r="806" spans="105:110" ht="14.25" customHeight="1" x14ac:dyDescent="0.2">
      <c r="DA806" s="154"/>
      <c r="DE806" s="196"/>
      <c r="DF806" s="196"/>
    </row>
    <row r="807" spans="105:110" ht="14.25" customHeight="1" x14ac:dyDescent="0.2">
      <c r="DA807" s="154"/>
      <c r="DE807" s="196"/>
      <c r="DF807" s="196"/>
    </row>
    <row r="808" spans="105:110" ht="14.25" customHeight="1" x14ac:dyDescent="0.2">
      <c r="DA808" s="154"/>
      <c r="DE808" s="196"/>
      <c r="DF808" s="196"/>
    </row>
    <row r="809" spans="105:110" ht="14.25" customHeight="1" x14ac:dyDescent="0.2">
      <c r="DA809" s="154"/>
      <c r="DE809" s="196"/>
      <c r="DF809" s="196"/>
    </row>
    <row r="810" spans="105:110" ht="14.25" customHeight="1" x14ac:dyDescent="0.2">
      <c r="DA810" s="154"/>
      <c r="DE810" s="196"/>
      <c r="DF810" s="196"/>
    </row>
    <row r="811" spans="105:110" ht="14.25" customHeight="1" x14ac:dyDescent="0.2">
      <c r="DA811" s="154"/>
      <c r="DE811" s="196"/>
      <c r="DF811" s="196"/>
    </row>
    <row r="812" spans="105:110" ht="14.25" customHeight="1" x14ac:dyDescent="0.2">
      <c r="DA812" s="154"/>
      <c r="DE812" s="196"/>
      <c r="DF812" s="196"/>
    </row>
    <row r="813" spans="105:110" ht="14.25" customHeight="1" x14ac:dyDescent="0.2">
      <c r="DA813" s="154"/>
      <c r="DE813" s="196"/>
      <c r="DF813" s="196"/>
    </row>
    <row r="814" spans="105:110" ht="14.25" customHeight="1" x14ac:dyDescent="0.2">
      <c r="DA814" s="154"/>
      <c r="DE814" s="196"/>
      <c r="DF814" s="196"/>
    </row>
    <row r="815" spans="105:110" ht="14.25" customHeight="1" x14ac:dyDescent="0.2">
      <c r="DA815" s="154"/>
      <c r="DE815" s="196"/>
      <c r="DF815" s="196"/>
    </row>
    <row r="816" spans="105:110" ht="14.25" customHeight="1" x14ac:dyDescent="0.2">
      <c r="DA816" s="154"/>
      <c r="DE816" s="196"/>
      <c r="DF816" s="196"/>
    </row>
    <row r="817" spans="105:110" ht="14.25" customHeight="1" x14ac:dyDescent="0.2">
      <c r="DA817" s="154"/>
      <c r="DE817" s="196"/>
      <c r="DF817" s="196"/>
    </row>
    <row r="818" spans="105:110" ht="14.25" customHeight="1" x14ac:dyDescent="0.2">
      <c r="DA818" s="154"/>
      <c r="DE818" s="196"/>
      <c r="DF818" s="196"/>
    </row>
    <row r="819" spans="105:110" ht="14.25" customHeight="1" x14ac:dyDescent="0.2">
      <c r="DA819" s="154"/>
      <c r="DE819" s="196"/>
      <c r="DF819" s="196"/>
    </row>
    <row r="820" spans="105:110" ht="14.25" customHeight="1" x14ac:dyDescent="0.2">
      <c r="DA820" s="154"/>
      <c r="DE820" s="196"/>
      <c r="DF820" s="196"/>
    </row>
    <row r="821" spans="105:110" ht="14.25" customHeight="1" x14ac:dyDescent="0.2">
      <c r="DA821" s="154"/>
      <c r="DE821" s="196"/>
      <c r="DF821" s="196"/>
    </row>
    <row r="822" spans="105:110" ht="14.25" customHeight="1" x14ac:dyDescent="0.2">
      <c r="DA822" s="154"/>
      <c r="DE822" s="196"/>
      <c r="DF822" s="196"/>
    </row>
    <row r="823" spans="105:110" ht="14.25" customHeight="1" x14ac:dyDescent="0.2">
      <c r="DA823" s="154"/>
      <c r="DE823" s="196"/>
      <c r="DF823" s="196"/>
    </row>
    <row r="824" spans="105:110" ht="14.25" customHeight="1" x14ac:dyDescent="0.2">
      <c r="DA824" s="154"/>
      <c r="DE824" s="196"/>
      <c r="DF824" s="196"/>
    </row>
    <row r="825" spans="105:110" ht="14.25" customHeight="1" x14ac:dyDescent="0.2">
      <c r="DA825" s="154"/>
      <c r="DE825" s="196"/>
      <c r="DF825" s="196"/>
    </row>
    <row r="826" spans="105:110" ht="14.25" customHeight="1" x14ac:dyDescent="0.2">
      <c r="DA826" s="154"/>
      <c r="DE826" s="196"/>
      <c r="DF826" s="196"/>
    </row>
    <row r="827" spans="105:110" ht="14.25" customHeight="1" x14ac:dyDescent="0.2">
      <c r="DA827" s="154"/>
      <c r="DE827" s="196"/>
      <c r="DF827" s="196"/>
    </row>
    <row r="828" spans="105:110" ht="14.25" customHeight="1" x14ac:dyDescent="0.2">
      <c r="DA828" s="154"/>
      <c r="DE828" s="196"/>
      <c r="DF828" s="196"/>
    </row>
    <row r="829" spans="105:110" ht="14.25" customHeight="1" x14ac:dyDescent="0.2">
      <c r="DA829" s="154"/>
      <c r="DE829" s="196"/>
      <c r="DF829" s="196"/>
    </row>
    <row r="830" spans="105:110" ht="14.25" customHeight="1" x14ac:dyDescent="0.2">
      <c r="DA830" s="154"/>
      <c r="DE830" s="196"/>
      <c r="DF830" s="196"/>
    </row>
    <row r="831" spans="105:110" ht="14.25" customHeight="1" x14ac:dyDescent="0.2">
      <c r="DA831" s="154"/>
      <c r="DE831" s="196"/>
      <c r="DF831" s="196"/>
    </row>
    <row r="832" spans="105:110" ht="14.25" customHeight="1" x14ac:dyDescent="0.2">
      <c r="DA832" s="154"/>
      <c r="DE832" s="196"/>
      <c r="DF832" s="196"/>
    </row>
    <row r="833" spans="105:110" ht="14.25" customHeight="1" x14ac:dyDescent="0.2">
      <c r="DA833" s="154"/>
      <c r="DE833" s="196"/>
      <c r="DF833" s="196"/>
    </row>
    <row r="834" spans="105:110" ht="14.25" customHeight="1" x14ac:dyDescent="0.2">
      <c r="DA834" s="154"/>
      <c r="DE834" s="196"/>
      <c r="DF834" s="196"/>
    </row>
    <row r="835" spans="105:110" ht="14.25" customHeight="1" x14ac:dyDescent="0.2">
      <c r="DA835" s="154"/>
      <c r="DE835" s="196"/>
      <c r="DF835" s="196"/>
    </row>
    <row r="836" spans="105:110" ht="14.25" customHeight="1" x14ac:dyDescent="0.2">
      <c r="DA836" s="154"/>
      <c r="DE836" s="196"/>
      <c r="DF836" s="196"/>
    </row>
    <row r="837" spans="105:110" ht="14.25" customHeight="1" x14ac:dyDescent="0.2">
      <c r="DA837" s="154"/>
      <c r="DE837" s="196"/>
      <c r="DF837" s="196"/>
    </row>
    <row r="838" spans="105:110" ht="14.25" customHeight="1" x14ac:dyDescent="0.2">
      <c r="DA838" s="154"/>
      <c r="DE838" s="196"/>
      <c r="DF838" s="196"/>
    </row>
    <row r="839" spans="105:110" ht="14.25" customHeight="1" x14ac:dyDescent="0.2">
      <c r="DA839" s="154"/>
      <c r="DE839" s="196"/>
      <c r="DF839" s="196"/>
    </row>
    <row r="840" spans="105:110" ht="14.25" customHeight="1" x14ac:dyDescent="0.2">
      <c r="DA840" s="154"/>
      <c r="DE840" s="196"/>
      <c r="DF840" s="196"/>
    </row>
    <row r="841" spans="105:110" ht="14.25" customHeight="1" x14ac:dyDescent="0.2">
      <c r="DA841" s="154"/>
      <c r="DE841" s="196"/>
      <c r="DF841" s="196"/>
    </row>
    <row r="842" spans="105:110" ht="14.25" customHeight="1" x14ac:dyDescent="0.2">
      <c r="DA842" s="154"/>
      <c r="DE842" s="196"/>
      <c r="DF842" s="196"/>
    </row>
    <row r="843" spans="105:110" ht="14.25" customHeight="1" x14ac:dyDescent="0.2">
      <c r="DA843" s="154"/>
      <c r="DE843" s="196"/>
      <c r="DF843" s="196"/>
    </row>
    <row r="844" spans="105:110" ht="14.25" customHeight="1" x14ac:dyDescent="0.2">
      <c r="DA844" s="154"/>
      <c r="DE844" s="196"/>
      <c r="DF844" s="196"/>
    </row>
    <row r="845" spans="105:110" ht="14.25" customHeight="1" x14ac:dyDescent="0.2">
      <c r="DA845" s="154"/>
      <c r="DE845" s="196"/>
      <c r="DF845" s="196"/>
    </row>
    <row r="846" spans="105:110" ht="14.25" customHeight="1" x14ac:dyDescent="0.2">
      <c r="DA846" s="154"/>
      <c r="DE846" s="196"/>
      <c r="DF846" s="196"/>
    </row>
    <row r="847" spans="105:110" ht="14.25" customHeight="1" x14ac:dyDescent="0.2">
      <c r="DA847" s="154"/>
      <c r="DE847" s="196"/>
      <c r="DF847" s="196"/>
    </row>
    <row r="848" spans="105:110" ht="14.25" customHeight="1" x14ac:dyDescent="0.2">
      <c r="DA848" s="154"/>
      <c r="DE848" s="196"/>
      <c r="DF848" s="196"/>
    </row>
    <row r="849" spans="105:110" ht="14.25" customHeight="1" x14ac:dyDescent="0.2">
      <c r="DA849" s="154"/>
      <c r="DE849" s="196"/>
      <c r="DF849" s="196"/>
    </row>
    <row r="850" spans="105:110" ht="14.25" customHeight="1" x14ac:dyDescent="0.2">
      <c r="DA850" s="154"/>
      <c r="DE850" s="196"/>
      <c r="DF850" s="196"/>
    </row>
    <row r="851" spans="105:110" ht="14.25" customHeight="1" x14ac:dyDescent="0.2">
      <c r="DA851" s="154"/>
      <c r="DE851" s="196"/>
      <c r="DF851" s="196"/>
    </row>
    <row r="852" spans="105:110" ht="14.25" customHeight="1" x14ac:dyDescent="0.2">
      <c r="DA852" s="154"/>
      <c r="DE852" s="196"/>
      <c r="DF852" s="196"/>
    </row>
    <row r="853" spans="105:110" ht="14.25" customHeight="1" x14ac:dyDescent="0.2">
      <c r="DA853" s="154"/>
      <c r="DE853" s="196"/>
      <c r="DF853" s="196"/>
    </row>
    <row r="854" spans="105:110" ht="14.25" customHeight="1" x14ac:dyDescent="0.2">
      <c r="DA854" s="154"/>
      <c r="DE854" s="196"/>
      <c r="DF854" s="196"/>
    </row>
    <row r="855" spans="105:110" ht="14.25" customHeight="1" x14ac:dyDescent="0.2">
      <c r="DA855" s="154"/>
      <c r="DE855" s="196"/>
      <c r="DF855" s="196"/>
    </row>
    <row r="856" spans="105:110" ht="14.25" customHeight="1" x14ac:dyDescent="0.2">
      <c r="DA856" s="154"/>
      <c r="DE856" s="196"/>
      <c r="DF856" s="196"/>
    </row>
    <row r="857" spans="105:110" ht="14.25" customHeight="1" x14ac:dyDescent="0.2">
      <c r="DA857" s="154"/>
      <c r="DE857" s="196"/>
      <c r="DF857" s="196"/>
    </row>
    <row r="858" spans="105:110" ht="14.25" customHeight="1" x14ac:dyDescent="0.2">
      <c r="DA858" s="154"/>
      <c r="DE858" s="196"/>
      <c r="DF858" s="196"/>
    </row>
    <row r="859" spans="105:110" ht="14.25" customHeight="1" x14ac:dyDescent="0.2">
      <c r="DA859" s="154"/>
      <c r="DE859" s="196"/>
      <c r="DF859" s="196"/>
    </row>
    <row r="860" spans="105:110" ht="14.25" customHeight="1" x14ac:dyDescent="0.2">
      <c r="DA860" s="154"/>
      <c r="DE860" s="196"/>
      <c r="DF860" s="196"/>
    </row>
    <row r="861" spans="105:110" ht="14.25" customHeight="1" x14ac:dyDescent="0.2">
      <c r="DA861" s="154"/>
      <c r="DE861" s="196"/>
      <c r="DF861" s="196"/>
    </row>
    <row r="862" spans="105:110" ht="14.25" customHeight="1" x14ac:dyDescent="0.2">
      <c r="DA862" s="154"/>
      <c r="DE862" s="196"/>
      <c r="DF862" s="196"/>
    </row>
    <row r="863" spans="105:110" ht="14.25" customHeight="1" x14ac:dyDescent="0.2">
      <c r="DA863" s="154"/>
      <c r="DE863" s="196"/>
      <c r="DF863" s="196"/>
    </row>
    <row r="864" spans="105:110" ht="14.25" customHeight="1" x14ac:dyDescent="0.2">
      <c r="DA864" s="154"/>
      <c r="DE864" s="196"/>
      <c r="DF864" s="196"/>
    </row>
    <row r="865" spans="105:110" ht="14.25" customHeight="1" x14ac:dyDescent="0.2">
      <c r="DA865" s="154"/>
      <c r="DE865" s="196"/>
      <c r="DF865" s="196"/>
    </row>
    <row r="866" spans="105:110" ht="14.25" customHeight="1" x14ac:dyDescent="0.2">
      <c r="DA866" s="154"/>
      <c r="DE866" s="196"/>
      <c r="DF866" s="196"/>
    </row>
    <row r="867" spans="105:110" ht="14.25" customHeight="1" x14ac:dyDescent="0.2">
      <c r="DA867" s="154"/>
      <c r="DE867" s="196"/>
      <c r="DF867" s="196"/>
    </row>
    <row r="868" spans="105:110" ht="14.25" customHeight="1" x14ac:dyDescent="0.2">
      <c r="DA868" s="154"/>
      <c r="DE868" s="196"/>
      <c r="DF868" s="196"/>
    </row>
    <row r="869" spans="105:110" ht="14.25" customHeight="1" x14ac:dyDescent="0.2">
      <c r="DA869" s="154"/>
      <c r="DE869" s="196"/>
      <c r="DF869" s="196"/>
    </row>
    <row r="870" spans="105:110" ht="14.25" customHeight="1" x14ac:dyDescent="0.2">
      <c r="DA870" s="154"/>
      <c r="DE870" s="196"/>
      <c r="DF870" s="196"/>
    </row>
    <row r="871" spans="105:110" ht="14.25" customHeight="1" x14ac:dyDescent="0.2">
      <c r="DA871" s="154"/>
      <c r="DE871" s="196"/>
      <c r="DF871" s="196"/>
    </row>
    <row r="872" spans="105:110" ht="14.25" customHeight="1" x14ac:dyDescent="0.2">
      <c r="DA872" s="154"/>
      <c r="DE872" s="196"/>
      <c r="DF872" s="196"/>
    </row>
    <row r="873" spans="105:110" ht="14.25" customHeight="1" x14ac:dyDescent="0.2">
      <c r="DA873" s="154"/>
      <c r="DE873" s="196"/>
      <c r="DF873" s="196"/>
    </row>
    <row r="874" spans="105:110" ht="14.25" customHeight="1" x14ac:dyDescent="0.2">
      <c r="DA874" s="154"/>
      <c r="DE874" s="196"/>
      <c r="DF874" s="196"/>
    </row>
    <row r="875" spans="105:110" ht="14.25" customHeight="1" x14ac:dyDescent="0.2">
      <c r="DA875" s="154"/>
      <c r="DE875" s="196"/>
      <c r="DF875" s="196"/>
    </row>
    <row r="876" spans="105:110" ht="14.25" customHeight="1" x14ac:dyDescent="0.2">
      <c r="DA876" s="154"/>
      <c r="DE876" s="196"/>
      <c r="DF876" s="196"/>
    </row>
    <row r="877" spans="105:110" ht="14.25" customHeight="1" x14ac:dyDescent="0.2">
      <c r="DA877" s="154"/>
      <c r="DE877" s="196"/>
      <c r="DF877" s="196"/>
    </row>
    <row r="878" spans="105:110" ht="14.25" customHeight="1" x14ac:dyDescent="0.2">
      <c r="DA878" s="154"/>
      <c r="DE878" s="196"/>
      <c r="DF878" s="196"/>
    </row>
    <row r="879" spans="105:110" ht="14.25" customHeight="1" x14ac:dyDescent="0.2">
      <c r="DA879" s="154"/>
      <c r="DE879" s="196"/>
      <c r="DF879" s="196"/>
    </row>
    <row r="880" spans="105:110" ht="14.25" customHeight="1" x14ac:dyDescent="0.2">
      <c r="DA880" s="154"/>
      <c r="DE880" s="196"/>
      <c r="DF880" s="196"/>
    </row>
    <row r="881" spans="105:110" ht="14.25" customHeight="1" x14ac:dyDescent="0.2">
      <c r="DA881" s="154"/>
      <c r="DE881" s="196"/>
      <c r="DF881" s="196"/>
    </row>
    <row r="882" spans="105:110" ht="14.25" customHeight="1" x14ac:dyDescent="0.2">
      <c r="DA882" s="154"/>
      <c r="DE882" s="196"/>
      <c r="DF882" s="196"/>
    </row>
    <row r="883" spans="105:110" ht="14.25" customHeight="1" x14ac:dyDescent="0.2">
      <c r="DA883" s="154"/>
      <c r="DE883" s="196"/>
      <c r="DF883" s="196"/>
    </row>
    <row r="884" spans="105:110" ht="14.25" customHeight="1" x14ac:dyDescent="0.2">
      <c r="DA884" s="154"/>
      <c r="DE884" s="196"/>
      <c r="DF884" s="196"/>
    </row>
    <row r="885" spans="105:110" ht="14.25" customHeight="1" x14ac:dyDescent="0.2">
      <c r="DA885" s="154"/>
      <c r="DE885" s="196"/>
      <c r="DF885" s="196"/>
    </row>
    <row r="886" spans="105:110" ht="14.25" customHeight="1" x14ac:dyDescent="0.2">
      <c r="DA886" s="154"/>
      <c r="DE886" s="196"/>
      <c r="DF886" s="196"/>
    </row>
    <row r="887" spans="105:110" ht="14.25" customHeight="1" x14ac:dyDescent="0.2">
      <c r="DA887" s="154"/>
      <c r="DE887" s="196"/>
      <c r="DF887" s="196"/>
    </row>
    <row r="888" spans="105:110" ht="14.25" customHeight="1" x14ac:dyDescent="0.2">
      <c r="DA888" s="154"/>
      <c r="DE888" s="196"/>
      <c r="DF888" s="196"/>
    </row>
    <row r="889" spans="105:110" ht="14.25" customHeight="1" x14ac:dyDescent="0.2">
      <c r="DA889" s="154"/>
      <c r="DE889" s="196"/>
      <c r="DF889" s="196"/>
    </row>
    <row r="890" spans="105:110" ht="14.25" customHeight="1" x14ac:dyDescent="0.2">
      <c r="DA890" s="154"/>
      <c r="DE890" s="196"/>
      <c r="DF890" s="196"/>
    </row>
    <row r="891" spans="105:110" ht="14.25" customHeight="1" x14ac:dyDescent="0.2">
      <c r="DA891" s="154"/>
      <c r="DE891" s="196"/>
      <c r="DF891" s="196"/>
    </row>
    <row r="892" spans="105:110" ht="14.25" customHeight="1" x14ac:dyDescent="0.2">
      <c r="DA892" s="154"/>
      <c r="DE892" s="196"/>
      <c r="DF892" s="196"/>
    </row>
    <row r="893" spans="105:110" ht="14.25" customHeight="1" x14ac:dyDescent="0.2">
      <c r="DA893" s="154"/>
      <c r="DE893" s="196"/>
      <c r="DF893" s="196"/>
    </row>
    <row r="894" spans="105:110" ht="14.25" customHeight="1" x14ac:dyDescent="0.2">
      <c r="DA894" s="154"/>
      <c r="DE894" s="196"/>
      <c r="DF894" s="196"/>
    </row>
    <row r="895" spans="105:110" ht="14.25" customHeight="1" x14ac:dyDescent="0.2">
      <c r="DA895" s="154"/>
      <c r="DE895" s="196"/>
      <c r="DF895" s="196"/>
    </row>
    <row r="896" spans="105:110" ht="14.25" customHeight="1" x14ac:dyDescent="0.2">
      <c r="DA896" s="154"/>
      <c r="DE896" s="196"/>
      <c r="DF896" s="196"/>
    </row>
    <row r="897" spans="105:110" ht="14.25" customHeight="1" x14ac:dyDescent="0.2">
      <c r="DA897" s="154"/>
      <c r="DE897" s="196"/>
      <c r="DF897" s="196"/>
    </row>
    <row r="898" spans="105:110" ht="14.25" customHeight="1" x14ac:dyDescent="0.2">
      <c r="DA898" s="154"/>
      <c r="DE898" s="196"/>
      <c r="DF898" s="196"/>
    </row>
    <row r="899" spans="105:110" ht="14.25" customHeight="1" x14ac:dyDescent="0.2">
      <c r="DA899" s="154"/>
      <c r="DE899" s="196"/>
      <c r="DF899" s="196"/>
    </row>
    <row r="900" spans="105:110" ht="14.25" customHeight="1" x14ac:dyDescent="0.2">
      <c r="DA900" s="154"/>
      <c r="DE900" s="196"/>
      <c r="DF900" s="196"/>
    </row>
    <row r="901" spans="105:110" ht="14.25" customHeight="1" x14ac:dyDescent="0.2">
      <c r="DA901" s="154"/>
      <c r="DE901" s="196"/>
      <c r="DF901" s="196"/>
    </row>
    <row r="902" spans="105:110" ht="14.25" customHeight="1" x14ac:dyDescent="0.2">
      <c r="DA902" s="154"/>
      <c r="DE902" s="196"/>
      <c r="DF902" s="196"/>
    </row>
    <row r="903" spans="105:110" ht="14.25" customHeight="1" x14ac:dyDescent="0.2">
      <c r="DA903" s="154"/>
      <c r="DE903" s="196"/>
      <c r="DF903" s="196"/>
    </row>
    <row r="904" spans="105:110" ht="14.25" customHeight="1" x14ac:dyDescent="0.2">
      <c r="DA904" s="154"/>
      <c r="DE904" s="196"/>
      <c r="DF904" s="196"/>
    </row>
    <row r="905" spans="105:110" ht="14.25" customHeight="1" x14ac:dyDescent="0.2">
      <c r="DA905" s="154"/>
      <c r="DE905" s="196"/>
      <c r="DF905" s="196"/>
    </row>
    <row r="906" spans="105:110" ht="14.25" customHeight="1" x14ac:dyDescent="0.2">
      <c r="DA906" s="154"/>
      <c r="DE906" s="196"/>
      <c r="DF906" s="196"/>
    </row>
    <row r="907" spans="105:110" ht="14.25" customHeight="1" x14ac:dyDescent="0.2">
      <c r="DA907" s="154"/>
      <c r="DE907" s="196"/>
      <c r="DF907" s="196"/>
    </row>
    <row r="908" spans="105:110" ht="14.25" customHeight="1" x14ac:dyDescent="0.2">
      <c r="DA908" s="154"/>
      <c r="DE908" s="196"/>
      <c r="DF908" s="196"/>
    </row>
    <row r="909" spans="105:110" ht="14.25" customHeight="1" x14ac:dyDescent="0.2">
      <c r="DA909" s="154"/>
      <c r="DE909" s="196"/>
      <c r="DF909" s="196"/>
    </row>
    <row r="910" spans="105:110" ht="14.25" customHeight="1" x14ac:dyDescent="0.2">
      <c r="DA910" s="154"/>
      <c r="DE910" s="196"/>
      <c r="DF910" s="196"/>
    </row>
    <row r="911" spans="105:110" ht="14.25" customHeight="1" x14ac:dyDescent="0.2">
      <c r="DA911" s="154"/>
      <c r="DE911" s="196"/>
      <c r="DF911" s="196"/>
    </row>
    <row r="912" spans="105:110" ht="14.25" customHeight="1" x14ac:dyDescent="0.2">
      <c r="DA912" s="154"/>
      <c r="DE912" s="196"/>
      <c r="DF912" s="196"/>
    </row>
    <row r="913" spans="105:110" ht="14.25" customHeight="1" x14ac:dyDescent="0.2">
      <c r="DA913" s="154"/>
      <c r="DE913" s="196"/>
      <c r="DF913" s="196"/>
    </row>
    <row r="914" spans="105:110" ht="14.25" customHeight="1" x14ac:dyDescent="0.2">
      <c r="DA914" s="154"/>
      <c r="DE914" s="196"/>
      <c r="DF914" s="196"/>
    </row>
    <row r="915" spans="105:110" ht="14.25" customHeight="1" x14ac:dyDescent="0.2">
      <c r="DA915" s="154"/>
      <c r="DE915" s="196"/>
      <c r="DF915" s="196"/>
    </row>
    <row r="916" spans="105:110" ht="14.25" customHeight="1" x14ac:dyDescent="0.2">
      <c r="DA916" s="154"/>
      <c r="DE916" s="196"/>
      <c r="DF916" s="196"/>
    </row>
    <row r="917" spans="105:110" ht="14.25" customHeight="1" x14ac:dyDescent="0.2">
      <c r="DA917" s="154"/>
      <c r="DE917" s="196"/>
      <c r="DF917" s="196"/>
    </row>
    <row r="918" spans="105:110" ht="14.25" customHeight="1" x14ac:dyDescent="0.2">
      <c r="DA918" s="154"/>
      <c r="DE918" s="196"/>
      <c r="DF918" s="196"/>
    </row>
    <row r="919" spans="105:110" ht="14.25" customHeight="1" x14ac:dyDescent="0.2">
      <c r="DA919" s="154"/>
      <c r="DE919" s="196"/>
      <c r="DF919" s="196"/>
    </row>
    <row r="920" spans="105:110" ht="14.25" customHeight="1" x14ac:dyDescent="0.2">
      <c r="DA920" s="154"/>
      <c r="DE920" s="196"/>
      <c r="DF920" s="196"/>
    </row>
    <row r="921" spans="105:110" ht="14.25" customHeight="1" x14ac:dyDescent="0.2">
      <c r="DA921" s="154"/>
      <c r="DE921" s="196"/>
      <c r="DF921" s="196"/>
    </row>
    <row r="922" spans="105:110" ht="14.25" customHeight="1" x14ac:dyDescent="0.2">
      <c r="DA922" s="154"/>
      <c r="DE922" s="196"/>
      <c r="DF922" s="196"/>
    </row>
    <row r="923" spans="105:110" ht="14.25" customHeight="1" x14ac:dyDescent="0.2">
      <c r="DA923" s="154"/>
      <c r="DE923" s="196"/>
      <c r="DF923" s="196"/>
    </row>
    <row r="924" spans="105:110" ht="14.25" customHeight="1" x14ac:dyDescent="0.2">
      <c r="DA924" s="154"/>
      <c r="DE924" s="196"/>
      <c r="DF924" s="196"/>
    </row>
    <row r="925" spans="105:110" ht="14.25" customHeight="1" x14ac:dyDescent="0.2">
      <c r="DA925" s="154"/>
      <c r="DE925" s="196"/>
      <c r="DF925" s="196"/>
    </row>
    <row r="926" spans="105:110" ht="14.25" customHeight="1" x14ac:dyDescent="0.2">
      <c r="DA926" s="154"/>
      <c r="DE926" s="196"/>
      <c r="DF926" s="196"/>
    </row>
    <row r="927" spans="105:110" ht="14.25" customHeight="1" x14ac:dyDescent="0.2">
      <c r="DA927" s="154"/>
      <c r="DE927" s="196"/>
      <c r="DF927" s="196"/>
    </row>
    <row r="928" spans="105:110" ht="14.25" customHeight="1" x14ac:dyDescent="0.2">
      <c r="DA928" s="154"/>
      <c r="DE928" s="196"/>
      <c r="DF928" s="196"/>
    </row>
    <row r="929" spans="105:110" ht="14.25" customHeight="1" x14ac:dyDescent="0.2">
      <c r="DA929" s="154"/>
      <c r="DE929" s="196"/>
      <c r="DF929" s="196"/>
    </row>
    <row r="930" spans="105:110" ht="14.25" customHeight="1" x14ac:dyDescent="0.2">
      <c r="DA930" s="154"/>
      <c r="DE930" s="196"/>
      <c r="DF930" s="196"/>
    </row>
    <row r="931" spans="105:110" ht="14.25" customHeight="1" x14ac:dyDescent="0.2">
      <c r="DA931" s="154"/>
      <c r="DE931" s="196"/>
      <c r="DF931" s="196"/>
    </row>
    <row r="932" spans="105:110" ht="14.25" customHeight="1" x14ac:dyDescent="0.2">
      <c r="DA932" s="154"/>
      <c r="DE932" s="196"/>
      <c r="DF932" s="196"/>
    </row>
    <row r="933" spans="105:110" ht="14.25" customHeight="1" x14ac:dyDescent="0.2">
      <c r="DA933" s="154"/>
      <c r="DE933" s="196"/>
      <c r="DF933" s="196"/>
    </row>
    <row r="934" spans="105:110" ht="14.25" customHeight="1" x14ac:dyDescent="0.2">
      <c r="DA934" s="154"/>
      <c r="DE934" s="196"/>
      <c r="DF934" s="196"/>
    </row>
    <row r="935" spans="105:110" ht="14.25" customHeight="1" x14ac:dyDescent="0.2">
      <c r="DA935" s="154"/>
      <c r="DE935" s="196"/>
      <c r="DF935" s="196"/>
    </row>
    <row r="936" spans="105:110" ht="14.25" customHeight="1" x14ac:dyDescent="0.2">
      <c r="DA936" s="154"/>
      <c r="DE936" s="196"/>
      <c r="DF936" s="196"/>
    </row>
    <row r="937" spans="105:110" ht="14.25" customHeight="1" x14ac:dyDescent="0.2">
      <c r="DA937" s="154"/>
      <c r="DE937" s="196"/>
      <c r="DF937" s="196"/>
    </row>
    <row r="938" spans="105:110" ht="14.25" customHeight="1" x14ac:dyDescent="0.2">
      <c r="DA938" s="154"/>
      <c r="DE938" s="196"/>
      <c r="DF938" s="196"/>
    </row>
    <row r="939" spans="105:110" ht="14.25" customHeight="1" x14ac:dyDescent="0.2">
      <c r="DA939" s="154"/>
      <c r="DE939" s="196"/>
      <c r="DF939" s="196"/>
    </row>
    <row r="940" spans="105:110" ht="14.25" customHeight="1" x14ac:dyDescent="0.2">
      <c r="DA940" s="154"/>
      <c r="DE940" s="196"/>
      <c r="DF940" s="196"/>
    </row>
    <row r="941" spans="105:110" ht="14.25" customHeight="1" x14ac:dyDescent="0.2">
      <c r="DA941" s="154"/>
      <c r="DE941" s="196"/>
      <c r="DF941" s="196"/>
    </row>
    <row r="942" spans="105:110" ht="14.25" customHeight="1" x14ac:dyDescent="0.2">
      <c r="DA942" s="154"/>
      <c r="DE942" s="196"/>
      <c r="DF942" s="196"/>
    </row>
    <row r="943" spans="105:110" ht="14.25" customHeight="1" x14ac:dyDescent="0.2">
      <c r="DA943" s="154"/>
      <c r="DE943" s="196"/>
      <c r="DF943" s="196"/>
    </row>
    <row r="944" spans="105:110" ht="14.25" customHeight="1" x14ac:dyDescent="0.2">
      <c r="DA944" s="154"/>
      <c r="DE944" s="196"/>
      <c r="DF944" s="196"/>
    </row>
    <row r="945" spans="105:110" ht="14.25" customHeight="1" x14ac:dyDescent="0.2">
      <c r="DA945" s="154"/>
      <c r="DE945" s="196"/>
      <c r="DF945" s="196"/>
    </row>
    <row r="946" spans="105:110" ht="14.25" customHeight="1" x14ac:dyDescent="0.2">
      <c r="DA946" s="154"/>
      <c r="DE946" s="196"/>
      <c r="DF946" s="196"/>
    </row>
    <row r="947" spans="105:110" ht="14.25" customHeight="1" x14ac:dyDescent="0.2">
      <c r="DA947" s="154"/>
      <c r="DE947" s="196"/>
      <c r="DF947" s="196"/>
    </row>
    <row r="948" spans="105:110" ht="14.25" customHeight="1" x14ac:dyDescent="0.2">
      <c r="DA948" s="154"/>
      <c r="DE948" s="196"/>
      <c r="DF948" s="196"/>
    </row>
    <row r="949" spans="105:110" ht="14.25" customHeight="1" x14ac:dyDescent="0.2">
      <c r="DA949" s="154"/>
      <c r="DE949" s="196"/>
      <c r="DF949" s="196"/>
    </row>
    <row r="950" spans="105:110" ht="14.25" customHeight="1" x14ac:dyDescent="0.2">
      <c r="DA950" s="154"/>
      <c r="DE950" s="196"/>
      <c r="DF950" s="196"/>
    </row>
    <row r="951" spans="105:110" ht="14.25" customHeight="1" x14ac:dyDescent="0.2">
      <c r="DA951" s="154"/>
      <c r="DE951" s="196"/>
      <c r="DF951" s="196"/>
    </row>
    <row r="952" spans="105:110" ht="14.25" customHeight="1" x14ac:dyDescent="0.2">
      <c r="DA952" s="154"/>
      <c r="DE952" s="196"/>
      <c r="DF952" s="196"/>
    </row>
    <row r="953" spans="105:110" ht="14.25" customHeight="1" x14ac:dyDescent="0.2">
      <c r="DA953" s="154"/>
      <c r="DE953" s="196"/>
      <c r="DF953" s="196"/>
    </row>
    <row r="954" spans="105:110" ht="14.25" customHeight="1" x14ac:dyDescent="0.2">
      <c r="DA954" s="154"/>
      <c r="DE954" s="196"/>
      <c r="DF954" s="196"/>
    </row>
    <row r="955" spans="105:110" ht="14.25" customHeight="1" x14ac:dyDescent="0.2">
      <c r="DA955" s="154"/>
      <c r="DE955" s="196"/>
      <c r="DF955" s="196"/>
    </row>
    <row r="956" spans="105:110" ht="14.25" customHeight="1" x14ac:dyDescent="0.2">
      <c r="DA956" s="154"/>
      <c r="DE956" s="196"/>
      <c r="DF956" s="196"/>
    </row>
    <row r="957" spans="105:110" ht="14.25" customHeight="1" x14ac:dyDescent="0.2">
      <c r="DA957" s="154"/>
      <c r="DE957" s="196"/>
      <c r="DF957" s="196"/>
    </row>
    <row r="958" spans="105:110" ht="14.25" customHeight="1" x14ac:dyDescent="0.2">
      <c r="DA958" s="154"/>
      <c r="DE958" s="196"/>
      <c r="DF958" s="196"/>
    </row>
    <row r="959" spans="105:110" ht="14.25" customHeight="1" x14ac:dyDescent="0.2">
      <c r="DA959" s="154"/>
      <c r="DE959" s="196"/>
      <c r="DF959" s="196"/>
    </row>
    <row r="960" spans="105:110" ht="14.25" customHeight="1" x14ac:dyDescent="0.2">
      <c r="DA960" s="154"/>
      <c r="DE960" s="196"/>
      <c r="DF960" s="196"/>
    </row>
    <row r="961" spans="105:110" ht="14.25" customHeight="1" x14ac:dyDescent="0.2">
      <c r="DA961" s="154"/>
      <c r="DE961" s="196"/>
      <c r="DF961" s="196"/>
    </row>
    <row r="962" spans="105:110" ht="14.25" customHeight="1" x14ac:dyDescent="0.2">
      <c r="DA962" s="154"/>
      <c r="DE962" s="196"/>
      <c r="DF962" s="196"/>
    </row>
    <row r="963" spans="105:110" ht="14.25" customHeight="1" x14ac:dyDescent="0.2">
      <c r="DA963" s="154"/>
      <c r="DE963" s="196"/>
      <c r="DF963" s="196"/>
    </row>
    <row r="964" spans="105:110" ht="14.25" customHeight="1" x14ac:dyDescent="0.2">
      <c r="DA964" s="154"/>
      <c r="DE964" s="196"/>
      <c r="DF964" s="196"/>
    </row>
    <row r="965" spans="105:110" ht="14.25" customHeight="1" x14ac:dyDescent="0.2">
      <c r="DA965" s="154"/>
      <c r="DE965" s="196"/>
      <c r="DF965" s="196"/>
    </row>
    <row r="966" spans="105:110" ht="14.25" customHeight="1" x14ac:dyDescent="0.2">
      <c r="DA966" s="154"/>
      <c r="DE966" s="196"/>
      <c r="DF966" s="196"/>
    </row>
    <row r="967" spans="105:110" ht="14.25" customHeight="1" x14ac:dyDescent="0.2">
      <c r="DA967" s="154"/>
      <c r="DE967" s="196"/>
      <c r="DF967" s="196"/>
    </row>
    <row r="968" spans="105:110" ht="14.25" customHeight="1" x14ac:dyDescent="0.2">
      <c r="DA968" s="154"/>
      <c r="DE968" s="196"/>
      <c r="DF968" s="196"/>
    </row>
    <row r="969" spans="105:110" ht="14.25" customHeight="1" x14ac:dyDescent="0.2">
      <c r="DA969" s="154"/>
      <c r="DE969" s="196"/>
      <c r="DF969" s="196"/>
    </row>
    <row r="970" spans="105:110" ht="14.25" customHeight="1" x14ac:dyDescent="0.2">
      <c r="DA970" s="154"/>
      <c r="DE970" s="196"/>
      <c r="DF970" s="196"/>
    </row>
    <row r="971" spans="105:110" ht="14.25" customHeight="1" x14ac:dyDescent="0.2">
      <c r="DA971" s="154"/>
      <c r="DE971" s="196"/>
      <c r="DF971" s="196"/>
    </row>
    <row r="972" spans="105:110" ht="14.25" customHeight="1" x14ac:dyDescent="0.2">
      <c r="DA972" s="154"/>
      <c r="DE972" s="196"/>
      <c r="DF972" s="196"/>
    </row>
    <row r="973" spans="105:110" ht="14.25" customHeight="1" x14ac:dyDescent="0.2">
      <c r="DA973" s="154"/>
      <c r="DE973" s="196"/>
      <c r="DF973" s="196"/>
    </row>
    <row r="974" spans="105:110" ht="14.25" customHeight="1" x14ac:dyDescent="0.2">
      <c r="DA974" s="154"/>
      <c r="DE974" s="196"/>
      <c r="DF974" s="196"/>
    </row>
    <row r="975" spans="105:110" ht="14.25" customHeight="1" x14ac:dyDescent="0.2">
      <c r="DA975" s="154"/>
      <c r="DE975" s="196"/>
      <c r="DF975" s="196"/>
    </row>
    <row r="976" spans="105:110" ht="14.25" customHeight="1" x14ac:dyDescent="0.2">
      <c r="DA976" s="154"/>
      <c r="DE976" s="196"/>
      <c r="DF976" s="196"/>
    </row>
    <row r="977" spans="105:110" ht="14.25" customHeight="1" x14ac:dyDescent="0.2">
      <c r="DA977" s="154"/>
      <c r="DE977" s="196"/>
      <c r="DF977" s="196"/>
    </row>
    <row r="978" spans="105:110" ht="14.25" customHeight="1" x14ac:dyDescent="0.2">
      <c r="DA978" s="154"/>
      <c r="DE978" s="196"/>
      <c r="DF978" s="196"/>
    </row>
    <row r="979" spans="105:110" ht="14.25" customHeight="1" x14ac:dyDescent="0.2">
      <c r="DA979" s="154"/>
      <c r="DE979" s="196"/>
      <c r="DF979" s="196"/>
    </row>
    <row r="980" spans="105:110" ht="14.25" customHeight="1" x14ac:dyDescent="0.2">
      <c r="DA980" s="154"/>
      <c r="DE980" s="196"/>
      <c r="DF980" s="196"/>
    </row>
    <row r="981" spans="105:110" ht="14.25" customHeight="1" x14ac:dyDescent="0.2">
      <c r="DA981" s="154"/>
      <c r="DE981" s="196"/>
      <c r="DF981" s="196"/>
    </row>
    <row r="982" spans="105:110" ht="14.25" customHeight="1" x14ac:dyDescent="0.2">
      <c r="DA982" s="154"/>
      <c r="DE982" s="196"/>
      <c r="DF982" s="196"/>
    </row>
    <row r="983" spans="105:110" ht="14.25" customHeight="1" x14ac:dyDescent="0.2">
      <c r="DA983" s="154"/>
      <c r="DE983" s="196"/>
      <c r="DF983" s="196"/>
    </row>
    <row r="984" spans="105:110" ht="14.25" customHeight="1" x14ac:dyDescent="0.2">
      <c r="DA984" s="154"/>
      <c r="DE984" s="196"/>
      <c r="DF984" s="196"/>
    </row>
    <row r="985" spans="105:110" ht="14.25" customHeight="1" x14ac:dyDescent="0.2">
      <c r="DA985" s="154"/>
      <c r="DE985" s="196"/>
      <c r="DF985" s="196"/>
    </row>
    <row r="986" spans="105:110" ht="14.25" customHeight="1" x14ac:dyDescent="0.2">
      <c r="DA986" s="154"/>
      <c r="DE986" s="196"/>
      <c r="DF986" s="196"/>
    </row>
    <row r="987" spans="105:110" ht="14.25" customHeight="1" x14ac:dyDescent="0.2">
      <c r="DA987" s="154"/>
      <c r="DE987" s="196"/>
      <c r="DF987" s="196"/>
    </row>
    <row r="988" spans="105:110" ht="14.25" customHeight="1" x14ac:dyDescent="0.2">
      <c r="DA988" s="154"/>
      <c r="DE988" s="196"/>
      <c r="DF988" s="196"/>
    </row>
    <row r="989" spans="105:110" ht="14.25" customHeight="1" x14ac:dyDescent="0.2">
      <c r="DA989" s="154"/>
      <c r="DE989" s="196"/>
      <c r="DF989" s="196"/>
    </row>
    <row r="990" spans="105:110" ht="14.25" customHeight="1" x14ac:dyDescent="0.2">
      <c r="DA990" s="154"/>
      <c r="DE990" s="196"/>
      <c r="DF990" s="196"/>
    </row>
    <row r="991" spans="105:110" ht="14.25" customHeight="1" x14ac:dyDescent="0.2">
      <c r="DA991" s="154"/>
      <c r="DE991" s="196"/>
      <c r="DF991" s="196"/>
    </row>
    <row r="992" spans="105:110" ht="14.25" customHeight="1" x14ac:dyDescent="0.2">
      <c r="DA992" s="154"/>
      <c r="DE992" s="196"/>
      <c r="DF992" s="196"/>
    </row>
    <row r="993" spans="105:110" ht="14.25" customHeight="1" x14ac:dyDescent="0.2">
      <c r="DA993" s="154"/>
      <c r="DE993" s="196"/>
      <c r="DF993" s="196"/>
    </row>
    <row r="994" spans="105:110" ht="14.25" customHeight="1" x14ac:dyDescent="0.2">
      <c r="DA994" s="154"/>
      <c r="DE994" s="196"/>
      <c r="DF994" s="196"/>
    </row>
    <row r="995" spans="105:110" ht="14.25" customHeight="1" x14ac:dyDescent="0.2">
      <c r="DA995" s="154"/>
      <c r="DE995" s="196"/>
      <c r="DF995" s="196"/>
    </row>
    <row r="996" spans="105:110" ht="14.25" customHeight="1" x14ac:dyDescent="0.2">
      <c r="DA996" s="154"/>
      <c r="DE996" s="196"/>
      <c r="DF996" s="196"/>
    </row>
    <row r="997" spans="105:110" ht="14.25" customHeight="1" x14ac:dyDescent="0.2">
      <c r="DA997" s="154"/>
      <c r="DE997" s="196"/>
      <c r="DF997" s="196"/>
    </row>
    <row r="998" spans="105:110" ht="14.25" customHeight="1" x14ac:dyDescent="0.2">
      <c r="DA998" s="154"/>
      <c r="DE998" s="196"/>
      <c r="DF998" s="196"/>
    </row>
    <row r="999" spans="105:110" ht="14.25" customHeight="1" x14ac:dyDescent="0.2">
      <c r="DA999" s="154"/>
      <c r="DE999" s="196"/>
      <c r="DF999" s="196"/>
    </row>
    <row r="1000" spans="105:110" ht="14.25" customHeight="1" x14ac:dyDescent="0.2">
      <c r="DA1000" s="154"/>
      <c r="DE1000" s="196"/>
      <c r="DF1000" s="196"/>
    </row>
  </sheetData>
  <mergeCells count="25">
    <mergeCell ref="BP2:BV2"/>
    <mergeCell ref="BW2:CC2"/>
    <mergeCell ref="CD2:CJ2"/>
    <mergeCell ref="B2:K2"/>
    <mergeCell ref="L2:R2"/>
    <mergeCell ref="S2:Y2"/>
    <mergeCell ref="Z2:AF2"/>
    <mergeCell ref="AG2:AM2"/>
    <mergeCell ref="AN2:AT2"/>
    <mergeCell ref="BW60:CC60"/>
    <mergeCell ref="CD60:CJ60"/>
    <mergeCell ref="CK60:CQ60"/>
    <mergeCell ref="CK2:CQ2"/>
    <mergeCell ref="L60:R60"/>
    <mergeCell ref="S60:Y60"/>
    <mergeCell ref="Z60:AF60"/>
    <mergeCell ref="AG60:AM60"/>
    <mergeCell ref="AN60:AT60"/>
    <mergeCell ref="AU60:BA60"/>
    <mergeCell ref="BB60:BH60"/>
    <mergeCell ref="BI60:BO60"/>
    <mergeCell ref="BP60:BV60"/>
    <mergeCell ref="AU2:BA2"/>
    <mergeCell ref="BB2:BH2"/>
    <mergeCell ref="BI2:BO2"/>
  </mergeCells>
  <printOptions horizontalCentered="1"/>
  <pageMargins left="9.8425196850393706E-2" right="9.8425196850393706E-2" top="0.59055118110236227" bottom="0.39370078740157483" header="0" footer="0"/>
  <pageSetup paperSize="9" scale="43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7019C-53E0-6944-A166-50FB3B3869DC}">
  <sheetPr>
    <pageSetUpPr fitToPage="1"/>
  </sheetPr>
  <dimension ref="A1:CU1000"/>
  <sheetViews>
    <sheetView zoomScale="70" zoomScaleNormal="70" workbookViewId="0">
      <pane xSplit="1" ySplit="3" topLeftCell="AR4" activePane="bottomRight" state="frozen"/>
      <selection pane="topRight" activeCell="B1" sqref="B1"/>
      <selection pane="bottomLeft" activeCell="A4" sqref="A4"/>
      <selection pane="bottomRight" activeCell="AZ56" sqref="AZ56:AZ57"/>
    </sheetView>
  </sheetViews>
  <sheetFormatPr baseColWidth="10" defaultColWidth="14.5" defaultRowHeight="15" customHeight="1" x14ac:dyDescent="0.2"/>
  <cols>
    <col min="1" max="1" width="32.33203125" customWidth="1"/>
    <col min="2" max="96" width="11.5" customWidth="1"/>
    <col min="97" max="98" width="10.5" customWidth="1"/>
    <col min="99" max="99" width="2.6640625" customWidth="1"/>
  </cols>
  <sheetData>
    <row r="1" spans="1:99" ht="20" customHeight="1" thickBot="1" x14ac:dyDescent="0.25">
      <c r="A1" s="1" t="s">
        <v>144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45"/>
    </row>
    <row r="2" spans="1:99" ht="14.25" customHeight="1" thickBot="1" x14ac:dyDescent="0.25">
      <c r="A2" s="5"/>
      <c r="B2" s="245"/>
      <c r="C2" s="246"/>
      <c r="D2" s="246"/>
      <c r="E2" s="247"/>
      <c r="F2" s="247"/>
      <c r="G2" s="247"/>
      <c r="H2" s="247"/>
      <c r="I2" s="247"/>
      <c r="J2" s="247"/>
      <c r="K2" s="248"/>
      <c r="L2" s="245" t="s">
        <v>2</v>
      </c>
      <c r="M2" s="246"/>
      <c r="N2" s="246"/>
      <c r="O2" s="246"/>
      <c r="P2" s="246"/>
      <c r="Q2" s="247"/>
      <c r="R2" s="248"/>
      <c r="S2" s="245" t="s">
        <v>3</v>
      </c>
      <c r="T2" s="246"/>
      <c r="U2" s="246"/>
      <c r="V2" s="246"/>
      <c r="W2" s="246"/>
      <c r="X2" s="247"/>
      <c r="Y2" s="248"/>
      <c r="Z2" s="245" t="s">
        <v>4</v>
      </c>
      <c r="AA2" s="246"/>
      <c r="AB2" s="246"/>
      <c r="AC2" s="246"/>
      <c r="AD2" s="246"/>
      <c r="AE2" s="247"/>
      <c r="AF2" s="248"/>
      <c r="AG2" s="245" t="s">
        <v>5</v>
      </c>
      <c r="AH2" s="246"/>
      <c r="AI2" s="246"/>
      <c r="AJ2" s="246"/>
      <c r="AK2" s="246"/>
      <c r="AL2" s="247"/>
      <c r="AM2" s="248"/>
      <c r="AN2" s="245" t="s">
        <v>6</v>
      </c>
      <c r="AO2" s="246"/>
      <c r="AP2" s="246"/>
      <c r="AQ2" s="246"/>
      <c r="AR2" s="246"/>
      <c r="AS2" s="247"/>
      <c r="AT2" s="248"/>
      <c r="AU2" s="245" t="s">
        <v>7</v>
      </c>
      <c r="AV2" s="246"/>
      <c r="AW2" s="246"/>
      <c r="AX2" s="246"/>
      <c r="AY2" s="246"/>
      <c r="AZ2" s="247"/>
      <c r="BA2" s="248"/>
      <c r="BB2" s="245" t="s">
        <v>8</v>
      </c>
      <c r="BC2" s="246"/>
      <c r="BD2" s="246"/>
      <c r="BE2" s="246"/>
      <c r="BF2" s="246"/>
      <c r="BG2" s="247"/>
      <c r="BH2" s="248"/>
      <c r="BI2" s="245" t="s">
        <v>9</v>
      </c>
      <c r="BJ2" s="246"/>
      <c r="BK2" s="246"/>
      <c r="BL2" s="246"/>
      <c r="BM2" s="246"/>
      <c r="BN2" s="247"/>
      <c r="BO2" s="248"/>
      <c r="BP2" s="245" t="s">
        <v>10</v>
      </c>
      <c r="BQ2" s="246"/>
      <c r="BR2" s="246"/>
      <c r="BS2" s="246"/>
      <c r="BT2" s="246"/>
      <c r="BU2" s="247"/>
      <c r="BV2" s="248"/>
      <c r="BW2" s="245" t="s">
        <v>11</v>
      </c>
      <c r="BX2" s="246"/>
      <c r="BY2" s="246"/>
      <c r="BZ2" s="246"/>
      <c r="CA2" s="246"/>
      <c r="CB2" s="247"/>
      <c r="CC2" s="248"/>
      <c r="CD2" s="245" t="s">
        <v>12</v>
      </c>
      <c r="CE2" s="246"/>
      <c r="CF2" s="246"/>
      <c r="CG2" s="246"/>
      <c r="CH2" s="246"/>
      <c r="CI2" s="247"/>
      <c r="CJ2" s="248"/>
      <c r="CK2" s="245" t="s">
        <v>13</v>
      </c>
      <c r="CL2" s="246"/>
      <c r="CM2" s="246"/>
      <c r="CN2" s="246"/>
      <c r="CO2" s="246"/>
      <c r="CP2" s="247"/>
      <c r="CQ2" s="248"/>
    </row>
    <row r="3" spans="1:99" ht="45" customHeight="1" thickBot="1" x14ac:dyDescent="0.25">
      <c r="A3" s="5"/>
      <c r="B3" s="8" t="s">
        <v>14</v>
      </c>
      <c r="C3" s="9" t="s">
        <v>15</v>
      </c>
      <c r="D3" s="10" t="s">
        <v>16</v>
      </c>
      <c r="E3" s="8" t="s">
        <v>17</v>
      </c>
      <c r="F3" s="11" t="s">
        <v>18</v>
      </c>
      <c r="G3" s="12" t="s">
        <v>19</v>
      </c>
      <c r="H3" s="13" t="s">
        <v>20</v>
      </c>
      <c r="I3" s="14" t="s">
        <v>21</v>
      </c>
      <c r="J3" s="14" t="s">
        <v>22</v>
      </c>
      <c r="K3" s="15" t="s">
        <v>23</v>
      </c>
      <c r="L3" s="6" t="s">
        <v>24</v>
      </c>
      <c r="M3" s="14" t="s">
        <v>25</v>
      </c>
      <c r="N3" s="14" t="s">
        <v>26</v>
      </c>
      <c r="O3" s="14" t="s">
        <v>20</v>
      </c>
      <c r="P3" s="14" t="s">
        <v>21</v>
      </c>
      <c r="Q3" s="14" t="s">
        <v>22</v>
      </c>
      <c r="R3" s="15" t="s">
        <v>23</v>
      </c>
      <c r="S3" s="6" t="s">
        <v>24</v>
      </c>
      <c r="T3" s="14" t="s">
        <v>25</v>
      </c>
      <c r="U3" s="14" t="s">
        <v>26</v>
      </c>
      <c r="V3" s="14" t="s">
        <v>20</v>
      </c>
      <c r="W3" s="14" t="s">
        <v>21</v>
      </c>
      <c r="X3" s="14" t="s">
        <v>22</v>
      </c>
      <c r="Y3" s="15" t="s">
        <v>23</v>
      </c>
      <c r="Z3" s="6" t="s">
        <v>24</v>
      </c>
      <c r="AA3" s="14" t="s">
        <v>25</v>
      </c>
      <c r="AB3" s="14" t="s">
        <v>26</v>
      </c>
      <c r="AC3" s="14" t="s">
        <v>20</v>
      </c>
      <c r="AD3" s="14" t="s">
        <v>21</v>
      </c>
      <c r="AE3" s="14" t="s">
        <v>22</v>
      </c>
      <c r="AF3" s="15" t="s">
        <v>23</v>
      </c>
      <c r="AG3" s="6" t="s">
        <v>24</v>
      </c>
      <c r="AH3" s="14" t="s">
        <v>25</v>
      </c>
      <c r="AI3" s="14" t="s">
        <v>26</v>
      </c>
      <c r="AJ3" s="14" t="s">
        <v>20</v>
      </c>
      <c r="AK3" s="14" t="s">
        <v>21</v>
      </c>
      <c r="AL3" s="14" t="s">
        <v>22</v>
      </c>
      <c r="AM3" s="15" t="s">
        <v>23</v>
      </c>
      <c r="AN3" s="6" t="s">
        <v>24</v>
      </c>
      <c r="AO3" s="14" t="s">
        <v>25</v>
      </c>
      <c r="AP3" s="14" t="s">
        <v>26</v>
      </c>
      <c r="AQ3" s="14" t="s">
        <v>20</v>
      </c>
      <c r="AR3" s="14" t="s">
        <v>21</v>
      </c>
      <c r="AS3" s="14" t="s">
        <v>22</v>
      </c>
      <c r="AT3" s="15" t="s">
        <v>23</v>
      </c>
      <c r="AU3" s="6" t="s">
        <v>24</v>
      </c>
      <c r="AV3" s="14" t="s">
        <v>25</v>
      </c>
      <c r="AW3" s="14" t="s">
        <v>26</v>
      </c>
      <c r="AX3" s="14" t="s">
        <v>20</v>
      </c>
      <c r="AY3" s="14" t="s">
        <v>21</v>
      </c>
      <c r="AZ3" s="14" t="s">
        <v>22</v>
      </c>
      <c r="BA3" s="15" t="s">
        <v>23</v>
      </c>
      <c r="BB3" s="6" t="s">
        <v>24</v>
      </c>
      <c r="BC3" s="14" t="s">
        <v>25</v>
      </c>
      <c r="BD3" s="14" t="s">
        <v>26</v>
      </c>
      <c r="BE3" s="14" t="s">
        <v>20</v>
      </c>
      <c r="BF3" s="14" t="s">
        <v>21</v>
      </c>
      <c r="BG3" s="14" t="s">
        <v>22</v>
      </c>
      <c r="BH3" s="15" t="s">
        <v>23</v>
      </c>
      <c r="BI3" s="6" t="s">
        <v>24</v>
      </c>
      <c r="BJ3" s="14" t="s">
        <v>25</v>
      </c>
      <c r="BK3" s="14" t="s">
        <v>26</v>
      </c>
      <c r="BL3" s="14" t="s">
        <v>20</v>
      </c>
      <c r="BM3" s="14" t="s">
        <v>21</v>
      </c>
      <c r="BN3" s="14" t="s">
        <v>22</v>
      </c>
      <c r="BO3" s="15" t="s">
        <v>23</v>
      </c>
      <c r="BP3" s="6" t="s">
        <v>24</v>
      </c>
      <c r="BQ3" s="14" t="s">
        <v>25</v>
      </c>
      <c r="BR3" s="14" t="s">
        <v>26</v>
      </c>
      <c r="BS3" s="14" t="s">
        <v>20</v>
      </c>
      <c r="BT3" s="14" t="s">
        <v>21</v>
      </c>
      <c r="BU3" s="14" t="s">
        <v>22</v>
      </c>
      <c r="BV3" s="15" t="s">
        <v>23</v>
      </c>
      <c r="BW3" s="6" t="s">
        <v>24</v>
      </c>
      <c r="BX3" s="14" t="s">
        <v>25</v>
      </c>
      <c r="BY3" s="14" t="s">
        <v>26</v>
      </c>
      <c r="BZ3" s="14" t="s">
        <v>20</v>
      </c>
      <c r="CA3" s="14" t="s">
        <v>21</v>
      </c>
      <c r="CB3" s="14" t="s">
        <v>22</v>
      </c>
      <c r="CC3" s="15" t="s">
        <v>23</v>
      </c>
      <c r="CD3" s="6" t="s">
        <v>24</v>
      </c>
      <c r="CE3" s="14" t="s">
        <v>25</v>
      </c>
      <c r="CF3" s="14" t="s">
        <v>26</v>
      </c>
      <c r="CG3" s="14" t="s">
        <v>20</v>
      </c>
      <c r="CH3" s="14" t="s">
        <v>21</v>
      </c>
      <c r="CI3" s="14" t="s">
        <v>22</v>
      </c>
      <c r="CJ3" s="15" t="s">
        <v>23</v>
      </c>
      <c r="CK3" s="6" t="s">
        <v>24</v>
      </c>
      <c r="CL3" s="14" t="s">
        <v>25</v>
      </c>
      <c r="CM3" s="14" t="s">
        <v>26</v>
      </c>
      <c r="CN3" s="14" t="s">
        <v>20</v>
      </c>
      <c r="CO3" s="14" t="s">
        <v>21</v>
      </c>
      <c r="CP3" s="14" t="s">
        <v>22</v>
      </c>
      <c r="CQ3" s="15" t="s">
        <v>23</v>
      </c>
    </row>
    <row r="4" spans="1:99" s="26" customFormat="1" ht="14.25" customHeight="1" thickBot="1" x14ac:dyDescent="0.25">
      <c r="A4" s="16" t="s">
        <v>28</v>
      </c>
      <c r="B4" s="17">
        <f t="shared" ref="B4:D35" si="0">+L4+S4+Z4+AG4+AN4+AU4+BB4+BI4+BP4+BW4+CD4+CK4</f>
        <v>1524831.9529599999</v>
      </c>
      <c r="C4" s="18">
        <f t="shared" si="0"/>
        <v>1415196.5355421759</v>
      </c>
      <c r="D4" s="19">
        <f t="shared" si="0"/>
        <v>109635.41741782402</v>
      </c>
      <c r="E4" s="17">
        <f>+L4+S4+Z4+AG4</f>
        <v>529480.08160000003</v>
      </c>
      <c r="F4" s="20">
        <f>+M4+T4+AA4+AH4</f>
        <v>491410.46373295999</v>
      </c>
      <c r="G4" s="21">
        <f>+N4+U4+AB4+AI4</f>
        <v>38069.617867040004</v>
      </c>
      <c r="H4" s="18">
        <f t="shared" ref="H4:J35" si="1">+O4+V4+AC4+AJ4+AQ4+AX4+BE4+BL4+BS4+BZ4+CG4+CN4</f>
        <v>789951.1734369999</v>
      </c>
      <c r="I4" s="20">
        <f t="shared" si="1"/>
        <v>61197.596562999999</v>
      </c>
      <c r="J4" s="20">
        <f t="shared" si="1"/>
        <v>851148.77</v>
      </c>
      <c r="K4" s="25">
        <f t="shared" ref="K4:K54" si="2">IF(E4=0,"",(+J4/E4-1))</f>
        <v>0.60751801546145257</v>
      </c>
      <c r="L4" s="23">
        <f>[1]IG!$E4</f>
        <v>118494.27040000001</v>
      </c>
      <c r="M4" s="18">
        <f>L4-N4</f>
        <v>109974.53235824</v>
      </c>
      <c r="N4" s="18">
        <f>+L4*7.19%</f>
        <v>8519.7380417600016</v>
      </c>
      <c r="O4" s="18">
        <f>+Q4-P4</f>
        <v>106973.49279399999</v>
      </c>
      <c r="P4" s="18">
        <f>+Q4*7.19%</f>
        <v>8287.247206</v>
      </c>
      <c r="Q4" s="18">
        <f>158001.66-Q5-Q6-Q7-Q8-Q9</f>
        <v>115260.73999999999</v>
      </c>
      <c r="R4" s="18">
        <f t="shared" ref="R4:R54" si="3">IF(L4=0,"",(+Q4/L4-1))</f>
        <v>-2.7288495798865386E-2</v>
      </c>
      <c r="S4" s="18">
        <f>[1]IG!$F4</f>
        <v>173997.27040000001</v>
      </c>
      <c r="T4" s="18">
        <f>S4-U4</f>
        <v>161486.86665824</v>
      </c>
      <c r="U4" s="18">
        <f>+S4*7.19%</f>
        <v>12510.403741760001</v>
      </c>
      <c r="V4" s="18">
        <f>+X4-W4</f>
        <v>109505.02475899999</v>
      </c>
      <c r="W4" s="18">
        <f>+X4*7.19%</f>
        <v>8483.3652409999995</v>
      </c>
      <c r="X4" s="18">
        <f>161289.47-X5-X6-X7-X8-X9</f>
        <v>117988.38999999998</v>
      </c>
      <c r="Y4" s="18">
        <f t="shared" ref="Y4:Y54" si="4">IF(S4=0,"",(+X4/S4-1))</f>
        <v>-0.3218951669255613</v>
      </c>
      <c r="Z4" s="18">
        <f>[1]IG!$G4</f>
        <v>118494.27040000001</v>
      </c>
      <c r="AA4" s="18">
        <f>Z4-AB4</f>
        <v>109974.53235824</v>
      </c>
      <c r="AB4" s="18">
        <f>+Z4*7.19%</f>
        <v>8519.7380417600016</v>
      </c>
      <c r="AC4" s="18">
        <f>+AE4-AD4</f>
        <v>111317.641183</v>
      </c>
      <c r="AD4" s="18">
        <f>+AE4*7.19%</f>
        <v>8623.7888170000006</v>
      </c>
      <c r="AE4" s="18">
        <f>152774.41-AE5-AE6-AE7-AE8-AE9</f>
        <v>119941.43000000001</v>
      </c>
      <c r="AF4" s="18">
        <f t="shared" ref="AF4:AF54" si="5">IF(Z4=0,"",(+AE4/Z4-1))</f>
        <v>1.2212907806553375E-2</v>
      </c>
      <c r="AG4" s="18">
        <f>[1]IG!$H4</f>
        <v>118494.27040000001</v>
      </c>
      <c r="AH4" s="18">
        <f>AG4-AI4</f>
        <v>109974.53235824</v>
      </c>
      <c r="AI4" s="18">
        <f>+AG4*7.19%</f>
        <v>8519.7380417600016</v>
      </c>
      <c r="AJ4" s="18">
        <f>+AL4-AK4</f>
        <v>200795.47447200003</v>
      </c>
      <c r="AK4" s="18">
        <f>+AL4*7.19%</f>
        <v>15555.645528000003</v>
      </c>
      <c r="AL4" s="18">
        <f>251563.23-AL5-AL6-AL7-AL8-AL9</f>
        <v>216351.12000000002</v>
      </c>
      <c r="AM4" s="18">
        <f t="shared" ref="AM4:AM54" si="6">IF(AG4=0,"",(+AL4/AG4-1))</f>
        <v>0.82583612920410032</v>
      </c>
      <c r="AN4" s="18">
        <f>[1]IG!$I4</f>
        <v>118494.27040000001</v>
      </c>
      <c r="AO4" s="18">
        <f>AN4-AP4</f>
        <v>109974.53235824</v>
      </c>
      <c r="AP4" s="18">
        <f>+AN4*7.19%</f>
        <v>8519.7380417600016</v>
      </c>
      <c r="AQ4" s="18">
        <f>+AS4-AR4</f>
        <v>140230.27643299999</v>
      </c>
      <c r="AR4" s="18">
        <f>+AS4*7.19%</f>
        <v>10863.653567000001</v>
      </c>
      <c r="AS4" s="20">
        <v>151093.93</v>
      </c>
      <c r="AT4" s="25">
        <f t="shared" ref="AT4:AT54" si="7">IF(AN4=0,"",(+AS4/AN4-1))</f>
        <v>0.27511591480291497</v>
      </c>
      <c r="AU4" s="23">
        <f>[1]IG!$J4</f>
        <v>118494.27040000001</v>
      </c>
      <c r="AV4" s="18">
        <f>AU4-AW4</f>
        <v>109974.53235824</v>
      </c>
      <c r="AW4" s="18">
        <f>+AU4*7.19%</f>
        <v>8519.7380417600016</v>
      </c>
      <c r="AX4" s="18">
        <f>+AZ4-AY4</f>
        <v>121129.26379599997</v>
      </c>
      <c r="AY4" s="18">
        <f>+AZ4*7.19%</f>
        <v>9383.8962039999988</v>
      </c>
      <c r="AZ4" s="20">
        <v>130513.15999999997</v>
      </c>
      <c r="BA4" s="25">
        <f t="shared" ref="BA4:BA54" si="8">IF(AU4=0,"",(+AZ4/AU4-1))</f>
        <v>0.10143013294590464</v>
      </c>
      <c r="BB4" s="23">
        <f>[1]IG!$K4</f>
        <v>118494.27040000001</v>
      </c>
      <c r="BC4" s="18">
        <f>BB4-BD4</f>
        <v>109974.53235824</v>
      </c>
      <c r="BD4" s="18">
        <f>+BB4*7.19%</f>
        <v>8519.7380417600016</v>
      </c>
      <c r="BE4" s="18">
        <f>+BG4-BF4</f>
        <v>0</v>
      </c>
      <c r="BF4" s="18">
        <f>+BG4*7.19%</f>
        <v>0</v>
      </c>
      <c r="BG4" s="24"/>
      <c r="BH4" s="25">
        <f t="shared" ref="BH4:BH54" si="9">IF(BB4=0,"",(+BG4/BB4-1))</f>
        <v>-1</v>
      </c>
      <c r="BI4" s="23">
        <f>[1]IG!$L4</f>
        <v>127973.81203200002</v>
      </c>
      <c r="BJ4" s="18">
        <f>BI4-BK4</f>
        <v>118772.49494689921</v>
      </c>
      <c r="BK4" s="18">
        <f>+BI4*7.19%</f>
        <v>9201.3170851008017</v>
      </c>
      <c r="BL4" s="18">
        <f>+BN4-BM4</f>
        <v>0</v>
      </c>
      <c r="BM4" s="18">
        <f>+BN4*7.19%</f>
        <v>0</v>
      </c>
      <c r="BN4" s="20"/>
      <c r="BO4" s="25">
        <f t="shared" ref="BO4:BO54" si="10">IF(BI4=0,"",(+BN4/BI4-1))</f>
        <v>-1</v>
      </c>
      <c r="BP4" s="23">
        <f>[1]IG!$M4</f>
        <v>127973.81203200002</v>
      </c>
      <c r="BQ4" s="18">
        <f>BP4-BR4</f>
        <v>118772.49494689921</v>
      </c>
      <c r="BR4" s="18">
        <f>+BP4*7.19%</f>
        <v>9201.3170851008017</v>
      </c>
      <c r="BS4" s="18">
        <f>+BU4-BT4</f>
        <v>0</v>
      </c>
      <c r="BT4" s="18">
        <f>+BU4*7.19%</f>
        <v>0</v>
      </c>
      <c r="BU4" s="20"/>
      <c r="BV4" s="25">
        <f t="shared" ref="BV4:BV54" si="11">IF(BP4=0,"",(+BU4/BP4-1))</f>
        <v>-1</v>
      </c>
      <c r="BW4" s="23">
        <f>[1]IG!$N4</f>
        <v>127973.81203200002</v>
      </c>
      <c r="BX4" s="18">
        <f>BW4-BY4</f>
        <v>118772.49494689921</v>
      </c>
      <c r="BY4" s="18">
        <f>+BW4*7.19%</f>
        <v>9201.3170851008017</v>
      </c>
      <c r="BZ4" s="18">
        <f>+CB4-CA4</f>
        <v>0</v>
      </c>
      <c r="CA4" s="18">
        <f>+CB4*7.19%</f>
        <v>0</v>
      </c>
      <c r="CB4" s="20"/>
      <c r="CC4" s="25">
        <f t="shared" ref="CC4:CC54" si="12">IF(BW4=0,"",(+CB4/BW4-1))</f>
        <v>-1</v>
      </c>
      <c r="CD4" s="23">
        <f>[1]IG!$O4</f>
        <v>127973.81203200002</v>
      </c>
      <c r="CE4" s="18">
        <f>CD4-CF4</f>
        <v>118772.49494689921</v>
      </c>
      <c r="CF4" s="18">
        <f>+CD4*7.19%</f>
        <v>9201.3170851008017</v>
      </c>
      <c r="CG4" s="18">
        <f>+CI4-CH4</f>
        <v>0</v>
      </c>
      <c r="CH4" s="18">
        <f>+CI4*7.19%</f>
        <v>0</v>
      </c>
      <c r="CI4" s="20"/>
      <c r="CJ4" s="25">
        <f t="shared" ref="CJ4:CJ54" si="13">IF(CD4=0,"",(+CI4/CD4-1))</f>
        <v>-1</v>
      </c>
      <c r="CK4" s="23">
        <f>[1]IG!$P4</f>
        <v>127973.81203200002</v>
      </c>
      <c r="CL4" s="18">
        <f>CK4-CM4</f>
        <v>118772.49494689921</v>
      </c>
      <c r="CM4" s="18">
        <f>+CK4*7.19%</f>
        <v>9201.3170851008017</v>
      </c>
      <c r="CN4" s="18">
        <f>+CP4-CO4</f>
        <v>0</v>
      </c>
      <c r="CO4" s="18">
        <f>+CP4*7.19%</f>
        <v>0</v>
      </c>
      <c r="CP4" s="20"/>
      <c r="CQ4" s="25">
        <f t="shared" ref="CQ4:CQ54" si="14">IF(CK4=0,"",(+CP4/CK4-1))</f>
        <v>-1</v>
      </c>
    </row>
    <row r="5" spans="1:99" s="26" customFormat="1" ht="14.25" customHeight="1" thickBot="1" x14ac:dyDescent="0.25">
      <c r="A5" s="29" t="s">
        <v>29</v>
      </c>
      <c r="B5" s="30">
        <f t="shared" si="0"/>
        <v>99999.999999999985</v>
      </c>
      <c r="C5" s="31">
        <f t="shared" si="0"/>
        <v>92810.000000000015</v>
      </c>
      <c r="D5" s="32">
        <f t="shared" si="0"/>
        <v>7190.0000000000027</v>
      </c>
      <c r="E5" s="30">
        <f t="shared" ref="E5:G36" si="15">+L5+S5+Z5+AG5</f>
        <v>33333.333333333336</v>
      </c>
      <c r="F5" s="33">
        <f t="shared" si="15"/>
        <v>30936.666666666668</v>
      </c>
      <c r="G5" s="34">
        <f t="shared" si="15"/>
        <v>2396.666666666667</v>
      </c>
      <c r="H5" s="31">
        <f t="shared" si="1"/>
        <v>55451.93318</v>
      </c>
      <c r="I5" s="33">
        <f t="shared" si="1"/>
        <v>4295.8668200000002</v>
      </c>
      <c r="J5" s="33">
        <f t="shared" si="1"/>
        <v>59747.799999999996</v>
      </c>
      <c r="K5" s="37">
        <f t="shared" si="2"/>
        <v>0.79243399999999964</v>
      </c>
      <c r="L5" s="36">
        <f>[1]IG!$E5</f>
        <v>8333.3333333333339</v>
      </c>
      <c r="M5" s="31">
        <f t="shared" ref="M5:M54" si="16">L5-N5</f>
        <v>7734.166666666667</v>
      </c>
      <c r="N5" s="31">
        <f t="shared" ref="N5:N58" si="17">+L5*7.19%</f>
        <v>599.16666666666674</v>
      </c>
      <c r="O5" s="31">
        <f t="shared" ref="O5:O54" si="18">+Q5-P5</f>
        <v>8397.5137670000004</v>
      </c>
      <c r="P5" s="31">
        <f t="shared" ref="P5:P54" si="19">+Q5*7.19%</f>
        <v>650.55623300000002</v>
      </c>
      <c r="Q5" s="31">
        <f>7372.54+1675.53</f>
        <v>9048.07</v>
      </c>
      <c r="R5" s="31">
        <f t="shared" si="3"/>
        <v>8.5768399999999856E-2</v>
      </c>
      <c r="S5" s="31">
        <f>[1]IG!$F5</f>
        <v>8333.3333333333339</v>
      </c>
      <c r="T5" s="31">
        <f t="shared" ref="T5:T54" si="20">S5-U5</f>
        <v>7734.166666666667</v>
      </c>
      <c r="U5" s="31">
        <f t="shared" ref="U5:U58" si="21">+S5*7.19%</f>
        <v>599.16666666666674</v>
      </c>
      <c r="V5" s="31">
        <f t="shared" ref="V5:V54" si="22">+X5-W5</f>
        <v>7462.2488350000003</v>
      </c>
      <c r="W5" s="31">
        <f t="shared" ref="W5:W54" si="23">+X5*7.19%</f>
        <v>578.10116500000004</v>
      </c>
      <c r="X5" s="31">
        <f>6695.67+1344.68</f>
        <v>8040.35</v>
      </c>
      <c r="Y5" s="31">
        <f t="shared" si="4"/>
        <v>-3.5158000000000023E-2</v>
      </c>
      <c r="Z5" s="31">
        <f>[1]IG!$G5</f>
        <v>8333.3333333333339</v>
      </c>
      <c r="AA5" s="31">
        <f t="shared" ref="AA5:AA54" si="24">Z5-AB5</f>
        <v>7734.166666666667</v>
      </c>
      <c r="AB5" s="31">
        <f t="shared" ref="AB5:AB58" si="25">+Z5*7.19%</f>
        <v>599.16666666666674</v>
      </c>
      <c r="AC5" s="31">
        <f t="shared" ref="AC5:AC54" si="26">+AE5-AD5</f>
        <v>3451.9472969999997</v>
      </c>
      <c r="AD5" s="31">
        <f t="shared" ref="AD5:AD54" si="27">+AE5*7.19%</f>
        <v>267.42270300000001</v>
      </c>
      <c r="AE5" s="31">
        <f>3406.75+312.62</f>
        <v>3719.37</v>
      </c>
      <c r="AF5" s="31">
        <f t="shared" si="5"/>
        <v>-0.55367560000000005</v>
      </c>
      <c r="AG5" s="31">
        <f>[1]IG!$H5</f>
        <v>8333.3333333333339</v>
      </c>
      <c r="AH5" s="31">
        <f t="shared" ref="AH5:AH54" si="28">AG5-AI5</f>
        <v>7734.166666666667</v>
      </c>
      <c r="AI5" s="31">
        <f t="shared" ref="AI5:AI58" si="29">+AG5*7.19%</f>
        <v>599.16666666666674</v>
      </c>
      <c r="AJ5" s="31">
        <f t="shared" ref="AJ5:AJ54" si="30">+AL5-AK5</f>
        <v>7799.8916149999995</v>
      </c>
      <c r="AK5" s="31">
        <f t="shared" ref="AK5:AK54" si="31">+AL5*7.19%</f>
        <v>604.25838499999998</v>
      </c>
      <c r="AL5" s="31">
        <f>6033.84+2370.31</f>
        <v>8404.15</v>
      </c>
      <c r="AM5" s="31">
        <f t="shared" si="6"/>
        <v>8.4979999999998945E-3</v>
      </c>
      <c r="AN5" s="31">
        <f>[1]IG!$I5</f>
        <v>8333.3333333333339</v>
      </c>
      <c r="AO5" s="31">
        <f t="shared" ref="AO5:AO54" si="32">AN5-AP5</f>
        <v>7734.166666666667</v>
      </c>
      <c r="AP5" s="31">
        <f t="shared" ref="AP5:AP58" si="33">+AN5*7.19%</f>
        <v>599.16666666666674</v>
      </c>
      <c r="AQ5" s="31">
        <f t="shared" ref="AQ5:AQ54" si="34">+AS5-AR5</f>
        <v>14400.167574999999</v>
      </c>
      <c r="AR5" s="31">
        <f t="shared" ref="AR5:AR54" si="35">+AS5*7.19%</f>
        <v>1115.5824250000001</v>
      </c>
      <c r="AS5" s="33">
        <v>15515.75</v>
      </c>
      <c r="AT5" s="37">
        <f t="shared" si="7"/>
        <v>0.86188999999999982</v>
      </c>
      <c r="AU5" s="36">
        <f>[1]IG!$J5</f>
        <v>8333.3333333333339</v>
      </c>
      <c r="AV5" s="31">
        <f t="shared" ref="AV5:AV54" si="36">AU5-AW5</f>
        <v>7734.166666666667</v>
      </c>
      <c r="AW5" s="18">
        <f t="shared" ref="AW5:AW58" si="37">+AU5*7.19%</f>
        <v>599.16666666666674</v>
      </c>
      <c r="AX5" s="31">
        <f t="shared" ref="AX5:AX54" si="38">+AZ5-AY5</f>
        <v>13940.164091000001</v>
      </c>
      <c r="AY5" s="31">
        <f t="shared" ref="AY5:AY54" si="39">+AZ5*7.19%</f>
        <v>1079.945909</v>
      </c>
      <c r="AZ5" s="33">
        <v>15020.11</v>
      </c>
      <c r="BA5" s="37">
        <f t="shared" si="8"/>
        <v>0.80241319999999994</v>
      </c>
      <c r="BB5" s="36">
        <f>[1]IG!$K5</f>
        <v>8333.3333333333339</v>
      </c>
      <c r="BC5" s="31">
        <f t="shared" ref="BC5:BC54" si="40">BB5-BD5</f>
        <v>7734.166666666667</v>
      </c>
      <c r="BD5" s="18">
        <f t="shared" ref="BD5:BD58" si="41">+BB5*7.19%</f>
        <v>599.16666666666674</v>
      </c>
      <c r="BE5" s="31">
        <f t="shared" ref="BE5:BE54" si="42">+BG5-BF5</f>
        <v>0</v>
      </c>
      <c r="BF5" s="31">
        <f t="shared" ref="BF5:BF54" si="43">+BG5*7.19%</f>
        <v>0</v>
      </c>
      <c r="BG5" s="27"/>
      <c r="BH5" s="37">
        <f t="shared" si="9"/>
        <v>-1</v>
      </c>
      <c r="BI5" s="36">
        <f>[1]IG!$L5</f>
        <v>8333.3333333333339</v>
      </c>
      <c r="BJ5" s="31">
        <f t="shared" ref="BJ5:BJ54" si="44">BI5-BK5</f>
        <v>7734.166666666667</v>
      </c>
      <c r="BK5" s="18">
        <f t="shared" ref="BK5:BK58" si="45">+BI5*7.19%</f>
        <v>599.16666666666674</v>
      </c>
      <c r="BL5" s="31">
        <f t="shared" ref="BL5:BL54" si="46">+BN5-BM5</f>
        <v>0</v>
      </c>
      <c r="BM5" s="31">
        <f t="shared" ref="BM5:BM54" si="47">+BN5*7.19%</f>
        <v>0</v>
      </c>
      <c r="BN5" s="33"/>
      <c r="BO5" s="37">
        <f t="shared" si="10"/>
        <v>-1</v>
      </c>
      <c r="BP5" s="36">
        <f>[1]IG!$M5</f>
        <v>8333.3333333333339</v>
      </c>
      <c r="BQ5" s="31">
        <f t="shared" ref="BQ5:BQ54" si="48">BP5-BR5</f>
        <v>7734.166666666667</v>
      </c>
      <c r="BR5" s="18">
        <f t="shared" ref="BR5:BR58" si="49">+BP5*7.19%</f>
        <v>599.16666666666674</v>
      </c>
      <c r="BS5" s="31">
        <f t="shared" ref="BS5:BS54" si="50">+BU5-BT5</f>
        <v>0</v>
      </c>
      <c r="BT5" s="31">
        <f t="shared" ref="BT5:BT54" si="51">+BU5*7.19%</f>
        <v>0</v>
      </c>
      <c r="BU5" s="33"/>
      <c r="BV5" s="37">
        <f t="shared" si="11"/>
        <v>-1</v>
      </c>
      <c r="BW5" s="36">
        <f>[1]IG!$N5</f>
        <v>8333.3333333333339</v>
      </c>
      <c r="BX5" s="31">
        <f t="shared" ref="BX5:BX54" si="52">BW5-BY5</f>
        <v>7734.166666666667</v>
      </c>
      <c r="BY5" s="18">
        <f t="shared" ref="BY5:BY58" si="53">+BW5*7.19%</f>
        <v>599.16666666666674</v>
      </c>
      <c r="BZ5" s="31">
        <f t="shared" ref="BZ5:BZ54" si="54">+CB5-CA5</f>
        <v>0</v>
      </c>
      <c r="CA5" s="31">
        <f t="shared" ref="CA5:CA54" si="55">+CB5*7.19%</f>
        <v>0</v>
      </c>
      <c r="CB5" s="33"/>
      <c r="CC5" s="37">
        <f t="shared" si="12"/>
        <v>-1</v>
      </c>
      <c r="CD5" s="36">
        <f>[1]IG!$O5</f>
        <v>8333.3333333333339</v>
      </c>
      <c r="CE5" s="31">
        <f t="shared" ref="CE5:CE54" si="56">CD5-CF5</f>
        <v>7734.166666666667</v>
      </c>
      <c r="CF5" s="18">
        <f t="shared" ref="CF5:CF58" si="57">+CD5*7.19%</f>
        <v>599.16666666666674</v>
      </c>
      <c r="CG5" s="31">
        <f t="shared" ref="CG5:CG54" si="58">+CI5-CH5</f>
        <v>0</v>
      </c>
      <c r="CH5" s="31">
        <f t="shared" ref="CH5:CH54" si="59">+CI5*7.19%</f>
        <v>0</v>
      </c>
      <c r="CI5" s="33"/>
      <c r="CJ5" s="37">
        <f t="shared" si="13"/>
        <v>-1</v>
      </c>
      <c r="CK5" s="36">
        <f>[1]IG!$P5</f>
        <v>8333.3333333333339</v>
      </c>
      <c r="CL5" s="31">
        <f t="shared" ref="CL5:CL54" si="60">CK5-CM5</f>
        <v>7734.166666666667</v>
      </c>
      <c r="CM5" s="18">
        <f t="shared" ref="CM5:CM58" si="61">+CK5*7.19%</f>
        <v>599.16666666666674</v>
      </c>
      <c r="CN5" s="31">
        <f t="shared" ref="CN5:CN54" si="62">+CP5-CO5</f>
        <v>0</v>
      </c>
      <c r="CO5" s="31">
        <f t="shared" ref="CO5:CO54" si="63">+CP5*7.19%</f>
        <v>0</v>
      </c>
      <c r="CP5" s="33"/>
      <c r="CQ5" s="37">
        <f t="shared" si="14"/>
        <v>-1</v>
      </c>
    </row>
    <row r="6" spans="1:99" s="26" customFormat="1" ht="14.25" customHeight="1" thickBot="1" x14ac:dyDescent="0.25">
      <c r="A6" s="29" t="s">
        <v>30</v>
      </c>
      <c r="B6" s="30">
        <f t="shared" si="0"/>
        <v>187020.05501759995</v>
      </c>
      <c r="C6" s="31">
        <f t="shared" si="0"/>
        <v>173573.3130618346</v>
      </c>
      <c r="D6" s="32">
        <f t="shared" si="0"/>
        <v>13446.741955765445</v>
      </c>
      <c r="E6" s="30">
        <f t="shared" si="15"/>
        <v>60447.544629333337</v>
      </c>
      <c r="F6" s="33">
        <f t="shared" si="15"/>
        <v>56101.366170484267</v>
      </c>
      <c r="G6" s="34">
        <f t="shared" si="15"/>
        <v>4346.1784588490673</v>
      </c>
      <c r="H6" s="31">
        <f t="shared" si="1"/>
        <v>91052.197162000011</v>
      </c>
      <c r="I6" s="33">
        <f t="shared" si="1"/>
        <v>7053.8228380000019</v>
      </c>
      <c r="J6" s="33">
        <f t="shared" si="1"/>
        <v>98106.02</v>
      </c>
      <c r="K6" s="37">
        <f t="shared" si="2"/>
        <v>0.622994293673794</v>
      </c>
      <c r="L6" s="36">
        <f>[1]IG!$E6</f>
        <v>15111.886157333334</v>
      </c>
      <c r="M6" s="31">
        <f t="shared" si="16"/>
        <v>14025.341542621067</v>
      </c>
      <c r="N6" s="31">
        <f t="shared" si="17"/>
        <v>1086.5446147122668</v>
      </c>
      <c r="O6" s="31">
        <f t="shared" si="18"/>
        <v>14012.602295999999</v>
      </c>
      <c r="P6" s="31">
        <f t="shared" si="19"/>
        <v>1085.5577040000001</v>
      </c>
      <c r="Q6" s="31">
        <v>15098.16</v>
      </c>
      <c r="R6" s="31">
        <f t="shared" si="3"/>
        <v>-9.0830206040648509E-4</v>
      </c>
      <c r="S6" s="31">
        <f>[1]IG!$F6</f>
        <v>15111.886157333334</v>
      </c>
      <c r="T6" s="31">
        <f t="shared" si="20"/>
        <v>14025.341542621067</v>
      </c>
      <c r="U6" s="31">
        <f t="shared" si="21"/>
        <v>1086.5446147122668</v>
      </c>
      <c r="V6" s="31">
        <f t="shared" si="22"/>
        <v>14319.599214</v>
      </c>
      <c r="W6" s="31">
        <f t="shared" si="23"/>
        <v>1109.3407860000002</v>
      </c>
      <c r="X6" s="31">
        <f>15428.94</f>
        <v>15428.94</v>
      </c>
      <c r="Y6" s="31">
        <f t="shared" si="4"/>
        <v>2.0980428211657021E-2</v>
      </c>
      <c r="Z6" s="31">
        <f>[1]IG!$G6</f>
        <v>15111.886157333334</v>
      </c>
      <c r="AA6" s="31">
        <f t="shared" si="24"/>
        <v>14025.341542621067</v>
      </c>
      <c r="AB6" s="31">
        <f t="shared" si="25"/>
        <v>1086.5446147122668</v>
      </c>
      <c r="AC6" s="31">
        <f t="shared" si="26"/>
        <v>14859.836943</v>
      </c>
      <c r="AD6" s="31">
        <f t="shared" si="27"/>
        <v>1151.1930570000002</v>
      </c>
      <c r="AE6" s="31">
        <v>16011.03</v>
      </c>
      <c r="AF6" s="31">
        <f t="shared" si="5"/>
        <v>5.9499114359747862E-2</v>
      </c>
      <c r="AG6" s="31">
        <f>[1]IG!$H6</f>
        <v>15111.886157333334</v>
      </c>
      <c r="AH6" s="31">
        <f t="shared" si="28"/>
        <v>14025.341542621067</v>
      </c>
      <c r="AI6" s="31">
        <f t="shared" si="29"/>
        <v>1086.5446147122668</v>
      </c>
      <c r="AJ6" s="31">
        <f t="shared" si="30"/>
        <v>14816.735979000001</v>
      </c>
      <c r="AK6" s="31">
        <f t="shared" si="31"/>
        <v>1147.8540210000001</v>
      </c>
      <c r="AL6" s="31">
        <v>15964.59</v>
      </c>
      <c r="AM6" s="31">
        <f t="shared" si="6"/>
        <v>5.6426036683241865E-2</v>
      </c>
      <c r="AN6" s="31">
        <f>[1]IG!$I6</f>
        <v>15111.886157333334</v>
      </c>
      <c r="AO6" s="31">
        <f t="shared" si="32"/>
        <v>14025.341542621067</v>
      </c>
      <c r="AP6" s="31">
        <f t="shared" si="33"/>
        <v>1086.5446147122668</v>
      </c>
      <c r="AQ6" s="31">
        <f t="shared" si="34"/>
        <v>16990.930882000001</v>
      </c>
      <c r="AR6" s="31">
        <f t="shared" si="35"/>
        <v>1316.2891180000001</v>
      </c>
      <c r="AS6" s="33">
        <v>18307.22</v>
      </c>
      <c r="AT6" s="37">
        <f t="shared" si="7"/>
        <v>0.21144507107844168</v>
      </c>
      <c r="AU6" s="36">
        <f>[1]IG!$J6</f>
        <v>15111.886157333334</v>
      </c>
      <c r="AV6" s="31">
        <f t="shared" si="36"/>
        <v>14025.341542621067</v>
      </c>
      <c r="AW6" s="18">
        <f t="shared" si="37"/>
        <v>1086.5446147122668</v>
      </c>
      <c r="AX6" s="31">
        <f t="shared" si="38"/>
        <v>16052.491848000001</v>
      </c>
      <c r="AY6" s="31">
        <f t="shared" si="39"/>
        <v>1243.5881520000003</v>
      </c>
      <c r="AZ6" s="33">
        <v>17296.080000000002</v>
      </c>
      <c r="BA6" s="37">
        <f t="shared" si="8"/>
        <v>0.14453482642249438</v>
      </c>
      <c r="BB6" s="36">
        <f>[1]IG!$K6</f>
        <v>15111.886157333334</v>
      </c>
      <c r="BC6" s="31">
        <f t="shared" si="40"/>
        <v>14025.341542621067</v>
      </c>
      <c r="BD6" s="18">
        <f t="shared" si="41"/>
        <v>1086.5446147122668</v>
      </c>
      <c r="BE6" s="31">
        <f t="shared" si="42"/>
        <v>0</v>
      </c>
      <c r="BF6" s="31">
        <f t="shared" si="43"/>
        <v>0</v>
      </c>
      <c r="BG6" s="27"/>
      <c r="BH6" s="37">
        <f t="shared" si="9"/>
        <v>-1</v>
      </c>
      <c r="BI6" s="36">
        <f>[1]IG!$L6</f>
        <v>16247.370383253336</v>
      </c>
      <c r="BJ6" s="31">
        <f t="shared" si="44"/>
        <v>15079.18445269742</v>
      </c>
      <c r="BK6" s="18">
        <f t="shared" si="45"/>
        <v>1168.1859305559149</v>
      </c>
      <c r="BL6" s="31">
        <f t="shared" si="46"/>
        <v>0</v>
      </c>
      <c r="BM6" s="31">
        <f t="shared" si="47"/>
        <v>0</v>
      </c>
      <c r="BN6" s="33"/>
      <c r="BO6" s="37">
        <f t="shared" si="10"/>
        <v>-1</v>
      </c>
      <c r="BP6" s="36">
        <f>[1]IG!$M6</f>
        <v>16247.370383253336</v>
      </c>
      <c r="BQ6" s="31">
        <f t="shared" si="48"/>
        <v>15079.18445269742</v>
      </c>
      <c r="BR6" s="18">
        <f t="shared" si="49"/>
        <v>1168.1859305559149</v>
      </c>
      <c r="BS6" s="31">
        <f t="shared" si="50"/>
        <v>0</v>
      </c>
      <c r="BT6" s="31">
        <f t="shared" si="51"/>
        <v>0</v>
      </c>
      <c r="BU6" s="33"/>
      <c r="BV6" s="37">
        <f t="shared" si="11"/>
        <v>-1</v>
      </c>
      <c r="BW6" s="36">
        <f>[1]IG!$N6</f>
        <v>16247.370383253336</v>
      </c>
      <c r="BX6" s="31">
        <f t="shared" si="52"/>
        <v>15079.18445269742</v>
      </c>
      <c r="BY6" s="18">
        <f t="shared" si="53"/>
        <v>1168.1859305559149</v>
      </c>
      <c r="BZ6" s="31">
        <f t="shared" si="54"/>
        <v>0</v>
      </c>
      <c r="CA6" s="31">
        <f t="shared" si="55"/>
        <v>0</v>
      </c>
      <c r="CB6" s="33"/>
      <c r="CC6" s="37">
        <f t="shared" si="12"/>
        <v>-1</v>
      </c>
      <c r="CD6" s="36">
        <f>[1]IG!$O6</f>
        <v>16247.370383253336</v>
      </c>
      <c r="CE6" s="31">
        <f t="shared" si="56"/>
        <v>15079.18445269742</v>
      </c>
      <c r="CF6" s="18">
        <f t="shared" si="57"/>
        <v>1168.1859305559149</v>
      </c>
      <c r="CG6" s="31">
        <f t="shared" si="58"/>
        <v>0</v>
      </c>
      <c r="CH6" s="31">
        <f t="shared" si="59"/>
        <v>0</v>
      </c>
      <c r="CI6" s="33"/>
      <c r="CJ6" s="37">
        <f t="shared" si="13"/>
        <v>-1</v>
      </c>
      <c r="CK6" s="36">
        <f>[1]IG!$P6</f>
        <v>16247.370383253336</v>
      </c>
      <c r="CL6" s="31">
        <f t="shared" si="60"/>
        <v>15079.18445269742</v>
      </c>
      <c r="CM6" s="18">
        <f t="shared" si="61"/>
        <v>1168.1859305559149</v>
      </c>
      <c r="CN6" s="31">
        <f t="shared" si="62"/>
        <v>0</v>
      </c>
      <c r="CO6" s="31">
        <f t="shared" si="63"/>
        <v>0</v>
      </c>
      <c r="CP6" s="33"/>
      <c r="CQ6" s="37">
        <f t="shared" si="14"/>
        <v>-1</v>
      </c>
    </row>
    <row r="7" spans="1:99" s="26" customFormat="1" ht="14.25" customHeight="1" thickBot="1" x14ac:dyDescent="0.25">
      <c r="A7" s="29" t="s">
        <v>31</v>
      </c>
      <c r="B7" s="30">
        <f t="shared" si="0"/>
        <v>145101.76682399999</v>
      </c>
      <c r="C7" s="31">
        <f t="shared" si="0"/>
        <v>134668.94978935437</v>
      </c>
      <c r="D7" s="32">
        <f t="shared" si="0"/>
        <v>10432.817034645599</v>
      </c>
      <c r="E7" s="30">
        <f t="shared" si="15"/>
        <v>46898.957039999994</v>
      </c>
      <c r="F7" s="33">
        <f t="shared" si="15"/>
        <v>43526.922028823996</v>
      </c>
      <c r="G7" s="34">
        <f t="shared" si="15"/>
        <v>3372.0350111759999</v>
      </c>
      <c r="H7" s="31">
        <f t="shared" si="1"/>
        <v>60803.524837999998</v>
      </c>
      <c r="I7" s="33">
        <f t="shared" si="1"/>
        <v>4710.4551620000002</v>
      </c>
      <c r="J7" s="33">
        <f t="shared" si="1"/>
        <v>65513.98</v>
      </c>
      <c r="K7" s="37">
        <f t="shared" si="2"/>
        <v>0.39691763175294725</v>
      </c>
      <c r="L7" s="36">
        <f>[1]IG!$E7</f>
        <v>11724.739259999998</v>
      </c>
      <c r="M7" s="31">
        <f t="shared" si="16"/>
        <v>10881.730507205999</v>
      </c>
      <c r="N7" s="31">
        <f t="shared" si="17"/>
        <v>843.00875279399997</v>
      </c>
      <c r="O7" s="31">
        <f t="shared" si="18"/>
        <v>9511.8091889999996</v>
      </c>
      <c r="P7" s="31">
        <f t="shared" si="19"/>
        <v>736.88081100000011</v>
      </c>
      <c r="Q7" s="31">
        <v>10248.69</v>
      </c>
      <c r="R7" s="31">
        <f t="shared" si="3"/>
        <v>-0.1258918622638947</v>
      </c>
      <c r="S7" s="31">
        <f>[1]IG!$F7</f>
        <v>11724.739259999998</v>
      </c>
      <c r="T7" s="31">
        <f t="shared" si="20"/>
        <v>10881.730507205999</v>
      </c>
      <c r="U7" s="31">
        <f t="shared" si="21"/>
        <v>843.00875279399997</v>
      </c>
      <c r="V7" s="31">
        <f t="shared" si="22"/>
        <v>9672.676762000001</v>
      </c>
      <c r="W7" s="31">
        <f t="shared" si="23"/>
        <v>749.34323800000004</v>
      </c>
      <c r="X7" s="31">
        <v>10422.02</v>
      </c>
      <c r="Y7" s="31">
        <f t="shared" si="4"/>
        <v>-0.11110859108350002</v>
      </c>
      <c r="Z7" s="31">
        <f>[1]IG!$G7</f>
        <v>11724.739259999998</v>
      </c>
      <c r="AA7" s="31">
        <f t="shared" si="24"/>
        <v>10881.730507205999</v>
      </c>
      <c r="AB7" s="31">
        <f t="shared" si="25"/>
        <v>843.00875279399997</v>
      </c>
      <c r="AC7" s="31">
        <f t="shared" si="26"/>
        <v>10030.153039000001</v>
      </c>
      <c r="AD7" s="31">
        <f t="shared" si="27"/>
        <v>777.03696100000013</v>
      </c>
      <c r="AE7" s="31">
        <v>10807.19</v>
      </c>
      <c r="AF7" s="31">
        <f t="shared" si="5"/>
        <v>-7.8257540713958518E-2</v>
      </c>
      <c r="AG7" s="31">
        <f>[1]IG!$H7</f>
        <v>11724.739259999998</v>
      </c>
      <c r="AH7" s="31">
        <f t="shared" si="28"/>
        <v>10881.730507205999</v>
      </c>
      <c r="AI7" s="31">
        <f t="shared" si="29"/>
        <v>843.00875279399997</v>
      </c>
      <c r="AJ7" s="31">
        <f t="shared" si="30"/>
        <v>10063.731697000001</v>
      </c>
      <c r="AK7" s="31">
        <f t="shared" si="31"/>
        <v>779.63830300000006</v>
      </c>
      <c r="AL7" s="31">
        <f>10843.37</f>
        <v>10843.37</v>
      </c>
      <c r="AM7" s="31">
        <f t="shared" si="6"/>
        <v>-7.5171757806748674E-2</v>
      </c>
      <c r="AN7" s="31">
        <f>[1]IG!$I7</f>
        <v>11724.739259999998</v>
      </c>
      <c r="AO7" s="31">
        <f t="shared" si="32"/>
        <v>10881.730507205999</v>
      </c>
      <c r="AP7" s="31">
        <f t="shared" si="33"/>
        <v>843.00875279399997</v>
      </c>
      <c r="AQ7" s="31">
        <f t="shared" si="34"/>
        <v>10842.036356999999</v>
      </c>
      <c r="AR7" s="31">
        <f t="shared" si="35"/>
        <v>839.93364300000007</v>
      </c>
      <c r="AS7" s="33">
        <v>11681.97</v>
      </c>
      <c r="AT7" s="37">
        <f t="shared" si="7"/>
        <v>-3.6477792001661236E-3</v>
      </c>
      <c r="AU7" s="36">
        <f>[1]IG!$J7</f>
        <v>11724.739259999998</v>
      </c>
      <c r="AV7" s="31">
        <f t="shared" si="36"/>
        <v>10881.730507205999</v>
      </c>
      <c r="AW7" s="18">
        <f t="shared" si="37"/>
        <v>843.00875279399997</v>
      </c>
      <c r="AX7" s="31">
        <f t="shared" si="38"/>
        <v>10683.117794</v>
      </c>
      <c r="AY7" s="31">
        <f t="shared" si="39"/>
        <v>827.62220600000001</v>
      </c>
      <c r="AZ7" s="33">
        <v>11510.74</v>
      </c>
      <c r="BA7" s="37">
        <f t="shared" si="8"/>
        <v>-1.8251941919943282E-2</v>
      </c>
      <c r="BB7" s="36">
        <f>[1]IG!$K7</f>
        <v>11724.739259999998</v>
      </c>
      <c r="BC7" s="31">
        <f t="shared" si="40"/>
        <v>10881.730507205999</v>
      </c>
      <c r="BD7" s="18">
        <f t="shared" si="41"/>
        <v>843.00875279399997</v>
      </c>
      <c r="BE7" s="31">
        <f t="shared" si="42"/>
        <v>0</v>
      </c>
      <c r="BF7" s="31">
        <f t="shared" si="43"/>
        <v>0</v>
      </c>
      <c r="BG7" s="27"/>
      <c r="BH7" s="37">
        <f t="shared" si="9"/>
        <v>-1</v>
      </c>
      <c r="BI7" s="36">
        <f>[1]IG!$L7</f>
        <v>12605.7184008</v>
      </c>
      <c r="BJ7" s="31">
        <f t="shared" si="44"/>
        <v>11699.36724778248</v>
      </c>
      <c r="BK7" s="18">
        <f t="shared" si="45"/>
        <v>906.35115301752012</v>
      </c>
      <c r="BL7" s="31">
        <f t="shared" si="46"/>
        <v>0</v>
      </c>
      <c r="BM7" s="31">
        <f t="shared" si="47"/>
        <v>0</v>
      </c>
      <c r="BN7" s="33"/>
      <c r="BO7" s="37">
        <f t="shared" si="10"/>
        <v>-1</v>
      </c>
      <c r="BP7" s="36">
        <f>[1]IG!$M7</f>
        <v>12605.7184008</v>
      </c>
      <c r="BQ7" s="31">
        <f t="shared" si="48"/>
        <v>11699.36724778248</v>
      </c>
      <c r="BR7" s="18">
        <f t="shared" si="49"/>
        <v>906.35115301752012</v>
      </c>
      <c r="BS7" s="31">
        <f t="shared" si="50"/>
        <v>0</v>
      </c>
      <c r="BT7" s="31">
        <f t="shared" si="51"/>
        <v>0</v>
      </c>
      <c r="BU7" s="33"/>
      <c r="BV7" s="37">
        <f t="shared" si="11"/>
        <v>-1</v>
      </c>
      <c r="BW7" s="36">
        <f>[1]IG!$N7</f>
        <v>12605.7184008</v>
      </c>
      <c r="BX7" s="31">
        <f t="shared" si="52"/>
        <v>11699.36724778248</v>
      </c>
      <c r="BY7" s="18">
        <f t="shared" si="53"/>
        <v>906.35115301752012</v>
      </c>
      <c r="BZ7" s="31">
        <f t="shared" si="54"/>
        <v>0</v>
      </c>
      <c r="CA7" s="31">
        <f t="shared" si="55"/>
        <v>0</v>
      </c>
      <c r="CB7" s="33"/>
      <c r="CC7" s="37">
        <f t="shared" si="12"/>
        <v>-1</v>
      </c>
      <c r="CD7" s="36">
        <f>[1]IG!$O7</f>
        <v>12605.7184008</v>
      </c>
      <c r="CE7" s="31">
        <f t="shared" si="56"/>
        <v>11699.36724778248</v>
      </c>
      <c r="CF7" s="18">
        <f t="shared" si="57"/>
        <v>906.35115301752012</v>
      </c>
      <c r="CG7" s="31">
        <f t="shared" si="58"/>
        <v>0</v>
      </c>
      <c r="CH7" s="31">
        <f t="shared" si="59"/>
        <v>0</v>
      </c>
      <c r="CI7" s="33"/>
      <c r="CJ7" s="37">
        <f t="shared" si="13"/>
        <v>-1</v>
      </c>
      <c r="CK7" s="36">
        <f>[1]IG!$P7</f>
        <v>12605.7184008</v>
      </c>
      <c r="CL7" s="31">
        <f t="shared" si="60"/>
        <v>11699.36724778248</v>
      </c>
      <c r="CM7" s="18">
        <f t="shared" si="61"/>
        <v>906.35115301752012</v>
      </c>
      <c r="CN7" s="31">
        <f t="shared" si="62"/>
        <v>0</v>
      </c>
      <c r="CO7" s="31">
        <f t="shared" si="63"/>
        <v>0</v>
      </c>
      <c r="CP7" s="33"/>
      <c r="CQ7" s="37">
        <f t="shared" si="14"/>
        <v>-1</v>
      </c>
    </row>
    <row r="8" spans="1:99" s="26" customFormat="1" ht="14.25" customHeight="1" thickBot="1" x14ac:dyDescent="0.25">
      <c r="A8" s="38" t="s">
        <v>32</v>
      </c>
      <c r="B8" s="30">
        <f t="shared" si="0"/>
        <v>141371.09081861336</v>
      </c>
      <c r="C8" s="31">
        <f t="shared" si="0"/>
        <v>131206.50938875505</v>
      </c>
      <c r="D8" s="32">
        <f t="shared" si="0"/>
        <v>10164.581429858301</v>
      </c>
      <c r="E8" s="30">
        <f t="shared" si="15"/>
        <v>0</v>
      </c>
      <c r="F8" s="33">
        <f t="shared" si="15"/>
        <v>0</v>
      </c>
      <c r="G8" s="34">
        <f t="shared" si="15"/>
        <v>0</v>
      </c>
      <c r="H8" s="31">
        <f t="shared" si="1"/>
        <v>586.18795999999998</v>
      </c>
      <c r="I8" s="33">
        <f t="shared" si="1"/>
        <v>45.412040000000005</v>
      </c>
      <c r="J8" s="33">
        <f t="shared" si="1"/>
        <v>631.6</v>
      </c>
      <c r="K8" s="37" t="str">
        <f t="shared" si="2"/>
        <v/>
      </c>
      <c r="L8" s="36">
        <f>[1]IG!$E8</f>
        <v>0</v>
      </c>
      <c r="M8" s="31">
        <f t="shared" si="16"/>
        <v>0</v>
      </c>
      <c r="N8" s="31">
        <f t="shared" si="17"/>
        <v>0</v>
      </c>
      <c r="O8" s="31">
        <f t="shared" si="18"/>
        <v>0</v>
      </c>
      <c r="P8" s="31">
        <f t="shared" si="19"/>
        <v>0</v>
      </c>
      <c r="Q8" s="31"/>
      <c r="R8" s="31" t="str">
        <f t="shared" si="3"/>
        <v/>
      </c>
      <c r="S8" s="31">
        <f>[1]IG!$F8</f>
        <v>0</v>
      </c>
      <c r="T8" s="31">
        <f t="shared" si="20"/>
        <v>0</v>
      </c>
      <c r="U8" s="31">
        <f t="shared" si="21"/>
        <v>0</v>
      </c>
      <c r="V8" s="31">
        <f t="shared" si="22"/>
        <v>0</v>
      </c>
      <c r="W8" s="31">
        <f t="shared" si="23"/>
        <v>0</v>
      </c>
      <c r="X8" s="31"/>
      <c r="Y8" s="31" t="str">
        <f t="shared" si="4"/>
        <v/>
      </c>
      <c r="Z8" s="31">
        <f>[1]IG!$G8</f>
        <v>0</v>
      </c>
      <c r="AA8" s="31">
        <f t="shared" si="24"/>
        <v>0</v>
      </c>
      <c r="AB8" s="31">
        <f t="shared" si="25"/>
        <v>0</v>
      </c>
      <c r="AC8" s="31">
        <f t="shared" si="26"/>
        <v>0</v>
      </c>
      <c r="AD8" s="31">
        <f t="shared" si="27"/>
        <v>0</v>
      </c>
      <c r="AE8" s="31"/>
      <c r="AF8" s="31" t="str">
        <f t="shared" si="5"/>
        <v/>
      </c>
      <c r="AG8" s="31">
        <f>[1]IG!$H8</f>
        <v>0</v>
      </c>
      <c r="AH8" s="31">
        <f t="shared" si="28"/>
        <v>0</v>
      </c>
      <c r="AI8" s="31">
        <f t="shared" si="29"/>
        <v>0</v>
      </c>
      <c r="AJ8" s="31">
        <f t="shared" si="30"/>
        <v>0</v>
      </c>
      <c r="AK8" s="31">
        <f t="shared" si="31"/>
        <v>0</v>
      </c>
      <c r="AL8" s="31"/>
      <c r="AM8" s="31" t="str">
        <f t="shared" si="6"/>
        <v/>
      </c>
      <c r="AN8" s="31">
        <f>[1]IG!$I8</f>
        <v>0</v>
      </c>
      <c r="AO8" s="31">
        <f t="shared" si="32"/>
        <v>0</v>
      </c>
      <c r="AP8" s="31">
        <f t="shared" si="33"/>
        <v>0</v>
      </c>
      <c r="AQ8" s="31">
        <f t="shared" si="34"/>
        <v>586.18795999999998</v>
      </c>
      <c r="AR8" s="31">
        <f t="shared" si="35"/>
        <v>45.412040000000005</v>
      </c>
      <c r="AS8" s="33">
        <v>631.6</v>
      </c>
      <c r="AT8" s="37" t="str">
        <f t="shared" si="7"/>
        <v/>
      </c>
      <c r="AU8" s="36">
        <f>[1]IG!$J8</f>
        <v>0</v>
      </c>
      <c r="AV8" s="31">
        <f t="shared" si="36"/>
        <v>0</v>
      </c>
      <c r="AW8" s="18">
        <f t="shared" si="37"/>
        <v>0</v>
      </c>
      <c r="AX8" s="31">
        <f t="shared" si="38"/>
        <v>0</v>
      </c>
      <c r="AY8" s="31">
        <f t="shared" si="39"/>
        <v>0</v>
      </c>
      <c r="AZ8" s="33"/>
      <c r="BA8" s="37" t="str">
        <f t="shared" si="8"/>
        <v/>
      </c>
      <c r="BB8" s="36">
        <f>[1]IG!$K8</f>
        <v>141371.09081861336</v>
      </c>
      <c r="BC8" s="31">
        <f t="shared" si="40"/>
        <v>131206.50938875505</v>
      </c>
      <c r="BD8" s="18">
        <f t="shared" si="41"/>
        <v>10164.581429858301</v>
      </c>
      <c r="BE8" s="31">
        <f t="shared" si="42"/>
        <v>0</v>
      </c>
      <c r="BF8" s="31">
        <f t="shared" si="43"/>
        <v>0</v>
      </c>
      <c r="BG8" s="27"/>
      <c r="BH8" s="37">
        <f t="shared" si="9"/>
        <v>-1</v>
      </c>
      <c r="BI8" s="36">
        <f>[1]IG!$L8</f>
        <v>0</v>
      </c>
      <c r="BJ8" s="31">
        <f t="shared" si="44"/>
        <v>0</v>
      </c>
      <c r="BK8" s="18">
        <f t="shared" si="45"/>
        <v>0</v>
      </c>
      <c r="BL8" s="31">
        <f t="shared" si="46"/>
        <v>0</v>
      </c>
      <c r="BM8" s="31">
        <f t="shared" si="47"/>
        <v>0</v>
      </c>
      <c r="BN8" s="33"/>
      <c r="BO8" s="37" t="str">
        <f t="shared" si="10"/>
        <v/>
      </c>
      <c r="BP8" s="36">
        <f>[1]IG!$M8</f>
        <v>0</v>
      </c>
      <c r="BQ8" s="31">
        <f t="shared" si="48"/>
        <v>0</v>
      </c>
      <c r="BR8" s="18">
        <f t="shared" si="49"/>
        <v>0</v>
      </c>
      <c r="BS8" s="31">
        <f t="shared" si="50"/>
        <v>0</v>
      </c>
      <c r="BT8" s="31">
        <f t="shared" si="51"/>
        <v>0</v>
      </c>
      <c r="BU8" s="33"/>
      <c r="BV8" s="37" t="str">
        <f t="shared" si="11"/>
        <v/>
      </c>
      <c r="BW8" s="36">
        <f>[1]IG!$N8</f>
        <v>0</v>
      </c>
      <c r="BX8" s="31">
        <f t="shared" si="52"/>
        <v>0</v>
      </c>
      <c r="BY8" s="18">
        <f t="shared" si="53"/>
        <v>0</v>
      </c>
      <c r="BZ8" s="31">
        <f t="shared" si="54"/>
        <v>0</v>
      </c>
      <c r="CA8" s="31">
        <f t="shared" si="55"/>
        <v>0</v>
      </c>
      <c r="CB8" s="33"/>
      <c r="CC8" s="37" t="str">
        <f t="shared" si="12"/>
        <v/>
      </c>
      <c r="CD8" s="36">
        <f>[1]IG!$O8</f>
        <v>0</v>
      </c>
      <c r="CE8" s="31">
        <f t="shared" si="56"/>
        <v>0</v>
      </c>
      <c r="CF8" s="18">
        <f t="shared" si="57"/>
        <v>0</v>
      </c>
      <c r="CG8" s="31">
        <f t="shared" si="58"/>
        <v>0</v>
      </c>
      <c r="CH8" s="31">
        <f t="shared" si="59"/>
        <v>0</v>
      </c>
      <c r="CI8" s="33"/>
      <c r="CJ8" s="37" t="str">
        <f t="shared" si="13"/>
        <v/>
      </c>
      <c r="CK8" s="36">
        <f>[1]IG!$P8</f>
        <v>0</v>
      </c>
      <c r="CL8" s="31">
        <f t="shared" si="60"/>
        <v>0</v>
      </c>
      <c r="CM8" s="18">
        <f t="shared" si="61"/>
        <v>0</v>
      </c>
      <c r="CN8" s="31">
        <f t="shared" si="62"/>
        <v>0</v>
      </c>
      <c r="CO8" s="31">
        <f t="shared" si="63"/>
        <v>0</v>
      </c>
      <c r="CP8" s="33"/>
      <c r="CQ8" s="37" t="str">
        <f t="shared" si="14"/>
        <v/>
      </c>
    </row>
    <row r="9" spans="1:99" s="26" customFormat="1" ht="14.25" customHeight="1" thickBot="1" x14ac:dyDescent="0.25">
      <c r="A9" s="38" t="s">
        <v>33</v>
      </c>
      <c r="B9" s="30">
        <f t="shared" si="0"/>
        <v>113705.47809599999</v>
      </c>
      <c r="C9" s="31">
        <f t="shared" si="0"/>
        <v>105530.0542208976</v>
      </c>
      <c r="D9" s="32">
        <f t="shared" si="0"/>
        <v>8175.4238751024031</v>
      </c>
      <c r="E9" s="30">
        <f t="shared" si="15"/>
        <v>36751.229493333332</v>
      </c>
      <c r="F9" s="33">
        <f t="shared" si="15"/>
        <v>34108.816092762667</v>
      </c>
      <c r="G9" s="34">
        <f t="shared" si="15"/>
        <v>2642.4134005706669</v>
      </c>
      <c r="H9" s="31">
        <f t="shared" si="1"/>
        <v>30895.325999000001</v>
      </c>
      <c r="I9" s="33">
        <f t="shared" si="1"/>
        <v>2393.4640010000003</v>
      </c>
      <c r="J9" s="33">
        <f t="shared" si="1"/>
        <v>33288.79</v>
      </c>
      <c r="K9" s="37">
        <f t="shared" si="2"/>
        <v>-9.4212888686116436E-2</v>
      </c>
      <c r="L9" s="36">
        <f>[1]IG!$E9</f>
        <v>9187.8073733333331</v>
      </c>
      <c r="M9" s="31">
        <f t="shared" si="16"/>
        <v>8527.2040231906667</v>
      </c>
      <c r="N9" s="31">
        <f t="shared" si="17"/>
        <v>660.60335014266673</v>
      </c>
      <c r="O9" s="31">
        <f t="shared" si="18"/>
        <v>7745.9225999999999</v>
      </c>
      <c r="P9" s="31">
        <f t="shared" si="19"/>
        <v>600.07740000000001</v>
      </c>
      <c r="Q9" s="31">
        <f>8346</f>
        <v>8346</v>
      </c>
      <c r="R9" s="31">
        <f t="shared" si="3"/>
        <v>-9.1622227058938188E-2</v>
      </c>
      <c r="S9" s="31">
        <f>[1]IG!$F9</f>
        <v>9187.8073733333331</v>
      </c>
      <c r="T9" s="31">
        <f t="shared" si="20"/>
        <v>8527.2040231906667</v>
      </c>
      <c r="U9" s="31">
        <f t="shared" si="21"/>
        <v>660.60335014266673</v>
      </c>
      <c r="V9" s="31">
        <f t="shared" si="22"/>
        <v>8733.2075370000002</v>
      </c>
      <c r="W9" s="31">
        <f t="shared" si="23"/>
        <v>676.56246300000009</v>
      </c>
      <c r="X9" s="31">
        <f>9409.77</f>
        <v>9409.77</v>
      </c>
      <c r="Y9" s="31">
        <f t="shared" si="4"/>
        <v>2.4158389226889065E-2</v>
      </c>
      <c r="Z9" s="31">
        <f>[1]IG!$G9</f>
        <v>9187.8073733333331</v>
      </c>
      <c r="AA9" s="31">
        <f t="shared" si="24"/>
        <v>8527.2040231906667</v>
      </c>
      <c r="AB9" s="31">
        <f t="shared" si="25"/>
        <v>660.60335014266673</v>
      </c>
      <c r="AC9" s="31">
        <f t="shared" si="26"/>
        <v>2130.351459</v>
      </c>
      <c r="AD9" s="31">
        <f t="shared" si="27"/>
        <v>165.03854100000001</v>
      </c>
      <c r="AE9" s="31">
        <f>2295.39</f>
        <v>2295.39</v>
      </c>
      <c r="AF9" s="31">
        <f t="shared" si="5"/>
        <v>-0.75016999086614145</v>
      </c>
      <c r="AG9" s="31">
        <f>[1]IG!$H9</f>
        <v>9187.8073733333331</v>
      </c>
      <c r="AH9" s="31">
        <f t="shared" si="28"/>
        <v>8527.2040231906667</v>
      </c>
      <c r="AI9" s="31">
        <f t="shared" si="29"/>
        <v>660.60335014266673</v>
      </c>
      <c r="AJ9" s="31">
        <f t="shared" si="30"/>
        <v>0</v>
      </c>
      <c r="AK9" s="31">
        <f t="shared" si="31"/>
        <v>0</v>
      </c>
      <c r="AL9" s="31"/>
      <c r="AM9" s="31">
        <f t="shared" si="6"/>
        <v>-1</v>
      </c>
      <c r="AN9" s="31">
        <f>[1]IG!$I9</f>
        <v>9187.8073733333331</v>
      </c>
      <c r="AO9" s="31">
        <f t="shared" si="32"/>
        <v>8527.2040231906667</v>
      </c>
      <c r="AP9" s="31">
        <f t="shared" si="33"/>
        <v>660.60335014266673</v>
      </c>
      <c r="AQ9" s="31">
        <f t="shared" si="34"/>
        <v>1149.980867</v>
      </c>
      <c r="AR9" s="31">
        <f t="shared" si="35"/>
        <v>89.089133000000004</v>
      </c>
      <c r="AS9" s="33">
        <v>1239.07</v>
      </c>
      <c r="AT9" s="37">
        <f t="shared" si="7"/>
        <v>-0.86513974992594278</v>
      </c>
      <c r="AU9" s="36">
        <f>[1]IG!$J9</f>
        <v>9187.8073733333331</v>
      </c>
      <c r="AV9" s="31">
        <f t="shared" si="36"/>
        <v>8527.2040231906667</v>
      </c>
      <c r="AW9" s="18">
        <f t="shared" si="37"/>
        <v>660.60335014266673</v>
      </c>
      <c r="AX9" s="31">
        <f t="shared" si="38"/>
        <v>11135.863535999999</v>
      </c>
      <c r="AY9" s="31">
        <f t="shared" si="39"/>
        <v>862.69646399999999</v>
      </c>
      <c r="AZ9" s="33">
        <v>11998.56</v>
      </c>
      <c r="BA9" s="37">
        <f t="shared" si="8"/>
        <v>0.3059220238796676</v>
      </c>
      <c r="BB9" s="36">
        <f>[1]IG!$K9</f>
        <v>9187.8073733333331</v>
      </c>
      <c r="BC9" s="31">
        <f t="shared" si="40"/>
        <v>8527.2040231906667</v>
      </c>
      <c r="BD9" s="18">
        <f t="shared" si="41"/>
        <v>660.60335014266673</v>
      </c>
      <c r="BE9" s="31">
        <f t="shared" si="42"/>
        <v>0</v>
      </c>
      <c r="BF9" s="31">
        <f t="shared" si="43"/>
        <v>0</v>
      </c>
      <c r="BG9" s="27"/>
      <c r="BH9" s="37">
        <f t="shared" si="9"/>
        <v>-1</v>
      </c>
      <c r="BI9" s="36">
        <f>[1]IG!$L9</f>
        <v>9878.165296533336</v>
      </c>
      <c r="BJ9" s="31">
        <f t="shared" si="44"/>
        <v>9167.9252117125889</v>
      </c>
      <c r="BK9" s="18">
        <f t="shared" si="45"/>
        <v>710.24008482074692</v>
      </c>
      <c r="BL9" s="31">
        <f t="shared" si="46"/>
        <v>0</v>
      </c>
      <c r="BM9" s="31">
        <f t="shared" si="47"/>
        <v>0</v>
      </c>
      <c r="BN9" s="33"/>
      <c r="BO9" s="37">
        <f t="shared" si="10"/>
        <v>-1</v>
      </c>
      <c r="BP9" s="36">
        <f>[1]IG!$M9</f>
        <v>9878.165296533336</v>
      </c>
      <c r="BQ9" s="31">
        <f t="shared" si="48"/>
        <v>9167.9252117125889</v>
      </c>
      <c r="BR9" s="18">
        <f t="shared" si="49"/>
        <v>710.24008482074692</v>
      </c>
      <c r="BS9" s="31">
        <f t="shared" si="50"/>
        <v>0</v>
      </c>
      <c r="BT9" s="31">
        <f t="shared" si="51"/>
        <v>0</v>
      </c>
      <c r="BU9" s="33"/>
      <c r="BV9" s="37">
        <f t="shared" si="11"/>
        <v>-1</v>
      </c>
      <c r="BW9" s="36">
        <f>[1]IG!$N9</f>
        <v>9878.165296533336</v>
      </c>
      <c r="BX9" s="31">
        <f t="shared" si="52"/>
        <v>9167.9252117125889</v>
      </c>
      <c r="BY9" s="18">
        <f t="shared" si="53"/>
        <v>710.24008482074692</v>
      </c>
      <c r="BZ9" s="31">
        <f t="shared" si="54"/>
        <v>0</v>
      </c>
      <c r="CA9" s="31">
        <f t="shared" si="55"/>
        <v>0</v>
      </c>
      <c r="CB9" s="33"/>
      <c r="CC9" s="37">
        <f t="shared" si="12"/>
        <v>-1</v>
      </c>
      <c r="CD9" s="36">
        <f>[1]IG!$O9</f>
        <v>9878.165296533336</v>
      </c>
      <c r="CE9" s="31">
        <f t="shared" si="56"/>
        <v>9167.9252117125889</v>
      </c>
      <c r="CF9" s="18">
        <f t="shared" si="57"/>
        <v>710.24008482074692</v>
      </c>
      <c r="CG9" s="31">
        <f t="shared" si="58"/>
        <v>0</v>
      </c>
      <c r="CH9" s="31">
        <f t="shared" si="59"/>
        <v>0</v>
      </c>
      <c r="CI9" s="33"/>
      <c r="CJ9" s="37">
        <f t="shared" si="13"/>
        <v>-1</v>
      </c>
      <c r="CK9" s="36">
        <f>[1]IG!$P9</f>
        <v>9878.165296533336</v>
      </c>
      <c r="CL9" s="31">
        <f t="shared" si="60"/>
        <v>9167.9252117125889</v>
      </c>
      <c r="CM9" s="18">
        <f t="shared" si="61"/>
        <v>710.24008482074692</v>
      </c>
      <c r="CN9" s="31">
        <f t="shared" si="62"/>
        <v>0</v>
      </c>
      <c r="CO9" s="31">
        <f t="shared" si="63"/>
        <v>0</v>
      </c>
      <c r="CP9" s="33"/>
      <c r="CQ9" s="37">
        <f t="shared" si="14"/>
        <v>-1</v>
      </c>
    </row>
    <row r="10" spans="1:99" s="26" customFormat="1" ht="14.25" customHeight="1" thickBot="1" x14ac:dyDescent="0.25">
      <c r="A10" s="38" t="s">
        <v>34</v>
      </c>
      <c r="B10" s="30">
        <f t="shared" si="0"/>
        <v>120000</v>
      </c>
      <c r="C10" s="31">
        <f t="shared" si="0"/>
        <v>111372</v>
      </c>
      <c r="D10" s="32">
        <f t="shared" si="0"/>
        <v>8628</v>
      </c>
      <c r="E10" s="30">
        <f t="shared" si="15"/>
        <v>40000</v>
      </c>
      <c r="F10" s="33">
        <f t="shared" si="15"/>
        <v>37124</v>
      </c>
      <c r="G10" s="34">
        <f t="shared" si="15"/>
        <v>2876</v>
      </c>
      <c r="H10" s="31">
        <f t="shared" si="1"/>
        <v>63408.200364000004</v>
      </c>
      <c r="I10" s="33">
        <f t="shared" si="1"/>
        <v>4912.2396360000002</v>
      </c>
      <c r="J10" s="33">
        <f t="shared" si="1"/>
        <v>68320.44</v>
      </c>
      <c r="K10" s="37">
        <f t="shared" si="2"/>
        <v>0.70801100000000017</v>
      </c>
      <c r="L10" s="36">
        <f>[1]IG!$E10</f>
        <v>10000</v>
      </c>
      <c r="M10" s="31">
        <f t="shared" si="16"/>
        <v>9281</v>
      </c>
      <c r="N10" s="31">
        <f t="shared" si="17"/>
        <v>719</v>
      </c>
      <c r="O10" s="31">
        <f t="shared" si="18"/>
        <v>9423.4076640000003</v>
      </c>
      <c r="P10" s="31">
        <f t="shared" si="19"/>
        <v>730.0323360000001</v>
      </c>
      <c r="Q10" s="31">
        <f>10153.44</f>
        <v>10153.44</v>
      </c>
      <c r="R10" s="31">
        <f t="shared" si="3"/>
        <v>1.5344000000000024E-2</v>
      </c>
      <c r="S10" s="31">
        <f>[1]IG!$F10</f>
        <v>10000</v>
      </c>
      <c r="T10" s="31">
        <f t="shared" si="20"/>
        <v>9281</v>
      </c>
      <c r="U10" s="31">
        <f t="shared" si="21"/>
        <v>719</v>
      </c>
      <c r="V10" s="31">
        <f t="shared" si="22"/>
        <v>9135.0098699999999</v>
      </c>
      <c r="W10" s="31">
        <f t="shared" si="23"/>
        <v>707.69013000000007</v>
      </c>
      <c r="X10" s="31">
        <f>9842.7</f>
        <v>9842.7000000000007</v>
      </c>
      <c r="Y10" s="31">
        <f t="shared" si="4"/>
        <v>-1.5729999999999911E-2</v>
      </c>
      <c r="Z10" s="31">
        <f>[1]IG!$G10</f>
        <v>10000</v>
      </c>
      <c r="AA10" s="31">
        <f t="shared" si="24"/>
        <v>9281</v>
      </c>
      <c r="AB10" s="31">
        <f t="shared" si="25"/>
        <v>719</v>
      </c>
      <c r="AC10" s="31">
        <f t="shared" si="26"/>
        <v>1052.688144</v>
      </c>
      <c r="AD10" s="31">
        <f t="shared" si="27"/>
        <v>81.551856000000001</v>
      </c>
      <c r="AE10" s="31">
        <f>1134.24</f>
        <v>1134.24</v>
      </c>
      <c r="AF10" s="31">
        <f t="shared" si="5"/>
        <v>-0.88657600000000003</v>
      </c>
      <c r="AG10" s="31">
        <f>[1]IG!$H10</f>
        <v>10000</v>
      </c>
      <c r="AH10" s="31">
        <f t="shared" si="28"/>
        <v>9281</v>
      </c>
      <c r="AI10" s="31">
        <f t="shared" si="29"/>
        <v>719</v>
      </c>
      <c r="AJ10" s="31">
        <f t="shared" si="30"/>
        <v>11021.391681999999</v>
      </c>
      <c r="AK10" s="31">
        <f t="shared" si="31"/>
        <v>853.82831799999997</v>
      </c>
      <c r="AL10" s="31">
        <f>11875.22</f>
        <v>11875.22</v>
      </c>
      <c r="AM10" s="31">
        <f t="shared" si="6"/>
        <v>0.18752199999999997</v>
      </c>
      <c r="AN10" s="31">
        <f>[1]IG!$I10</f>
        <v>10000</v>
      </c>
      <c r="AO10" s="31">
        <f t="shared" si="32"/>
        <v>9281</v>
      </c>
      <c r="AP10" s="31">
        <f t="shared" si="33"/>
        <v>719</v>
      </c>
      <c r="AQ10" s="31">
        <f t="shared" si="34"/>
        <v>8209.3693349999994</v>
      </c>
      <c r="AR10" s="31">
        <f t="shared" si="35"/>
        <v>635.98066500000004</v>
      </c>
      <c r="AS10" s="33">
        <v>8845.35</v>
      </c>
      <c r="AT10" s="37">
        <f t="shared" si="7"/>
        <v>-0.11546499999999993</v>
      </c>
      <c r="AU10" s="36">
        <f>[1]IG!$J10</f>
        <v>10000</v>
      </c>
      <c r="AV10" s="31">
        <f t="shared" si="36"/>
        <v>9281</v>
      </c>
      <c r="AW10" s="18">
        <f t="shared" si="37"/>
        <v>719</v>
      </c>
      <c r="AX10" s="31">
        <f t="shared" si="38"/>
        <v>24566.333669</v>
      </c>
      <c r="AY10" s="31">
        <f t="shared" si="39"/>
        <v>1903.1563309999999</v>
      </c>
      <c r="AZ10" s="33">
        <v>26469.489999999998</v>
      </c>
      <c r="BA10" s="37">
        <f t="shared" si="8"/>
        <v>1.6469489999999998</v>
      </c>
      <c r="BB10" s="36">
        <f>[1]IG!$K10</f>
        <v>10000</v>
      </c>
      <c r="BC10" s="31">
        <f t="shared" si="40"/>
        <v>9281</v>
      </c>
      <c r="BD10" s="18">
        <f t="shared" si="41"/>
        <v>719</v>
      </c>
      <c r="BE10" s="31">
        <f t="shared" si="42"/>
        <v>0</v>
      </c>
      <c r="BF10" s="31">
        <f t="shared" si="43"/>
        <v>0</v>
      </c>
      <c r="BG10" s="27"/>
      <c r="BH10" s="37">
        <f t="shared" si="9"/>
        <v>-1</v>
      </c>
      <c r="BI10" s="36">
        <f>[1]IG!$L10</f>
        <v>10000</v>
      </c>
      <c r="BJ10" s="31">
        <f t="shared" si="44"/>
        <v>9281</v>
      </c>
      <c r="BK10" s="18">
        <f t="shared" si="45"/>
        <v>719</v>
      </c>
      <c r="BL10" s="31">
        <f t="shared" si="46"/>
        <v>0</v>
      </c>
      <c r="BM10" s="31">
        <f t="shared" si="47"/>
        <v>0</v>
      </c>
      <c r="BN10" s="33"/>
      <c r="BO10" s="37">
        <f t="shared" si="10"/>
        <v>-1</v>
      </c>
      <c r="BP10" s="36">
        <f>[1]IG!$M10</f>
        <v>10000</v>
      </c>
      <c r="BQ10" s="31">
        <f t="shared" si="48"/>
        <v>9281</v>
      </c>
      <c r="BR10" s="18">
        <f t="shared" si="49"/>
        <v>719</v>
      </c>
      <c r="BS10" s="31">
        <f t="shared" si="50"/>
        <v>0</v>
      </c>
      <c r="BT10" s="31">
        <f t="shared" si="51"/>
        <v>0</v>
      </c>
      <c r="BU10" s="33"/>
      <c r="BV10" s="37">
        <f t="shared" si="11"/>
        <v>-1</v>
      </c>
      <c r="BW10" s="36">
        <f>[1]IG!$N10</f>
        <v>10000</v>
      </c>
      <c r="BX10" s="31">
        <f t="shared" si="52"/>
        <v>9281</v>
      </c>
      <c r="BY10" s="18">
        <f t="shared" si="53"/>
        <v>719</v>
      </c>
      <c r="BZ10" s="31">
        <f t="shared" si="54"/>
        <v>0</v>
      </c>
      <c r="CA10" s="31">
        <f t="shared" si="55"/>
        <v>0</v>
      </c>
      <c r="CB10" s="33"/>
      <c r="CC10" s="37">
        <f t="shared" si="12"/>
        <v>-1</v>
      </c>
      <c r="CD10" s="36">
        <f>[1]IG!$O10</f>
        <v>10000</v>
      </c>
      <c r="CE10" s="31">
        <f t="shared" si="56"/>
        <v>9281</v>
      </c>
      <c r="CF10" s="18">
        <f t="shared" si="57"/>
        <v>719</v>
      </c>
      <c r="CG10" s="31">
        <f t="shared" si="58"/>
        <v>0</v>
      </c>
      <c r="CH10" s="31">
        <f t="shared" si="59"/>
        <v>0</v>
      </c>
      <c r="CI10" s="33"/>
      <c r="CJ10" s="37">
        <f t="shared" si="13"/>
        <v>-1</v>
      </c>
      <c r="CK10" s="36">
        <f>[1]IG!$P10</f>
        <v>10000</v>
      </c>
      <c r="CL10" s="31">
        <f t="shared" si="60"/>
        <v>9281</v>
      </c>
      <c r="CM10" s="18">
        <f t="shared" si="61"/>
        <v>719</v>
      </c>
      <c r="CN10" s="31">
        <f t="shared" si="62"/>
        <v>0</v>
      </c>
      <c r="CO10" s="31">
        <f t="shared" si="63"/>
        <v>0</v>
      </c>
      <c r="CP10" s="33"/>
      <c r="CQ10" s="37">
        <f t="shared" si="14"/>
        <v>-1</v>
      </c>
    </row>
    <row r="11" spans="1:99" s="26" customFormat="1" ht="14.25" customHeight="1" thickBot="1" x14ac:dyDescent="0.25">
      <c r="A11" s="38" t="s">
        <v>35</v>
      </c>
      <c r="B11" s="30">
        <f t="shared" si="0"/>
        <v>0</v>
      </c>
      <c r="C11" s="31">
        <f t="shared" si="0"/>
        <v>0</v>
      </c>
      <c r="D11" s="32">
        <f t="shared" si="0"/>
        <v>0</v>
      </c>
      <c r="E11" s="30">
        <f t="shared" si="15"/>
        <v>0</v>
      </c>
      <c r="F11" s="33">
        <f t="shared" si="15"/>
        <v>0</v>
      </c>
      <c r="G11" s="34">
        <f t="shared" si="15"/>
        <v>0</v>
      </c>
      <c r="H11" s="31">
        <f t="shared" si="1"/>
        <v>11969.362303</v>
      </c>
      <c r="I11" s="33">
        <f t="shared" si="1"/>
        <v>927.267697</v>
      </c>
      <c r="J11" s="33">
        <f t="shared" si="1"/>
        <v>12896.63</v>
      </c>
      <c r="K11" s="37" t="str">
        <f t="shared" si="2"/>
        <v/>
      </c>
      <c r="L11" s="36">
        <f>[1]IG!$E11</f>
        <v>0</v>
      </c>
      <c r="M11" s="31">
        <f t="shared" si="16"/>
        <v>0</v>
      </c>
      <c r="N11" s="31">
        <f t="shared" si="17"/>
        <v>0</v>
      </c>
      <c r="O11" s="31">
        <f t="shared" si="18"/>
        <v>0</v>
      </c>
      <c r="P11" s="31">
        <f t="shared" si="19"/>
        <v>0</v>
      </c>
      <c r="Q11" s="31"/>
      <c r="R11" s="31" t="str">
        <f t="shared" si="3"/>
        <v/>
      </c>
      <c r="S11" s="31">
        <f>[1]IG!$F11</f>
        <v>0</v>
      </c>
      <c r="T11" s="31">
        <f t="shared" si="20"/>
        <v>0</v>
      </c>
      <c r="U11" s="31">
        <f t="shared" si="21"/>
        <v>0</v>
      </c>
      <c r="V11" s="31">
        <f t="shared" si="22"/>
        <v>0</v>
      </c>
      <c r="W11" s="31">
        <f t="shared" si="23"/>
        <v>0</v>
      </c>
      <c r="X11" s="31"/>
      <c r="Y11" s="31" t="str">
        <f t="shared" si="4"/>
        <v/>
      </c>
      <c r="Z11" s="31">
        <f>[1]IG!$G11</f>
        <v>0</v>
      </c>
      <c r="AA11" s="31">
        <f t="shared" si="24"/>
        <v>0</v>
      </c>
      <c r="AB11" s="31">
        <f t="shared" si="25"/>
        <v>0</v>
      </c>
      <c r="AC11" s="31">
        <f t="shared" si="26"/>
        <v>0</v>
      </c>
      <c r="AD11" s="31">
        <f t="shared" si="27"/>
        <v>0</v>
      </c>
      <c r="AE11" s="31"/>
      <c r="AF11" s="31" t="str">
        <f t="shared" si="5"/>
        <v/>
      </c>
      <c r="AG11" s="31">
        <f>[1]IG!$H11</f>
        <v>0</v>
      </c>
      <c r="AH11" s="31">
        <f t="shared" si="28"/>
        <v>0</v>
      </c>
      <c r="AI11" s="31">
        <f t="shared" si="29"/>
        <v>0</v>
      </c>
      <c r="AJ11" s="31">
        <f t="shared" si="30"/>
        <v>11969.362303</v>
      </c>
      <c r="AK11" s="31">
        <f t="shared" si="31"/>
        <v>927.267697</v>
      </c>
      <c r="AL11" s="31">
        <f>12896.63</f>
        <v>12896.63</v>
      </c>
      <c r="AM11" s="31" t="str">
        <f t="shared" si="6"/>
        <v/>
      </c>
      <c r="AN11" s="31">
        <f>[1]IG!$I11</f>
        <v>0</v>
      </c>
      <c r="AO11" s="31">
        <f t="shared" si="32"/>
        <v>0</v>
      </c>
      <c r="AP11" s="31">
        <f t="shared" si="33"/>
        <v>0</v>
      </c>
      <c r="AQ11" s="31">
        <f t="shared" si="34"/>
        <v>0</v>
      </c>
      <c r="AR11" s="31">
        <f t="shared" si="35"/>
        <v>0</v>
      </c>
      <c r="AS11" s="33"/>
      <c r="AT11" s="37" t="str">
        <f t="shared" si="7"/>
        <v/>
      </c>
      <c r="AU11" s="36">
        <f>[1]IG!$J11</f>
        <v>0</v>
      </c>
      <c r="AV11" s="31">
        <f t="shared" si="36"/>
        <v>0</v>
      </c>
      <c r="AW11" s="18">
        <f t="shared" si="37"/>
        <v>0</v>
      </c>
      <c r="AX11" s="31">
        <f t="shared" si="38"/>
        <v>0</v>
      </c>
      <c r="AY11" s="31">
        <f t="shared" si="39"/>
        <v>0</v>
      </c>
      <c r="AZ11" s="33"/>
      <c r="BA11" s="37" t="str">
        <f t="shared" si="8"/>
        <v/>
      </c>
      <c r="BB11" s="36">
        <f>[1]IG!$K11</f>
        <v>0</v>
      </c>
      <c r="BC11" s="31">
        <f t="shared" si="40"/>
        <v>0</v>
      </c>
      <c r="BD11" s="18">
        <f t="shared" si="41"/>
        <v>0</v>
      </c>
      <c r="BE11" s="31">
        <f t="shared" si="42"/>
        <v>0</v>
      </c>
      <c r="BF11" s="31">
        <f t="shared" si="43"/>
        <v>0</v>
      </c>
      <c r="BG11" s="33"/>
      <c r="BH11" s="37" t="str">
        <f t="shared" si="9"/>
        <v/>
      </c>
      <c r="BI11" s="36">
        <f>[1]IG!$L11</f>
        <v>0</v>
      </c>
      <c r="BJ11" s="31">
        <f t="shared" si="44"/>
        <v>0</v>
      </c>
      <c r="BK11" s="18">
        <f t="shared" si="45"/>
        <v>0</v>
      </c>
      <c r="BL11" s="31">
        <f t="shared" si="46"/>
        <v>0</v>
      </c>
      <c r="BM11" s="31">
        <f t="shared" si="47"/>
        <v>0</v>
      </c>
      <c r="BN11" s="33"/>
      <c r="BO11" s="37" t="str">
        <f t="shared" si="10"/>
        <v/>
      </c>
      <c r="BP11" s="36">
        <f>[1]IG!$M11</f>
        <v>0</v>
      </c>
      <c r="BQ11" s="31">
        <f t="shared" si="48"/>
        <v>0</v>
      </c>
      <c r="BR11" s="18">
        <f t="shared" si="49"/>
        <v>0</v>
      </c>
      <c r="BS11" s="31">
        <f t="shared" si="50"/>
        <v>0</v>
      </c>
      <c r="BT11" s="31">
        <f t="shared" si="51"/>
        <v>0</v>
      </c>
      <c r="BU11" s="33"/>
      <c r="BV11" s="37" t="str">
        <f t="shared" si="11"/>
        <v/>
      </c>
      <c r="BW11" s="36">
        <f>[1]IG!$N11</f>
        <v>0</v>
      </c>
      <c r="BX11" s="31">
        <f t="shared" si="52"/>
        <v>0</v>
      </c>
      <c r="BY11" s="18">
        <f t="shared" si="53"/>
        <v>0</v>
      </c>
      <c r="BZ11" s="31">
        <f t="shared" si="54"/>
        <v>0</v>
      </c>
      <c r="CA11" s="31">
        <f t="shared" si="55"/>
        <v>0</v>
      </c>
      <c r="CB11" s="33"/>
      <c r="CC11" s="37" t="str">
        <f t="shared" si="12"/>
        <v/>
      </c>
      <c r="CD11" s="36">
        <f>[1]IG!$O11</f>
        <v>0</v>
      </c>
      <c r="CE11" s="31">
        <f t="shared" si="56"/>
        <v>0</v>
      </c>
      <c r="CF11" s="18">
        <f t="shared" si="57"/>
        <v>0</v>
      </c>
      <c r="CG11" s="31">
        <f t="shared" si="58"/>
        <v>0</v>
      </c>
      <c r="CH11" s="31">
        <f t="shared" si="59"/>
        <v>0</v>
      </c>
      <c r="CI11" s="33"/>
      <c r="CJ11" s="37" t="str">
        <f t="shared" si="13"/>
        <v/>
      </c>
      <c r="CK11" s="36">
        <f>[1]IG!$P11</f>
        <v>0</v>
      </c>
      <c r="CL11" s="31">
        <f t="shared" si="60"/>
        <v>0</v>
      </c>
      <c r="CM11" s="18">
        <f t="shared" si="61"/>
        <v>0</v>
      </c>
      <c r="CN11" s="31">
        <f t="shared" si="62"/>
        <v>0</v>
      </c>
      <c r="CO11" s="31">
        <f t="shared" si="63"/>
        <v>0</v>
      </c>
      <c r="CP11" s="33"/>
      <c r="CQ11" s="37" t="str">
        <f t="shared" si="14"/>
        <v/>
      </c>
    </row>
    <row r="12" spans="1:99" s="26" customFormat="1" ht="14.25" customHeight="1" thickBot="1" x14ac:dyDescent="0.25">
      <c r="A12" s="29" t="s">
        <v>36</v>
      </c>
      <c r="B12" s="30">
        <f t="shared" si="0"/>
        <v>37260</v>
      </c>
      <c r="C12" s="31">
        <f t="shared" si="0"/>
        <v>34581.006000000008</v>
      </c>
      <c r="D12" s="32">
        <f t="shared" si="0"/>
        <v>2678.9939999999992</v>
      </c>
      <c r="E12" s="30">
        <f t="shared" si="15"/>
        <v>12420</v>
      </c>
      <c r="F12" s="33">
        <f t="shared" si="15"/>
        <v>11527.002</v>
      </c>
      <c r="G12" s="34">
        <f t="shared" si="15"/>
        <v>892.99800000000005</v>
      </c>
      <c r="H12" s="31">
        <f t="shared" si="1"/>
        <v>19578.919170000001</v>
      </c>
      <c r="I12" s="33">
        <f t="shared" si="1"/>
        <v>1516.7808300000002</v>
      </c>
      <c r="J12" s="33">
        <f t="shared" si="1"/>
        <v>21095.699999999997</v>
      </c>
      <c r="K12" s="37">
        <f t="shared" si="2"/>
        <v>0.69852657004830898</v>
      </c>
      <c r="L12" s="36">
        <f>[1]IG!$E12</f>
        <v>3105</v>
      </c>
      <c r="M12" s="31">
        <f t="shared" si="16"/>
        <v>2881.7505000000001</v>
      </c>
      <c r="N12" s="31">
        <f t="shared" si="17"/>
        <v>223.24950000000001</v>
      </c>
      <c r="O12" s="31">
        <f t="shared" si="18"/>
        <v>2686.7566900000002</v>
      </c>
      <c r="P12" s="31">
        <f t="shared" si="19"/>
        <v>208.14331000000001</v>
      </c>
      <c r="Q12" s="31">
        <f>2894.9</f>
        <v>2894.9</v>
      </c>
      <c r="R12" s="31">
        <f t="shared" si="3"/>
        <v>-6.766505636070852E-2</v>
      </c>
      <c r="S12" s="31">
        <f>[1]IG!$F12</f>
        <v>3105</v>
      </c>
      <c r="T12" s="31">
        <f t="shared" si="20"/>
        <v>2881.7505000000001</v>
      </c>
      <c r="U12" s="31">
        <f t="shared" si="21"/>
        <v>223.24950000000001</v>
      </c>
      <c r="V12" s="31">
        <f t="shared" si="22"/>
        <v>0</v>
      </c>
      <c r="W12" s="31">
        <f t="shared" si="23"/>
        <v>0</v>
      </c>
      <c r="X12" s="31"/>
      <c r="Y12" s="31">
        <f t="shared" si="4"/>
        <v>-1</v>
      </c>
      <c r="Z12" s="31">
        <f>[1]IG!$G12</f>
        <v>3105</v>
      </c>
      <c r="AA12" s="31">
        <f t="shared" si="24"/>
        <v>2881.7505000000001</v>
      </c>
      <c r="AB12" s="31">
        <f t="shared" si="25"/>
        <v>223.24950000000001</v>
      </c>
      <c r="AC12" s="31">
        <f t="shared" si="26"/>
        <v>2879.6622750000001</v>
      </c>
      <c r="AD12" s="31">
        <f t="shared" si="27"/>
        <v>223.08772500000001</v>
      </c>
      <c r="AE12" s="31">
        <f>3102.75</f>
        <v>3102.75</v>
      </c>
      <c r="AF12" s="31">
        <f t="shared" si="5"/>
        <v>-7.246376811593791E-4</v>
      </c>
      <c r="AG12" s="31">
        <f>[1]IG!$H12</f>
        <v>3105</v>
      </c>
      <c r="AH12" s="31">
        <f t="shared" si="28"/>
        <v>2881.7505000000001</v>
      </c>
      <c r="AI12" s="31">
        <f t="shared" si="29"/>
        <v>223.24950000000001</v>
      </c>
      <c r="AJ12" s="31">
        <f t="shared" si="30"/>
        <v>5566.4189649999998</v>
      </c>
      <c r="AK12" s="31">
        <f t="shared" si="31"/>
        <v>431.23103500000002</v>
      </c>
      <c r="AL12" s="31">
        <f>3102.75+2894.9</f>
        <v>5997.65</v>
      </c>
      <c r="AM12" s="31">
        <f t="shared" si="6"/>
        <v>0.93161030595813199</v>
      </c>
      <c r="AN12" s="31">
        <f>[1]IG!$I12</f>
        <v>3105</v>
      </c>
      <c r="AO12" s="31">
        <f t="shared" si="32"/>
        <v>2881.7505000000001</v>
      </c>
      <c r="AP12" s="31">
        <f t="shared" si="33"/>
        <v>223.24950000000001</v>
      </c>
      <c r="AQ12" s="31">
        <f t="shared" si="34"/>
        <v>5566.4189649999998</v>
      </c>
      <c r="AR12" s="31">
        <f t="shared" si="35"/>
        <v>431.23103500000002</v>
      </c>
      <c r="AS12" s="33">
        <v>5997.65</v>
      </c>
      <c r="AT12" s="37">
        <f t="shared" si="7"/>
        <v>0.93161030595813199</v>
      </c>
      <c r="AU12" s="36">
        <f>[1]IG!$J12</f>
        <v>3105</v>
      </c>
      <c r="AV12" s="31">
        <f t="shared" si="36"/>
        <v>2881.7505000000001</v>
      </c>
      <c r="AW12" s="18">
        <f t="shared" si="37"/>
        <v>223.24950000000001</v>
      </c>
      <c r="AX12" s="31">
        <f t="shared" si="38"/>
        <v>2879.6622750000001</v>
      </c>
      <c r="AY12" s="31">
        <f t="shared" si="39"/>
        <v>223.08772500000001</v>
      </c>
      <c r="AZ12" s="33">
        <v>3102.75</v>
      </c>
      <c r="BA12" s="37">
        <f t="shared" si="8"/>
        <v>-7.246376811593791E-4</v>
      </c>
      <c r="BB12" s="36">
        <f>[1]IG!$K12</f>
        <v>3105</v>
      </c>
      <c r="BC12" s="31">
        <f t="shared" si="40"/>
        <v>2881.7505000000001</v>
      </c>
      <c r="BD12" s="18">
        <f t="shared" si="41"/>
        <v>223.24950000000001</v>
      </c>
      <c r="BE12" s="31">
        <f t="shared" si="42"/>
        <v>0</v>
      </c>
      <c r="BF12" s="31">
        <f t="shared" si="43"/>
        <v>0</v>
      </c>
      <c r="BG12" s="33"/>
      <c r="BH12" s="37">
        <f t="shared" si="9"/>
        <v>-1</v>
      </c>
      <c r="BI12" s="36">
        <f>[1]IG!$L12</f>
        <v>3105</v>
      </c>
      <c r="BJ12" s="31">
        <f t="shared" si="44"/>
        <v>2881.7505000000001</v>
      </c>
      <c r="BK12" s="18">
        <f t="shared" si="45"/>
        <v>223.24950000000001</v>
      </c>
      <c r="BL12" s="31">
        <f t="shared" si="46"/>
        <v>0</v>
      </c>
      <c r="BM12" s="31">
        <f t="shared" si="47"/>
        <v>0</v>
      </c>
      <c r="BN12" s="33"/>
      <c r="BO12" s="37">
        <f t="shared" si="10"/>
        <v>-1</v>
      </c>
      <c r="BP12" s="36">
        <f>[1]IG!$M12</f>
        <v>3105</v>
      </c>
      <c r="BQ12" s="31">
        <f t="shared" si="48"/>
        <v>2881.7505000000001</v>
      </c>
      <c r="BR12" s="18">
        <f t="shared" si="49"/>
        <v>223.24950000000001</v>
      </c>
      <c r="BS12" s="31">
        <f t="shared" si="50"/>
        <v>0</v>
      </c>
      <c r="BT12" s="31">
        <f t="shared" si="51"/>
        <v>0</v>
      </c>
      <c r="BU12" s="33"/>
      <c r="BV12" s="37">
        <f t="shared" si="11"/>
        <v>-1</v>
      </c>
      <c r="BW12" s="36">
        <f>[1]IG!$N12</f>
        <v>3105</v>
      </c>
      <c r="BX12" s="31">
        <f t="shared" si="52"/>
        <v>2881.7505000000001</v>
      </c>
      <c r="BY12" s="18">
        <f t="shared" si="53"/>
        <v>223.24950000000001</v>
      </c>
      <c r="BZ12" s="31">
        <f t="shared" si="54"/>
        <v>0</v>
      </c>
      <c r="CA12" s="31">
        <f t="shared" si="55"/>
        <v>0</v>
      </c>
      <c r="CB12" s="33"/>
      <c r="CC12" s="37">
        <f t="shared" si="12"/>
        <v>-1</v>
      </c>
      <c r="CD12" s="36">
        <f>[1]IG!$O12</f>
        <v>3105</v>
      </c>
      <c r="CE12" s="31">
        <f t="shared" si="56"/>
        <v>2881.7505000000001</v>
      </c>
      <c r="CF12" s="18">
        <f t="shared" si="57"/>
        <v>223.24950000000001</v>
      </c>
      <c r="CG12" s="31">
        <f t="shared" si="58"/>
        <v>0</v>
      </c>
      <c r="CH12" s="31">
        <f t="shared" si="59"/>
        <v>0</v>
      </c>
      <c r="CI12" s="33"/>
      <c r="CJ12" s="37">
        <f t="shared" si="13"/>
        <v>-1</v>
      </c>
      <c r="CK12" s="36">
        <f>[1]IG!$P12</f>
        <v>3105</v>
      </c>
      <c r="CL12" s="31">
        <f t="shared" si="60"/>
        <v>2881.7505000000001</v>
      </c>
      <c r="CM12" s="18">
        <f t="shared" si="61"/>
        <v>223.24950000000001</v>
      </c>
      <c r="CN12" s="31">
        <f t="shared" si="62"/>
        <v>0</v>
      </c>
      <c r="CO12" s="31">
        <f t="shared" si="63"/>
        <v>0</v>
      </c>
      <c r="CP12" s="33"/>
      <c r="CQ12" s="37">
        <f t="shared" si="14"/>
        <v>-1</v>
      </c>
    </row>
    <row r="13" spans="1:99" s="26" customFormat="1" ht="16" customHeight="1" thickBot="1" x14ac:dyDescent="0.25">
      <c r="A13" s="38" t="s">
        <v>37</v>
      </c>
      <c r="B13" s="30">
        <f t="shared" si="0"/>
        <v>240000</v>
      </c>
      <c r="C13" s="31">
        <f t="shared" si="0"/>
        <v>222744</v>
      </c>
      <c r="D13" s="32">
        <f t="shared" si="0"/>
        <v>17256</v>
      </c>
      <c r="E13" s="30">
        <f t="shared" si="15"/>
        <v>80000</v>
      </c>
      <c r="F13" s="33">
        <f t="shared" si="15"/>
        <v>74248</v>
      </c>
      <c r="G13" s="34">
        <f t="shared" si="15"/>
        <v>5752</v>
      </c>
      <c r="H13" s="31">
        <f t="shared" si="1"/>
        <v>449871.91747400002</v>
      </c>
      <c r="I13" s="33">
        <f t="shared" si="1"/>
        <v>34851.622525999999</v>
      </c>
      <c r="J13" s="33">
        <f t="shared" si="1"/>
        <v>484723.54</v>
      </c>
      <c r="K13" s="37">
        <f t="shared" si="2"/>
        <v>5.0590442499999995</v>
      </c>
      <c r="L13" s="36">
        <f>[1]IG!$E13</f>
        <v>20000</v>
      </c>
      <c r="M13" s="31">
        <f t="shared" si="16"/>
        <v>18562</v>
      </c>
      <c r="N13" s="31">
        <f t="shared" si="17"/>
        <v>1438</v>
      </c>
      <c r="O13" s="31">
        <f t="shared" si="18"/>
        <v>24362.328008</v>
      </c>
      <c r="P13" s="31">
        <f t="shared" si="19"/>
        <v>1887.3519920000001</v>
      </c>
      <c r="Q13" s="31">
        <f>26249.68</f>
        <v>26249.68</v>
      </c>
      <c r="R13" s="31">
        <f t="shared" si="3"/>
        <v>0.31248399999999998</v>
      </c>
      <c r="S13" s="31">
        <f>[1]IG!$F13</f>
        <v>20000</v>
      </c>
      <c r="T13" s="31">
        <f t="shared" si="20"/>
        <v>18562</v>
      </c>
      <c r="U13" s="31">
        <f t="shared" si="21"/>
        <v>1438</v>
      </c>
      <c r="V13" s="31">
        <f t="shared" si="22"/>
        <v>104675.46150799999</v>
      </c>
      <c r="W13" s="31">
        <f t="shared" si="23"/>
        <v>8109.218492</v>
      </c>
      <c r="X13" s="31">
        <f>112784.68</f>
        <v>112784.68</v>
      </c>
      <c r="Y13" s="31">
        <f t="shared" si="4"/>
        <v>4.6392340000000001</v>
      </c>
      <c r="Z13" s="31">
        <f>[1]IG!$G13</f>
        <v>20000</v>
      </c>
      <c r="AA13" s="31">
        <f t="shared" si="24"/>
        <v>18562</v>
      </c>
      <c r="AB13" s="31">
        <f t="shared" si="25"/>
        <v>1438</v>
      </c>
      <c r="AC13" s="31">
        <f t="shared" si="26"/>
        <v>128388.65781400001</v>
      </c>
      <c r="AD13" s="31">
        <f t="shared" si="27"/>
        <v>9946.2821860000004</v>
      </c>
      <c r="AE13" s="31">
        <f>138334.94</f>
        <v>138334.94</v>
      </c>
      <c r="AF13" s="31">
        <f t="shared" si="5"/>
        <v>5.916747</v>
      </c>
      <c r="AG13" s="31">
        <f>[1]IG!$H13</f>
        <v>20000</v>
      </c>
      <c r="AH13" s="31">
        <f t="shared" si="28"/>
        <v>18562</v>
      </c>
      <c r="AI13" s="31">
        <f t="shared" si="29"/>
        <v>1438</v>
      </c>
      <c r="AJ13" s="31">
        <f t="shared" si="30"/>
        <v>49808.936684</v>
      </c>
      <c r="AK13" s="31">
        <f t="shared" si="31"/>
        <v>3858.7033160000001</v>
      </c>
      <c r="AL13" s="31">
        <f>53667.64</f>
        <v>53667.64</v>
      </c>
      <c r="AM13" s="31">
        <f t="shared" si="6"/>
        <v>1.6833819999999999</v>
      </c>
      <c r="AN13" s="31">
        <f>[1]IG!$I13</f>
        <v>20000</v>
      </c>
      <c r="AO13" s="31">
        <f t="shared" si="32"/>
        <v>18562</v>
      </c>
      <c r="AP13" s="31">
        <f t="shared" si="33"/>
        <v>1438</v>
      </c>
      <c r="AQ13" s="31">
        <f t="shared" si="34"/>
        <v>50794.439668999999</v>
      </c>
      <c r="AR13" s="31">
        <f t="shared" si="35"/>
        <v>3935.0503310000004</v>
      </c>
      <c r="AS13" s="33">
        <v>54729.49</v>
      </c>
      <c r="AT13" s="37">
        <f t="shared" si="7"/>
        <v>1.7364744999999999</v>
      </c>
      <c r="AU13" s="36">
        <f>[1]IG!$J13</f>
        <v>20000</v>
      </c>
      <c r="AV13" s="31">
        <f t="shared" si="36"/>
        <v>18562</v>
      </c>
      <c r="AW13" s="18">
        <f t="shared" si="37"/>
        <v>1438</v>
      </c>
      <c r="AX13" s="31">
        <f t="shared" si="38"/>
        <v>91842.093791000007</v>
      </c>
      <c r="AY13" s="31">
        <f t="shared" si="39"/>
        <v>7115.0162090000003</v>
      </c>
      <c r="AZ13" s="33">
        <v>98957.11</v>
      </c>
      <c r="BA13" s="37">
        <f t="shared" si="8"/>
        <v>3.9478555000000002</v>
      </c>
      <c r="BB13" s="36">
        <f>[1]IG!$K13</f>
        <v>20000</v>
      </c>
      <c r="BC13" s="31">
        <f t="shared" si="40"/>
        <v>18562</v>
      </c>
      <c r="BD13" s="18">
        <f t="shared" si="41"/>
        <v>1438</v>
      </c>
      <c r="BE13" s="31">
        <f t="shared" si="42"/>
        <v>0</v>
      </c>
      <c r="BF13" s="31">
        <f t="shared" si="43"/>
        <v>0</v>
      </c>
      <c r="BG13" s="33"/>
      <c r="BH13" s="37">
        <f t="shared" si="9"/>
        <v>-1</v>
      </c>
      <c r="BI13" s="36">
        <f>[1]IG!$L13</f>
        <v>20000</v>
      </c>
      <c r="BJ13" s="31">
        <f t="shared" si="44"/>
        <v>18562</v>
      </c>
      <c r="BK13" s="18">
        <f t="shared" si="45"/>
        <v>1438</v>
      </c>
      <c r="BL13" s="31">
        <f t="shared" si="46"/>
        <v>0</v>
      </c>
      <c r="BM13" s="31">
        <f t="shared" si="47"/>
        <v>0</v>
      </c>
      <c r="BN13" s="33"/>
      <c r="BO13" s="37">
        <f t="shared" si="10"/>
        <v>-1</v>
      </c>
      <c r="BP13" s="36">
        <f>[1]IG!$M13</f>
        <v>20000</v>
      </c>
      <c r="BQ13" s="31">
        <f t="shared" si="48"/>
        <v>18562</v>
      </c>
      <c r="BR13" s="18">
        <f t="shared" si="49"/>
        <v>1438</v>
      </c>
      <c r="BS13" s="31">
        <f t="shared" si="50"/>
        <v>0</v>
      </c>
      <c r="BT13" s="31">
        <f t="shared" si="51"/>
        <v>0</v>
      </c>
      <c r="BU13" s="33"/>
      <c r="BV13" s="37">
        <f t="shared" si="11"/>
        <v>-1</v>
      </c>
      <c r="BW13" s="36">
        <f>[1]IG!$N13</f>
        <v>20000</v>
      </c>
      <c r="BX13" s="31">
        <f t="shared" si="52"/>
        <v>18562</v>
      </c>
      <c r="BY13" s="18">
        <f t="shared" si="53"/>
        <v>1438</v>
      </c>
      <c r="BZ13" s="31">
        <f t="shared" si="54"/>
        <v>0</v>
      </c>
      <c r="CA13" s="31">
        <f t="shared" si="55"/>
        <v>0</v>
      </c>
      <c r="CB13" s="33"/>
      <c r="CC13" s="37">
        <f t="shared" si="12"/>
        <v>-1</v>
      </c>
      <c r="CD13" s="36">
        <f>[1]IG!$O13</f>
        <v>20000</v>
      </c>
      <c r="CE13" s="31">
        <f t="shared" si="56"/>
        <v>18562</v>
      </c>
      <c r="CF13" s="18">
        <f t="shared" si="57"/>
        <v>1438</v>
      </c>
      <c r="CG13" s="31">
        <f t="shared" si="58"/>
        <v>0</v>
      </c>
      <c r="CH13" s="31">
        <f t="shared" si="59"/>
        <v>0</v>
      </c>
      <c r="CI13" s="33"/>
      <c r="CJ13" s="37">
        <f t="shared" si="13"/>
        <v>-1</v>
      </c>
      <c r="CK13" s="36">
        <f>[1]IG!$P13</f>
        <v>20000</v>
      </c>
      <c r="CL13" s="31">
        <f t="shared" si="60"/>
        <v>18562</v>
      </c>
      <c r="CM13" s="18">
        <f t="shared" si="61"/>
        <v>1438</v>
      </c>
      <c r="CN13" s="31">
        <f t="shared" si="62"/>
        <v>0</v>
      </c>
      <c r="CO13" s="31">
        <f t="shared" si="63"/>
        <v>0</v>
      </c>
      <c r="CP13" s="33"/>
      <c r="CQ13" s="37">
        <f t="shared" si="14"/>
        <v>-1</v>
      </c>
    </row>
    <row r="14" spans="1:99" s="26" customFormat="1" ht="16" customHeight="1" thickBot="1" x14ac:dyDescent="0.25">
      <c r="A14" s="39" t="s">
        <v>38</v>
      </c>
      <c r="B14" s="30">
        <f t="shared" si="0"/>
        <v>71530.920000000013</v>
      </c>
      <c r="C14" s="31">
        <f t="shared" si="0"/>
        <v>66387.846852000017</v>
      </c>
      <c r="D14" s="32">
        <f t="shared" si="0"/>
        <v>5143.0731479999995</v>
      </c>
      <c r="E14" s="30">
        <f t="shared" si="15"/>
        <v>23843.64</v>
      </c>
      <c r="F14" s="33">
        <f t="shared" si="15"/>
        <v>22129.282284000001</v>
      </c>
      <c r="G14" s="34">
        <f t="shared" si="15"/>
        <v>1714.357716</v>
      </c>
      <c r="H14" s="31">
        <f t="shared" si="1"/>
        <v>47092.889158000005</v>
      </c>
      <c r="I14" s="33">
        <f t="shared" si="1"/>
        <v>3648.2908420000008</v>
      </c>
      <c r="J14" s="33">
        <f t="shared" si="1"/>
        <v>50741.180000000008</v>
      </c>
      <c r="K14" s="37">
        <f t="shared" si="2"/>
        <v>1.1280802763336473</v>
      </c>
      <c r="L14" s="36">
        <f>[1]IG!$E14</f>
        <v>5960.91</v>
      </c>
      <c r="M14" s="31">
        <f t="shared" si="16"/>
        <v>5532.3205710000002</v>
      </c>
      <c r="N14" s="31">
        <f t="shared" si="17"/>
        <v>428.589429</v>
      </c>
      <c r="O14" s="31">
        <f t="shared" si="18"/>
        <v>3939.2647639999996</v>
      </c>
      <c r="P14" s="31">
        <f t="shared" si="19"/>
        <v>305.17523599999998</v>
      </c>
      <c r="Q14" s="31">
        <f>4244.44</f>
        <v>4244.4399999999996</v>
      </c>
      <c r="R14" s="31">
        <f t="shared" si="3"/>
        <v>-0.28795435596242858</v>
      </c>
      <c r="S14" s="31">
        <f>[1]IG!$F14</f>
        <v>5960.91</v>
      </c>
      <c r="T14" s="31">
        <f t="shared" si="20"/>
        <v>5532.3205710000002</v>
      </c>
      <c r="U14" s="31">
        <f t="shared" si="21"/>
        <v>428.589429</v>
      </c>
      <c r="V14" s="31">
        <f t="shared" si="22"/>
        <v>17186.27737</v>
      </c>
      <c r="W14" s="31">
        <f t="shared" si="23"/>
        <v>1331.4226300000003</v>
      </c>
      <c r="X14" s="31">
        <v>18517.7</v>
      </c>
      <c r="Y14" s="31">
        <f t="shared" si="4"/>
        <v>2.1065223262891069</v>
      </c>
      <c r="Z14" s="31">
        <f>[1]IG!$G14</f>
        <v>5960.91</v>
      </c>
      <c r="AA14" s="31">
        <f t="shared" si="24"/>
        <v>5532.3205710000002</v>
      </c>
      <c r="AB14" s="31">
        <f t="shared" si="25"/>
        <v>428.589429</v>
      </c>
      <c r="AC14" s="31">
        <f t="shared" si="26"/>
        <v>5118.9448309999998</v>
      </c>
      <c r="AD14" s="31">
        <f t="shared" si="27"/>
        <v>396.56516900000003</v>
      </c>
      <c r="AE14" s="31">
        <f>5515.51</f>
        <v>5515.51</v>
      </c>
      <c r="AF14" s="31">
        <f t="shared" si="5"/>
        <v>-7.4720135012942612E-2</v>
      </c>
      <c r="AG14" s="31">
        <f>[1]IG!$H14</f>
        <v>5960.91</v>
      </c>
      <c r="AH14" s="31">
        <f t="shared" si="28"/>
        <v>5532.3205710000002</v>
      </c>
      <c r="AI14" s="31">
        <f t="shared" si="29"/>
        <v>428.589429</v>
      </c>
      <c r="AJ14" s="31">
        <f t="shared" si="30"/>
        <v>5584.8510310000001</v>
      </c>
      <c r="AK14" s="31">
        <f t="shared" si="31"/>
        <v>432.65896900000007</v>
      </c>
      <c r="AL14" s="31">
        <f>6017.51</f>
        <v>6017.51</v>
      </c>
      <c r="AM14" s="31">
        <f t="shared" si="6"/>
        <v>9.4951945256680492E-3</v>
      </c>
      <c r="AN14" s="31">
        <f>[1]IG!$I14</f>
        <v>5960.91</v>
      </c>
      <c r="AO14" s="31">
        <f t="shared" si="32"/>
        <v>5532.3205710000002</v>
      </c>
      <c r="AP14" s="31">
        <f t="shared" si="33"/>
        <v>428.589429</v>
      </c>
      <c r="AQ14" s="31">
        <f t="shared" si="34"/>
        <v>5745.4123310000004</v>
      </c>
      <c r="AR14" s="31">
        <f t="shared" si="35"/>
        <v>445.09766900000005</v>
      </c>
      <c r="AS14" s="33">
        <v>6190.51</v>
      </c>
      <c r="AT14" s="37">
        <f t="shared" si="7"/>
        <v>3.8517608888575694E-2</v>
      </c>
      <c r="AU14" s="36">
        <f>[1]IG!$J14</f>
        <v>5960.91</v>
      </c>
      <c r="AV14" s="31">
        <f t="shared" si="36"/>
        <v>5532.3205710000002</v>
      </c>
      <c r="AW14" s="18">
        <f t="shared" si="37"/>
        <v>428.589429</v>
      </c>
      <c r="AX14" s="31">
        <f t="shared" si="38"/>
        <v>9518.1388310000002</v>
      </c>
      <c r="AY14" s="31">
        <f t="shared" si="39"/>
        <v>737.37116900000012</v>
      </c>
      <c r="AZ14" s="33">
        <v>10255.51</v>
      </c>
      <c r="BA14" s="37">
        <f t="shared" si="8"/>
        <v>0.72046046660660878</v>
      </c>
      <c r="BB14" s="36">
        <f>[1]IG!$K14</f>
        <v>5960.91</v>
      </c>
      <c r="BC14" s="31">
        <f t="shared" si="40"/>
        <v>5532.3205710000002</v>
      </c>
      <c r="BD14" s="18">
        <f t="shared" si="41"/>
        <v>428.589429</v>
      </c>
      <c r="BE14" s="31">
        <f t="shared" si="42"/>
        <v>0</v>
      </c>
      <c r="BF14" s="31">
        <f t="shared" si="43"/>
        <v>0</v>
      </c>
      <c r="BG14" s="33"/>
      <c r="BH14" s="37">
        <f t="shared" si="9"/>
        <v>-1</v>
      </c>
      <c r="BI14" s="36">
        <f>[1]IG!$L14</f>
        <v>5960.91</v>
      </c>
      <c r="BJ14" s="31">
        <f t="shared" si="44"/>
        <v>5532.3205710000002</v>
      </c>
      <c r="BK14" s="18">
        <f t="shared" si="45"/>
        <v>428.589429</v>
      </c>
      <c r="BL14" s="31">
        <f t="shared" si="46"/>
        <v>0</v>
      </c>
      <c r="BM14" s="31">
        <f t="shared" si="47"/>
        <v>0</v>
      </c>
      <c r="BN14" s="33"/>
      <c r="BO14" s="37">
        <f t="shared" si="10"/>
        <v>-1</v>
      </c>
      <c r="BP14" s="36">
        <f>[1]IG!$M14</f>
        <v>5960.91</v>
      </c>
      <c r="BQ14" s="31">
        <f t="shared" si="48"/>
        <v>5532.3205710000002</v>
      </c>
      <c r="BR14" s="18">
        <f t="shared" si="49"/>
        <v>428.589429</v>
      </c>
      <c r="BS14" s="31">
        <f t="shared" si="50"/>
        <v>0</v>
      </c>
      <c r="BT14" s="31">
        <f t="shared" si="51"/>
        <v>0</v>
      </c>
      <c r="BU14" s="33"/>
      <c r="BV14" s="37">
        <f t="shared" si="11"/>
        <v>-1</v>
      </c>
      <c r="BW14" s="36">
        <f>[1]IG!$N14</f>
        <v>5960.91</v>
      </c>
      <c r="BX14" s="31">
        <f t="shared" si="52"/>
        <v>5532.3205710000002</v>
      </c>
      <c r="BY14" s="18">
        <f t="shared" si="53"/>
        <v>428.589429</v>
      </c>
      <c r="BZ14" s="31">
        <f t="shared" si="54"/>
        <v>0</v>
      </c>
      <c r="CA14" s="31">
        <f t="shared" si="55"/>
        <v>0</v>
      </c>
      <c r="CB14" s="33"/>
      <c r="CC14" s="37">
        <f t="shared" si="12"/>
        <v>-1</v>
      </c>
      <c r="CD14" s="36">
        <f>[1]IG!$O14</f>
        <v>5960.91</v>
      </c>
      <c r="CE14" s="31">
        <f t="shared" si="56"/>
        <v>5532.3205710000002</v>
      </c>
      <c r="CF14" s="18">
        <f t="shared" si="57"/>
        <v>428.589429</v>
      </c>
      <c r="CG14" s="31">
        <f t="shared" si="58"/>
        <v>0</v>
      </c>
      <c r="CH14" s="31">
        <f t="shared" si="59"/>
        <v>0</v>
      </c>
      <c r="CI14" s="33"/>
      <c r="CJ14" s="37">
        <f t="shared" si="13"/>
        <v>-1</v>
      </c>
      <c r="CK14" s="36">
        <f>[1]IG!$P14</f>
        <v>5960.91</v>
      </c>
      <c r="CL14" s="31">
        <f t="shared" si="60"/>
        <v>5532.3205710000002</v>
      </c>
      <c r="CM14" s="18">
        <f t="shared" si="61"/>
        <v>428.589429</v>
      </c>
      <c r="CN14" s="31">
        <f t="shared" si="62"/>
        <v>0</v>
      </c>
      <c r="CO14" s="31">
        <f t="shared" si="63"/>
        <v>0</v>
      </c>
      <c r="CP14" s="33"/>
      <c r="CQ14" s="37">
        <f t="shared" si="14"/>
        <v>-1</v>
      </c>
    </row>
    <row r="15" spans="1:99" s="26" customFormat="1" ht="16" customHeight="1" thickBot="1" x14ac:dyDescent="0.25">
      <c r="A15" s="38" t="s">
        <v>39</v>
      </c>
      <c r="B15" s="30">
        <f t="shared" si="0"/>
        <v>174557.5</v>
      </c>
      <c r="C15" s="31">
        <f t="shared" si="0"/>
        <v>162006.81575000001</v>
      </c>
      <c r="D15" s="32">
        <f t="shared" si="0"/>
        <v>12550.684250000006</v>
      </c>
      <c r="E15" s="30">
        <f t="shared" si="15"/>
        <v>57810</v>
      </c>
      <c r="F15" s="33">
        <f t="shared" si="15"/>
        <v>53653.460999999996</v>
      </c>
      <c r="G15" s="34">
        <f t="shared" si="15"/>
        <v>4156.5390000000007</v>
      </c>
      <c r="H15" s="31">
        <f t="shared" si="1"/>
        <v>94384.317467999994</v>
      </c>
      <c r="I15" s="33">
        <f t="shared" si="1"/>
        <v>7311.9625319999996</v>
      </c>
      <c r="J15" s="33">
        <f t="shared" si="1"/>
        <v>101696.28</v>
      </c>
      <c r="K15" s="37">
        <f t="shared" si="2"/>
        <v>0.75914686040477419</v>
      </c>
      <c r="L15" s="36">
        <f>[1]IG!$E15</f>
        <v>14452.5</v>
      </c>
      <c r="M15" s="40">
        <f t="shared" si="16"/>
        <v>13413.365249999999</v>
      </c>
      <c r="N15" s="40">
        <f t="shared" si="17"/>
        <v>1039.1347500000002</v>
      </c>
      <c r="O15" s="40">
        <f t="shared" si="18"/>
        <v>12018.737223</v>
      </c>
      <c r="P15" s="40">
        <f t="shared" si="19"/>
        <v>931.09277700000007</v>
      </c>
      <c r="Q15" s="40">
        <f>992.25+21372.07-(15.24+9399.25)</f>
        <v>12949.83</v>
      </c>
      <c r="R15" s="40">
        <f t="shared" si="3"/>
        <v>-0.10397301504929946</v>
      </c>
      <c r="S15" s="40">
        <f>[1]IG!$F15</f>
        <v>14452.5</v>
      </c>
      <c r="T15" s="40">
        <f t="shared" si="20"/>
        <v>13413.365249999999</v>
      </c>
      <c r="U15" s="40">
        <f t="shared" si="21"/>
        <v>1039.1347500000002</v>
      </c>
      <c r="V15" s="40">
        <f t="shared" si="22"/>
        <v>11973.752215999986</v>
      </c>
      <c r="W15" s="40">
        <f t="shared" si="23"/>
        <v>927.60778399999901</v>
      </c>
      <c r="X15" s="40">
        <f>1003.76+126060.27-(34182.46+79980.21)</f>
        <v>12901.359999999986</v>
      </c>
      <c r="Y15" s="40">
        <f t="shared" si="4"/>
        <v>-0.10732676007611242</v>
      </c>
      <c r="Z15" s="40">
        <f>[1]IG!$G15</f>
        <v>14452.5</v>
      </c>
      <c r="AA15" s="40">
        <f t="shared" si="24"/>
        <v>13413.365249999999</v>
      </c>
      <c r="AB15" s="40">
        <f t="shared" si="25"/>
        <v>1039.1347500000002</v>
      </c>
      <c r="AC15" s="40">
        <f t="shared" si="26"/>
        <v>17937.138113000001</v>
      </c>
      <c r="AD15" s="40">
        <f t="shared" si="27"/>
        <v>1389.591887</v>
      </c>
      <c r="AE15" s="40">
        <f>992.25+18334.48</f>
        <v>19326.73</v>
      </c>
      <c r="AF15" s="40">
        <f t="shared" si="5"/>
        <v>0.33725860577754707</v>
      </c>
      <c r="AG15" s="40">
        <f>[1]IG!$H15</f>
        <v>14452.5</v>
      </c>
      <c r="AH15" s="40">
        <f t="shared" si="28"/>
        <v>13413.365249999999</v>
      </c>
      <c r="AI15" s="40">
        <f t="shared" si="29"/>
        <v>1039.1347500000002</v>
      </c>
      <c r="AJ15" s="40">
        <f t="shared" si="30"/>
        <v>21173.014449000002</v>
      </c>
      <c r="AK15" s="40">
        <f t="shared" si="31"/>
        <v>1640.2755510000002</v>
      </c>
      <c r="AL15" s="40">
        <f>999.59+21813.7</f>
        <v>22813.29</v>
      </c>
      <c r="AM15" s="40">
        <f t="shared" si="6"/>
        <v>0.57850129735339917</v>
      </c>
      <c r="AN15" s="40">
        <f>[1]IG!$I15</f>
        <v>14452.5</v>
      </c>
      <c r="AO15" s="40">
        <f t="shared" si="32"/>
        <v>13413.365249999999</v>
      </c>
      <c r="AP15" s="40">
        <f t="shared" si="33"/>
        <v>1039.1347500000002</v>
      </c>
      <c r="AQ15" s="40">
        <f t="shared" si="34"/>
        <v>16991.571271000001</v>
      </c>
      <c r="AR15" s="40">
        <f t="shared" si="35"/>
        <v>1316.3387290000001</v>
      </c>
      <c r="AS15" s="115">
        <v>18307.91</v>
      </c>
      <c r="AT15" s="37">
        <f t="shared" si="7"/>
        <v>0.26676422764227636</v>
      </c>
      <c r="AU15" s="36">
        <f>[1]IG!$J15</f>
        <v>14452.5</v>
      </c>
      <c r="AV15" s="40">
        <f t="shared" si="36"/>
        <v>13413.365249999999</v>
      </c>
      <c r="AW15" s="18">
        <f t="shared" si="37"/>
        <v>1039.1347500000002</v>
      </c>
      <c r="AX15" s="40">
        <f t="shared" si="38"/>
        <v>14290.104196</v>
      </c>
      <c r="AY15" s="40">
        <f t="shared" si="39"/>
        <v>1107.0558040000001</v>
      </c>
      <c r="AZ15" s="115">
        <v>15397.16</v>
      </c>
      <c r="BA15" s="37">
        <f t="shared" si="8"/>
        <v>6.5363085971285262E-2</v>
      </c>
      <c r="BB15" s="36">
        <f>[1]IG!$K15</f>
        <v>15580</v>
      </c>
      <c r="BC15" s="40">
        <f t="shared" si="40"/>
        <v>14459.798000000001</v>
      </c>
      <c r="BD15" s="18">
        <f t="shared" si="41"/>
        <v>1120.202</v>
      </c>
      <c r="BE15" s="40">
        <f t="shared" si="42"/>
        <v>0</v>
      </c>
      <c r="BF15" s="40">
        <f t="shared" si="43"/>
        <v>0</v>
      </c>
      <c r="BG15" s="115"/>
      <c r="BH15" s="37">
        <f t="shared" si="9"/>
        <v>-1</v>
      </c>
      <c r="BI15" s="36">
        <f>[1]IG!$L15</f>
        <v>14452.5</v>
      </c>
      <c r="BJ15" s="40">
        <f t="shared" si="44"/>
        <v>13413.365249999999</v>
      </c>
      <c r="BK15" s="18">
        <f t="shared" si="45"/>
        <v>1039.1347500000002</v>
      </c>
      <c r="BL15" s="40">
        <f t="shared" si="46"/>
        <v>0</v>
      </c>
      <c r="BM15" s="40">
        <f t="shared" si="47"/>
        <v>0</v>
      </c>
      <c r="BN15" s="115"/>
      <c r="BO15" s="37">
        <f t="shared" si="10"/>
        <v>-1</v>
      </c>
      <c r="BP15" s="36">
        <f>[1]IG!$M15</f>
        <v>14452.5</v>
      </c>
      <c r="BQ15" s="40">
        <f t="shared" si="48"/>
        <v>13413.365249999999</v>
      </c>
      <c r="BR15" s="18">
        <f t="shared" si="49"/>
        <v>1039.1347500000002</v>
      </c>
      <c r="BS15" s="40">
        <f t="shared" si="50"/>
        <v>0</v>
      </c>
      <c r="BT15" s="40">
        <f t="shared" si="51"/>
        <v>0</v>
      </c>
      <c r="BU15" s="115"/>
      <c r="BV15" s="37">
        <f t="shared" si="11"/>
        <v>-1</v>
      </c>
      <c r="BW15" s="36">
        <f>[1]IG!$N15</f>
        <v>14452.5</v>
      </c>
      <c r="BX15" s="40">
        <f t="shared" si="52"/>
        <v>13413.365249999999</v>
      </c>
      <c r="BY15" s="18">
        <f t="shared" si="53"/>
        <v>1039.1347500000002</v>
      </c>
      <c r="BZ15" s="40">
        <f t="shared" si="54"/>
        <v>0</v>
      </c>
      <c r="CA15" s="40">
        <f t="shared" si="55"/>
        <v>0</v>
      </c>
      <c r="CB15" s="115"/>
      <c r="CC15" s="37">
        <f t="shared" si="12"/>
        <v>-1</v>
      </c>
      <c r="CD15" s="36">
        <f>[1]IG!$O15</f>
        <v>14452.5</v>
      </c>
      <c r="CE15" s="40">
        <f t="shared" si="56"/>
        <v>13413.365249999999</v>
      </c>
      <c r="CF15" s="18">
        <f t="shared" si="57"/>
        <v>1039.1347500000002</v>
      </c>
      <c r="CG15" s="40">
        <f t="shared" si="58"/>
        <v>0</v>
      </c>
      <c r="CH15" s="40">
        <f t="shared" si="59"/>
        <v>0</v>
      </c>
      <c r="CI15" s="115"/>
      <c r="CJ15" s="37">
        <f t="shared" si="13"/>
        <v>-1</v>
      </c>
      <c r="CK15" s="36">
        <f>[1]IG!$P15</f>
        <v>14452.5</v>
      </c>
      <c r="CL15" s="40">
        <f t="shared" si="60"/>
        <v>13413.365249999999</v>
      </c>
      <c r="CM15" s="18">
        <f t="shared" si="61"/>
        <v>1039.1347500000002</v>
      </c>
      <c r="CN15" s="40">
        <f t="shared" si="62"/>
        <v>0</v>
      </c>
      <c r="CO15" s="40">
        <f t="shared" si="63"/>
        <v>0</v>
      </c>
      <c r="CP15" s="115"/>
      <c r="CQ15" s="37">
        <f t="shared" si="14"/>
        <v>-1</v>
      </c>
    </row>
    <row r="16" spans="1:99" s="26" customFormat="1" ht="16" customHeight="1" thickBot="1" x14ac:dyDescent="0.25">
      <c r="A16" s="29" t="s">
        <v>40</v>
      </c>
      <c r="B16" s="30">
        <f t="shared" si="0"/>
        <v>30000</v>
      </c>
      <c r="C16" s="31">
        <f t="shared" si="0"/>
        <v>27843</v>
      </c>
      <c r="D16" s="32">
        <f t="shared" si="0"/>
        <v>2157</v>
      </c>
      <c r="E16" s="30">
        <f t="shared" si="15"/>
        <v>10000</v>
      </c>
      <c r="F16" s="33">
        <f t="shared" si="15"/>
        <v>9281</v>
      </c>
      <c r="G16" s="34">
        <f t="shared" si="15"/>
        <v>719</v>
      </c>
      <c r="H16" s="31">
        <f t="shared" si="1"/>
        <v>15898.649991999999</v>
      </c>
      <c r="I16" s="33">
        <f t="shared" si="1"/>
        <v>1231.6700080000001</v>
      </c>
      <c r="J16" s="33">
        <f t="shared" si="1"/>
        <v>17130.32</v>
      </c>
      <c r="K16" s="37">
        <f t="shared" si="2"/>
        <v>0.71303199999999989</v>
      </c>
      <c r="L16" s="36">
        <f>[1]IG!$E16</f>
        <v>2500</v>
      </c>
      <c r="M16" s="31">
        <f t="shared" si="16"/>
        <v>2320.25</v>
      </c>
      <c r="N16" s="31">
        <f t="shared" si="17"/>
        <v>179.75</v>
      </c>
      <c r="O16" s="31">
        <f t="shared" si="18"/>
        <v>2709.4023300000003</v>
      </c>
      <c r="P16" s="31">
        <f t="shared" si="19"/>
        <v>209.89767000000003</v>
      </c>
      <c r="Q16" s="31">
        <f>2919.3</f>
        <v>2919.3</v>
      </c>
      <c r="R16" s="31">
        <f t="shared" si="3"/>
        <v>0.16772000000000009</v>
      </c>
      <c r="S16" s="31">
        <f>[1]IG!$F16</f>
        <v>2500</v>
      </c>
      <c r="T16" s="31">
        <f t="shared" si="20"/>
        <v>2320.25</v>
      </c>
      <c r="U16" s="31">
        <f t="shared" si="21"/>
        <v>179.75</v>
      </c>
      <c r="V16" s="31">
        <f t="shared" si="22"/>
        <v>4807.6508100000001</v>
      </c>
      <c r="W16" s="31">
        <f t="shared" si="23"/>
        <v>372.44919000000004</v>
      </c>
      <c r="X16" s="31">
        <f>5180.1</f>
        <v>5180.1000000000004</v>
      </c>
      <c r="Y16" s="31">
        <f t="shared" si="4"/>
        <v>1.0720400000000003</v>
      </c>
      <c r="Z16" s="31">
        <f>[1]IG!$G16</f>
        <v>2500</v>
      </c>
      <c r="AA16" s="31">
        <f t="shared" si="24"/>
        <v>2320.25</v>
      </c>
      <c r="AB16" s="31">
        <f t="shared" si="25"/>
        <v>179.75</v>
      </c>
      <c r="AC16" s="31">
        <f t="shared" si="26"/>
        <v>98.397161999999994</v>
      </c>
      <c r="AD16" s="31">
        <f t="shared" si="27"/>
        <v>7.6228380000000007</v>
      </c>
      <c r="AE16" s="31">
        <f>106.02</f>
        <v>106.02</v>
      </c>
      <c r="AF16" s="31">
        <f t="shared" si="5"/>
        <v>-0.957592</v>
      </c>
      <c r="AG16" s="31">
        <f>[1]IG!$H16</f>
        <v>2500</v>
      </c>
      <c r="AH16" s="31">
        <f t="shared" si="28"/>
        <v>2320.25</v>
      </c>
      <c r="AI16" s="31">
        <f t="shared" si="29"/>
        <v>179.75</v>
      </c>
      <c r="AJ16" s="31">
        <f t="shared" si="30"/>
        <v>5020.1578669999999</v>
      </c>
      <c r="AK16" s="31">
        <f t="shared" si="31"/>
        <v>388.91213299999998</v>
      </c>
      <c r="AL16" s="31">
        <f>5409.07</f>
        <v>5409.07</v>
      </c>
      <c r="AM16" s="31">
        <f t="shared" si="6"/>
        <v>1.1636279999999997</v>
      </c>
      <c r="AN16" s="31">
        <f>[1]IG!$I16</f>
        <v>2500</v>
      </c>
      <c r="AO16" s="31">
        <f t="shared" si="32"/>
        <v>2320.25</v>
      </c>
      <c r="AP16" s="31">
        <f t="shared" si="33"/>
        <v>179.75</v>
      </c>
      <c r="AQ16" s="31">
        <f t="shared" si="34"/>
        <v>3164.7931569999996</v>
      </c>
      <c r="AR16" s="31">
        <f t="shared" si="35"/>
        <v>245.17684299999999</v>
      </c>
      <c r="AS16" s="33">
        <v>3409.97</v>
      </c>
      <c r="AT16" s="37">
        <f t="shared" si="7"/>
        <v>0.36398799999999998</v>
      </c>
      <c r="AU16" s="36">
        <f>[1]IG!$J16</f>
        <v>2500</v>
      </c>
      <c r="AV16" s="31">
        <f t="shared" si="36"/>
        <v>2320.25</v>
      </c>
      <c r="AW16" s="18">
        <f t="shared" si="37"/>
        <v>179.75</v>
      </c>
      <c r="AX16" s="31">
        <f t="shared" si="38"/>
        <v>98.248666</v>
      </c>
      <c r="AY16" s="31">
        <f t="shared" si="39"/>
        <v>7.6113340000000003</v>
      </c>
      <c r="AZ16" s="33">
        <v>105.86</v>
      </c>
      <c r="BA16" s="37">
        <f t="shared" si="8"/>
        <v>-0.95765599999999995</v>
      </c>
      <c r="BB16" s="36">
        <f>[1]IG!$K16</f>
        <v>2500</v>
      </c>
      <c r="BC16" s="31">
        <f t="shared" si="40"/>
        <v>2320.25</v>
      </c>
      <c r="BD16" s="18">
        <f t="shared" si="41"/>
        <v>179.75</v>
      </c>
      <c r="BE16" s="31">
        <f t="shared" si="42"/>
        <v>0</v>
      </c>
      <c r="BF16" s="31">
        <f t="shared" si="43"/>
        <v>0</v>
      </c>
      <c r="BG16" s="33"/>
      <c r="BH16" s="37">
        <f t="shared" si="9"/>
        <v>-1</v>
      </c>
      <c r="BI16" s="36">
        <f>[1]IG!$L16</f>
        <v>2500</v>
      </c>
      <c r="BJ16" s="31">
        <f t="shared" si="44"/>
        <v>2320.25</v>
      </c>
      <c r="BK16" s="18">
        <f t="shared" si="45"/>
        <v>179.75</v>
      </c>
      <c r="BL16" s="31">
        <f t="shared" si="46"/>
        <v>0</v>
      </c>
      <c r="BM16" s="31">
        <f t="shared" si="47"/>
        <v>0</v>
      </c>
      <c r="BN16" s="33"/>
      <c r="BO16" s="37">
        <f t="shared" si="10"/>
        <v>-1</v>
      </c>
      <c r="BP16" s="36">
        <f>[1]IG!$M16</f>
        <v>2500</v>
      </c>
      <c r="BQ16" s="31">
        <f t="shared" si="48"/>
        <v>2320.25</v>
      </c>
      <c r="BR16" s="18">
        <f t="shared" si="49"/>
        <v>179.75</v>
      </c>
      <c r="BS16" s="31">
        <f t="shared" si="50"/>
        <v>0</v>
      </c>
      <c r="BT16" s="31">
        <f t="shared" si="51"/>
        <v>0</v>
      </c>
      <c r="BU16" s="33"/>
      <c r="BV16" s="37">
        <f t="shared" si="11"/>
        <v>-1</v>
      </c>
      <c r="BW16" s="36">
        <f>[1]IG!$N16</f>
        <v>2500</v>
      </c>
      <c r="BX16" s="31">
        <f t="shared" si="52"/>
        <v>2320.25</v>
      </c>
      <c r="BY16" s="18">
        <f t="shared" si="53"/>
        <v>179.75</v>
      </c>
      <c r="BZ16" s="31">
        <f t="shared" si="54"/>
        <v>0</v>
      </c>
      <c r="CA16" s="31">
        <f t="shared" si="55"/>
        <v>0</v>
      </c>
      <c r="CB16" s="33"/>
      <c r="CC16" s="37">
        <f t="shared" si="12"/>
        <v>-1</v>
      </c>
      <c r="CD16" s="36">
        <f>[1]IG!$O16</f>
        <v>2500</v>
      </c>
      <c r="CE16" s="31">
        <f t="shared" si="56"/>
        <v>2320.25</v>
      </c>
      <c r="CF16" s="18">
        <f t="shared" si="57"/>
        <v>179.75</v>
      </c>
      <c r="CG16" s="31">
        <f t="shared" si="58"/>
        <v>0</v>
      </c>
      <c r="CH16" s="31">
        <f t="shared" si="59"/>
        <v>0</v>
      </c>
      <c r="CI16" s="33"/>
      <c r="CJ16" s="37">
        <f t="shared" si="13"/>
        <v>-1</v>
      </c>
      <c r="CK16" s="36">
        <f>[1]IG!$P16</f>
        <v>2500</v>
      </c>
      <c r="CL16" s="31">
        <f t="shared" si="60"/>
        <v>2320.25</v>
      </c>
      <c r="CM16" s="18">
        <f t="shared" si="61"/>
        <v>179.75</v>
      </c>
      <c r="CN16" s="31">
        <f t="shared" si="62"/>
        <v>0</v>
      </c>
      <c r="CO16" s="31">
        <f t="shared" si="63"/>
        <v>0</v>
      </c>
      <c r="CP16" s="33"/>
      <c r="CQ16" s="37">
        <f t="shared" si="14"/>
        <v>-1</v>
      </c>
    </row>
    <row r="17" spans="1:95" s="26" customFormat="1" ht="16" customHeight="1" thickBot="1" x14ac:dyDescent="0.25">
      <c r="A17" s="38" t="s">
        <v>41</v>
      </c>
      <c r="B17" s="30">
        <f t="shared" si="0"/>
        <v>927288</v>
      </c>
      <c r="C17" s="31">
        <f t="shared" si="0"/>
        <v>860615.99279999977</v>
      </c>
      <c r="D17" s="32">
        <f t="shared" si="0"/>
        <v>66672.007200000007</v>
      </c>
      <c r="E17" s="30">
        <f t="shared" si="15"/>
        <v>309096</v>
      </c>
      <c r="F17" s="33">
        <f t="shared" si="15"/>
        <v>286871.9976</v>
      </c>
      <c r="G17" s="34">
        <f t="shared" si="15"/>
        <v>22224.002400000001</v>
      </c>
      <c r="H17" s="31">
        <f t="shared" si="1"/>
        <v>541711.57964300003</v>
      </c>
      <c r="I17" s="33">
        <f t="shared" si="1"/>
        <v>41966.450357000002</v>
      </c>
      <c r="J17" s="33">
        <f t="shared" si="1"/>
        <v>583678.03</v>
      </c>
      <c r="K17" s="37">
        <f t="shared" si="2"/>
        <v>0.88833899500478819</v>
      </c>
      <c r="L17" s="36">
        <f>[1]IG!$E17</f>
        <v>77274</v>
      </c>
      <c r="M17" s="31">
        <f t="shared" si="16"/>
        <v>71717.999400000001</v>
      </c>
      <c r="N17" s="31">
        <f t="shared" si="17"/>
        <v>5556.0006000000003</v>
      </c>
      <c r="O17" s="31">
        <f t="shared" si="18"/>
        <v>92806.955832000007</v>
      </c>
      <c r="P17" s="31">
        <f t="shared" si="19"/>
        <v>7189.7641680000006</v>
      </c>
      <c r="Q17" s="31">
        <f>80737.99+(7440.39+5726.14+5920.52+171.68)</f>
        <v>99996.72</v>
      </c>
      <c r="R17" s="31">
        <f t="shared" si="3"/>
        <v>0.29405388617128669</v>
      </c>
      <c r="S17" s="31">
        <f>[1]IG!$F17</f>
        <v>77274</v>
      </c>
      <c r="T17" s="31">
        <f t="shared" si="20"/>
        <v>71717.999400000001</v>
      </c>
      <c r="U17" s="31">
        <f t="shared" si="21"/>
        <v>5556.0006000000003</v>
      </c>
      <c r="V17" s="31">
        <f t="shared" si="22"/>
        <v>40637.805161999997</v>
      </c>
      <c r="W17" s="31">
        <f t="shared" si="23"/>
        <v>3148.2148379999999</v>
      </c>
      <c r="X17" s="31">
        <v>43786.02</v>
      </c>
      <c r="Y17" s="31">
        <f t="shared" si="4"/>
        <v>-0.43336672101871265</v>
      </c>
      <c r="Z17" s="31">
        <f>[1]IG!$G17</f>
        <v>77274</v>
      </c>
      <c r="AA17" s="31">
        <f t="shared" si="24"/>
        <v>71717.999400000001</v>
      </c>
      <c r="AB17" s="31">
        <f t="shared" si="25"/>
        <v>5556.0006000000003</v>
      </c>
      <c r="AC17" s="31">
        <f t="shared" si="26"/>
        <v>83960.585061999998</v>
      </c>
      <c r="AD17" s="31">
        <f t="shared" si="27"/>
        <v>6504.4349380000012</v>
      </c>
      <c r="AE17" s="31">
        <v>90465.02</v>
      </c>
      <c r="AF17" s="31">
        <f t="shared" si="5"/>
        <v>0.17070450604343002</v>
      </c>
      <c r="AG17" s="31">
        <f>[1]IG!$H17</f>
        <v>77274</v>
      </c>
      <c r="AH17" s="31">
        <f t="shared" si="28"/>
        <v>71717.999400000001</v>
      </c>
      <c r="AI17" s="31">
        <f t="shared" si="29"/>
        <v>5556.0006000000003</v>
      </c>
      <c r="AJ17" s="31">
        <f t="shared" si="30"/>
        <v>127890.42589099999</v>
      </c>
      <c r="AK17" s="31">
        <f t="shared" si="31"/>
        <v>9907.6841089999998</v>
      </c>
      <c r="AL17" s="31">
        <f>137798.11</f>
        <v>137798.10999999999</v>
      </c>
      <c r="AM17" s="31">
        <f t="shared" si="6"/>
        <v>0.78324028780702415</v>
      </c>
      <c r="AN17" s="31">
        <f>[1]IG!$I17</f>
        <v>77274</v>
      </c>
      <c r="AO17" s="31">
        <f t="shared" si="32"/>
        <v>71717.999400000001</v>
      </c>
      <c r="AP17" s="31">
        <f t="shared" si="33"/>
        <v>5556.0006000000003</v>
      </c>
      <c r="AQ17" s="31">
        <f t="shared" si="34"/>
        <v>94635.015839999993</v>
      </c>
      <c r="AR17" s="31">
        <f t="shared" si="35"/>
        <v>7331.3841600000005</v>
      </c>
      <c r="AS17" s="33">
        <v>101966.39999999999</v>
      </c>
      <c r="AT17" s="37">
        <f t="shared" si="7"/>
        <v>0.31954344281388303</v>
      </c>
      <c r="AU17" s="36">
        <f>[1]IG!$J17</f>
        <v>77274</v>
      </c>
      <c r="AV17" s="31">
        <f t="shared" si="36"/>
        <v>71717.999400000001</v>
      </c>
      <c r="AW17" s="18">
        <f t="shared" si="37"/>
        <v>5556.0006000000003</v>
      </c>
      <c r="AX17" s="31">
        <f t="shared" si="38"/>
        <v>101780.79185600001</v>
      </c>
      <c r="AY17" s="31">
        <f t="shared" si="39"/>
        <v>7884.9681440000013</v>
      </c>
      <c r="AZ17" s="27">
        <v>109665.76000000001</v>
      </c>
      <c r="BA17" s="37">
        <f t="shared" si="8"/>
        <v>0.41918057820224153</v>
      </c>
      <c r="BB17" s="36">
        <f>[1]IG!$K17</f>
        <v>77274</v>
      </c>
      <c r="BC17" s="31">
        <f t="shared" si="40"/>
        <v>71717.999400000001</v>
      </c>
      <c r="BD17" s="18">
        <f t="shared" si="41"/>
        <v>5556.0006000000003</v>
      </c>
      <c r="BE17" s="31">
        <f t="shared" si="42"/>
        <v>0</v>
      </c>
      <c r="BF17" s="31">
        <f t="shared" si="43"/>
        <v>0</v>
      </c>
      <c r="BG17" s="27"/>
      <c r="BH17" s="37">
        <f t="shared" si="9"/>
        <v>-1</v>
      </c>
      <c r="BI17" s="36">
        <f>[1]IG!$L17</f>
        <v>77274</v>
      </c>
      <c r="BJ17" s="31">
        <f t="shared" si="44"/>
        <v>71717.999400000001</v>
      </c>
      <c r="BK17" s="18">
        <f t="shared" si="45"/>
        <v>5556.0006000000003</v>
      </c>
      <c r="BL17" s="31">
        <f t="shared" si="46"/>
        <v>0</v>
      </c>
      <c r="BM17" s="31">
        <f t="shared" si="47"/>
        <v>0</v>
      </c>
      <c r="BN17" s="33"/>
      <c r="BO17" s="37">
        <f t="shared" si="10"/>
        <v>-1</v>
      </c>
      <c r="BP17" s="36">
        <f>[1]IG!$M17</f>
        <v>77274</v>
      </c>
      <c r="BQ17" s="31">
        <f t="shared" si="48"/>
        <v>71717.999400000001</v>
      </c>
      <c r="BR17" s="18">
        <f t="shared" si="49"/>
        <v>5556.0006000000003</v>
      </c>
      <c r="BS17" s="31">
        <f t="shared" si="50"/>
        <v>0</v>
      </c>
      <c r="BT17" s="31">
        <f t="shared" si="51"/>
        <v>0</v>
      </c>
      <c r="BU17" s="33"/>
      <c r="BV17" s="37">
        <f t="shared" si="11"/>
        <v>-1</v>
      </c>
      <c r="BW17" s="36">
        <f>[1]IG!$N17</f>
        <v>77274</v>
      </c>
      <c r="BX17" s="31">
        <f t="shared" si="52"/>
        <v>71717.999400000001</v>
      </c>
      <c r="BY17" s="18">
        <f t="shared" si="53"/>
        <v>5556.0006000000003</v>
      </c>
      <c r="BZ17" s="31">
        <f t="shared" si="54"/>
        <v>0</v>
      </c>
      <c r="CA17" s="31">
        <f t="shared" si="55"/>
        <v>0</v>
      </c>
      <c r="CB17" s="33"/>
      <c r="CC17" s="37">
        <f t="shared" si="12"/>
        <v>-1</v>
      </c>
      <c r="CD17" s="36">
        <f>[1]IG!$O17</f>
        <v>77274</v>
      </c>
      <c r="CE17" s="31">
        <f t="shared" si="56"/>
        <v>71717.999400000001</v>
      </c>
      <c r="CF17" s="18">
        <f t="shared" si="57"/>
        <v>5556.0006000000003</v>
      </c>
      <c r="CG17" s="31">
        <f t="shared" si="58"/>
        <v>0</v>
      </c>
      <c r="CH17" s="31">
        <f t="shared" si="59"/>
        <v>0</v>
      </c>
      <c r="CI17" s="33"/>
      <c r="CJ17" s="37">
        <f t="shared" si="13"/>
        <v>-1</v>
      </c>
      <c r="CK17" s="36">
        <f>[1]IG!$P17</f>
        <v>77274</v>
      </c>
      <c r="CL17" s="31">
        <f t="shared" si="60"/>
        <v>71717.999400000001</v>
      </c>
      <c r="CM17" s="18">
        <f t="shared" si="61"/>
        <v>5556.0006000000003</v>
      </c>
      <c r="CN17" s="31">
        <f t="shared" si="62"/>
        <v>0</v>
      </c>
      <c r="CO17" s="31">
        <f t="shared" si="63"/>
        <v>0</v>
      </c>
      <c r="CP17" s="33"/>
      <c r="CQ17" s="37">
        <f t="shared" si="14"/>
        <v>-1</v>
      </c>
    </row>
    <row r="18" spans="1:95" s="26" customFormat="1" ht="16" customHeight="1" thickBot="1" x14ac:dyDescent="0.25">
      <c r="A18" s="38" t="s">
        <v>42</v>
      </c>
      <c r="B18" s="30">
        <f t="shared" si="0"/>
        <v>196934.76000000004</v>
      </c>
      <c r="C18" s="31">
        <f t="shared" si="0"/>
        <v>182775.15075599999</v>
      </c>
      <c r="D18" s="32">
        <f t="shared" si="0"/>
        <v>14159.609243999997</v>
      </c>
      <c r="E18" s="30">
        <f t="shared" si="15"/>
        <v>65644.92</v>
      </c>
      <c r="F18" s="33">
        <f t="shared" si="15"/>
        <v>60925.050252000001</v>
      </c>
      <c r="G18" s="34">
        <f t="shared" si="15"/>
        <v>4719.8697480000001</v>
      </c>
      <c r="H18" s="31">
        <f t="shared" si="1"/>
        <v>139223.34361899999</v>
      </c>
      <c r="I18" s="33">
        <f t="shared" si="1"/>
        <v>10785.646381000002</v>
      </c>
      <c r="J18" s="33">
        <f t="shared" si="1"/>
        <v>150008.99</v>
      </c>
      <c r="K18" s="37">
        <f t="shared" si="2"/>
        <v>1.2851576329135597</v>
      </c>
      <c r="L18" s="36">
        <f>[1]IG!$E18</f>
        <v>16411.23</v>
      </c>
      <c r="M18" s="31">
        <f t="shared" si="16"/>
        <v>15231.262563</v>
      </c>
      <c r="N18" s="31">
        <f t="shared" si="17"/>
        <v>1179.967437</v>
      </c>
      <c r="O18" s="31">
        <f t="shared" si="18"/>
        <v>30482.702019999997</v>
      </c>
      <c r="P18" s="31">
        <f t="shared" si="19"/>
        <v>2361.4979800000001</v>
      </c>
      <c r="Q18" s="31">
        <v>32844.199999999997</v>
      </c>
      <c r="R18" s="31">
        <f t="shared" si="3"/>
        <v>1.0013247026578749</v>
      </c>
      <c r="S18" s="31">
        <f>[1]IG!$F18</f>
        <v>16411.23</v>
      </c>
      <c r="T18" s="31">
        <f t="shared" si="20"/>
        <v>15231.262563</v>
      </c>
      <c r="U18" s="31">
        <f t="shared" si="21"/>
        <v>1179.967437</v>
      </c>
      <c r="V18" s="31">
        <f t="shared" si="22"/>
        <v>0</v>
      </c>
      <c r="W18" s="31">
        <f t="shared" si="23"/>
        <v>0</v>
      </c>
      <c r="X18" s="31"/>
      <c r="Y18" s="31">
        <f t="shared" si="4"/>
        <v>-1</v>
      </c>
      <c r="Z18" s="31">
        <f>[1]IG!$G18</f>
        <v>16411.23</v>
      </c>
      <c r="AA18" s="31">
        <f t="shared" si="24"/>
        <v>15231.262563</v>
      </c>
      <c r="AB18" s="31">
        <f t="shared" si="25"/>
        <v>1179.967437</v>
      </c>
      <c r="AC18" s="31">
        <f t="shared" si="26"/>
        <v>52836.937182000001</v>
      </c>
      <c r="AD18" s="31">
        <f t="shared" si="27"/>
        <v>4093.2828180000006</v>
      </c>
      <c r="AE18" s="31">
        <v>56930.22</v>
      </c>
      <c r="AF18" s="31">
        <f t="shared" si="5"/>
        <v>2.4689794732021917</v>
      </c>
      <c r="AG18" s="31">
        <f>[1]IG!$H18</f>
        <v>16411.23</v>
      </c>
      <c r="AH18" s="31">
        <f t="shared" si="28"/>
        <v>15231.262563</v>
      </c>
      <c r="AI18" s="31">
        <f t="shared" si="29"/>
        <v>1179.967437</v>
      </c>
      <c r="AJ18" s="31">
        <f t="shared" si="30"/>
        <v>0</v>
      </c>
      <c r="AK18" s="31">
        <f t="shared" si="31"/>
        <v>0</v>
      </c>
      <c r="AL18" s="31"/>
      <c r="AM18" s="31">
        <f t="shared" si="6"/>
        <v>-1</v>
      </c>
      <c r="AN18" s="31">
        <f>[1]IG!$I18</f>
        <v>16411.23</v>
      </c>
      <c r="AO18" s="31">
        <f t="shared" si="32"/>
        <v>15231.262563</v>
      </c>
      <c r="AP18" s="31">
        <f t="shared" si="33"/>
        <v>1179.967437</v>
      </c>
      <c r="AQ18" s="31">
        <f t="shared" si="34"/>
        <v>55903.704417000001</v>
      </c>
      <c r="AR18" s="31">
        <f t="shared" si="35"/>
        <v>4330.8655830000007</v>
      </c>
      <c r="AS18" s="33">
        <v>60234.57</v>
      </c>
      <c r="AT18" s="37">
        <f t="shared" si="7"/>
        <v>2.6703263557941725</v>
      </c>
      <c r="AU18" s="36">
        <f>[1]IG!$J18</f>
        <v>16411.23</v>
      </c>
      <c r="AV18" s="31">
        <f t="shared" si="36"/>
        <v>15231.262563</v>
      </c>
      <c r="AW18" s="18">
        <f t="shared" si="37"/>
        <v>1179.967437</v>
      </c>
      <c r="AX18" s="31">
        <f t="shared" si="38"/>
        <v>0</v>
      </c>
      <c r="AY18" s="31">
        <f t="shared" si="39"/>
        <v>0</v>
      </c>
      <c r="AZ18" s="27"/>
      <c r="BA18" s="37">
        <f t="shared" si="8"/>
        <v>-1</v>
      </c>
      <c r="BB18" s="36">
        <f>[1]IG!$K18</f>
        <v>16411.23</v>
      </c>
      <c r="BC18" s="31">
        <f t="shared" si="40"/>
        <v>15231.262563</v>
      </c>
      <c r="BD18" s="18">
        <f t="shared" si="41"/>
        <v>1179.967437</v>
      </c>
      <c r="BE18" s="31">
        <f t="shared" si="42"/>
        <v>0</v>
      </c>
      <c r="BF18" s="31">
        <f t="shared" si="43"/>
        <v>0</v>
      </c>
      <c r="BG18" s="27"/>
      <c r="BH18" s="37">
        <f t="shared" si="9"/>
        <v>-1</v>
      </c>
      <c r="BI18" s="36">
        <f>[1]IG!$L18</f>
        <v>16411.23</v>
      </c>
      <c r="BJ18" s="31">
        <f t="shared" si="44"/>
        <v>15231.262563</v>
      </c>
      <c r="BK18" s="18">
        <f t="shared" si="45"/>
        <v>1179.967437</v>
      </c>
      <c r="BL18" s="31">
        <f t="shared" si="46"/>
        <v>0</v>
      </c>
      <c r="BM18" s="31">
        <f t="shared" si="47"/>
        <v>0</v>
      </c>
      <c r="BN18" s="33"/>
      <c r="BO18" s="37">
        <f t="shared" si="10"/>
        <v>-1</v>
      </c>
      <c r="BP18" s="36">
        <f>[1]IG!$M18</f>
        <v>16411.23</v>
      </c>
      <c r="BQ18" s="31">
        <f t="shared" si="48"/>
        <v>15231.262563</v>
      </c>
      <c r="BR18" s="18">
        <f t="shared" si="49"/>
        <v>1179.967437</v>
      </c>
      <c r="BS18" s="31">
        <f t="shared" si="50"/>
        <v>0</v>
      </c>
      <c r="BT18" s="31">
        <f t="shared" si="51"/>
        <v>0</v>
      </c>
      <c r="BU18" s="33"/>
      <c r="BV18" s="37">
        <f t="shared" si="11"/>
        <v>-1</v>
      </c>
      <c r="BW18" s="36">
        <f>[1]IG!$N18</f>
        <v>16411.23</v>
      </c>
      <c r="BX18" s="31">
        <f t="shared" si="52"/>
        <v>15231.262563</v>
      </c>
      <c r="BY18" s="18">
        <f t="shared" si="53"/>
        <v>1179.967437</v>
      </c>
      <c r="BZ18" s="31">
        <f t="shared" si="54"/>
        <v>0</v>
      </c>
      <c r="CA18" s="31">
        <f t="shared" si="55"/>
        <v>0</v>
      </c>
      <c r="CB18" s="33"/>
      <c r="CC18" s="37">
        <f t="shared" si="12"/>
        <v>-1</v>
      </c>
      <c r="CD18" s="36">
        <f>[1]IG!$O18</f>
        <v>16411.23</v>
      </c>
      <c r="CE18" s="31">
        <f t="shared" si="56"/>
        <v>15231.262563</v>
      </c>
      <c r="CF18" s="18">
        <f t="shared" si="57"/>
        <v>1179.967437</v>
      </c>
      <c r="CG18" s="31">
        <f t="shared" si="58"/>
        <v>0</v>
      </c>
      <c r="CH18" s="31">
        <f t="shared" si="59"/>
        <v>0</v>
      </c>
      <c r="CI18" s="33"/>
      <c r="CJ18" s="37">
        <f t="shared" si="13"/>
        <v>-1</v>
      </c>
      <c r="CK18" s="36">
        <f>[1]IG!$P18</f>
        <v>16411.23</v>
      </c>
      <c r="CL18" s="31">
        <f t="shared" si="60"/>
        <v>15231.262563</v>
      </c>
      <c r="CM18" s="18">
        <f t="shared" si="61"/>
        <v>1179.967437</v>
      </c>
      <c r="CN18" s="31">
        <f t="shared" si="62"/>
        <v>0</v>
      </c>
      <c r="CO18" s="31">
        <f t="shared" si="63"/>
        <v>0</v>
      </c>
      <c r="CP18" s="33"/>
      <c r="CQ18" s="37">
        <f t="shared" si="14"/>
        <v>-1</v>
      </c>
    </row>
    <row r="19" spans="1:95" s="26" customFormat="1" ht="16" customHeight="1" thickBot="1" x14ac:dyDescent="0.25">
      <c r="A19" s="38" t="s">
        <v>43</v>
      </c>
      <c r="B19" s="30">
        <f t="shared" si="0"/>
        <v>45000</v>
      </c>
      <c r="C19" s="31">
        <f t="shared" si="0"/>
        <v>41764.5</v>
      </c>
      <c r="D19" s="32">
        <f t="shared" si="0"/>
        <v>3235.5</v>
      </c>
      <c r="E19" s="30">
        <f t="shared" si="15"/>
        <v>15000</v>
      </c>
      <c r="F19" s="33">
        <f t="shared" si="15"/>
        <v>13921.5</v>
      </c>
      <c r="G19" s="34">
        <f t="shared" si="15"/>
        <v>1078.5</v>
      </c>
      <c r="H19" s="31">
        <f t="shared" si="1"/>
        <v>35005.685998000001</v>
      </c>
      <c r="I19" s="33">
        <f t="shared" si="1"/>
        <v>2711.894002</v>
      </c>
      <c r="J19" s="33">
        <f t="shared" si="1"/>
        <v>37717.579999999994</v>
      </c>
      <c r="K19" s="37">
        <f t="shared" si="2"/>
        <v>1.5145053333333331</v>
      </c>
      <c r="L19" s="36">
        <f>[1]IG!$E19</f>
        <v>3750</v>
      </c>
      <c r="M19" s="31">
        <f t="shared" si="16"/>
        <v>3480.375</v>
      </c>
      <c r="N19" s="31">
        <f t="shared" si="17"/>
        <v>269.625</v>
      </c>
      <c r="O19" s="31">
        <f t="shared" si="18"/>
        <v>6553.0542319999977</v>
      </c>
      <c r="P19" s="31">
        <f t="shared" si="19"/>
        <v>507.66576799999984</v>
      </c>
      <c r="Q19" s="31">
        <f>26319.45-(7440.39+5726.14+5920.52+171.68)</f>
        <v>7060.7199999999975</v>
      </c>
      <c r="R19" s="31">
        <f t="shared" si="3"/>
        <v>0.88285866666666601</v>
      </c>
      <c r="S19" s="31">
        <f>[1]IG!$F19</f>
        <v>3750</v>
      </c>
      <c r="T19" s="31">
        <f t="shared" si="20"/>
        <v>3480.375</v>
      </c>
      <c r="U19" s="31">
        <f t="shared" si="21"/>
        <v>269.625</v>
      </c>
      <c r="V19" s="31">
        <f t="shared" si="22"/>
        <v>1339.3039859999999</v>
      </c>
      <c r="W19" s="31">
        <f t="shared" si="23"/>
        <v>103.75601400000001</v>
      </c>
      <c r="X19" s="31">
        <v>1443.06</v>
      </c>
      <c r="Y19" s="31">
        <f t="shared" si="4"/>
        <v>-0.61518399999999995</v>
      </c>
      <c r="Z19" s="31">
        <f>[1]IG!$G19</f>
        <v>3750</v>
      </c>
      <c r="AA19" s="31">
        <f t="shared" si="24"/>
        <v>3480.375</v>
      </c>
      <c r="AB19" s="31">
        <f t="shared" si="25"/>
        <v>269.625</v>
      </c>
      <c r="AC19" s="31">
        <f t="shared" si="26"/>
        <v>3237.9645609999998</v>
      </c>
      <c r="AD19" s="31">
        <f t="shared" si="27"/>
        <v>250.84543900000003</v>
      </c>
      <c r="AE19" s="31">
        <v>3488.81</v>
      </c>
      <c r="AF19" s="31">
        <f t="shared" si="5"/>
        <v>-6.9650666666666639E-2</v>
      </c>
      <c r="AG19" s="31">
        <f>[1]IG!$H19</f>
        <v>3750</v>
      </c>
      <c r="AH19" s="31">
        <f t="shared" si="28"/>
        <v>3480.375</v>
      </c>
      <c r="AI19" s="31">
        <f t="shared" si="29"/>
        <v>269.625</v>
      </c>
      <c r="AJ19" s="31">
        <f t="shared" si="30"/>
        <v>11764.864749</v>
      </c>
      <c r="AK19" s="31">
        <f t="shared" si="31"/>
        <v>911.42525100000012</v>
      </c>
      <c r="AL19" s="31">
        <v>12676.29</v>
      </c>
      <c r="AM19" s="31">
        <f t="shared" si="6"/>
        <v>2.380344</v>
      </c>
      <c r="AN19" s="31">
        <f>[1]IG!$I19</f>
        <v>3750</v>
      </c>
      <c r="AO19" s="31">
        <f t="shared" si="32"/>
        <v>3480.375</v>
      </c>
      <c r="AP19" s="31">
        <f t="shared" si="33"/>
        <v>269.625</v>
      </c>
      <c r="AQ19" s="31">
        <f t="shared" si="34"/>
        <v>5980.110259</v>
      </c>
      <c r="AR19" s="31">
        <f t="shared" si="35"/>
        <v>463.27974100000006</v>
      </c>
      <c r="AS19" s="33">
        <v>6443.39</v>
      </c>
      <c r="AT19" s="37">
        <f t="shared" si="7"/>
        <v>0.71823733333333339</v>
      </c>
      <c r="AU19" s="36">
        <f>[1]IG!$J19</f>
        <v>3750</v>
      </c>
      <c r="AV19" s="31">
        <f t="shared" si="36"/>
        <v>3480.375</v>
      </c>
      <c r="AW19" s="18">
        <f t="shared" si="37"/>
        <v>269.625</v>
      </c>
      <c r="AX19" s="31">
        <f t="shared" si="38"/>
        <v>6130.3882110000004</v>
      </c>
      <c r="AY19" s="31">
        <f t="shared" si="39"/>
        <v>474.92178900000005</v>
      </c>
      <c r="AZ19" s="27">
        <v>6605.31</v>
      </c>
      <c r="BA19" s="37">
        <f t="shared" si="8"/>
        <v>0.76141600000000009</v>
      </c>
      <c r="BB19" s="36">
        <f>[1]IG!$K19</f>
        <v>3750</v>
      </c>
      <c r="BC19" s="31">
        <f t="shared" si="40"/>
        <v>3480.375</v>
      </c>
      <c r="BD19" s="18">
        <f t="shared" si="41"/>
        <v>269.625</v>
      </c>
      <c r="BE19" s="31">
        <f t="shared" si="42"/>
        <v>0</v>
      </c>
      <c r="BF19" s="31">
        <f t="shared" si="43"/>
        <v>0</v>
      </c>
      <c r="BG19" s="27"/>
      <c r="BH19" s="37">
        <f t="shared" si="9"/>
        <v>-1</v>
      </c>
      <c r="BI19" s="36">
        <f>[1]IG!$L19</f>
        <v>3750</v>
      </c>
      <c r="BJ19" s="31">
        <f t="shared" si="44"/>
        <v>3480.375</v>
      </c>
      <c r="BK19" s="18">
        <f t="shared" si="45"/>
        <v>269.625</v>
      </c>
      <c r="BL19" s="31">
        <f t="shared" si="46"/>
        <v>0</v>
      </c>
      <c r="BM19" s="31">
        <f t="shared" si="47"/>
        <v>0</v>
      </c>
      <c r="BN19" s="33"/>
      <c r="BO19" s="37">
        <f t="shared" si="10"/>
        <v>-1</v>
      </c>
      <c r="BP19" s="36">
        <f>[1]IG!$M19</f>
        <v>3750</v>
      </c>
      <c r="BQ19" s="31">
        <f t="shared" si="48"/>
        <v>3480.375</v>
      </c>
      <c r="BR19" s="18">
        <f t="shared" si="49"/>
        <v>269.625</v>
      </c>
      <c r="BS19" s="31">
        <f t="shared" si="50"/>
        <v>0</v>
      </c>
      <c r="BT19" s="31">
        <f t="shared" si="51"/>
        <v>0</v>
      </c>
      <c r="BU19" s="33"/>
      <c r="BV19" s="37">
        <f t="shared" si="11"/>
        <v>-1</v>
      </c>
      <c r="BW19" s="36">
        <f>[1]IG!$N19</f>
        <v>3750</v>
      </c>
      <c r="BX19" s="31">
        <f t="shared" si="52"/>
        <v>3480.375</v>
      </c>
      <c r="BY19" s="18">
        <f t="shared" si="53"/>
        <v>269.625</v>
      </c>
      <c r="BZ19" s="31">
        <f t="shared" si="54"/>
        <v>0</v>
      </c>
      <c r="CA19" s="31">
        <f t="shared" si="55"/>
        <v>0</v>
      </c>
      <c r="CB19" s="33"/>
      <c r="CC19" s="37">
        <f t="shared" si="12"/>
        <v>-1</v>
      </c>
      <c r="CD19" s="36">
        <f>[1]IG!$O19</f>
        <v>3750</v>
      </c>
      <c r="CE19" s="31">
        <f t="shared" si="56"/>
        <v>3480.375</v>
      </c>
      <c r="CF19" s="18">
        <f t="shared" si="57"/>
        <v>269.625</v>
      </c>
      <c r="CG19" s="31">
        <f t="shared" si="58"/>
        <v>0</v>
      </c>
      <c r="CH19" s="31">
        <f t="shared" si="59"/>
        <v>0</v>
      </c>
      <c r="CI19" s="33"/>
      <c r="CJ19" s="37">
        <f t="shared" si="13"/>
        <v>-1</v>
      </c>
      <c r="CK19" s="36">
        <f>[1]IG!$P19</f>
        <v>3750</v>
      </c>
      <c r="CL19" s="31">
        <f t="shared" si="60"/>
        <v>3480.375</v>
      </c>
      <c r="CM19" s="18">
        <f t="shared" si="61"/>
        <v>269.625</v>
      </c>
      <c r="CN19" s="31">
        <f t="shared" si="62"/>
        <v>0</v>
      </c>
      <c r="CO19" s="31">
        <f t="shared" si="63"/>
        <v>0</v>
      </c>
      <c r="CP19" s="33"/>
      <c r="CQ19" s="37">
        <f t="shared" si="14"/>
        <v>-1</v>
      </c>
    </row>
    <row r="20" spans="1:95" s="26" customFormat="1" ht="16" customHeight="1" thickBot="1" x14ac:dyDescent="0.25">
      <c r="A20" s="29" t="s">
        <v>44</v>
      </c>
      <c r="B20" s="30">
        <f t="shared" si="0"/>
        <v>1358763.7348571401</v>
      </c>
      <c r="C20" s="31">
        <f t="shared" si="0"/>
        <v>1261068.6223209116</v>
      </c>
      <c r="D20" s="32">
        <f t="shared" si="0"/>
        <v>97695.112536228378</v>
      </c>
      <c r="E20" s="30">
        <f t="shared" si="15"/>
        <v>636914.16342857096</v>
      </c>
      <c r="F20" s="33">
        <f t="shared" si="15"/>
        <v>591120.03507805674</v>
      </c>
      <c r="G20" s="34">
        <f t="shared" si="15"/>
        <v>45794.128350514256</v>
      </c>
      <c r="H20" s="31">
        <f t="shared" si="1"/>
        <v>525013.30653399997</v>
      </c>
      <c r="I20" s="33">
        <f t="shared" si="1"/>
        <v>40672.833466000004</v>
      </c>
      <c r="J20" s="33">
        <f t="shared" si="1"/>
        <v>565686.14</v>
      </c>
      <c r="K20" s="37">
        <f t="shared" si="2"/>
        <v>-0.11183300281021158</v>
      </c>
      <c r="L20" s="36">
        <f>[1]IG!$E20</f>
        <v>0</v>
      </c>
      <c r="M20" s="31">
        <f t="shared" si="16"/>
        <v>0</v>
      </c>
      <c r="N20" s="31">
        <f t="shared" si="17"/>
        <v>0</v>
      </c>
      <c r="O20" s="31">
        <f t="shared" si="18"/>
        <v>699.67602799999997</v>
      </c>
      <c r="P20" s="31">
        <f t="shared" si="19"/>
        <v>54.203972000000007</v>
      </c>
      <c r="Q20" s="31">
        <f>753.88</f>
        <v>753.88</v>
      </c>
      <c r="R20" s="31" t="str">
        <f t="shared" si="3"/>
        <v/>
      </c>
      <c r="S20" s="31">
        <f>[1]IG!$F20</f>
        <v>0</v>
      </c>
      <c r="T20" s="31">
        <f t="shared" si="20"/>
        <v>0</v>
      </c>
      <c r="U20" s="31">
        <f t="shared" si="21"/>
        <v>0</v>
      </c>
      <c r="V20" s="31">
        <f t="shared" si="22"/>
        <v>2130.1565579999933</v>
      </c>
      <c r="W20" s="31">
        <f t="shared" si="23"/>
        <v>165.02344199999951</v>
      </c>
      <c r="X20" s="31">
        <f>182451.78-180156.6</f>
        <v>2295.179999999993</v>
      </c>
      <c r="Y20" s="31" t="str">
        <f t="shared" si="4"/>
        <v/>
      </c>
      <c r="Z20" s="31">
        <f>[1]IG!$G20</f>
        <v>636914.16342857096</v>
      </c>
      <c r="AA20" s="31">
        <f t="shared" si="24"/>
        <v>591120.03507805674</v>
      </c>
      <c r="AB20" s="31">
        <f t="shared" si="25"/>
        <v>45794.128350514256</v>
      </c>
      <c r="AC20" s="31">
        <f t="shared" si="26"/>
        <v>244364.896947</v>
      </c>
      <c r="AD20" s="31">
        <f t="shared" si="27"/>
        <v>18930.973053000002</v>
      </c>
      <c r="AE20" s="31">
        <v>263295.87</v>
      </c>
      <c r="AF20" s="31">
        <f t="shared" si="5"/>
        <v>-0.58660697921576643</v>
      </c>
      <c r="AG20" s="31">
        <f>[1]IG!$H20</f>
        <v>0</v>
      </c>
      <c r="AH20" s="31">
        <f t="shared" si="28"/>
        <v>0</v>
      </c>
      <c r="AI20" s="31">
        <f t="shared" si="29"/>
        <v>0</v>
      </c>
      <c r="AJ20" s="31">
        <f t="shared" si="30"/>
        <v>118350.634487</v>
      </c>
      <c r="AK20" s="31">
        <f t="shared" si="31"/>
        <v>9168.6355130000011</v>
      </c>
      <c r="AL20" s="31">
        <f>127519.27</f>
        <v>127519.27</v>
      </c>
      <c r="AM20" s="31" t="str">
        <f t="shared" si="6"/>
        <v/>
      </c>
      <c r="AN20" s="31">
        <f>[1]IG!$I20</f>
        <v>14211.175999999999</v>
      </c>
      <c r="AO20" s="31">
        <f t="shared" si="32"/>
        <v>13189.392445599999</v>
      </c>
      <c r="AP20" s="31">
        <f t="shared" si="33"/>
        <v>1021.7835544000001</v>
      </c>
      <c r="AQ20" s="31">
        <f t="shared" si="34"/>
        <v>73856.629510999992</v>
      </c>
      <c r="AR20" s="31">
        <f t="shared" si="35"/>
        <v>5721.6804890000003</v>
      </c>
      <c r="AS20" s="33">
        <v>79578.31</v>
      </c>
      <c r="AT20" s="37">
        <f t="shared" si="7"/>
        <v>4.5996991381994006</v>
      </c>
      <c r="AU20" s="36">
        <f>[1]IG!$J20</f>
        <v>14211.175999999999</v>
      </c>
      <c r="AV20" s="31">
        <f t="shared" si="36"/>
        <v>13189.392445599999</v>
      </c>
      <c r="AW20" s="18">
        <f t="shared" si="37"/>
        <v>1021.7835544000001</v>
      </c>
      <c r="AX20" s="31">
        <f t="shared" si="38"/>
        <v>85611.313003000003</v>
      </c>
      <c r="AY20" s="31">
        <f t="shared" si="39"/>
        <v>6632.3169970000008</v>
      </c>
      <c r="AZ20" s="27">
        <v>92243.63</v>
      </c>
      <c r="BA20" s="37">
        <f t="shared" si="8"/>
        <v>5.490921652085655</v>
      </c>
      <c r="BB20" s="36">
        <f>[1]IG!$K20</f>
        <v>302631.17599999899</v>
      </c>
      <c r="BC20" s="31">
        <f t="shared" si="40"/>
        <v>280871.99444559903</v>
      </c>
      <c r="BD20" s="18">
        <f t="shared" si="41"/>
        <v>21759.181554399929</v>
      </c>
      <c r="BE20" s="31">
        <f t="shared" si="42"/>
        <v>0</v>
      </c>
      <c r="BF20" s="31">
        <f t="shared" si="43"/>
        <v>0</v>
      </c>
      <c r="BG20" s="27"/>
      <c r="BH20" s="37">
        <f t="shared" si="9"/>
        <v>-1</v>
      </c>
      <c r="BI20" s="36">
        <f>[1]IG!$L20</f>
        <v>38700.339428571402</v>
      </c>
      <c r="BJ20" s="31">
        <f t="shared" si="44"/>
        <v>35917.785023657118</v>
      </c>
      <c r="BK20" s="18">
        <f t="shared" si="45"/>
        <v>2782.5544049142841</v>
      </c>
      <c r="BL20" s="31">
        <f t="shared" si="46"/>
        <v>0</v>
      </c>
      <c r="BM20" s="31">
        <f t="shared" si="47"/>
        <v>0</v>
      </c>
      <c r="BN20" s="33"/>
      <c r="BO20" s="37">
        <f t="shared" si="10"/>
        <v>-1</v>
      </c>
      <c r="BP20" s="36">
        <f>[1]IG!$M20</f>
        <v>309462.17599999899</v>
      </c>
      <c r="BQ20" s="31">
        <f t="shared" si="48"/>
        <v>287211.84554559906</v>
      </c>
      <c r="BR20" s="18">
        <f t="shared" si="49"/>
        <v>22250.330454399929</v>
      </c>
      <c r="BS20" s="31">
        <f t="shared" si="50"/>
        <v>0</v>
      </c>
      <c r="BT20" s="31">
        <f t="shared" si="51"/>
        <v>0</v>
      </c>
      <c r="BU20" s="33"/>
      <c r="BV20" s="37">
        <f t="shared" si="11"/>
        <v>-1</v>
      </c>
      <c r="BW20" s="36">
        <f>[1]IG!$N20</f>
        <v>14211.175999999999</v>
      </c>
      <c r="BX20" s="31">
        <f t="shared" si="52"/>
        <v>13189.392445599999</v>
      </c>
      <c r="BY20" s="18">
        <f t="shared" si="53"/>
        <v>1021.7835544000001</v>
      </c>
      <c r="BZ20" s="31">
        <f t="shared" si="54"/>
        <v>0</v>
      </c>
      <c r="CA20" s="31">
        <f t="shared" si="55"/>
        <v>0</v>
      </c>
      <c r="CB20" s="33"/>
      <c r="CC20" s="37">
        <f t="shared" si="12"/>
        <v>-1</v>
      </c>
      <c r="CD20" s="36">
        <f>[1]IG!$O20</f>
        <v>14211.175999999999</v>
      </c>
      <c r="CE20" s="31">
        <f t="shared" si="56"/>
        <v>13189.392445599999</v>
      </c>
      <c r="CF20" s="18">
        <f t="shared" si="57"/>
        <v>1021.7835544000001</v>
      </c>
      <c r="CG20" s="31">
        <f t="shared" si="58"/>
        <v>0</v>
      </c>
      <c r="CH20" s="31">
        <f t="shared" si="59"/>
        <v>0</v>
      </c>
      <c r="CI20" s="33"/>
      <c r="CJ20" s="37">
        <f t="shared" si="13"/>
        <v>-1</v>
      </c>
      <c r="CK20" s="36">
        <f>[1]IG!$P20</f>
        <v>14211.175999999999</v>
      </c>
      <c r="CL20" s="31">
        <f t="shared" si="60"/>
        <v>13189.392445599999</v>
      </c>
      <c r="CM20" s="18">
        <f t="shared" si="61"/>
        <v>1021.7835544000001</v>
      </c>
      <c r="CN20" s="31">
        <f t="shared" si="62"/>
        <v>0</v>
      </c>
      <c r="CO20" s="31">
        <f t="shared" si="63"/>
        <v>0</v>
      </c>
      <c r="CP20" s="33"/>
      <c r="CQ20" s="37">
        <f t="shared" si="14"/>
        <v>-1</v>
      </c>
    </row>
    <row r="21" spans="1:95" s="26" customFormat="1" ht="16" customHeight="1" thickBot="1" x14ac:dyDescent="0.25">
      <c r="A21" s="38" t="s">
        <v>45</v>
      </c>
      <c r="B21" s="30">
        <f t="shared" si="0"/>
        <v>29735.754000000001</v>
      </c>
      <c r="C21" s="31">
        <f t="shared" si="0"/>
        <v>27597.753287400003</v>
      </c>
      <c r="D21" s="32">
        <f t="shared" si="0"/>
        <v>2138.0007126</v>
      </c>
      <c r="E21" s="30">
        <f t="shared" si="15"/>
        <v>29735.754000000001</v>
      </c>
      <c r="F21" s="33">
        <f t="shared" si="15"/>
        <v>27597.753287400003</v>
      </c>
      <c r="G21" s="34">
        <f t="shared" si="15"/>
        <v>2138.0007126</v>
      </c>
      <c r="H21" s="31">
        <f t="shared" si="1"/>
        <v>12499.548708999999</v>
      </c>
      <c r="I21" s="33">
        <f t="shared" si="1"/>
        <v>968.34129100000018</v>
      </c>
      <c r="J21" s="33">
        <f t="shared" si="1"/>
        <v>13467.89</v>
      </c>
      <c r="K21" s="37">
        <f t="shared" si="2"/>
        <v>-0.54708093159500848</v>
      </c>
      <c r="L21" s="36">
        <f>[1]IG!$E21</f>
        <v>29735.754000000001</v>
      </c>
      <c r="M21" s="31">
        <f t="shared" si="16"/>
        <v>27597.753287400003</v>
      </c>
      <c r="N21" s="31">
        <f t="shared" si="17"/>
        <v>2138.0007126</v>
      </c>
      <c r="O21" s="31">
        <f t="shared" si="18"/>
        <v>8958.9771430000001</v>
      </c>
      <c r="P21" s="31">
        <f t="shared" si="19"/>
        <v>694.05285700000013</v>
      </c>
      <c r="Q21" s="31">
        <f>9653.03</f>
        <v>9653.0300000000007</v>
      </c>
      <c r="R21" s="31">
        <f t="shared" si="3"/>
        <v>-0.67537295338130654</v>
      </c>
      <c r="S21" s="31">
        <f>[1]IG!$F21</f>
        <v>0</v>
      </c>
      <c r="T21" s="31">
        <f t="shared" si="20"/>
        <v>0</v>
      </c>
      <c r="U21" s="31">
        <f t="shared" si="21"/>
        <v>0</v>
      </c>
      <c r="V21" s="31">
        <f t="shared" si="22"/>
        <v>543.77378999999996</v>
      </c>
      <c r="W21" s="31">
        <f t="shared" si="23"/>
        <v>42.12621</v>
      </c>
      <c r="X21" s="31">
        <v>585.9</v>
      </c>
      <c r="Y21" s="31" t="str">
        <f t="shared" si="4"/>
        <v/>
      </c>
      <c r="Z21" s="31">
        <f>[1]IG!$G21</f>
        <v>0</v>
      </c>
      <c r="AA21" s="31">
        <f t="shared" si="24"/>
        <v>0</v>
      </c>
      <c r="AB21" s="31">
        <f t="shared" si="25"/>
        <v>0</v>
      </c>
      <c r="AC21" s="31">
        <f t="shared" si="26"/>
        <v>2996.7977759999999</v>
      </c>
      <c r="AD21" s="31">
        <f t="shared" si="27"/>
        <v>232.16222400000001</v>
      </c>
      <c r="AE21" s="31">
        <v>3228.96</v>
      </c>
      <c r="AF21" s="31" t="str">
        <f t="shared" si="5"/>
        <v/>
      </c>
      <c r="AG21" s="31">
        <f>[1]IG!$H21</f>
        <v>0</v>
      </c>
      <c r="AH21" s="31">
        <f t="shared" si="28"/>
        <v>0</v>
      </c>
      <c r="AI21" s="31">
        <f t="shared" si="29"/>
        <v>0</v>
      </c>
      <c r="AJ21" s="31">
        <f t="shared" si="30"/>
        <v>0</v>
      </c>
      <c r="AK21" s="31">
        <f t="shared" si="31"/>
        <v>0</v>
      </c>
      <c r="AL21" s="31"/>
      <c r="AM21" s="31" t="str">
        <f t="shared" si="6"/>
        <v/>
      </c>
      <c r="AN21" s="31">
        <f>[1]IG!$I21</f>
        <v>0</v>
      </c>
      <c r="AO21" s="31">
        <f t="shared" si="32"/>
        <v>0</v>
      </c>
      <c r="AP21" s="31">
        <f t="shared" si="33"/>
        <v>0</v>
      </c>
      <c r="AQ21" s="31">
        <f t="shared" si="34"/>
        <v>0</v>
      </c>
      <c r="AR21" s="31">
        <f t="shared" si="35"/>
        <v>0</v>
      </c>
      <c r="AS21" s="33"/>
      <c r="AT21" s="37" t="str">
        <f t="shared" si="7"/>
        <v/>
      </c>
      <c r="AU21" s="36">
        <f>[1]IG!$J21</f>
        <v>0</v>
      </c>
      <c r="AV21" s="31">
        <f t="shared" si="36"/>
        <v>0</v>
      </c>
      <c r="AW21" s="18">
        <f t="shared" si="37"/>
        <v>0</v>
      </c>
      <c r="AX21" s="31">
        <f t="shared" si="38"/>
        <v>0</v>
      </c>
      <c r="AY21" s="31">
        <f t="shared" si="39"/>
        <v>0</v>
      </c>
      <c r="AZ21" s="27"/>
      <c r="BA21" s="37" t="str">
        <f t="shared" si="8"/>
        <v/>
      </c>
      <c r="BB21" s="36">
        <f>[1]IG!$K21</f>
        <v>0</v>
      </c>
      <c r="BC21" s="31">
        <f t="shared" si="40"/>
        <v>0</v>
      </c>
      <c r="BD21" s="18">
        <f t="shared" si="41"/>
        <v>0</v>
      </c>
      <c r="BE21" s="31">
        <f t="shared" si="42"/>
        <v>0</v>
      </c>
      <c r="BF21" s="31">
        <f t="shared" si="43"/>
        <v>0</v>
      </c>
      <c r="BG21" s="27"/>
      <c r="BH21" s="37" t="str">
        <f t="shared" si="9"/>
        <v/>
      </c>
      <c r="BI21" s="36">
        <f>[1]IG!$L21</f>
        <v>0</v>
      </c>
      <c r="BJ21" s="31">
        <f t="shared" si="44"/>
        <v>0</v>
      </c>
      <c r="BK21" s="18">
        <f t="shared" si="45"/>
        <v>0</v>
      </c>
      <c r="BL21" s="31">
        <f t="shared" si="46"/>
        <v>0</v>
      </c>
      <c r="BM21" s="31">
        <f t="shared" si="47"/>
        <v>0</v>
      </c>
      <c r="BN21" s="33"/>
      <c r="BO21" s="37" t="str">
        <f t="shared" si="10"/>
        <v/>
      </c>
      <c r="BP21" s="36">
        <f>[1]IG!$M21</f>
        <v>0</v>
      </c>
      <c r="BQ21" s="31">
        <f t="shared" si="48"/>
        <v>0</v>
      </c>
      <c r="BR21" s="18">
        <f t="shared" si="49"/>
        <v>0</v>
      </c>
      <c r="BS21" s="31">
        <f t="shared" si="50"/>
        <v>0</v>
      </c>
      <c r="BT21" s="31">
        <f t="shared" si="51"/>
        <v>0</v>
      </c>
      <c r="BU21" s="33"/>
      <c r="BV21" s="37" t="str">
        <f t="shared" si="11"/>
        <v/>
      </c>
      <c r="BW21" s="36">
        <f>[1]IG!$N21</f>
        <v>0</v>
      </c>
      <c r="BX21" s="31">
        <f t="shared" si="52"/>
        <v>0</v>
      </c>
      <c r="BY21" s="18">
        <f t="shared" si="53"/>
        <v>0</v>
      </c>
      <c r="BZ21" s="31">
        <f t="shared" si="54"/>
        <v>0</v>
      </c>
      <c r="CA21" s="31">
        <f t="shared" si="55"/>
        <v>0</v>
      </c>
      <c r="CB21" s="33"/>
      <c r="CC21" s="37" t="str">
        <f t="shared" si="12"/>
        <v/>
      </c>
      <c r="CD21" s="36">
        <f>[1]IG!$O21</f>
        <v>0</v>
      </c>
      <c r="CE21" s="31">
        <f t="shared" si="56"/>
        <v>0</v>
      </c>
      <c r="CF21" s="18">
        <f t="shared" si="57"/>
        <v>0</v>
      </c>
      <c r="CG21" s="31">
        <f t="shared" si="58"/>
        <v>0</v>
      </c>
      <c r="CH21" s="31">
        <f t="shared" si="59"/>
        <v>0</v>
      </c>
      <c r="CI21" s="33"/>
      <c r="CJ21" s="37" t="str">
        <f t="shared" si="13"/>
        <v/>
      </c>
      <c r="CK21" s="36">
        <f>[1]IG!$P21</f>
        <v>0</v>
      </c>
      <c r="CL21" s="31">
        <f t="shared" si="60"/>
        <v>0</v>
      </c>
      <c r="CM21" s="18">
        <f t="shared" si="61"/>
        <v>0</v>
      </c>
      <c r="CN21" s="31">
        <f t="shared" si="62"/>
        <v>0</v>
      </c>
      <c r="CO21" s="31">
        <f t="shared" si="63"/>
        <v>0</v>
      </c>
      <c r="CP21" s="33"/>
      <c r="CQ21" s="37" t="str">
        <f t="shared" si="14"/>
        <v/>
      </c>
    </row>
    <row r="22" spans="1:95" s="26" customFormat="1" ht="16" customHeight="1" thickBot="1" x14ac:dyDescent="0.25">
      <c r="A22" s="38" t="s">
        <v>46</v>
      </c>
      <c r="B22" s="30">
        <f t="shared" si="0"/>
        <v>359896.59999999887</v>
      </c>
      <c r="C22" s="31">
        <f t="shared" si="0"/>
        <v>334020.03445999889</v>
      </c>
      <c r="D22" s="32">
        <f t="shared" si="0"/>
        <v>25876.56553999992</v>
      </c>
      <c r="E22" s="30">
        <f t="shared" si="15"/>
        <v>119965.53333333295</v>
      </c>
      <c r="F22" s="33">
        <f t="shared" si="15"/>
        <v>111340.01148666631</v>
      </c>
      <c r="G22" s="34">
        <f t="shared" si="15"/>
        <v>8625.5218466666392</v>
      </c>
      <c r="H22" s="31">
        <f t="shared" si="1"/>
        <v>473886.57922200003</v>
      </c>
      <c r="I22" s="33">
        <f t="shared" si="1"/>
        <v>36712.040777999995</v>
      </c>
      <c r="J22" s="33">
        <f t="shared" si="1"/>
        <v>510598.62</v>
      </c>
      <c r="K22" s="37">
        <f t="shared" si="2"/>
        <v>3.2562109783754689</v>
      </c>
      <c r="L22" s="36">
        <f>[1]IG!$E22</f>
        <v>29991.383333333237</v>
      </c>
      <c r="M22" s="31">
        <f t="shared" si="16"/>
        <v>27835.002871666577</v>
      </c>
      <c r="N22" s="31">
        <f t="shared" si="17"/>
        <v>2156.3804616666598</v>
      </c>
      <c r="O22" s="31">
        <f t="shared" si="18"/>
        <v>142492.65011700001</v>
      </c>
      <c r="P22" s="31">
        <f t="shared" si="19"/>
        <v>11038.919883</v>
      </c>
      <c r="Q22" s="31">
        <f>27301.57+126230</f>
        <v>153531.57</v>
      </c>
      <c r="R22" s="31">
        <f t="shared" si="3"/>
        <v>4.1191893449396462</v>
      </c>
      <c r="S22" s="31">
        <f>[1]IG!$F22</f>
        <v>29991.383333333237</v>
      </c>
      <c r="T22" s="31">
        <f t="shared" si="20"/>
        <v>27835.002871666577</v>
      </c>
      <c r="U22" s="31">
        <f t="shared" si="21"/>
        <v>2156.3804616666598</v>
      </c>
      <c r="V22" s="31">
        <f t="shared" si="22"/>
        <v>212669.33528500001</v>
      </c>
      <c r="W22" s="31">
        <f t="shared" si="23"/>
        <v>16475.514715000001</v>
      </c>
      <c r="X22" s="31">
        <f>48988.25+180156.6</f>
        <v>229144.85</v>
      </c>
      <c r="Y22" s="31">
        <f t="shared" si="4"/>
        <v>6.6403561467377266</v>
      </c>
      <c r="Z22" s="31">
        <f>[1]IG!$G22</f>
        <v>29991.383333333237</v>
      </c>
      <c r="AA22" s="31">
        <f t="shared" si="24"/>
        <v>27835.002871666577</v>
      </c>
      <c r="AB22" s="31">
        <f t="shared" si="25"/>
        <v>2156.3804616666598</v>
      </c>
      <c r="AC22" s="31">
        <f t="shared" si="26"/>
        <v>13315.144426999999</v>
      </c>
      <c r="AD22" s="31">
        <f t="shared" si="27"/>
        <v>1031.5255730000001</v>
      </c>
      <c r="AE22" s="31">
        <f>14346.67</f>
        <v>14346.67</v>
      </c>
      <c r="AF22" s="31">
        <f t="shared" si="5"/>
        <v>-0.52164027112231526</v>
      </c>
      <c r="AG22" s="31">
        <f>[1]IG!$H22</f>
        <v>29991.383333333237</v>
      </c>
      <c r="AH22" s="31">
        <f t="shared" si="28"/>
        <v>27835.002871666577</v>
      </c>
      <c r="AI22" s="31">
        <f t="shared" si="29"/>
        <v>2156.3804616666598</v>
      </c>
      <c r="AJ22" s="31">
        <f t="shared" si="30"/>
        <v>8496.2728879999995</v>
      </c>
      <c r="AK22" s="31">
        <f t="shared" si="31"/>
        <v>658.20711200000005</v>
      </c>
      <c r="AL22" s="31">
        <v>9154.48</v>
      </c>
      <c r="AM22" s="31">
        <f t="shared" si="6"/>
        <v>-0.69476299581601952</v>
      </c>
      <c r="AN22" s="31">
        <f>[1]IG!$I22</f>
        <v>29991.383333333237</v>
      </c>
      <c r="AO22" s="31">
        <f t="shared" si="32"/>
        <v>27835.002871666577</v>
      </c>
      <c r="AP22" s="31">
        <f t="shared" si="33"/>
        <v>2156.3804616666598</v>
      </c>
      <c r="AQ22" s="31">
        <f t="shared" si="34"/>
        <v>86467.865774000005</v>
      </c>
      <c r="AR22" s="31">
        <f t="shared" si="35"/>
        <v>6698.674226000001</v>
      </c>
      <c r="AS22" s="33">
        <v>93166.540000000008</v>
      </c>
      <c r="AT22" s="37">
        <f t="shared" si="7"/>
        <v>2.1064435729595772</v>
      </c>
      <c r="AU22" s="36">
        <f>[1]IG!$J22</f>
        <v>29991.383333333237</v>
      </c>
      <c r="AV22" s="31">
        <f t="shared" si="36"/>
        <v>27835.002871666577</v>
      </c>
      <c r="AW22" s="18">
        <f t="shared" si="37"/>
        <v>2156.3804616666598</v>
      </c>
      <c r="AX22" s="31">
        <f t="shared" si="38"/>
        <v>10445.310731</v>
      </c>
      <c r="AY22" s="31">
        <f t="shared" si="39"/>
        <v>809.19926900000007</v>
      </c>
      <c r="AZ22" s="27">
        <v>11254.51</v>
      </c>
      <c r="BA22" s="37">
        <f t="shared" si="8"/>
        <v>-0.6247418841967376</v>
      </c>
      <c r="BB22" s="36">
        <f>[1]IG!$K22</f>
        <v>29991.383333333237</v>
      </c>
      <c r="BC22" s="31">
        <f t="shared" si="40"/>
        <v>27835.002871666577</v>
      </c>
      <c r="BD22" s="18">
        <f t="shared" si="41"/>
        <v>2156.3804616666598</v>
      </c>
      <c r="BE22" s="31">
        <f t="shared" si="42"/>
        <v>0</v>
      </c>
      <c r="BF22" s="31">
        <f t="shared" si="43"/>
        <v>0</v>
      </c>
      <c r="BG22" s="27"/>
      <c r="BH22" s="37">
        <f t="shared" si="9"/>
        <v>-1</v>
      </c>
      <c r="BI22" s="36">
        <f>[1]IG!$L22</f>
        <v>29991.383333333237</v>
      </c>
      <c r="BJ22" s="31">
        <f t="shared" si="44"/>
        <v>27835.002871666577</v>
      </c>
      <c r="BK22" s="18">
        <f t="shared" si="45"/>
        <v>2156.3804616666598</v>
      </c>
      <c r="BL22" s="31">
        <f t="shared" si="46"/>
        <v>0</v>
      </c>
      <c r="BM22" s="31">
        <f t="shared" si="47"/>
        <v>0</v>
      </c>
      <c r="BN22" s="33"/>
      <c r="BO22" s="37">
        <f t="shared" si="10"/>
        <v>-1</v>
      </c>
      <c r="BP22" s="36">
        <f>[1]IG!$M22</f>
        <v>29991.383333333237</v>
      </c>
      <c r="BQ22" s="31">
        <f t="shared" si="48"/>
        <v>27835.002871666577</v>
      </c>
      <c r="BR22" s="18">
        <f t="shared" si="49"/>
        <v>2156.3804616666598</v>
      </c>
      <c r="BS22" s="31">
        <f t="shared" si="50"/>
        <v>0</v>
      </c>
      <c r="BT22" s="31">
        <f t="shared" si="51"/>
        <v>0</v>
      </c>
      <c r="BU22" s="33"/>
      <c r="BV22" s="37">
        <f t="shared" si="11"/>
        <v>-1</v>
      </c>
      <c r="BW22" s="36">
        <f>[1]IG!$N22</f>
        <v>29991.383333333237</v>
      </c>
      <c r="BX22" s="31">
        <f t="shared" si="52"/>
        <v>27835.002871666577</v>
      </c>
      <c r="BY22" s="18">
        <f t="shared" si="53"/>
        <v>2156.3804616666598</v>
      </c>
      <c r="BZ22" s="31">
        <f t="shared" si="54"/>
        <v>0</v>
      </c>
      <c r="CA22" s="31">
        <f t="shared" si="55"/>
        <v>0</v>
      </c>
      <c r="CB22" s="33"/>
      <c r="CC22" s="37">
        <f t="shared" si="12"/>
        <v>-1</v>
      </c>
      <c r="CD22" s="36">
        <f>[1]IG!$O22</f>
        <v>29991.383333333237</v>
      </c>
      <c r="CE22" s="31">
        <f t="shared" si="56"/>
        <v>27835.002871666577</v>
      </c>
      <c r="CF22" s="18">
        <f t="shared" si="57"/>
        <v>2156.3804616666598</v>
      </c>
      <c r="CG22" s="31">
        <f t="shared" si="58"/>
        <v>0</v>
      </c>
      <c r="CH22" s="31">
        <f t="shared" si="59"/>
        <v>0</v>
      </c>
      <c r="CI22" s="33"/>
      <c r="CJ22" s="37">
        <f t="shared" si="13"/>
        <v>-1</v>
      </c>
      <c r="CK22" s="36">
        <f>[1]IG!$P22</f>
        <v>29991.383333333237</v>
      </c>
      <c r="CL22" s="31">
        <f t="shared" si="60"/>
        <v>27835.002871666577</v>
      </c>
      <c r="CM22" s="18">
        <f t="shared" si="61"/>
        <v>2156.3804616666598</v>
      </c>
      <c r="CN22" s="31">
        <f t="shared" si="62"/>
        <v>0</v>
      </c>
      <c r="CO22" s="31">
        <f t="shared" si="63"/>
        <v>0</v>
      </c>
      <c r="CP22" s="33"/>
      <c r="CQ22" s="37">
        <f t="shared" si="14"/>
        <v>-1</v>
      </c>
    </row>
    <row r="23" spans="1:95" s="26" customFormat="1" ht="16" customHeight="1" thickBot="1" x14ac:dyDescent="0.25">
      <c r="A23" s="29" t="s">
        <v>47</v>
      </c>
      <c r="B23" s="30">
        <f t="shared" si="0"/>
        <v>0</v>
      </c>
      <c r="C23" s="31">
        <f t="shared" si="0"/>
        <v>0</v>
      </c>
      <c r="D23" s="32">
        <f t="shared" si="0"/>
        <v>0</v>
      </c>
      <c r="E23" s="30">
        <f t="shared" si="15"/>
        <v>0</v>
      </c>
      <c r="F23" s="33">
        <f t="shared" si="15"/>
        <v>0</v>
      </c>
      <c r="G23" s="34">
        <f t="shared" si="15"/>
        <v>0</v>
      </c>
      <c r="H23" s="31">
        <f t="shared" si="1"/>
        <v>0</v>
      </c>
      <c r="I23" s="33">
        <f t="shared" si="1"/>
        <v>0</v>
      </c>
      <c r="J23" s="33">
        <f t="shared" si="1"/>
        <v>0</v>
      </c>
      <c r="K23" s="37" t="str">
        <f t="shared" si="2"/>
        <v/>
      </c>
      <c r="L23" s="36">
        <f>[1]IG!$E23</f>
        <v>0</v>
      </c>
      <c r="M23" s="31">
        <f t="shared" si="16"/>
        <v>0</v>
      </c>
      <c r="N23" s="31">
        <f t="shared" si="17"/>
        <v>0</v>
      </c>
      <c r="O23" s="31">
        <f t="shared" si="18"/>
        <v>0</v>
      </c>
      <c r="P23" s="31">
        <f t="shared" si="19"/>
        <v>0</v>
      </c>
      <c r="Q23" s="31"/>
      <c r="R23" s="31" t="str">
        <f t="shared" si="3"/>
        <v/>
      </c>
      <c r="S23" s="31">
        <f>[1]IG!$F23</f>
        <v>0</v>
      </c>
      <c r="T23" s="31">
        <f t="shared" si="20"/>
        <v>0</v>
      </c>
      <c r="U23" s="31">
        <f t="shared" si="21"/>
        <v>0</v>
      </c>
      <c r="V23" s="31">
        <f t="shared" si="22"/>
        <v>0</v>
      </c>
      <c r="W23" s="31">
        <f t="shared" si="23"/>
        <v>0</v>
      </c>
      <c r="X23" s="31"/>
      <c r="Y23" s="31" t="str">
        <f t="shared" si="4"/>
        <v/>
      </c>
      <c r="Z23" s="31">
        <f>[1]IG!$G23</f>
        <v>0</v>
      </c>
      <c r="AA23" s="31">
        <f t="shared" si="24"/>
        <v>0</v>
      </c>
      <c r="AB23" s="31">
        <f t="shared" si="25"/>
        <v>0</v>
      </c>
      <c r="AC23" s="31">
        <f t="shared" si="26"/>
        <v>0</v>
      </c>
      <c r="AD23" s="31">
        <f t="shared" si="27"/>
        <v>0</v>
      </c>
      <c r="AE23" s="31"/>
      <c r="AF23" s="31" t="str">
        <f t="shared" si="5"/>
        <v/>
      </c>
      <c r="AG23" s="31">
        <f>[1]IG!$H23</f>
        <v>0</v>
      </c>
      <c r="AH23" s="31">
        <f t="shared" si="28"/>
        <v>0</v>
      </c>
      <c r="AI23" s="31">
        <f t="shared" si="29"/>
        <v>0</v>
      </c>
      <c r="AJ23" s="31">
        <f t="shared" si="30"/>
        <v>0</v>
      </c>
      <c r="AK23" s="31">
        <f t="shared" si="31"/>
        <v>0</v>
      </c>
      <c r="AL23" s="31"/>
      <c r="AM23" s="31" t="str">
        <f t="shared" si="6"/>
        <v/>
      </c>
      <c r="AN23" s="31">
        <f>[1]IG!$I23</f>
        <v>0</v>
      </c>
      <c r="AO23" s="31">
        <f t="shared" si="32"/>
        <v>0</v>
      </c>
      <c r="AP23" s="31">
        <f t="shared" si="33"/>
        <v>0</v>
      </c>
      <c r="AQ23" s="31">
        <f t="shared" si="34"/>
        <v>0</v>
      </c>
      <c r="AR23" s="31">
        <f t="shared" si="35"/>
        <v>0</v>
      </c>
      <c r="AS23" s="33"/>
      <c r="AT23" s="37" t="str">
        <f t="shared" si="7"/>
        <v/>
      </c>
      <c r="AU23" s="36">
        <f>[1]IG!$J23</f>
        <v>0</v>
      </c>
      <c r="AV23" s="31">
        <f t="shared" si="36"/>
        <v>0</v>
      </c>
      <c r="AW23" s="18">
        <f t="shared" si="37"/>
        <v>0</v>
      </c>
      <c r="AX23" s="31">
        <f t="shared" si="38"/>
        <v>0</v>
      </c>
      <c r="AY23" s="31">
        <f t="shared" si="39"/>
        <v>0</v>
      </c>
      <c r="AZ23" s="27"/>
      <c r="BA23" s="37" t="str">
        <f t="shared" si="8"/>
        <v/>
      </c>
      <c r="BB23" s="36">
        <f>[1]IG!$K23</f>
        <v>0</v>
      </c>
      <c r="BC23" s="31">
        <f t="shared" si="40"/>
        <v>0</v>
      </c>
      <c r="BD23" s="18">
        <f t="shared" si="41"/>
        <v>0</v>
      </c>
      <c r="BE23" s="31">
        <f t="shared" si="42"/>
        <v>0</v>
      </c>
      <c r="BF23" s="31">
        <f t="shared" si="43"/>
        <v>0</v>
      </c>
      <c r="BG23" s="27"/>
      <c r="BH23" s="37" t="str">
        <f t="shared" si="9"/>
        <v/>
      </c>
      <c r="BI23" s="36">
        <f>[1]IG!$L23</f>
        <v>0</v>
      </c>
      <c r="BJ23" s="31">
        <f t="shared" si="44"/>
        <v>0</v>
      </c>
      <c r="BK23" s="18">
        <f t="shared" si="45"/>
        <v>0</v>
      </c>
      <c r="BL23" s="31">
        <f t="shared" si="46"/>
        <v>0</v>
      </c>
      <c r="BM23" s="31">
        <f t="shared" si="47"/>
        <v>0</v>
      </c>
      <c r="BN23" s="33"/>
      <c r="BO23" s="37" t="str">
        <f t="shared" si="10"/>
        <v/>
      </c>
      <c r="BP23" s="36">
        <f>[1]IG!$M23</f>
        <v>0</v>
      </c>
      <c r="BQ23" s="31">
        <f t="shared" si="48"/>
        <v>0</v>
      </c>
      <c r="BR23" s="18">
        <f t="shared" si="49"/>
        <v>0</v>
      </c>
      <c r="BS23" s="31">
        <f t="shared" si="50"/>
        <v>0</v>
      </c>
      <c r="BT23" s="31">
        <f t="shared" si="51"/>
        <v>0</v>
      </c>
      <c r="BU23" s="33"/>
      <c r="BV23" s="37" t="str">
        <f t="shared" si="11"/>
        <v/>
      </c>
      <c r="BW23" s="36">
        <f>[1]IG!$N23</f>
        <v>0</v>
      </c>
      <c r="BX23" s="31">
        <f t="shared" si="52"/>
        <v>0</v>
      </c>
      <c r="BY23" s="18">
        <f t="shared" si="53"/>
        <v>0</v>
      </c>
      <c r="BZ23" s="31">
        <f t="shared" si="54"/>
        <v>0</v>
      </c>
      <c r="CA23" s="31">
        <f t="shared" si="55"/>
        <v>0</v>
      </c>
      <c r="CB23" s="33"/>
      <c r="CC23" s="37" t="str">
        <f t="shared" si="12"/>
        <v/>
      </c>
      <c r="CD23" s="36">
        <f>[1]IG!$O23</f>
        <v>0</v>
      </c>
      <c r="CE23" s="31">
        <f t="shared" si="56"/>
        <v>0</v>
      </c>
      <c r="CF23" s="18">
        <f t="shared" si="57"/>
        <v>0</v>
      </c>
      <c r="CG23" s="31">
        <f t="shared" si="58"/>
        <v>0</v>
      </c>
      <c r="CH23" s="31">
        <f t="shared" si="59"/>
        <v>0</v>
      </c>
      <c r="CI23" s="33"/>
      <c r="CJ23" s="37" t="str">
        <f t="shared" si="13"/>
        <v/>
      </c>
      <c r="CK23" s="36">
        <f>[1]IG!$P23</f>
        <v>0</v>
      </c>
      <c r="CL23" s="31">
        <f t="shared" si="60"/>
        <v>0</v>
      </c>
      <c r="CM23" s="18">
        <f t="shared" si="61"/>
        <v>0</v>
      </c>
      <c r="CN23" s="31">
        <f t="shared" si="62"/>
        <v>0</v>
      </c>
      <c r="CO23" s="31">
        <f t="shared" si="63"/>
        <v>0</v>
      </c>
      <c r="CP23" s="33"/>
      <c r="CQ23" s="37" t="str">
        <f t="shared" si="14"/>
        <v/>
      </c>
    </row>
    <row r="24" spans="1:95" s="26" customFormat="1" ht="16" customHeight="1" thickBot="1" x14ac:dyDescent="0.25">
      <c r="A24" s="29" t="s">
        <v>48</v>
      </c>
      <c r="B24" s="30">
        <f t="shared" si="0"/>
        <v>327922.07730707829</v>
      </c>
      <c r="C24" s="31">
        <f t="shared" si="0"/>
        <v>304344.47994869947</v>
      </c>
      <c r="D24" s="32">
        <f t="shared" si="0"/>
        <v>23577.597358378931</v>
      </c>
      <c r="E24" s="30">
        <f t="shared" si="15"/>
        <v>110913.23916635945</v>
      </c>
      <c r="F24" s="33">
        <f t="shared" si="15"/>
        <v>102938.57727029821</v>
      </c>
      <c r="G24" s="34">
        <f t="shared" si="15"/>
        <v>7974.661896061245</v>
      </c>
      <c r="H24" s="31">
        <f t="shared" si="1"/>
        <v>189187.18019300001</v>
      </c>
      <c r="I24" s="33">
        <f t="shared" si="1"/>
        <v>14656.349807000001</v>
      </c>
      <c r="J24" s="33">
        <f t="shared" si="1"/>
        <v>203843.53</v>
      </c>
      <c r="K24" s="37">
        <f t="shared" si="2"/>
        <v>0.83786472680915791</v>
      </c>
      <c r="L24" s="36">
        <f>[1]IG!$E24</f>
        <v>27728.309791589862</v>
      </c>
      <c r="M24" s="31">
        <f t="shared" si="16"/>
        <v>25734.644317574552</v>
      </c>
      <c r="N24" s="31">
        <f t="shared" si="17"/>
        <v>1993.6654740153112</v>
      </c>
      <c r="O24" s="31">
        <f t="shared" si="18"/>
        <v>38070.439255999998</v>
      </c>
      <c r="P24" s="31">
        <f t="shared" si="19"/>
        <v>2949.3207440000006</v>
      </c>
      <c r="Q24" s="31">
        <f>41019.76</f>
        <v>41019.760000000002</v>
      </c>
      <c r="R24" s="31">
        <f t="shared" si="3"/>
        <v>0.47934584936156144</v>
      </c>
      <c r="S24" s="31">
        <f>[1]IG!$F24</f>
        <v>27728.309791589862</v>
      </c>
      <c r="T24" s="31">
        <f t="shared" si="20"/>
        <v>25734.644317574552</v>
      </c>
      <c r="U24" s="31">
        <f t="shared" si="21"/>
        <v>1993.6654740153112</v>
      </c>
      <c r="V24" s="31">
        <f t="shared" si="22"/>
        <v>11542.983881999999</v>
      </c>
      <c r="W24" s="31">
        <f t="shared" si="23"/>
        <v>894.23611800000003</v>
      </c>
      <c r="X24" s="31">
        <f>12437.22</f>
        <v>12437.22</v>
      </c>
      <c r="Y24" s="31">
        <f t="shared" si="4"/>
        <v>-0.55146130097795321</v>
      </c>
      <c r="Z24" s="31">
        <f>[1]IG!$G24</f>
        <v>27728.309791589862</v>
      </c>
      <c r="AA24" s="31">
        <f t="shared" si="24"/>
        <v>25734.644317574552</v>
      </c>
      <c r="AB24" s="31">
        <f t="shared" si="25"/>
        <v>1993.6654740153112</v>
      </c>
      <c r="AC24" s="31">
        <f t="shared" si="26"/>
        <v>65828.406734000004</v>
      </c>
      <c r="AD24" s="31">
        <f t="shared" si="27"/>
        <v>5099.7332660000002</v>
      </c>
      <c r="AE24" s="31">
        <v>70928.14</v>
      </c>
      <c r="AF24" s="31">
        <f t="shared" si="5"/>
        <v>1.5579683916223726</v>
      </c>
      <c r="AG24" s="31">
        <f>[1]IG!$H24</f>
        <v>27728.309791589862</v>
      </c>
      <c r="AH24" s="31">
        <f t="shared" si="28"/>
        <v>25734.644317574552</v>
      </c>
      <c r="AI24" s="31">
        <f t="shared" si="29"/>
        <v>1993.6654740153112</v>
      </c>
      <c r="AJ24" s="31">
        <f t="shared" si="30"/>
        <v>47.760026000000003</v>
      </c>
      <c r="AK24" s="31">
        <f t="shared" si="31"/>
        <v>3.6999740000000005</v>
      </c>
      <c r="AL24" s="31">
        <v>51.46</v>
      </c>
      <c r="AM24" s="31">
        <f t="shared" si="6"/>
        <v>-0.99814413498742693</v>
      </c>
      <c r="AN24" s="31">
        <f>[1]IG!$I24</f>
        <v>27728.309791589862</v>
      </c>
      <c r="AO24" s="31">
        <f t="shared" si="32"/>
        <v>25734.644317574552</v>
      </c>
      <c r="AP24" s="31">
        <f t="shared" si="33"/>
        <v>1993.6654740153112</v>
      </c>
      <c r="AQ24" s="31">
        <f t="shared" si="34"/>
        <v>26408.797789</v>
      </c>
      <c r="AR24" s="31">
        <f t="shared" si="35"/>
        <v>2045.8922110000001</v>
      </c>
      <c r="AS24" s="33">
        <v>28454.69</v>
      </c>
      <c r="AT24" s="37">
        <f t="shared" si="7"/>
        <v>2.6196339187989359E-2</v>
      </c>
      <c r="AU24" s="36">
        <f>[1]IG!$J24</f>
        <v>27728.309791589862</v>
      </c>
      <c r="AV24" s="31">
        <f t="shared" si="36"/>
        <v>25734.644317574552</v>
      </c>
      <c r="AW24" s="18">
        <f t="shared" si="37"/>
        <v>1993.6654740153112</v>
      </c>
      <c r="AX24" s="31">
        <f t="shared" si="38"/>
        <v>47288.792505999998</v>
      </c>
      <c r="AY24" s="31">
        <f t="shared" si="39"/>
        <v>3663.4674940000004</v>
      </c>
      <c r="AZ24" s="27">
        <v>50952.26</v>
      </c>
      <c r="BA24" s="37">
        <f t="shared" si="8"/>
        <v>0.83755376303008866</v>
      </c>
      <c r="BB24" s="36">
        <f>[1]IG!$K24</f>
        <v>22910.669599589863</v>
      </c>
      <c r="BC24" s="31">
        <f t="shared" si="40"/>
        <v>21263.392455379351</v>
      </c>
      <c r="BD24" s="18">
        <f t="shared" si="41"/>
        <v>1647.2771442105113</v>
      </c>
      <c r="BE24" s="31">
        <f t="shared" si="42"/>
        <v>0</v>
      </c>
      <c r="BF24" s="31">
        <f t="shared" si="43"/>
        <v>0</v>
      </c>
      <c r="BG24" s="27"/>
      <c r="BH24" s="37">
        <f t="shared" si="9"/>
        <v>-1</v>
      </c>
      <c r="BI24" s="36">
        <f>[1]IG!$L24</f>
        <v>27728.309791589862</v>
      </c>
      <c r="BJ24" s="31">
        <f t="shared" si="44"/>
        <v>25734.644317574552</v>
      </c>
      <c r="BK24" s="18">
        <f t="shared" si="45"/>
        <v>1993.6654740153112</v>
      </c>
      <c r="BL24" s="31">
        <f t="shared" si="46"/>
        <v>0</v>
      </c>
      <c r="BM24" s="31">
        <f t="shared" si="47"/>
        <v>0</v>
      </c>
      <c r="BN24" s="33"/>
      <c r="BO24" s="37">
        <f t="shared" si="10"/>
        <v>-1</v>
      </c>
      <c r="BP24" s="36">
        <f>[1]IG!$M24</f>
        <v>27728.309791589862</v>
      </c>
      <c r="BQ24" s="31">
        <f t="shared" si="48"/>
        <v>25734.644317574552</v>
      </c>
      <c r="BR24" s="18">
        <f t="shared" si="49"/>
        <v>1993.6654740153112</v>
      </c>
      <c r="BS24" s="31">
        <f t="shared" si="50"/>
        <v>0</v>
      </c>
      <c r="BT24" s="31">
        <f t="shared" si="51"/>
        <v>0</v>
      </c>
      <c r="BU24" s="33"/>
      <c r="BV24" s="37">
        <f t="shared" si="11"/>
        <v>-1</v>
      </c>
      <c r="BW24" s="36">
        <f>[1]IG!$N24</f>
        <v>27728.309791589862</v>
      </c>
      <c r="BX24" s="31">
        <f t="shared" si="52"/>
        <v>25734.644317574552</v>
      </c>
      <c r="BY24" s="18">
        <f t="shared" si="53"/>
        <v>1993.6654740153112</v>
      </c>
      <c r="BZ24" s="31">
        <f t="shared" si="54"/>
        <v>0</v>
      </c>
      <c r="CA24" s="31">
        <f t="shared" si="55"/>
        <v>0</v>
      </c>
      <c r="CB24" s="33"/>
      <c r="CC24" s="37">
        <f t="shared" si="12"/>
        <v>-1</v>
      </c>
      <c r="CD24" s="36">
        <f>[1]IG!$O24</f>
        <v>27728.309791589862</v>
      </c>
      <c r="CE24" s="31">
        <f t="shared" si="56"/>
        <v>25734.644317574552</v>
      </c>
      <c r="CF24" s="18">
        <f t="shared" si="57"/>
        <v>1993.6654740153112</v>
      </c>
      <c r="CG24" s="31">
        <f t="shared" si="58"/>
        <v>0</v>
      </c>
      <c r="CH24" s="31">
        <f t="shared" si="59"/>
        <v>0</v>
      </c>
      <c r="CI24" s="33"/>
      <c r="CJ24" s="37">
        <f t="shared" si="13"/>
        <v>-1</v>
      </c>
      <c r="CK24" s="36">
        <f>[1]IG!$P24</f>
        <v>27728.309791589862</v>
      </c>
      <c r="CL24" s="31">
        <f t="shared" si="60"/>
        <v>25734.644317574552</v>
      </c>
      <c r="CM24" s="18">
        <f t="shared" si="61"/>
        <v>1993.6654740153112</v>
      </c>
      <c r="CN24" s="31">
        <f t="shared" si="62"/>
        <v>0</v>
      </c>
      <c r="CO24" s="31">
        <f t="shared" si="63"/>
        <v>0</v>
      </c>
      <c r="CP24" s="33"/>
      <c r="CQ24" s="37">
        <f t="shared" si="14"/>
        <v>-1</v>
      </c>
    </row>
    <row r="25" spans="1:95" s="26" customFormat="1" ht="16" customHeight="1" thickBot="1" x14ac:dyDescent="0.25">
      <c r="A25" s="29" t="s">
        <v>49</v>
      </c>
      <c r="B25" s="30">
        <f t="shared" si="0"/>
        <v>828071.73089999869</v>
      </c>
      <c r="C25" s="31">
        <f t="shared" si="0"/>
        <v>768533.37344828865</v>
      </c>
      <c r="D25" s="32">
        <f t="shared" si="0"/>
        <v>59538.357451709911</v>
      </c>
      <c r="E25" s="30">
        <f t="shared" si="15"/>
        <v>245822.04359999899</v>
      </c>
      <c r="F25" s="33">
        <f t="shared" si="15"/>
        <v>228147.43866515905</v>
      </c>
      <c r="G25" s="34">
        <f t="shared" si="15"/>
        <v>17674.604934839928</v>
      </c>
      <c r="H25" s="31">
        <f t="shared" si="1"/>
        <v>512740.03788600001</v>
      </c>
      <c r="I25" s="33">
        <f t="shared" si="1"/>
        <v>39722.022114000007</v>
      </c>
      <c r="J25" s="33">
        <f t="shared" si="1"/>
        <v>552462.06000000006</v>
      </c>
      <c r="K25" s="37">
        <f t="shared" si="2"/>
        <v>1.2474065055734584</v>
      </c>
      <c r="L25" s="36">
        <f>[1]IG!$E25</f>
        <v>0</v>
      </c>
      <c r="M25" s="31">
        <f t="shared" si="16"/>
        <v>0</v>
      </c>
      <c r="N25" s="31">
        <f t="shared" si="17"/>
        <v>0</v>
      </c>
      <c r="O25" s="31">
        <f t="shared" si="18"/>
        <v>10190.825711</v>
      </c>
      <c r="P25" s="31">
        <f t="shared" si="19"/>
        <v>789.48428899999999</v>
      </c>
      <c r="Q25" s="31">
        <f>10980.31</f>
        <v>10980.31</v>
      </c>
      <c r="R25" s="31" t="str">
        <f t="shared" si="3"/>
        <v/>
      </c>
      <c r="S25" s="31">
        <f>[1]IG!$F25</f>
        <v>0</v>
      </c>
      <c r="T25" s="31">
        <f t="shared" si="20"/>
        <v>0</v>
      </c>
      <c r="U25" s="31">
        <f t="shared" si="21"/>
        <v>0</v>
      </c>
      <c r="V25" s="31">
        <f t="shared" si="22"/>
        <v>0</v>
      </c>
      <c r="W25" s="31">
        <f t="shared" si="23"/>
        <v>0</v>
      </c>
      <c r="X25" s="31"/>
      <c r="Y25" s="31" t="str">
        <f t="shared" si="4"/>
        <v/>
      </c>
      <c r="Z25" s="31">
        <f>[1]IG!$G25</f>
        <v>103160.924999999</v>
      </c>
      <c r="AA25" s="31">
        <f t="shared" si="24"/>
        <v>95743.654492499074</v>
      </c>
      <c r="AB25" s="31">
        <f t="shared" si="25"/>
        <v>7417.2705074999285</v>
      </c>
      <c r="AC25" s="31">
        <f t="shared" si="26"/>
        <v>11513.776575</v>
      </c>
      <c r="AD25" s="31">
        <f t="shared" si="27"/>
        <v>891.97342500000002</v>
      </c>
      <c r="AE25" s="31">
        <v>12405.75</v>
      </c>
      <c r="AF25" s="31">
        <f t="shared" si="5"/>
        <v>-0.87974371109991378</v>
      </c>
      <c r="AG25" s="31">
        <f>[1]IG!$H25</f>
        <v>142661.11859999999</v>
      </c>
      <c r="AH25" s="31">
        <f t="shared" si="28"/>
        <v>132403.78417265997</v>
      </c>
      <c r="AI25" s="31">
        <f t="shared" si="29"/>
        <v>10257.33442734</v>
      </c>
      <c r="AJ25" s="31">
        <f t="shared" si="30"/>
        <v>164668.114657</v>
      </c>
      <c r="AK25" s="31">
        <f t="shared" si="31"/>
        <v>12756.855343000001</v>
      </c>
      <c r="AL25" s="31">
        <v>177424.97</v>
      </c>
      <c r="AM25" s="31">
        <f t="shared" si="6"/>
        <v>0.24368133196454567</v>
      </c>
      <c r="AN25" s="31">
        <f>[1]IG!$I25</f>
        <v>142661.11859999999</v>
      </c>
      <c r="AO25" s="31">
        <f t="shared" si="32"/>
        <v>132403.78417265997</v>
      </c>
      <c r="AP25" s="31">
        <f t="shared" si="33"/>
        <v>10257.33442734</v>
      </c>
      <c r="AQ25" s="31">
        <f t="shared" si="34"/>
        <v>151727.95047299998</v>
      </c>
      <c r="AR25" s="31">
        <f t="shared" si="35"/>
        <v>11754.379526999999</v>
      </c>
      <c r="AS25" s="33">
        <v>163482.32999999999</v>
      </c>
      <c r="AT25" s="37">
        <f t="shared" si="7"/>
        <v>0.14594874626196863</v>
      </c>
      <c r="AU25" s="36">
        <f>[1]IG!$J25</f>
        <v>147891.3198</v>
      </c>
      <c r="AV25" s="31">
        <f t="shared" si="36"/>
        <v>137257.93390638</v>
      </c>
      <c r="AW25" s="18">
        <f t="shared" si="37"/>
        <v>10633.385893620001</v>
      </c>
      <c r="AX25" s="31">
        <f t="shared" si="38"/>
        <v>174639.37047000002</v>
      </c>
      <c r="AY25" s="31">
        <f t="shared" si="39"/>
        <v>13529.329530000003</v>
      </c>
      <c r="AZ25" s="27">
        <v>188168.7</v>
      </c>
      <c r="BA25" s="37">
        <f t="shared" si="8"/>
        <v>0.27234445033331856</v>
      </c>
      <c r="BB25" s="36">
        <f>[1]IG!$K25</f>
        <v>61599.379799999901</v>
      </c>
      <c r="BC25" s="31">
        <f t="shared" si="40"/>
        <v>57170.384392379907</v>
      </c>
      <c r="BD25" s="18">
        <f t="shared" si="41"/>
        <v>4428.9954076199929</v>
      </c>
      <c r="BE25" s="31">
        <f t="shared" si="42"/>
        <v>0</v>
      </c>
      <c r="BF25" s="31">
        <f t="shared" si="43"/>
        <v>0</v>
      </c>
      <c r="BG25" s="27"/>
      <c r="BH25" s="37">
        <f t="shared" si="9"/>
        <v>-1</v>
      </c>
      <c r="BI25" s="36">
        <f>[1]IG!$L25</f>
        <v>61599.379799999901</v>
      </c>
      <c r="BJ25" s="31">
        <f t="shared" si="44"/>
        <v>57170.384392379907</v>
      </c>
      <c r="BK25" s="18">
        <f t="shared" si="45"/>
        <v>4428.9954076199929</v>
      </c>
      <c r="BL25" s="31">
        <f t="shared" si="46"/>
        <v>0</v>
      </c>
      <c r="BM25" s="31">
        <f t="shared" si="47"/>
        <v>0</v>
      </c>
      <c r="BN25" s="33"/>
      <c r="BO25" s="37">
        <f t="shared" si="10"/>
        <v>-1</v>
      </c>
      <c r="BP25" s="36">
        <f>[1]IG!$M25</f>
        <v>61599.379799999901</v>
      </c>
      <c r="BQ25" s="31">
        <f t="shared" si="48"/>
        <v>57170.384392379907</v>
      </c>
      <c r="BR25" s="18">
        <f t="shared" si="49"/>
        <v>4428.9954076199929</v>
      </c>
      <c r="BS25" s="31">
        <f t="shared" si="50"/>
        <v>0</v>
      </c>
      <c r="BT25" s="31">
        <f t="shared" si="51"/>
        <v>0</v>
      </c>
      <c r="BU25" s="33"/>
      <c r="BV25" s="37">
        <f t="shared" si="11"/>
        <v>-1</v>
      </c>
      <c r="BW25" s="36">
        <f>[1]IG!$N25</f>
        <v>48748.465499999998</v>
      </c>
      <c r="BX25" s="31">
        <f t="shared" si="52"/>
        <v>45243.450830549998</v>
      </c>
      <c r="BY25" s="18">
        <f t="shared" si="53"/>
        <v>3505.0146694500004</v>
      </c>
      <c r="BZ25" s="31">
        <f t="shared" si="54"/>
        <v>0</v>
      </c>
      <c r="CA25" s="31">
        <f t="shared" si="55"/>
        <v>0</v>
      </c>
      <c r="CB25" s="33"/>
      <c r="CC25" s="37">
        <f t="shared" si="12"/>
        <v>-1</v>
      </c>
      <c r="CD25" s="36">
        <f>[1]IG!$O25</f>
        <v>29075.322</v>
      </c>
      <c r="CE25" s="31">
        <f t="shared" si="56"/>
        <v>26984.8063482</v>
      </c>
      <c r="CF25" s="18">
        <f t="shared" si="57"/>
        <v>2090.5156518000003</v>
      </c>
      <c r="CG25" s="31">
        <f t="shared" si="58"/>
        <v>0</v>
      </c>
      <c r="CH25" s="31">
        <f t="shared" si="59"/>
        <v>0</v>
      </c>
      <c r="CI25" s="33"/>
      <c r="CJ25" s="37">
        <f t="shared" si="13"/>
        <v>-1</v>
      </c>
      <c r="CK25" s="36">
        <f>[1]IG!$P25</f>
        <v>29075.322</v>
      </c>
      <c r="CL25" s="31">
        <f t="shared" si="60"/>
        <v>26984.8063482</v>
      </c>
      <c r="CM25" s="18">
        <f t="shared" si="61"/>
        <v>2090.5156518000003</v>
      </c>
      <c r="CN25" s="31">
        <f t="shared" si="62"/>
        <v>0</v>
      </c>
      <c r="CO25" s="31">
        <f t="shared" si="63"/>
        <v>0</v>
      </c>
      <c r="CP25" s="33"/>
      <c r="CQ25" s="37">
        <f t="shared" si="14"/>
        <v>-1</v>
      </c>
    </row>
    <row r="26" spans="1:95" s="26" customFormat="1" ht="16" customHeight="1" thickBot="1" x14ac:dyDescent="0.25">
      <c r="A26" s="29" t="s">
        <v>50</v>
      </c>
      <c r="B26" s="30">
        <f t="shared" si="0"/>
        <v>3812973.7760512633</v>
      </c>
      <c r="C26" s="31">
        <f t="shared" si="0"/>
        <v>3538820.9615531764</v>
      </c>
      <c r="D26" s="32">
        <f t="shared" si="0"/>
        <v>274152.81449808588</v>
      </c>
      <c r="E26" s="30">
        <f t="shared" si="15"/>
        <v>1043648.5573247147</v>
      </c>
      <c r="F26" s="33">
        <f t="shared" si="15"/>
        <v>968610.22605306772</v>
      </c>
      <c r="G26" s="34">
        <f t="shared" si="15"/>
        <v>75038.331271646995</v>
      </c>
      <c r="H26" s="31">
        <f t="shared" si="1"/>
        <v>1867821.3619270001</v>
      </c>
      <c r="I26" s="33">
        <f t="shared" si="1"/>
        <v>144700.30807300002</v>
      </c>
      <c r="J26" s="33">
        <f t="shared" si="1"/>
        <v>2012521.6700000002</v>
      </c>
      <c r="K26" s="37">
        <f t="shared" si="2"/>
        <v>0.92835189190400613</v>
      </c>
      <c r="L26" s="36">
        <f>[1]IG!$E26</f>
        <v>114279.08114244268</v>
      </c>
      <c r="M26" s="31">
        <f t="shared" si="16"/>
        <v>106062.41520830106</v>
      </c>
      <c r="N26" s="31">
        <f t="shared" si="17"/>
        <v>8216.6659341416289</v>
      </c>
      <c r="O26" s="31">
        <f t="shared" si="18"/>
        <v>140211.51953200001</v>
      </c>
      <c r="P26" s="31">
        <f t="shared" si="19"/>
        <v>10862.200468000001</v>
      </c>
      <c r="Q26" s="31">
        <f>90.74+150982.98</f>
        <v>151073.72</v>
      </c>
      <c r="R26" s="31">
        <f t="shared" si="3"/>
        <v>0.32197177724674564</v>
      </c>
      <c r="S26" s="31">
        <f>[1]IG!$F26</f>
        <v>229370.12434244266</v>
      </c>
      <c r="T26" s="31">
        <f t="shared" si="20"/>
        <v>212878.41240222103</v>
      </c>
      <c r="U26" s="31">
        <f t="shared" si="21"/>
        <v>16491.71194022163</v>
      </c>
      <c r="V26" s="31">
        <f t="shared" si="22"/>
        <v>207030.43171</v>
      </c>
      <c r="W26" s="31">
        <f t="shared" si="23"/>
        <v>16038.668290000001</v>
      </c>
      <c r="X26" s="31">
        <f>68.91+221138.19+1862</f>
        <v>223069.1</v>
      </c>
      <c r="Y26" s="31">
        <f t="shared" si="4"/>
        <v>-2.7470989783462074E-2</v>
      </c>
      <c r="Z26" s="31">
        <f>[1]IG!$G26</f>
        <v>351842.41888004262</v>
      </c>
      <c r="AA26" s="31">
        <f t="shared" si="24"/>
        <v>326544.94896256755</v>
      </c>
      <c r="AB26" s="31">
        <f t="shared" si="25"/>
        <v>25297.469917475068</v>
      </c>
      <c r="AC26" s="31">
        <f t="shared" si="26"/>
        <v>317130.40569300001</v>
      </c>
      <c r="AD26" s="31">
        <f t="shared" si="27"/>
        <v>24568.124307000006</v>
      </c>
      <c r="AE26" s="31">
        <f>1862+339836.53</f>
        <v>341698.53</v>
      </c>
      <c r="AF26" s="31">
        <f t="shared" si="5"/>
        <v>-2.8830772913430502E-2</v>
      </c>
      <c r="AG26" s="31">
        <f>[1]IG!$H26</f>
        <v>348156.93295978667</v>
      </c>
      <c r="AH26" s="31">
        <f t="shared" si="28"/>
        <v>323124.44947997801</v>
      </c>
      <c r="AI26" s="31">
        <f t="shared" si="29"/>
        <v>25032.483479808663</v>
      </c>
      <c r="AJ26" s="31">
        <f t="shared" si="30"/>
        <v>516215.89303899993</v>
      </c>
      <c r="AK26" s="31">
        <f t="shared" si="31"/>
        <v>39991.296961</v>
      </c>
      <c r="AL26" s="31">
        <v>556207.18999999994</v>
      </c>
      <c r="AM26" s="31">
        <f t="shared" si="6"/>
        <v>0.5975760852197185</v>
      </c>
      <c r="AN26" s="31">
        <f>[1]IG!$I26</f>
        <v>393997.77634244267</v>
      </c>
      <c r="AO26" s="31">
        <f t="shared" si="32"/>
        <v>365669.33622342104</v>
      </c>
      <c r="AP26" s="31">
        <f t="shared" si="33"/>
        <v>28328.44011902163</v>
      </c>
      <c r="AQ26" s="31">
        <f t="shared" si="34"/>
        <v>498762.61058000004</v>
      </c>
      <c r="AR26" s="31">
        <f t="shared" si="35"/>
        <v>38639.18942000001</v>
      </c>
      <c r="AS26" s="33">
        <v>537401.80000000005</v>
      </c>
      <c r="AT26" s="37">
        <f t="shared" si="7"/>
        <v>0.36397165737533999</v>
      </c>
      <c r="AU26" s="36">
        <f>[1]IG!$J26</f>
        <v>305420.38728004269</v>
      </c>
      <c r="AV26" s="31">
        <f t="shared" si="36"/>
        <v>283460.66143460764</v>
      </c>
      <c r="AW26" s="18">
        <f t="shared" si="37"/>
        <v>21959.72584543507</v>
      </c>
      <c r="AX26" s="31">
        <f t="shared" si="38"/>
        <v>188470.50137299998</v>
      </c>
      <c r="AY26" s="31">
        <f t="shared" si="39"/>
        <v>14600.828627000001</v>
      </c>
      <c r="AZ26" s="27">
        <v>203071.33</v>
      </c>
      <c r="BA26" s="37">
        <f t="shared" si="8"/>
        <v>-0.33510879280693839</v>
      </c>
      <c r="BB26" s="36">
        <f>[1]IG!$K26</f>
        <v>259579.5438973867</v>
      </c>
      <c r="BC26" s="31">
        <f t="shared" si="40"/>
        <v>240915.77469116458</v>
      </c>
      <c r="BD26" s="18">
        <f t="shared" si="41"/>
        <v>18663.769206222107</v>
      </c>
      <c r="BE26" s="31">
        <f t="shared" si="42"/>
        <v>0</v>
      </c>
      <c r="BF26" s="31">
        <f t="shared" si="43"/>
        <v>0</v>
      </c>
      <c r="BG26" s="27"/>
      <c r="BH26" s="37">
        <f t="shared" si="9"/>
        <v>-1</v>
      </c>
      <c r="BI26" s="36">
        <f>[1]IG!$L26</f>
        <v>351842.41888004262</v>
      </c>
      <c r="BJ26" s="31">
        <f t="shared" si="44"/>
        <v>326544.94896256755</v>
      </c>
      <c r="BK26" s="18">
        <f t="shared" si="45"/>
        <v>25297.469917475068</v>
      </c>
      <c r="BL26" s="31">
        <f t="shared" si="46"/>
        <v>0</v>
      </c>
      <c r="BM26" s="31">
        <f t="shared" si="47"/>
        <v>0</v>
      </c>
      <c r="BN26" s="33"/>
      <c r="BO26" s="37">
        <f t="shared" si="10"/>
        <v>-1</v>
      </c>
      <c r="BP26" s="36">
        <f>[1]IG!$M26</f>
        <v>440539.11108052265</v>
      </c>
      <c r="BQ26" s="31">
        <f t="shared" si="48"/>
        <v>408864.34899383306</v>
      </c>
      <c r="BR26" s="18">
        <f t="shared" si="49"/>
        <v>31674.762086689581</v>
      </c>
      <c r="BS26" s="31">
        <f t="shared" si="50"/>
        <v>0</v>
      </c>
      <c r="BT26" s="31">
        <f t="shared" si="51"/>
        <v>0</v>
      </c>
      <c r="BU26" s="33"/>
      <c r="BV26" s="37">
        <f t="shared" si="11"/>
        <v>-1</v>
      </c>
      <c r="BW26" s="36">
        <f>[1]IG!$N26</f>
        <v>414739.42482266575</v>
      </c>
      <c r="BX26" s="31">
        <f t="shared" si="52"/>
        <v>384919.66017791606</v>
      </c>
      <c r="BY26" s="18">
        <f t="shared" si="53"/>
        <v>29819.76464474967</v>
      </c>
      <c r="BZ26" s="31">
        <f t="shared" si="54"/>
        <v>0</v>
      </c>
      <c r="CA26" s="31">
        <f t="shared" si="55"/>
        <v>0</v>
      </c>
      <c r="CB26" s="33"/>
      <c r="CC26" s="37">
        <f t="shared" si="12"/>
        <v>-1</v>
      </c>
      <c r="CD26" s="36">
        <f>[1]IG!$O26</f>
        <v>305293.90388052264</v>
      </c>
      <c r="CE26" s="31">
        <f t="shared" si="56"/>
        <v>283343.27219151304</v>
      </c>
      <c r="CF26" s="18">
        <f t="shared" si="57"/>
        <v>21950.63168900958</v>
      </c>
      <c r="CG26" s="31">
        <f t="shared" si="58"/>
        <v>0</v>
      </c>
      <c r="CH26" s="31">
        <f t="shared" si="59"/>
        <v>0</v>
      </c>
      <c r="CI26" s="33"/>
      <c r="CJ26" s="37">
        <f t="shared" si="13"/>
        <v>-1</v>
      </c>
      <c r="CK26" s="36">
        <f>[1]IG!$P26</f>
        <v>297912.65254292265</v>
      </c>
      <c r="CL26" s="31">
        <f t="shared" si="60"/>
        <v>276492.73282508651</v>
      </c>
      <c r="CM26" s="18">
        <f t="shared" si="61"/>
        <v>21419.919717836139</v>
      </c>
      <c r="CN26" s="31">
        <f t="shared" si="62"/>
        <v>0</v>
      </c>
      <c r="CO26" s="31">
        <f t="shared" si="63"/>
        <v>0</v>
      </c>
      <c r="CP26" s="33"/>
      <c r="CQ26" s="37">
        <f t="shared" si="14"/>
        <v>-1</v>
      </c>
    </row>
    <row r="27" spans="1:95" s="26" customFormat="1" ht="16" customHeight="1" thickBot="1" x14ac:dyDescent="0.25">
      <c r="A27" s="29" t="s">
        <v>51</v>
      </c>
      <c r="B27" s="30">
        <f t="shared" si="0"/>
        <v>156515.57899599971</v>
      </c>
      <c r="C27" s="31">
        <f t="shared" si="0"/>
        <v>145262.10886618731</v>
      </c>
      <c r="D27" s="32">
        <f t="shared" si="0"/>
        <v>11253.470129812378</v>
      </c>
      <c r="E27" s="30">
        <f t="shared" si="15"/>
        <v>35675.701656000005</v>
      </c>
      <c r="F27" s="33">
        <f t="shared" si="15"/>
        <v>33110.618706933601</v>
      </c>
      <c r="G27" s="34">
        <f t="shared" si="15"/>
        <v>2565.0829490664</v>
      </c>
      <c r="H27" s="31">
        <f t="shared" si="1"/>
        <v>43683.114724999999</v>
      </c>
      <c r="I27" s="33">
        <f t="shared" si="1"/>
        <v>3384.1352750000005</v>
      </c>
      <c r="J27" s="33">
        <f t="shared" si="1"/>
        <v>47067.25</v>
      </c>
      <c r="K27" s="37">
        <f t="shared" si="2"/>
        <v>0.31930831953473704</v>
      </c>
      <c r="L27" s="36">
        <f>[1]IG!$E27</f>
        <v>2004.963968</v>
      </c>
      <c r="M27" s="31">
        <f t="shared" si="16"/>
        <v>1860.8070587008001</v>
      </c>
      <c r="N27" s="31">
        <f t="shared" si="17"/>
        <v>144.15690929920001</v>
      </c>
      <c r="O27" s="31">
        <f t="shared" si="18"/>
        <v>0</v>
      </c>
      <c r="P27" s="31">
        <f t="shared" si="19"/>
        <v>0</v>
      </c>
      <c r="Q27" s="31"/>
      <c r="R27" s="31">
        <f t="shared" si="3"/>
        <v>-1</v>
      </c>
      <c r="S27" s="31">
        <f>[1]IG!$F27</f>
        <v>7238.0573439999998</v>
      </c>
      <c r="T27" s="31">
        <f t="shared" si="20"/>
        <v>6717.6410209664</v>
      </c>
      <c r="U27" s="31">
        <f t="shared" si="21"/>
        <v>520.41632303360007</v>
      </c>
      <c r="V27" s="31">
        <f t="shared" si="22"/>
        <v>185.55503300000001</v>
      </c>
      <c r="W27" s="31">
        <f t="shared" si="23"/>
        <v>14.374967000000002</v>
      </c>
      <c r="X27" s="31">
        <v>199.93</v>
      </c>
      <c r="Y27" s="31">
        <f t="shared" si="4"/>
        <v>-0.9723779474936417</v>
      </c>
      <c r="Z27" s="31">
        <f>[1]IG!$G27</f>
        <v>7238.0573439999998</v>
      </c>
      <c r="AA27" s="31">
        <f t="shared" si="24"/>
        <v>6717.6410209664</v>
      </c>
      <c r="AB27" s="31">
        <f t="shared" si="25"/>
        <v>520.41632303360007</v>
      </c>
      <c r="AC27" s="31">
        <f t="shared" si="26"/>
        <v>2638.5233329999996</v>
      </c>
      <c r="AD27" s="31">
        <f t="shared" si="27"/>
        <v>204.406667</v>
      </c>
      <c r="AE27" s="31">
        <v>2842.93</v>
      </c>
      <c r="AF27" s="31">
        <f t="shared" si="5"/>
        <v>-0.60722471999249195</v>
      </c>
      <c r="AG27" s="31">
        <f>[1]IG!$H27</f>
        <v>19194.623</v>
      </c>
      <c r="AH27" s="31">
        <f t="shared" si="28"/>
        <v>17814.529606299999</v>
      </c>
      <c r="AI27" s="31">
        <f t="shared" si="29"/>
        <v>1380.0933937</v>
      </c>
      <c r="AJ27" s="31">
        <f t="shared" si="30"/>
        <v>8119.7241560000002</v>
      </c>
      <c r="AK27" s="31">
        <f t="shared" si="31"/>
        <v>629.03584400000011</v>
      </c>
      <c r="AL27" s="31">
        <v>8748.76</v>
      </c>
      <c r="AM27" s="31">
        <f t="shared" si="6"/>
        <v>-0.54420777110339702</v>
      </c>
      <c r="AN27" s="31">
        <f>[1]IG!$I27</f>
        <v>7518.9030000000002</v>
      </c>
      <c r="AO27" s="31">
        <f t="shared" si="32"/>
        <v>6978.2938743000004</v>
      </c>
      <c r="AP27" s="31">
        <f t="shared" si="33"/>
        <v>540.60912570000005</v>
      </c>
      <c r="AQ27" s="31">
        <f t="shared" si="34"/>
        <v>9849.776804000001</v>
      </c>
      <c r="AR27" s="31">
        <f t="shared" si="35"/>
        <v>763.06319600000006</v>
      </c>
      <c r="AS27" s="33">
        <v>10612.84</v>
      </c>
      <c r="AT27" s="37">
        <f t="shared" si="7"/>
        <v>0.41148781943323387</v>
      </c>
      <c r="AU27" s="36">
        <f>[1]IG!$J27</f>
        <v>21199.586968</v>
      </c>
      <c r="AV27" s="31">
        <f t="shared" si="36"/>
        <v>19675.336665000799</v>
      </c>
      <c r="AW27" s="18">
        <f t="shared" si="37"/>
        <v>1524.2503029992001</v>
      </c>
      <c r="AX27" s="31">
        <f t="shared" si="38"/>
        <v>22889.535399</v>
      </c>
      <c r="AY27" s="31">
        <f t="shared" si="39"/>
        <v>1773.2546010000001</v>
      </c>
      <c r="AZ27" s="27">
        <v>24662.79</v>
      </c>
      <c r="BA27" s="37">
        <f t="shared" si="8"/>
        <v>0.16336181630460911</v>
      </c>
      <c r="BB27" s="36">
        <f>[1]IG!$K27</f>
        <v>9523.8669680000003</v>
      </c>
      <c r="BC27" s="31">
        <f t="shared" si="40"/>
        <v>8839.1009330008001</v>
      </c>
      <c r="BD27" s="18">
        <f t="shared" si="41"/>
        <v>684.76603499920009</v>
      </c>
      <c r="BE27" s="31">
        <f t="shared" si="42"/>
        <v>0</v>
      </c>
      <c r="BF27" s="31">
        <f t="shared" si="43"/>
        <v>0</v>
      </c>
      <c r="BG27" s="27"/>
      <c r="BH27" s="37">
        <f t="shared" si="9"/>
        <v>-1</v>
      </c>
      <c r="BI27" s="36">
        <f>[1]IG!$L27</f>
        <v>21199.586968</v>
      </c>
      <c r="BJ27" s="31">
        <f t="shared" si="44"/>
        <v>19675.336665000799</v>
      </c>
      <c r="BK27" s="18">
        <f t="shared" si="45"/>
        <v>1524.2503029992001</v>
      </c>
      <c r="BL27" s="31">
        <f t="shared" si="46"/>
        <v>0</v>
      </c>
      <c r="BM27" s="31">
        <f t="shared" si="47"/>
        <v>0</v>
      </c>
      <c r="BN27" s="33"/>
      <c r="BO27" s="37">
        <f t="shared" si="10"/>
        <v>-1</v>
      </c>
      <c r="BP27" s="36">
        <f>[1]IG!$M27</f>
        <v>21199.586968</v>
      </c>
      <c r="BQ27" s="31">
        <f t="shared" si="48"/>
        <v>19675.336665000799</v>
      </c>
      <c r="BR27" s="18">
        <f t="shared" si="49"/>
        <v>1524.2503029992001</v>
      </c>
      <c r="BS27" s="31">
        <f t="shared" si="50"/>
        <v>0</v>
      </c>
      <c r="BT27" s="31">
        <f t="shared" si="51"/>
        <v>0</v>
      </c>
      <c r="BU27" s="33"/>
      <c r="BV27" s="37">
        <f t="shared" si="11"/>
        <v>-1</v>
      </c>
      <c r="BW27" s="36">
        <f>[1]IG!$N27</f>
        <v>14736.0914679999</v>
      </c>
      <c r="BX27" s="31">
        <f t="shared" si="52"/>
        <v>13676.566491450707</v>
      </c>
      <c r="BY27" s="18">
        <f t="shared" si="53"/>
        <v>1059.5249765491928</v>
      </c>
      <c r="BZ27" s="31">
        <f t="shared" si="54"/>
        <v>0</v>
      </c>
      <c r="CA27" s="31">
        <f t="shared" si="55"/>
        <v>0</v>
      </c>
      <c r="CB27" s="33"/>
      <c r="CC27" s="37">
        <f t="shared" si="12"/>
        <v>-1</v>
      </c>
      <c r="CD27" s="36">
        <f>[1]IG!$O27</f>
        <v>12731.1274999999</v>
      </c>
      <c r="CE27" s="31">
        <f t="shared" si="56"/>
        <v>11815.759432749908</v>
      </c>
      <c r="CF27" s="18">
        <f t="shared" si="57"/>
        <v>915.36806724999292</v>
      </c>
      <c r="CG27" s="31">
        <f t="shared" si="58"/>
        <v>0</v>
      </c>
      <c r="CH27" s="31">
        <f t="shared" si="59"/>
        <v>0</v>
      </c>
      <c r="CI27" s="33"/>
      <c r="CJ27" s="37">
        <f t="shared" si="13"/>
        <v>-1</v>
      </c>
      <c r="CK27" s="36">
        <f>[1]IG!$P27</f>
        <v>12731.1274999999</v>
      </c>
      <c r="CL27" s="31">
        <f t="shared" si="60"/>
        <v>11815.759432749908</v>
      </c>
      <c r="CM27" s="18">
        <f t="shared" si="61"/>
        <v>915.36806724999292</v>
      </c>
      <c r="CN27" s="31">
        <f t="shared" si="62"/>
        <v>0</v>
      </c>
      <c r="CO27" s="31">
        <f t="shared" si="63"/>
        <v>0</v>
      </c>
      <c r="CP27" s="33"/>
      <c r="CQ27" s="37">
        <f t="shared" si="14"/>
        <v>-1</v>
      </c>
    </row>
    <row r="28" spans="1:95" s="26" customFormat="1" ht="16" customHeight="1" thickBot="1" x14ac:dyDescent="0.25">
      <c r="A28" s="29" t="s">
        <v>52</v>
      </c>
      <c r="B28" s="30">
        <f t="shared" si="0"/>
        <v>214034.26449999987</v>
      </c>
      <c r="C28" s="31">
        <f t="shared" si="0"/>
        <v>198645.20088244986</v>
      </c>
      <c r="D28" s="32">
        <f t="shared" si="0"/>
        <v>15389.063617549995</v>
      </c>
      <c r="E28" s="30">
        <f t="shared" si="15"/>
        <v>74403.217000000004</v>
      </c>
      <c r="F28" s="33">
        <f t="shared" si="15"/>
        <v>69053.625697699987</v>
      </c>
      <c r="G28" s="34">
        <f t="shared" si="15"/>
        <v>5349.5913023000003</v>
      </c>
      <c r="H28" s="31">
        <f t="shared" si="1"/>
        <v>123087.99100300002</v>
      </c>
      <c r="I28" s="33">
        <f t="shared" si="1"/>
        <v>9535.638997</v>
      </c>
      <c r="J28" s="33">
        <f t="shared" si="1"/>
        <v>132623.63</v>
      </c>
      <c r="K28" s="37">
        <f t="shared" si="2"/>
        <v>0.78249859814529255</v>
      </c>
      <c r="L28" s="36">
        <f>[1]IG!$E28</f>
        <v>15840.425999999999</v>
      </c>
      <c r="M28" s="31">
        <f t="shared" si="16"/>
        <v>14701.499370599999</v>
      </c>
      <c r="N28" s="31">
        <f t="shared" si="17"/>
        <v>1138.9266294000001</v>
      </c>
      <c r="O28" s="31">
        <f t="shared" si="18"/>
        <v>21060.435919000003</v>
      </c>
      <c r="P28" s="31">
        <f t="shared" si="19"/>
        <v>1631.5540810000002</v>
      </c>
      <c r="Q28" s="31">
        <f>22691.99</f>
        <v>22691.99</v>
      </c>
      <c r="R28" s="31">
        <f t="shared" si="3"/>
        <v>0.43253659971013425</v>
      </c>
      <c r="S28" s="31">
        <f>[1]IG!$F28</f>
        <v>15840.425999999999</v>
      </c>
      <c r="T28" s="31">
        <f t="shared" si="20"/>
        <v>14701.499370599999</v>
      </c>
      <c r="U28" s="31">
        <f t="shared" si="21"/>
        <v>1138.9266294000001</v>
      </c>
      <c r="V28" s="31">
        <f t="shared" si="22"/>
        <v>21248.970153000002</v>
      </c>
      <c r="W28" s="31">
        <f t="shared" si="23"/>
        <v>1646.1598470000001</v>
      </c>
      <c r="X28" s="31">
        <f>22895.13</f>
        <v>22895.13</v>
      </c>
      <c r="Y28" s="31">
        <f t="shared" si="4"/>
        <v>0.44536074976771478</v>
      </c>
      <c r="Z28" s="31">
        <f>[1]IG!$G28</f>
        <v>21120.567999999999</v>
      </c>
      <c r="AA28" s="31">
        <f t="shared" si="24"/>
        <v>19601.999160799998</v>
      </c>
      <c r="AB28" s="31">
        <f t="shared" si="25"/>
        <v>1518.5688392</v>
      </c>
      <c r="AC28" s="31">
        <f t="shared" si="26"/>
        <v>24468.149970000002</v>
      </c>
      <c r="AD28" s="31">
        <f t="shared" si="27"/>
        <v>1895.5500300000001</v>
      </c>
      <c r="AE28" s="31">
        <v>26363.7</v>
      </c>
      <c r="AF28" s="31">
        <f t="shared" si="5"/>
        <v>0.24824767970255346</v>
      </c>
      <c r="AG28" s="31">
        <f>[1]IG!$H28</f>
        <v>21601.796999999999</v>
      </c>
      <c r="AH28" s="31">
        <f t="shared" si="28"/>
        <v>20048.627795699998</v>
      </c>
      <c r="AI28" s="31">
        <f t="shared" si="29"/>
        <v>1553.1692043</v>
      </c>
      <c r="AJ28" s="31">
        <f t="shared" si="30"/>
        <v>6629.8452260000004</v>
      </c>
      <c r="AK28" s="31">
        <f t="shared" si="31"/>
        <v>513.61477400000001</v>
      </c>
      <c r="AL28" s="31">
        <v>7143.46</v>
      </c>
      <c r="AM28" s="31">
        <f t="shared" si="6"/>
        <v>-0.66931177068278158</v>
      </c>
      <c r="AN28" s="31">
        <f>[1]IG!$I28</f>
        <v>18480.496999999999</v>
      </c>
      <c r="AO28" s="31">
        <f t="shared" si="32"/>
        <v>17151.7492657</v>
      </c>
      <c r="AP28" s="31">
        <f t="shared" si="33"/>
        <v>1328.7477343</v>
      </c>
      <c r="AQ28" s="31">
        <f t="shared" si="34"/>
        <v>15065.197629999999</v>
      </c>
      <c r="AR28" s="31">
        <f t="shared" si="35"/>
        <v>1167.1023700000001</v>
      </c>
      <c r="AS28" s="33">
        <v>16232.3</v>
      </c>
      <c r="AT28" s="37">
        <f t="shared" si="7"/>
        <v>-0.12165241010563732</v>
      </c>
      <c r="AU28" s="36">
        <f>[1]IG!$J28</f>
        <v>16321.654999999901</v>
      </c>
      <c r="AV28" s="31">
        <f t="shared" si="36"/>
        <v>15148.128005499908</v>
      </c>
      <c r="AW28" s="18">
        <f t="shared" si="37"/>
        <v>1173.526994499993</v>
      </c>
      <c r="AX28" s="31">
        <f t="shared" si="38"/>
        <v>34615.392105000006</v>
      </c>
      <c r="AY28" s="31">
        <f t="shared" si="39"/>
        <v>2681.6578950000003</v>
      </c>
      <c r="AZ28" s="27">
        <v>37297.050000000003</v>
      </c>
      <c r="BA28" s="37">
        <f t="shared" si="8"/>
        <v>1.285126722749637</v>
      </c>
      <c r="BB28" s="36">
        <f>[1]IG!$K28</f>
        <v>13200.355</v>
      </c>
      <c r="BC28" s="31">
        <f t="shared" si="40"/>
        <v>12251.249475499999</v>
      </c>
      <c r="BD28" s="18">
        <f t="shared" si="41"/>
        <v>949.1055245</v>
      </c>
      <c r="BE28" s="31">
        <f t="shared" si="42"/>
        <v>0</v>
      </c>
      <c r="BF28" s="31">
        <f t="shared" si="43"/>
        <v>0</v>
      </c>
      <c r="BG28" s="27"/>
      <c r="BH28" s="37">
        <f t="shared" si="9"/>
        <v>-1</v>
      </c>
      <c r="BI28" s="36">
        <f>[1]IG!$L28</f>
        <v>21601.796999999999</v>
      </c>
      <c r="BJ28" s="31">
        <f t="shared" si="44"/>
        <v>20048.627795699998</v>
      </c>
      <c r="BK28" s="18">
        <f t="shared" si="45"/>
        <v>1553.1692043</v>
      </c>
      <c r="BL28" s="31">
        <f t="shared" si="46"/>
        <v>0</v>
      </c>
      <c r="BM28" s="31">
        <f t="shared" si="47"/>
        <v>0</v>
      </c>
      <c r="BN28" s="33"/>
      <c r="BO28" s="37">
        <f t="shared" si="10"/>
        <v>-1</v>
      </c>
      <c r="BP28" s="36">
        <f>[1]IG!$M28</f>
        <v>21601.796999999999</v>
      </c>
      <c r="BQ28" s="31">
        <f t="shared" si="48"/>
        <v>20048.627795699998</v>
      </c>
      <c r="BR28" s="18">
        <f t="shared" si="49"/>
        <v>1553.1692043</v>
      </c>
      <c r="BS28" s="31">
        <f t="shared" si="50"/>
        <v>0</v>
      </c>
      <c r="BT28" s="31">
        <f t="shared" si="51"/>
        <v>0</v>
      </c>
      <c r="BU28" s="33"/>
      <c r="BV28" s="37">
        <f t="shared" si="11"/>
        <v>-1</v>
      </c>
      <c r="BW28" s="36">
        <f>[1]IG!$N28</f>
        <v>19661.7435</v>
      </c>
      <c r="BX28" s="31">
        <f t="shared" si="52"/>
        <v>18248.064142350002</v>
      </c>
      <c r="BY28" s="18">
        <f t="shared" si="53"/>
        <v>1413.6793576500002</v>
      </c>
      <c r="BZ28" s="31">
        <f t="shared" si="54"/>
        <v>0</v>
      </c>
      <c r="CA28" s="31">
        <f t="shared" si="55"/>
        <v>0</v>
      </c>
      <c r="CB28" s="33"/>
      <c r="CC28" s="37">
        <f t="shared" si="12"/>
        <v>-1</v>
      </c>
      <c r="CD28" s="36">
        <f>[1]IG!$O28</f>
        <v>14381.601500000001</v>
      </c>
      <c r="CE28" s="31">
        <f t="shared" si="56"/>
        <v>13347.564352150001</v>
      </c>
      <c r="CF28" s="18">
        <f t="shared" si="57"/>
        <v>1034.0371478500001</v>
      </c>
      <c r="CG28" s="31">
        <f t="shared" si="58"/>
        <v>0</v>
      </c>
      <c r="CH28" s="31">
        <f t="shared" si="59"/>
        <v>0</v>
      </c>
      <c r="CI28" s="33"/>
      <c r="CJ28" s="37">
        <f t="shared" si="13"/>
        <v>-1</v>
      </c>
      <c r="CK28" s="36">
        <f>[1]IG!$P28</f>
        <v>14381.601500000001</v>
      </c>
      <c r="CL28" s="31">
        <f t="shared" si="60"/>
        <v>13347.564352150001</v>
      </c>
      <c r="CM28" s="18">
        <f t="shared" si="61"/>
        <v>1034.0371478500001</v>
      </c>
      <c r="CN28" s="31">
        <f t="shared" si="62"/>
        <v>0</v>
      </c>
      <c r="CO28" s="31">
        <f t="shared" si="63"/>
        <v>0</v>
      </c>
      <c r="CP28" s="33"/>
      <c r="CQ28" s="37">
        <f t="shared" si="14"/>
        <v>-1</v>
      </c>
    </row>
    <row r="29" spans="1:95" s="26" customFormat="1" ht="16" customHeight="1" thickBot="1" x14ac:dyDescent="0.25">
      <c r="A29" s="29" t="s">
        <v>53</v>
      </c>
      <c r="B29" s="30">
        <f t="shared" si="0"/>
        <v>386275</v>
      </c>
      <c r="C29" s="31">
        <f t="shared" si="0"/>
        <v>358501.82750000007</v>
      </c>
      <c r="D29" s="32">
        <f t="shared" si="0"/>
        <v>27773.172500000001</v>
      </c>
      <c r="E29" s="30">
        <f t="shared" si="15"/>
        <v>128758.33333333334</v>
      </c>
      <c r="F29" s="33">
        <f t="shared" si="15"/>
        <v>119500.60916666668</v>
      </c>
      <c r="G29" s="34">
        <f t="shared" si="15"/>
        <v>9257.7241666666669</v>
      </c>
      <c r="H29" s="31">
        <f t="shared" si="1"/>
        <v>0</v>
      </c>
      <c r="I29" s="33">
        <f t="shared" si="1"/>
        <v>0</v>
      </c>
      <c r="J29" s="33">
        <f t="shared" si="1"/>
        <v>0</v>
      </c>
      <c r="K29" s="37">
        <f t="shared" si="2"/>
        <v>-1</v>
      </c>
      <c r="L29" s="36">
        <f>[1]IG!$E29</f>
        <v>29747.333333333332</v>
      </c>
      <c r="M29" s="31">
        <f t="shared" si="16"/>
        <v>27608.500066666667</v>
      </c>
      <c r="N29" s="31">
        <f t="shared" si="17"/>
        <v>2138.8332666666665</v>
      </c>
      <c r="O29" s="31">
        <f t="shared" si="18"/>
        <v>0</v>
      </c>
      <c r="P29" s="31">
        <f t="shared" si="19"/>
        <v>0</v>
      </c>
      <c r="Q29" s="31"/>
      <c r="R29" s="31">
        <f t="shared" si="3"/>
        <v>-1</v>
      </c>
      <c r="S29" s="31">
        <f>[1]IG!$F29</f>
        <v>34631.833333333336</v>
      </c>
      <c r="T29" s="31">
        <f t="shared" si="20"/>
        <v>32141.804516666671</v>
      </c>
      <c r="U29" s="31">
        <f t="shared" si="21"/>
        <v>2490.0288166666669</v>
      </c>
      <c r="V29" s="31">
        <f t="shared" si="22"/>
        <v>0</v>
      </c>
      <c r="W29" s="31">
        <f t="shared" si="23"/>
        <v>0</v>
      </c>
      <c r="X29" s="31"/>
      <c r="Y29" s="31">
        <f t="shared" si="4"/>
        <v>-1</v>
      </c>
      <c r="Z29" s="31">
        <f>[1]IG!$G29</f>
        <v>29747.333333333332</v>
      </c>
      <c r="AA29" s="31">
        <f t="shared" si="24"/>
        <v>27608.500066666667</v>
      </c>
      <c r="AB29" s="31">
        <f t="shared" si="25"/>
        <v>2138.8332666666665</v>
      </c>
      <c r="AC29" s="31">
        <f t="shared" si="26"/>
        <v>0</v>
      </c>
      <c r="AD29" s="31">
        <f t="shared" si="27"/>
        <v>0</v>
      </c>
      <c r="AE29" s="31"/>
      <c r="AF29" s="31">
        <f t="shared" si="5"/>
        <v>-1</v>
      </c>
      <c r="AG29" s="31">
        <f>[1]IG!$H29</f>
        <v>34631.833333333336</v>
      </c>
      <c r="AH29" s="31">
        <f t="shared" si="28"/>
        <v>32141.804516666671</v>
      </c>
      <c r="AI29" s="31">
        <f t="shared" si="29"/>
        <v>2490.0288166666669</v>
      </c>
      <c r="AJ29" s="31">
        <f t="shared" si="30"/>
        <v>0</v>
      </c>
      <c r="AK29" s="31">
        <f t="shared" si="31"/>
        <v>0</v>
      </c>
      <c r="AL29" s="31"/>
      <c r="AM29" s="31">
        <f t="shared" si="6"/>
        <v>-1</v>
      </c>
      <c r="AN29" s="31">
        <f>[1]IG!$I29</f>
        <v>29747.333333333332</v>
      </c>
      <c r="AO29" s="31">
        <f t="shared" si="32"/>
        <v>27608.500066666667</v>
      </c>
      <c r="AP29" s="31">
        <f t="shared" si="33"/>
        <v>2138.8332666666665</v>
      </c>
      <c r="AQ29" s="31">
        <f t="shared" si="34"/>
        <v>0</v>
      </c>
      <c r="AR29" s="31">
        <f t="shared" si="35"/>
        <v>0</v>
      </c>
      <c r="AS29" s="33"/>
      <c r="AT29" s="37">
        <f t="shared" si="7"/>
        <v>-1</v>
      </c>
      <c r="AU29" s="36">
        <f>[1]IG!$J29</f>
        <v>34631.833333333336</v>
      </c>
      <c r="AV29" s="31">
        <f t="shared" si="36"/>
        <v>32141.804516666671</v>
      </c>
      <c r="AW29" s="18">
        <f t="shared" si="37"/>
        <v>2490.0288166666669</v>
      </c>
      <c r="AX29" s="31">
        <f t="shared" si="38"/>
        <v>0</v>
      </c>
      <c r="AY29" s="31">
        <f t="shared" si="39"/>
        <v>0</v>
      </c>
      <c r="AZ29" s="27"/>
      <c r="BA29" s="37">
        <f t="shared" si="8"/>
        <v>-1</v>
      </c>
      <c r="BB29" s="36">
        <f>[1]IG!$K29</f>
        <v>29747.333333333332</v>
      </c>
      <c r="BC29" s="31">
        <f t="shared" si="40"/>
        <v>27608.500066666667</v>
      </c>
      <c r="BD29" s="18">
        <f t="shared" si="41"/>
        <v>2138.8332666666665</v>
      </c>
      <c r="BE29" s="31">
        <f t="shared" si="42"/>
        <v>0</v>
      </c>
      <c r="BF29" s="31">
        <f t="shared" si="43"/>
        <v>0</v>
      </c>
      <c r="BG29" s="27"/>
      <c r="BH29" s="37">
        <f t="shared" si="9"/>
        <v>-1</v>
      </c>
      <c r="BI29" s="36">
        <f>[1]IG!$L29</f>
        <v>34631.833333333336</v>
      </c>
      <c r="BJ29" s="31">
        <f t="shared" si="44"/>
        <v>32141.804516666671</v>
      </c>
      <c r="BK29" s="18">
        <f t="shared" si="45"/>
        <v>2490.0288166666669</v>
      </c>
      <c r="BL29" s="31">
        <f t="shared" si="46"/>
        <v>0</v>
      </c>
      <c r="BM29" s="31">
        <f t="shared" si="47"/>
        <v>0</v>
      </c>
      <c r="BN29" s="33"/>
      <c r="BO29" s="37">
        <f t="shared" si="10"/>
        <v>-1</v>
      </c>
      <c r="BP29" s="36">
        <f>[1]IG!$M29</f>
        <v>29747.333333333332</v>
      </c>
      <c r="BQ29" s="31">
        <f t="shared" si="48"/>
        <v>27608.500066666667</v>
      </c>
      <c r="BR29" s="18">
        <f t="shared" si="49"/>
        <v>2138.8332666666665</v>
      </c>
      <c r="BS29" s="31">
        <f t="shared" si="50"/>
        <v>0</v>
      </c>
      <c r="BT29" s="31">
        <f t="shared" si="51"/>
        <v>0</v>
      </c>
      <c r="BU29" s="33"/>
      <c r="BV29" s="37">
        <f t="shared" si="11"/>
        <v>-1</v>
      </c>
      <c r="BW29" s="36">
        <f>[1]IG!$N29</f>
        <v>34631.833333333336</v>
      </c>
      <c r="BX29" s="31">
        <f t="shared" si="52"/>
        <v>32141.804516666671</v>
      </c>
      <c r="BY29" s="18">
        <f t="shared" si="53"/>
        <v>2490.0288166666669</v>
      </c>
      <c r="BZ29" s="31">
        <f t="shared" si="54"/>
        <v>0</v>
      </c>
      <c r="CA29" s="31">
        <f t="shared" si="55"/>
        <v>0</v>
      </c>
      <c r="CB29" s="33"/>
      <c r="CC29" s="37">
        <f t="shared" si="12"/>
        <v>-1</v>
      </c>
      <c r="CD29" s="36">
        <f>[1]IG!$O29</f>
        <v>29747.333333333332</v>
      </c>
      <c r="CE29" s="31">
        <f t="shared" si="56"/>
        <v>27608.500066666667</v>
      </c>
      <c r="CF29" s="18">
        <f t="shared" si="57"/>
        <v>2138.8332666666665</v>
      </c>
      <c r="CG29" s="31">
        <f t="shared" si="58"/>
        <v>0</v>
      </c>
      <c r="CH29" s="31">
        <f t="shared" si="59"/>
        <v>0</v>
      </c>
      <c r="CI29" s="33"/>
      <c r="CJ29" s="37">
        <f t="shared" si="13"/>
        <v>-1</v>
      </c>
      <c r="CK29" s="36">
        <f>[1]IG!$P29</f>
        <v>34631.833333333336</v>
      </c>
      <c r="CL29" s="31">
        <f t="shared" si="60"/>
        <v>32141.804516666671</v>
      </c>
      <c r="CM29" s="18">
        <f t="shared" si="61"/>
        <v>2490.0288166666669</v>
      </c>
      <c r="CN29" s="31">
        <f t="shared" si="62"/>
        <v>0</v>
      </c>
      <c r="CO29" s="31">
        <f t="shared" si="63"/>
        <v>0</v>
      </c>
      <c r="CP29" s="33"/>
      <c r="CQ29" s="37">
        <f t="shared" si="14"/>
        <v>-1</v>
      </c>
    </row>
    <row r="30" spans="1:95" s="26" customFormat="1" ht="16" customHeight="1" thickBot="1" x14ac:dyDescent="0.25">
      <c r="A30" s="29" t="s">
        <v>54</v>
      </c>
      <c r="B30" s="30">
        <f t="shared" si="0"/>
        <v>500000.00000000006</v>
      </c>
      <c r="C30" s="31">
        <f t="shared" si="0"/>
        <v>464049.99999999983</v>
      </c>
      <c r="D30" s="32">
        <f t="shared" si="0"/>
        <v>35950</v>
      </c>
      <c r="E30" s="30">
        <f t="shared" si="15"/>
        <v>166666.66666666666</v>
      </c>
      <c r="F30" s="33">
        <f t="shared" si="15"/>
        <v>154683.33333333331</v>
      </c>
      <c r="G30" s="34">
        <f t="shared" si="15"/>
        <v>11983.333333333334</v>
      </c>
      <c r="H30" s="31">
        <f t="shared" si="1"/>
        <v>107267.152915</v>
      </c>
      <c r="I30" s="33">
        <f t="shared" si="1"/>
        <v>8309.9970849999991</v>
      </c>
      <c r="J30" s="33">
        <f t="shared" si="1"/>
        <v>115577.15</v>
      </c>
      <c r="K30" s="37">
        <f t="shared" si="2"/>
        <v>-0.30653710000000001</v>
      </c>
      <c r="L30" s="36">
        <f>[1]IG!$E30</f>
        <v>41666.666666666664</v>
      </c>
      <c r="M30" s="31">
        <f t="shared" si="16"/>
        <v>38670.833333333328</v>
      </c>
      <c r="N30" s="31">
        <f t="shared" si="17"/>
        <v>2995.8333333333335</v>
      </c>
      <c r="O30" s="31">
        <f t="shared" si="18"/>
        <v>928.1</v>
      </c>
      <c r="P30" s="31">
        <f t="shared" si="19"/>
        <v>71.900000000000006</v>
      </c>
      <c r="Q30" s="31">
        <f>1000</f>
        <v>1000</v>
      </c>
      <c r="R30" s="31">
        <f t="shared" si="3"/>
        <v>-0.97599999999999998</v>
      </c>
      <c r="S30" s="31">
        <f>[1]IG!$F30</f>
        <v>41666.666666666664</v>
      </c>
      <c r="T30" s="31">
        <f t="shared" si="20"/>
        <v>38670.833333333328</v>
      </c>
      <c r="U30" s="31">
        <f t="shared" si="21"/>
        <v>2995.8333333333335</v>
      </c>
      <c r="V30" s="31">
        <f t="shared" si="22"/>
        <v>696.07500000000005</v>
      </c>
      <c r="W30" s="31">
        <f t="shared" si="23"/>
        <v>53.925000000000004</v>
      </c>
      <c r="X30" s="31">
        <f>750</f>
        <v>750</v>
      </c>
      <c r="Y30" s="31">
        <f t="shared" si="4"/>
        <v>-0.98199999999999998</v>
      </c>
      <c r="Z30" s="31">
        <f>[1]IG!$G30</f>
        <v>41666.666666666664</v>
      </c>
      <c r="AA30" s="31">
        <f t="shared" si="24"/>
        <v>38670.833333333328</v>
      </c>
      <c r="AB30" s="31">
        <f t="shared" si="25"/>
        <v>2995.8333333333335</v>
      </c>
      <c r="AC30" s="31">
        <f t="shared" si="26"/>
        <v>696.07500000000005</v>
      </c>
      <c r="AD30" s="31">
        <f t="shared" si="27"/>
        <v>53.925000000000004</v>
      </c>
      <c r="AE30" s="31">
        <v>750</v>
      </c>
      <c r="AF30" s="31">
        <f t="shared" si="5"/>
        <v>-0.98199999999999998</v>
      </c>
      <c r="AG30" s="31">
        <f>[1]IG!$H30</f>
        <v>41666.666666666664</v>
      </c>
      <c r="AH30" s="31">
        <f t="shared" si="28"/>
        <v>38670.833333333328</v>
      </c>
      <c r="AI30" s="31">
        <f t="shared" si="29"/>
        <v>2995.8333333333335</v>
      </c>
      <c r="AJ30" s="31">
        <f t="shared" si="30"/>
        <v>0</v>
      </c>
      <c r="AK30" s="31">
        <f t="shared" si="31"/>
        <v>0</v>
      </c>
      <c r="AL30" s="31"/>
      <c r="AM30" s="31">
        <f t="shared" si="6"/>
        <v>-1</v>
      </c>
      <c r="AN30" s="31">
        <f>[1]IG!$I30</f>
        <v>41666.666666666664</v>
      </c>
      <c r="AO30" s="31">
        <f t="shared" si="32"/>
        <v>38670.833333333328</v>
      </c>
      <c r="AP30" s="31">
        <f t="shared" si="33"/>
        <v>2995.8333333333335</v>
      </c>
      <c r="AQ30" s="31">
        <f t="shared" si="34"/>
        <v>18562</v>
      </c>
      <c r="AR30" s="31">
        <f t="shared" si="35"/>
        <v>1438</v>
      </c>
      <c r="AS30" s="33">
        <v>20000</v>
      </c>
      <c r="AT30" s="37">
        <f t="shared" si="7"/>
        <v>-0.52</v>
      </c>
      <c r="AU30" s="36">
        <f>[1]IG!$J30</f>
        <v>41666.666666666664</v>
      </c>
      <c r="AV30" s="31">
        <f t="shared" si="36"/>
        <v>38670.833333333328</v>
      </c>
      <c r="AW30" s="18">
        <f t="shared" si="37"/>
        <v>2995.8333333333335</v>
      </c>
      <c r="AX30" s="31">
        <f t="shared" si="38"/>
        <v>86384.902914999999</v>
      </c>
      <c r="AY30" s="31">
        <f t="shared" si="39"/>
        <v>6692.247085</v>
      </c>
      <c r="AZ30" s="27">
        <v>93077.15</v>
      </c>
      <c r="BA30" s="37">
        <f t="shared" si="8"/>
        <v>1.2338515999999999</v>
      </c>
      <c r="BB30" s="36">
        <f>[1]IG!$K30</f>
        <v>41666.666666666664</v>
      </c>
      <c r="BC30" s="31">
        <f t="shared" si="40"/>
        <v>38670.833333333328</v>
      </c>
      <c r="BD30" s="18">
        <f t="shared" si="41"/>
        <v>2995.8333333333335</v>
      </c>
      <c r="BE30" s="31">
        <f t="shared" si="42"/>
        <v>0</v>
      </c>
      <c r="BF30" s="31">
        <f t="shared" si="43"/>
        <v>0</v>
      </c>
      <c r="BG30" s="33"/>
      <c r="BH30" s="37">
        <f t="shared" si="9"/>
        <v>-1</v>
      </c>
      <c r="BI30" s="36">
        <f>[1]IG!$L30</f>
        <v>41666.666666666664</v>
      </c>
      <c r="BJ30" s="31">
        <f t="shared" si="44"/>
        <v>38670.833333333328</v>
      </c>
      <c r="BK30" s="18">
        <f t="shared" si="45"/>
        <v>2995.8333333333335</v>
      </c>
      <c r="BL30" s="31">
        <f t="shared" si="46"/>
        <v>0</v>
      </c>
      <c r="BM30" s="31">
        <f t="shared" si="47"/>
        <v>0</v>
      </c>
      <c r="BN30" s="33"/>
      <c r="BO30" s="37">
        <f t="shared" si="10"/>
        <v>-1</v>
      </c>
      <c r="BP30" s="36">
        <f>[1]IG!$M30</f>
        <v>41666.666666666664</v>
      </c>
      <c r="BQ30" s="31">
        <f t="shared" si="48"/>
        <v>38670.833333333328</v>
      </c>
      <c r="BR30" s="18">
        <f t="shared" si="49"/>
        <v>2995.8333333333335</v>
      </c>
      <c r="BS30" s="31">
        <f t="shared" si="50"/>
        <v>0</v>
      </c>
      <c r="BT30" s="31">
        <f t="shared" si="51"/>
        <v>0</v>
      </c>
      <c r="BU30" s="33"/>
      <c r="BV30" s="37">
        <f t="shared" si="11"/>
        <v>-1</v>
      </c>
      <c r="BW30" s="36">
        <f>[1]IG!$N30</f>
        <v>41666.666666666664</v>
      </c>
      <c r="BX30" s="31">
        <f t="shared" si="52"/>
        <v>38670.833333333328</v>
      </c>
      <c r="BY30" s="18">
        <f t="shared" si="53"/>
        <v>2995.8333333333335</v>
      </c>
      <c r="BZ30" s="31">
        <f t="shared" si="54"/>
        <v>0</v>
      </c>
      <c r="CA30" s="31">
        <f t="shared" si="55"/>
        <v>0</v>
      </c>
      <c r="CB30" s="33"/>
      <c r="CC30" s="37">
        <f t="shared" si="12"/>
        <v>-1</v>
      </c>
      <c r="CD30" s="36">
        <f>[1]IG!$O30</f>
        <v>41666.666666666664</v>
      </c>
      <c r="CE30" s="31">
        <f t="shared" si="56"/>
        <v>38670.833333333328</v>
      </c>
      <c r="CF30" s="18">
        <f t="shared" si="57"/>
        <v>2995.8333333333335</v>
      </c>
      <c r="CG30" s="31">
        <f t="shared" si="58"/>
        <v>0</v>
      </c>
      <c r="CH30" s="31">
        <f t="shared" si="59"/>
        <v>0</v>
      </c>
      <c r="CI30" s="33"/>
      <c r="CJ30" s="37">
        <f t="shared" si="13"/>
        <v>-1</v>
      </c>
      <c r="CK30" s="36">
        <f>[1]IG!$P30</f>
        <v>41666.666666666664</v>
      </c>
      <c r="CL30" s="31">
        <f t="shared" si="60"/>
        <v>38670.833333333328</v>
      </c>
      <c r="CM30" s="18">
        <f t="shared" si="61"/>
        <v>2995.8333333333335</v>
      </c>
      <c r="CN30" s="31">
        <f t="shared" si="62"/>
        <v>0</v>
      </c>
      <c r="CO30" s="31">
        <f t="shared" si="63"/>
        <v>0</v>
      </c>
      <c r="CP30" s="33"/>
      <c r="CQ30" s="37">
        <f t="shared" si="14"/>
        <v>-1</v>
      </c>
    </row>
    <row r="31" spans="1:95" s="26" customFormat="1" ht="16" customHeight="1" thickBot="1" x14ac:dyDescent="0.25">
      <c r="A31" s="38" t="s">
        <v>55</v>
      </c>
      <c r="B31" s="30">
        <f t="shared" si="0"/>
        <v>20000</v>
      </c>
      <c r="C31" s="31">
        <f t="shared" si="0"/>
        <v>18562.000000000004</v>
      </c>
      <c r="D31" s="32">
        <f t="shared" si="0"/>
        <v>1438</v>
      </c>
      <c r="E31" s="30">
        <f t="shared" si="15"/>
        <v>6666.666666666667</v>
      </c>
      <c r="F31" s="33">
        <f t="shared" si="15"/>
        <v>6187.3333333333339</v>
      </c>
      <c r="G31" s="34">
        <f t="shared" si="15"/>
        <v>479.33333333333337</v>
      </c>
      <c r="H31" s="31">
        <f t="shared" si="1"/>
        <v>16082.246734</v>
      </c>
      <c r="I31" s="33">
        <f t="shared" si="1"/>
        <v>1245.8932660000003</v>
      </c>
      <c r="J31" s="33">
        <f t="shared" si="1"/>
        <v>17328.14</v>
      </c>
      <c r="K31" s="37">
        <f t="shared" si="2"/>
        <v>1.599221</v>
      </c>
      <c r="L31" s="36">
        <f>[1]IG!$E31</f>
        <v>1666.6666666666667</v>
      </c>
      <c r="M31" s="31">
        <f t="shared" si="16"/>
        <v>1546.8333333333335</v>
      </c>
      <c r="N31" s="31">
        <f t="shared" si="17"/>
        <v>119.83333333333334</v>
      </c>
      <c r="O31" s="31">
        <f t="shared" si="18"/>
        <v>7622.4853000000003</v>
      </c>
      <c r="P31" s="31">
        <f t="shared" si="19"/>
        <v>590.51470000000006</v>
      </c>
      <c r="Q31" s="31">
        <f>7913+150+150</f>
        <v>8213</v>
      </c>
      <c r="R31" s="31">
        <f t="shared" si="3"/>
        <v>3.9277999999999995</v>
      </c>
      <c r="S31" s="31">
        <f>[1]IG!$F31</f>
        <v>1666.6666666666667</v>
      </c>
      <c r="T31" s="31">
        <f t="shared" si="20"/>
        <v>1546.8333333333335</v>
      </c>
      <c r="U31" s="31">
        <f t="shared" si="21"/>
        <v>119.83333333333334</v>
      </c>
      <c r="V31" s="31">
        <f t="shared" si="22"/>
        <v>2686.7566900000002</v>
      </c>
      <c r="W31" s="31">
        <f t="shared" si="23"/>
        <v>208.14331000000001</v>
      </c>
      <c r="X31" s="31">
        <f>2894.9</f>
        <v>2894.9</v>
      </c>
      <c r="Y31" s="31">
        <f t="shared" si="4"/>
        <v>0.73693999999999993</v>
      </c>
      <c r="Z31" s="31">
        <f>[1]IG!$G31</f>
        <v>1666.6666666666667</v>
      </c>
      <c r="AA31" s="31">
        <f t="shared" si="24"/>
        <v>1546.8333333333335</v>
      </c>
      <c r="AB31" s="31">
        <f t="shared" si="25"/>
        <v>119.83333333333334</v>
      </c>
      <c r="AC31" s="31">
        <f t="shared" si="26"/>
        <v>0</v>
      </c>
      <c r="AD31" s="31">
        <f t="shared" si="27"/>
        <v>0</v>
      </c>
      <c r="AE31" s="31"/>
      <c r="AF31" s="31">
        <f t="shared" si="5"/>
        <v>-1</v>
      </c>
      <c r="AG31" s="31">
        <f>[1]IG!$H31</f>
        <v>1666.6666666666667</v>
      </c>
      <c r="AH31" s="31">
        <f t="shared" si="28"/>
        <v>1546.8333333333335</v>
      </c>
      <c r="AI31" s="31">
        <f t="shared" si="29"/>
        <v>119.83333333333334</v>
      </c>
      <c r="AJ31" s="31">
        <f t="shared" si="30"/>
        <v>139.215</v>
      </c>
      <c r="AK31" s="31">
        <f t="shared" si="31"/>
        <v>10.785</v>
      </c>
      <c r="AL31" s="31">
        <f>150</f>
        <v>150</v>
      </c>
      <c r="AM31" s="31">
        <f t="shared" si="6"/>
        <v>-0.91</v>
      </c>
      <c r="AN31" s="31">
        <f>[1]IG!$I31</f>
        <v>1666.6666666666667</v>
      </c>
      <c r="AO31" s="31">
        <f t="shared" si="32"/>
        <v>1546.8333333333335</v>
      </c>
      <c r="AP31" s="31">
        <f t="shared" si="33"/>
        <v>119.83333333333334</v>
      </c>
      <c r="AQ31" s="31">
        <f t="shared" si="34"/>
        <v>3591.969744</v>
      </c>
      <c r="AR31" s="31">
        <f t="shared" si="35"/>
        <v>278.27025600000002</v>
      </c>
      <c r="AS31" s="33">
        <v>3870.24</v>
      </c>
      <c r="AT31" s="37">
        <f t="shared" si="7"/>
        <v>1.3221439999999998</v>
      </c>
      <c r="AU31" s="36">
        <f>[1]IG!$J31</f>
        <v>1666.6666666666667</v>
      </c>
      <c r="AV31" s="31">
        <f t="shared" si="36"/>
        <v>1546.8333333333335</v>
      </c>
      <c r="AW31" s="18">
        <f t="shared" si="37"/>
        <v>119.83333333333334</v>
      </c>
      <c r="AX31" s="31">
        <f t="shared" si="38"/>
        <v>2041.82</v>
      </c>
      <c r="AY31" s="31">
        <f t="shared" si="39"/>
        <v>158.18</v>
      </c>
      <c r="AZ31" s="33">
        <v>2200</v>
      </c>
      <c r="BA31" s="37">
        <f t="shared" si="8"/>
        <v>0.31999999999999984</v>
      </c>
      <c r="BB31" s="36">
        <f>[1]IG!$K31</f>
        <v>1666.6666666666667</v>
      </c>
      <c r="BC31" s="31">
        <f t="shared" si="40"/>
        <v>1546.8333333333335</v>
      </c>
      <c r="BD31" s="18">
        <f t="shared" si="41"/>
        <v>119.83333333333334</v>
      </c>
      <c r="BE31" s="31">
        <f t="shared" si="42"/>
        <v>0</v>
      </c>
      <c r="BF31" s="31">
        <f t="shared" si="43"/>
        <v>0</v>
      </c>
      <c r="BG31" s="33"/>
      <c r="BH31" s="37">
        <f t="shared" si="9"/>
        <v>-1</v>
      </c>
      <c r="BI31" s="36">
        <f>[1]IG!$L31</f>
        <v>1666.6666666666667</v>
      </c>
      <c r="BJ31" s="31">
        <f t="shared" si="44"/>
        <v>1546.8333333333335</v>
      </c>
      <c r="BK31" s="18">
        <f t="shared" si="45"/>
        <v>119.83333333333334</v>
      </c>
      <c r="BL31" s="31">
        <f t="shared" si="46"/>
        <v>0</v>
      </c>
      <c r="BM31" s="31">
        <f t="shared" si="47"/>
        <v>0</v>
      </c>
      <c r="BN31" s="33"/>
      <c r="BO31" s="37">
        <f t="shared" si="10"/>
        <v>-1</v>
      </c>
      <c r="BP31" s="36">
        <f>[1]IG!$M31</f>
        <v>1666.6666666666667</v>
      </c>
      <c r="BQ31" s="31">
        <f t="shared" si="48"/>
        <v>1546.8333333333335</v>
      </c>
      <c r="BR31" s="18">
        <f t="shared" si="49"/>
        <v>119.83333333333334</v>
      </c>
      <c r="BS31" s="31">
        <f t="shared" si="50"/>
        <v>0</v>
      </c>
      <c r="BT31" s="31">
        <f t="shared" si="51"/>
        <v>0</v>
      </c>
      <c r="BU31" s="33"/>
      <c r="BV31" s="37">
        <f t="shared" si="11"/>
        <v>-1</v>
      </c>
      <c r="BW31" s="36">
        <f>[1]IG!$N31</f>
        <v>1666.6666666666667</v>
      </c>
      <c r="BX31" s="31">
        <f t="shared" si="52"/>
        <v>1546.8333333333335</v>
      </c>
      <c r="BY31" s="18">
        <f t="shared" si="53"/>
        <v>119.83333333333334</v>
      </c>
      <c r="BZ31" s="31">
        <f t="shared" si="54"/>
        <v>0</v>
      </c>
      <c r="CA31" s="31">
        <f t="shared" si="55"/>
        <v>0</v>
      </c>
      <c r="CB31" s="33"/>
      <c r="CC31" s="37">
        <f t="shared" si="12"/>
        <v>-1</v>
      </c>
      <c r="CD31" s="36">
        <f>[1]IG!$O31</f>
        <v>1666.6666666666667</v>
      </c>
      <c r="CE31" s="31">
        <f t="shared" si="56"/>
        <v>1546.8333333333335</v>
      </c>
      <c r="CF31" s="18">
        <f t="shared" si="57"/>
        <v>119.83333333333334</v>
      </c>
      <c r="CG31" s="31">
        <f t="shared" si="58"/>
        <v>0</v>
      </c>
      <c r="CH31" s="31">
        <f t="shared" si="59"/>
        <v>0</v>
      </c>
      <c r="CI31" s="33"/>
      <c r="CJ31" s="37">
        <f t="shared" si="13"/>
        <v>-1</v>
      </c>
      <c r="CK31" s="36">
        <f>[1]IG!$P31</f>
        <v>1666.6666666666667</v>
      </c>
      <c r="CL31" s="31">
        <f t="shared" si="60"/>
        <v>1546.8333333333335</v>
      </c>
      <c r="CM31" s="18">
        <f t="shared" si="61"/>
        <v>119.83333333333334</v>
      </c>
      <c r="CN31" s="31">
        <f t="shared" si="62"/>
        <v>0</v>
      </c>
      <c r="CO31" s="31">
        <f t="shared" si="63"/>
        <v>0</v>
      </c>
      <c r="CP31" s="33"/>
      <c r="CQ31" s="37">
        <f t="shared" si="14"/>
        <v>-1</v>
      </c>
    </row>
    <row r="32" spans="1:95" s="26" customFormat="1" ht="16" customHeight="1" thickBot="1" x14ac:dyDescent="0.25">
      <c r="A32" s="29" t="s">
        <v>145</v>
      </c>
      <c r="B32" s="30">
        <f t="shared" si="0"/>
        <v>6732486.2879999997</v>
      </c>
      <c r="C32" s="31">
        <f t="shared" si="0"/>
        <v>6248420.5238928003</v>
      </c>
      <c r="D32" s="32">
        <f t="shared" si="0"/>
        <v>484065.76410719991</v>
      </c>
      <c r="E32" s="30">
        <f t="shared" si="15"/>
        <v>3509475.3759999997</v>
      </c>
      <c r="F32" s="33">
        <f t="shared" si="15"/>
        <v>3257144.0964655997</v>
      </c>
      <c r="G32" s="34">
        <f t="shared" si="15"/>
        <v>252331.27953439998</v>
      </c>
      <c r="H32" s="31">
        <f t="shared" si="1"/>
        <v>4924896.6435279995</v>
      </c>
      <c r="I32" s="33">
        <f t="shared" si="1"/>
        <v>381532.23647200002</v>
      </c>
      <c r="J32" s="33">
        <f t="shared" si="1"/>
        <v>5306428.8800000008</v>
      </c>
      <c r="K32" s="37">
        <f t="shared" si="2"/>
        <v>0.51202909594086332</v>
      </c>
      <c r="L32" s="36">
        <f>[1]IG!$E32</f>
        <v>1052686.7119999998</v>
      </c>
      <c r="M32" s="31">
        <f t="shared" si="16"/>
        <v>976998.53740719985</v>
      </c>
      <c r="N32" s="31">
        <f t="shared" si="17"/>
        <v>75688.174592799987</v>
      </c>
      <c r="O32" s="31">
        <f t="shared" si="18"/>
        <v>1259956.2249960001</v>
      </c>
      <c r="P32" s="31">
        <f t="shared" si="19"/>
        <v>97608.935004000014</v>
      </c>
      <c r="Q32" s="31">
        <f>690195.52+630995.72+19419.84+16954.08</f>
        <v>1357565.1600000001</v>
      </c>
      <c r="R32" s="31">
        <f t="shared" si="3"/>
        <v>0.28961935638074277</v>
      </c>
      <c r="S32" s="31">
        <f>[1]IG!$F32</f>
        <v>881237.72</v>
      </c>
      <c r="T32" s="31">
        <f t="shared" si="20"/>
        <v>817876.72793199995</v>
      </c>
      <c r="U32" s="31">
        <f t="shared" si="21"/>
        <v>63360.992068</v>
      </c>
      <c r="V32" s="31">
        <f t="shared" si="22"/>
        <v>858919.42599999998</v>
      </c>
      <c r="W32" s="31">
        <f t="shared" si="23"/>
        <v>66540.574000000008</v>
      </c>
      <c r="X32" s="31">
        <f>872502.35+38378.9+14578.75</f>
        <v>925460</v>
      </c>
      <c r="Y32" s="31">
        <f t="shared" si="4"/>
        <v>5.0182009912149494E-2</v>
      </c>
      <c r="Z32" s="31">
        <f>[1]IG!$G32</f>
        <v>772944.348</v>
      </c>
      <c r="AA32" s="31">
        <f t="shared" si="24"/>
        <v>717369.64937879995</v>
      </c>
      <c r="AB32" s="31">
        <f t="shared" si="25"/>
        <v>55574.698621200005</v>
      </c>
      <c r="AC32" s="31">
        <f t="shared" si="26"/>
        <v>1005698.673025</v>
      </c>
      <c r="AD32" s="31">
        <f t="shared" si="27"/>
        <v>77911.576975000004</v>
      </c>
      <c r="AE32" s="31">
        <f>1041339.35+22641.44+19629.46</f>
        <v>1083610.25</v>
      </c>
      <c r="AF32" s="31">
        <f t="shared" si="5"/>
        <v>0.40192531687934663</v>
      </c>
      <c r="AG32" s="31">
        <f>[1]IG!$H32</f>
        <v>802606.59600000002</v>
      </c>
      <c r="AH32" s="31">
        <f t="shared" si="28"/>
        <v>744899.18174759997</v>
      </c>
      <c r="AI32" s="31">
        <f t="shared" si="29"/>
        <v>57707.414252400005</v>
      </c>
      <c r="AJ32" s="31">
        <f t="shared" si="30"/>
        <v>704737.82971399999</v>
      </c>
      <c r="AK32" s="31">
        <f t="shared" si="31"/>
        <v>54596.11028600001</v>
      </c>
      <c r="AL32" s="31">
        <f>725910.43+16043.2+17380.31</f>
        <v>759333.94000000006</v>
      </c>
      <c r="AM32" s="31">
        <f t="shared" si="6"/>
        <v>-5.3915151228086766E-2</v>
      </c>
      <c r="AN32" s="31">
        <f>[1]IG!$I32</f>
        <v>912037.72</v>
      </c>
      <c r="AO32" s="31">
        <f t="shared" si="32"/>
        <v>846462.20793199993</v>
      </c>
      <c r="AP32" s="31">
        <f t="shared" si="33"/>
        <v>65575.512067999996</v>
      </c>
      <c r="AQ32" s="31">
        <f t="shared" si="34"/>
        <v>497466.78807900008</v>
      </c>
      <c r="AR32" s="31">
        <f t="shared" si="35"/>
        <v>38538.801921000006</v>
      </c>
      <c r="AS32" s="33">
        <v>536005.59000000008</v>
      </c>
      <c r="AT32" s="37">
        <f t="shared" si="7"/>
        <v>-0.41229887948055466</v>
      </c>
      <c r="AU32" s="36">
        <f>[1]IG!$J32</f>
        <v>982437.72</v>
      </c>
      <c r="AV32" s="31">
        <f t="shared" si="36"/>
        <v>911800.44793199992</v>
      </c>
      <c r="AW32" s="18">
        <f t="shared" si="37"/>
        <v>70637.272068000006</v>
      </c>
      <c r="AX32" s="31">
        <f t="shared" si="38"/>
        <v>598117.70171399997</v>
      </c>
      <c r="AY32" s="31">
        <f t="shared" si="39"/>
        <v>46336.238286</v>
      </c>
      <c r="AZ32" s="27">
        <v>644453.93999999994</v>
      </c>
      <c r="BA32" s="37">
        <f t="shared" si="8"/>
        <v>-0.34402565487815351</v>
      </c>
      <c r="BB32" s="36">
        <f>[1]IG!$K32</f>
        <v>1150775.4719999998</v>
      </c>
      <c r="BC32" s="31">
        <f t="shared" si="40"/>
        <v>1068034.7155631999</v>
      </c>
      <c r="BD32" s="18">
        <f t="shared" si="41"/>
        <v>82740.756436799988</v>
      </c>
      <c r="BE32" s="31">
        <f t="shared" si="42"/>
        <v>0</v>
      </c>
      <c r="BF32" s="31">
        <f t="shared" si="43"/>
        <v>0</v>
      </c>
      <c r="BG32" s="33"/>
      <c r="BH32" s="37">
        <f t="shared" si="9"/>
        <v>-1</v>
      </c>
      <c r="BI32" s="36">
        <f>[1]IG!$L32</f>
        <v>160160</v>
      </c>
      <c r="BJ32" s="31">
        <f t="shared" si="44"/>
        <v>148644.49599999998</v>
      </c>
      <c r="BK32" s="18">
        <f t="shared" si="45"/>
        <v>11515.504000000001</v>
      </c>
      <c r="BL32" s="31">
        <f t="shared" si="46"/>
        <v>0</v>
      </c>
      <c r="BM32" s="31">
        <f t="shared" si="47"/>
        <v>0</v>
      </c>
      <c r="BN32" s="33"/>
      <c r="BO32" s="37">
        <f t="shared" si="10"/>
        <v>-1</v>
      </c>
      <c r="BP32" s="36">
        <f>[1]IG!$M32</f>
        <v>8800</v>
      </c>
      <c r="BQ32" s="31">
        <f t="shared" si="48"/>
        <v>8167.28</v>
      </c>
      <c r="BR32" s="18">
        <f t="shared" si="49"/>
        <v>632.72</v>
      </c>
      <c r="BS32" s="31">
        <f t="shared" si="50"/>
        <v>0</v>
      </c>
      <c r="BT32" s="31">
        <f t="shared" si="51"/>
        <v>0</v>
      </c>
      <c r="BU32" s="33"/>
      <c r="BV32" s="37">
        <f t="shared" si="11"/>
        <v>-1</v>
      </c>
      <c r="BW32" s="36">
        <f>[1]IG!$N32</f>
        <v>8800</v>
      </c>
      <c r="BX32" s="31">
        <f t="shared" si="52"/>
        <v>8167.28</v>
      </c>
      <c r="BY32" s="18">
        <f t="shared" si="53"/>
        <v>632.72</v>
      </c>
      <c r="BZ32" s="31">
        <f t="shared" si="54"/>
        <v>0</v>
      </c>
      <c r="CA32" s="31">
        <f t="shared" si="55"/>
        <v>0</v>
      </c>
      <c r="CB32" s="33"/>
      <c r="CC32" s="37">
        <f t="shared" si="12"/>
        <v>-1</v>
      </c>
      <c r="CD32" s="36">
        <f>[1]IG!$O32</f>
        <v>0</v>
      </c>
      <c r="CE32" s="31">
        <f t="shared" si="56"/>
        <v>0</v>
      </c>
      <c r="CF32" s="18">
        <f t="shared" si="57"/>
        <v>0</v>
      </c>
      <c r="CG32" s="31">
        <f t="shared" si="58"/>
        <v>0</v>
      </c>
      <c r="CH32" s="31">
        <f t="shared" si="59"/>
        <v>0</v>
      </c>
      <c r="CI32" s="33"/>
      <c r="CJ32" s="37" t="str">
        <f t="shared" si="13"/>
        <v/>
      </c>
      <c r="CK32" s="36">
        <f>[1]IG!$P32</f>
        <v>0</v>
      </c>
      <c r="CL32" s="31">
        <f t="shared" si="60"/>
        <v>0</v>
      </c>
      <c r="CM32" s="18">
        <f t="shared" si="61"/>
        <v>0</v>
      </c>
      <c r="CN32" s="31">
        <f t="shared" si="62"/>
        <v>0</v>
      </c>
      <c r="CO32" s="31">
        <f t="shared" si="63"/>
        <v>0</v>
      </c>
      <c r="CP32" s="33"/>
      <c r="CQ32" s="37" t="str">
        <f t="shared" si="14"/>
        <v/>
      </c>
    </row>
    <row r="33" spans="1:95" s="26" customFormat="1" ht="16" customHeight="1" thickBot="1" x14ac:dyDescent="0.25">
      <c r="A33" s="29" t="s">
        <v>57</v>
      </c>
      <c r="B33" s="30">
        <f t="shared" si="0"/>
        <v>4240000</v>
      </c>
      <c r="C33" s="31">
        <f t="shared" si="0"/>
        <v>3935144</v>
      </c>
      <c r="D33" s="32">
        <f t="shared" si="0"/>
        <v>304856</v>
      </c>
      <c r="E33" s="30">
        <f t="shared" si="15"/>
        <v>2480000</v>
      </c>
      <c r="F33" s="33">
        <f t="shared" si="15"/>
        <v>2301688</v>
      </c>
      <c r="G33" s="34">
        <f t="shared" si="15"/>
        <v>178312</v>
      </c>
      <c r="H33" s="31">
        <f t="shared" si="1"/>
        <v>3118085.1973170005</v>
      </c>
      <c r="I33" s="33">
        <f t="shared" si="1"/>
        <v>241558.37268299999</v>
      </c>
      <c r="J33" s="33">
        <f t="shared" si="1"/>
        <v>3359643.57</v>
      </c>
      <c r="K33" s="37">
        <f t="shared" si="2"/>
        <v>0.35469498790322573</v>
      </c>
      <c r="L33" s="36">
        <f>[1]IG!$E33</f>
        <v>760000</v>
      </c>
      <c r="M33" s="31">
        <f t="shared" si="16"/>
        <v>705356</v>
      </c>
      <c r="N33" s="31">
        <f t="shared" si="17"/>
        <v>54644.000000000007</v>
      </c>
      <c r="O33" s="31">
        <f t="shared" si="18"/>
        <v>748884.79025700002</v>
      </c>
      <c r="P33" s="31">
        <f t="shared" si="19"/>
        <v>58016.179743000001</v>
      </c>
      <c r="Q33" s="31">
        <f>263649.47+543251.5</f>
        <v>806900.97</v>
      </c>
      <c r="R33" s="31">
        <f t="shared" si="3"/>
        <v>6.1711802631578827E-2</v>
      </c>
      <c r="S33" s="31">
        <f>[1]IG!$F33</f>
        <v>600000</v>
      </c>
      <c r="T33" s="31">
        <f t="shared" si="20"/>
        <v>556860</v>
      </c>
      <c r="U33" s="31">
        <f t="shared" si="21"/>
        <v>43140</v>
      </c>
      <c r="V33" s="31">
        <f t="shared" si="22"/>
        <v>615507.90121599997</v>
      </c>
      <c r="W33" s="31">
        <f t="shared" si="23"/>
        <v>47683.458784000002</v>
      </c>
      <c r="X33" s="31">
        <v>663191.36</v>
      </c>
      <c r="Y33" s="31">
        <f t="shared" si="4"/>
        <v>0.10531893333333331</v>
      </c>
      <c r="Z33" s="31">
        <f>[1]IG!$G33</f>
        <v>540000</v>
      </c>
      <c r="AA33" s="31">
        <f t="shared" si="24"/>
        <v>501174</v>
      </c>
      <c r="AB33" s="31">
        <f t="shared" si="25"/>
        <v>38826</v>
      </c>
      <c r="AC33" s="31">
        <f t="shared" si="26"/>
        <v>518288.32177700003</v>
      </c>
      <c r="AD33" s="31">
        <f t="shared" si="27"/>
        <v>40151.848223000008</v>
      </c>
      <c r="AE33" s="31">
        <v>558440.17000000004</v>
      </c>
      <c r="AF33" s="31">
        <f t="shared" si="5"/>
        <v>3.4148462962963144E-2</v>
      </c>
      <c r="AG33" s="31">
        <f>[1]IG!$H33</f>
        <v>580000</v>
      </c>
      <c r="AH33" s="31">
        <f t="shared" si="28"/>
        <v>538298</v>
      </c>
      <c r="AI33" s="31">
        <f t="shared" si="29"/>
        <v>41702</v>
      </c>
      <c r="AJ33" s="31">
        <f t="shared" si="30"/>
        <v>470774.724889</v>
      </c>
      <c r="AK33" s="31">
        <f t="shared" si="31"/>
        <v>36470.965111000005</v>
      </c>
      <c r="AL33" s="31">
        <v>507245.69</v>
      </c>
      <c r="AM33" s="31">
        <f t="shared" si="6"/>
        <v>-0.12543846551724136</v>
      </c>
      <c r="AN33" s="31">
        <f>[1]IG!$I33</f>
        <v>600000</v>
      </c>
      <c r="AO33" s="31">
        <f t="shared" si="32"/>
        <v>556860</v>
      </c>
      <c r="AP33" s="31">
        <f t="shared" si="33"/>
        <v>43140</v>
      </c>
      <c r="AQ33" s="31">
        <f t="shared" si="34"/>
        <v>227978.04779300001</v>
      </c>
      <c r="AR33" s="31">
        <f t="shared" si="35"/>
        <v>17661.482207000001</v>
      </c>
      <c r="AS33" s="33">
        <v>245639.53</v>
      </c>
      <c r="AT33" s="37">
        <f t="shared" si="7"/>
        <v>-0.59060078333333332</v>
      </c>
      <c r="AU33" s="36">
        <f>[1]IG!$J33</f>
        <v>600000</v>
      </c>
      <c r="AV33" s="31">
        <f t="shared" si="36"/>
        <v>556860</v>
      </c>
      <c r="AW33" s="18">
        <f t="shared" si="37"/>
        <v>43140</v>
      </c>
      <c r="AX33" s="31">
        <f t="shared" si="38"/>
        <v>536651.41138499998</v>
      </c>
      <c r="AY33" s="31">
        <f t="shared" si="39"/>
        <v>41574.438614999999</v>
      </c>
      <c r="AZ33" s="27">
        <v>578225.85</v>
      </c>
      <c r="BA33" s="37">
        <f t="shared" si="8"/>
        <v>-3.6290250000000079E-2</v>
      </c>
      <c r="BB33" s="36">
        <f>[1]IG!$K33</f>
        <v>560000</v>
      </c>
      <c r="BC33" s="31">
        <f t="shared" si="40"/>
        <v>519736</v>
      </c>
      <c r="BD33" s="18">
        <f t="shared" si="41"/>
        <v>40264</v>
      </c>
      <c r="BE33" s="31">
        <f t="shared" si="42"/>
        <v>0</v>
      </c>
      <c r="BF33" s="31">
        <f t="shared" si="43"/>
        <v>0</v>
      </c>
      <c r="BG33" s="33"/>
      <c r="BH33" s="37">
        <f t="shared" si="9"/>
        <v>-1</v>
      </c>
      <c r="BI33" s="36">
        <f>[1]IG!$L33</f>
        <v>0</v>
      </c>
      <c r="BJ33" s="31">
        <f t="shared" si="44"/>
        <v>0</v>
      </c>
      <c r="BK33" s="18">
        <f t="shared" si="45"/>
        <v>0</v>
      </c>
      <c r="BL33" s="31">
        <f t="shared" si="46"/>
        <v>0</v>
      </c>
      <c r="BM33" s="31">
        <f t="shared" si="47"/>
        <v>0</v>
      </c>
      <c r="BN33" s="33"/>
      <c r="BO33" s="37" t="str">
        <f t="shared" si="10"/>
        <v/>
      </c>
      <c r="BP33" s="36">
        <f>[1]IG!$M33</f>
        <v>0</v>
      </c>
      <c r="BQ33" s="31">
        <f t="shared" si="48"/>
        <v>0</v>
      </c>
      <c r="BR33" s="18">
        <f t="shared" si="49"/>
        <v>0</v>
      </c>
      <c r="BS33" s="31">
        <f t="shared" si="50"/>
        <v>0</v>
      </c>
      <c r="BT33" s="31">
        <f t="shared" si="51"/>
        <v>0</v>
      </c>
      <c r="BU33" s="33"/>
      <c r="BV33" s="37" t="str">
        <f t="shared" si="11"/>
        <v/>
      </c>
      <c r="BW33" s="36">
        <f>[1]IG!$N33</f>
        <v>0</v>
      </c>
      <c r="BX33" s="31">
        <f t="shared" si="52"/>
        <v>0</v>
      </c>
      <c r="BY33" s="18">
        <f t="shared" si="53"/>
        <v>0</v>
      </c>
      <c r="BZ33" s="31">
        <f t="shared" si="54"/>
        <v>0</v>
      </c>
      <c r="CA33" s="31">
        <f t="shared" si="55"/>
        <v>0</v>
      </c>
      <c r="CB33" s="33"/>
      <c r="CC33" s="37" t="str">
        <f t="shared" si="12"/>
        <v/>
      </c>
      <c r="CD33" s="36">
        <f>[1]IG!$O33</f>
        <v>0</v>
      </c>
      <c r="CE33" s="31">
        <f t="shared" si="56"/>
        <v>0</v>
      </c>
      <c r="CF33" s="18">
        <f t="shared" si="57"/>
        <v>0</v>
      </c>
      <c r="CG33" s="31">
        <f t="shared" si="58"/>
        <v>0</v>
      </c>
      <c r="CH33" s="31">
        <f t="shared" si="59"/>
        <v>0</v>
      </c>
      <c r="CI33" s="33"/>
      <c r="CJ33" s="37" t="str">
        <f t="shared" si="13"/>
        <v/>
      </c>
      <c r="CK33" s="36">
        <f>[1]IG!$P33</f>
        <v>0</v>
      </c>
      <c r="CL33" s="31">
        <f t="shared" si="60"/>
        <v>0</v>
      </c>
      <c r="CM33" s="18">
        <f t="shared" si="61"/>
        <v>0</v>
      </c>
      <c r="CN33" s="31">
        <f t="shared" si="62"/>
        <v>0</v>
      </c>
      <c r="CO33" s="31">
        <f t="shared" si="63"/>
        <v>0</v>
      </c>
      <c r="CP33" s="33"/>
      <c r="CQ33" s="37" t="str">
        <f t="shared" si="14"/>
        <v/>
      </c>
    </row>
    <row r="34" spans="1:95" s="26" customFormat="1" ht="16" customHeight="1" thickBot="1" x14ac:dyDescent="0.25">
      <c r="A34" s="29" t="s">
        <v>105</v>
      </c>
      <c r="B34" s="30">
        <f t="shared" si="0"/>
        <v>0</v>
      </c>
      <c r="C34" s="31">
        <f t="shared" si="0"/>
        <v>0</v>
      </c>
      <c r="D34" s="32">
        <f t="shared" si="0"/>
        <v>0</v>
      </c>
      <c r="E34" s="30">
        <f t="shared" si="15"/>
        <v>0</v>
      </c>
      <c r="F34" s="33">
        <f t="shared" si="15"/>
        <v>0</v>
      </c>
      <c r="G34" s="34">
        <f t="shared" si="15"/>
        <v>0</v>
      </c>
      <c r="H34" s="31">
        <f t="shared" si="1"/>
        <v>0</v>
      </c>
      <c r="I34" s="33">
        <f t="shared" si="1"/>
        <v>0</v>
      </c>
      <c r="J34" s="33">
        <f t="shared" si="1"/>
        <v>0</v>
      </c>
      <c r="K34" s="37" t="str">
        <f t="shared" si="2"/>
        <v/>
      </c>
      <c r="L34" s="36">
        <f>[1]IG!$E34</f>
        <v>0</v>
      </c>
      <c r="M34" s="31">
        <f t="shared" si="16"/>
        <v>0</v>
      </c>
      <c r="N34" s="31">
        <f t="shared" si="17"/>
        <v>0</v>
      </c>
      <c r="O34" s="31">
        <f t="shared" si="18"/>
        <v>0</v>
      </c>
      <c r="P34" s="31">
        <f t="shared" si="19"/>
        <v>0</v>
      </c>
      <c r="Q34" s="31"/>
      <c r="R34" s="31" t="str">
        <f t="shared" si="3"/>
        <v/>
      </c>
      <c r="S34" s="31">
        <f>[1]IG!$F34</f>
        <v>0</v>
      </c>
      <c r="T34" s="31">
        <f t="shared" si="20"/>
        <v>0</v>
      </c>
      <c r="U34" s="31">
        <f t="shared" si="21"/>
        <v>0</v>
      </c>
      <c r="V34" s="31">
        <f t="shared" si="22"/>
        <v>0</v>
      </c>
      <c r="W34" s="31">
        <f t="shared" si="23"/>
        <v>0</v>
      </c>
      <c r="X34" s="31"/>
      <c r="Y34" s="31" t="str">
        <f t="shared" si="4"/>
        <v/>
      </c>
      <c r="Z34" s="31">
        <f>[1]IG!$G34</f>
        <v>0</v>
      </c>
      <c r="AA34" s="31">
        <f t="shared" si="24"/>
        <v>0</v>
      </c>
      <c r="AB34" s="31">
        <f t="shared" si="25"/>
        <v>0</v>
      </c>
      <c r="AC34" s="31">
        <f t="shared" si="26"/>
        <v>0</v>
      </c>
      <c r="AD34" s="31">
        <f t="shared" si="27"/>
        <v>0</v>
      </c>
      <c r="AE34" s="31"/>
      <c r="AF34" s="31" t="str">
        <f t="shared" si="5"/>
        <v/>
      </c>
      <c r="AG34" s="31">
        <f>[1]IG!$H34</f>
        <v>0</v>
      </c>
      <c r="AH34" s="31">
        <f t="shared" si="28"/>
        <v>0</v>
      </c>
      <c r="AI34" s="31">
        <f t="shared" si="29"/>
        <v>0</v>
      </c>
      <c r="AJ34" s="31">
        <f t="shared" si="30"/>
        <v>0</v>
      </c>
      <c r="AK34" s="31">
        <f t="shared" si="31"/>
        <v>0</v>
      </c>
      <c r="AL34" s="31"/>
      <c r="AM34" s="31" t="str">
        <f t="shared" si="6"/>
        <v/>
      </c>
      <c r="AN34" s="31">
        <f>[1]IG!$I34</f>
        <v>0</v>
      </c>
      <c r="AO34" s="31">
        <f t="shared" si="32"/>
        <v>0</v>
      </c>
      <c r="AP34" s="31">
        <f t="shared" si="33"/>
        <v>0</v>
      </c>
      <c r="AQ34" s="31">
        <f t="shared" si="34"/>
        <v>0</v>
      </c>
      <c r="AR34" s="31">
        <f t="shared" si="35"/>
        <v>0</v>
      </c>
      <c r="AS34" s="33"/>
      <c r="AT34" s="37" t="str">
        <f t="shared" si="7"/>
        <v/>
      </c>
      <c r="AU34" s="36">
        <f>[1]IG!$J34</f>
        <v>0</v>
      </c>
      <c r="AV34" s="31">
        <f t="shared" si="36"/>
        <v>0</v>
      </c>
      <c r="AW34" s="18">
        <f t="shared" si="37"/>
        <v>0</v>
      </c>
      <c r="AX34" s="31">
        <f t="shared" si="38"/>
        <v>0</v>
      </c>
      <c r="AY34" s="31">
        <f t="shared" si="39"/>
        <v>0</v>
      </c>
      <c r="AZ34" s="27"/>
      <c r="BA34" s="37" t="str">
        <f t="shared" si="8"/>
        <v/>
      </c>
      <c r="BB34" s="36">
        <f>[1]IG!$K34</f>
        <v>0</v>
      </c>
      <c r="BC34" s="31">
        <f t="shared" si="40"/>
        <v>0</v>
      </c>
      <c r="BD34" s="18">
        <f t="shared" si="41"/>
        <v>0</v>
      </c>
      <c r="BE34" s="31">
        <f t="shared" si="42"/>
        <v>0</v>
      </c>
      <c r="BF34" s="31">
        <f t="shared" si="43"/>
        <v>0</v>
      </c>
      <c r="BG34" s="27"/>
      <c r="BH34" s="37" t="str">
        <f t="shared" si="9"/>
        <v/>
      </c>
      <c r="BI34" s="36">
        <f>[1]IG!$L34</f>
        <v>0</v>
      </c>
      <c r="BJ34" s="31">
        <f t="shared" si="44"/>
        <v>0</v>
      </c>
      <c r="BK34" s="18">
        <f t="shared" si="45"/>
        <v>0</v>
      </c>
      <c r="BL34" s="31">
        <f t="shared" si="46"/>
        <v>0</v>
      </c>
      <c r="BM34" s="31">
        <f t="shared" si="47"/>
        <v>0</v>
      </c>
      <c r="BN34" s="33"/>
      <c r="BO34" s="37" t="str">
        <f t="shared" si="10"/>
        <v/>
      </c>
      <c r="BP34" s="36">
        <f>[1]IG!$M34</f>
        <v>0</v>
      </c>
      <c r="BQ34" s="31">
        <f t="shared" si="48"/>
        <v>0</v>
      </c>
      <c r="BR34" s="18">
        <f t="shared" si="49"/>
        <v>0</v>
      </c>
      <c r="BS34" s="31">
        <f t="shared" si="50"/>
        <v>0</v>
      </c>
      <c r="BT34" s="31">
        <f t="shared" si="51"/>
        <v>0</v>
      </c>
      <c r="BU34" s="33"/>
      <c r="BV34" s="37" t="str">
        <f t="shared" si="11"/>
        <v/>
      </c>
      <c r="BW34" s="36">
        <f>[1]IG!$N34</f>
        <v>0</v>
      </c>
      <c r="BX34" s="31">
        <f t="shared" si="52"/>
        <v>0</v>
      </c>
      <c r="BY34" s="18">
        <f t="shared" si="53"/>
        <v>0</v>
      </c>
      <c r="BZ34" s="31">
        <f t="shared" si="54"/>
        <v>0</v>
      </c>
      <c r="CA34" s="31">
        <f t="shared" si="55"/>
        <v>0</v>
      </c>
      <c r="CB34" s="33"/>
      <c r="CC34" s="37" t="str">
        <f t="shared" si="12"/>
        <v/>
      </c>
      <c r="CD34" s="36">
        <f>[1]IG!$O34</f>
        <v>0</v>
      </c>
      <c r="CE34" s="31">
        <f t="shared" si="56"/>
        <v>0</v>
      </c>
      <c r="CF34" s="18">
        <f t="shared" si="57"/>
        <v>0</v>
      </c>
      <c r="CG34" s="31">
        <f t="shared" si="58"/>
        <v>0</v>
      </c>
      <c r="CH34" s="31">
        <f t="shared" si="59"/>
        <v>0</v>
      </c>
      <c r="CI34" s="33"/>
      <c r="CJ34" s="37" t="str">
        <f t="shared" si="13"/>
        <v/>
      </c>
      <c r="CK34" s="36">
        <f>[1]IG!$P34</f>
        <v>0</v>
      </c>
      <c r="CL34" s="31">
        <f t="shared" si="60"/>
        <v>0</v>
      </c>
      <c r="CM34" s="18">
        <f t="shared" si="61"/>
        <v>0</v>
      </c>
      <c r="CN34" s="31">
        <f t="shared" si="62"/>
        <v>0</v>
      </c>
      <c r="CO34" s="31">
        <f t="shared" si="63"/>
        <v>0</v>
      </c>
      <c r="CP34" s="33"/>
      <c r="CQ34" s="37" t="str">
        <f t="shared" si="14"/>
        <v/>
      </c>
    </row>
    <row r="35" spans="1:95" s="26" customFormat="1" ht="16" customHeight="1" thickBot="1" x14ac:dyDescent="0.25">
      <c r="A35" s="29" t="s">
        <v>59</v>
      </c>
      <c r="B35" s="30">
        <f t="shared" si="0"/>
        <v>0</v>
      </c>
      <c r="C35" s="31">
        <f t="shared" si="0"/>
        <v>0</v>
      </c>
      <c r="D35" s="32">
        <f t="shared" si="0"/>
        <v>0</v>
      </c>
      <c r="E35" s="30">
        <f t="shared" si="15"/>
        <v>0</v>
      </c>
      <c r="F35" s="33">
        <f t="shared" si="15"/>
        <v>0</v>
      </c>
      <c r="G35" s="34">
        <f t="shared" si="15"/>
        <v>0</v>
      </c>
      <c r="H35" s="31">
        <f t="shared" si="1"/>
        <v>0</v>
      </c>
      <c r="I35" s="33">
        <f t="shared" si="1"/>
        <v>0</v>
      </c>
      <c r="J35" s="33">
        <f t="shared" si="1"/>
        <v>0</v>
      </c>
      <c r="K35" s="37" t="str">
        <f t="shared" si="2"/>
        <v/>
      </c>
      <c r="L35" s="36">
        <f>[1]IG!$E35</f>
        <v>0</v>
      </c>
      <c r="M35" s="31">
        <f t="shared" si="16"/>
        <v>0</v>
      </c>
      <c r="N35" s="31">
        <f t="shared" si="17"/>
        <v>0</v>
      </c>
      <c r="O35" s="31">
        <f t="shared" si="18"/>
        <v>0</v>
      </c>
      <c r="P35" s="31">
        <f t="shared" si="19"/>
        <v>0</v>
      </c>
      <c r="Q35" s="31"/>
      <c r="R35" s="31" t="str">
        <f t="shared" si="3"/>
        <v/>
      </c>
      <c r="S35" s="31">
        <f>[1]IG!$F35</f>
        <v>0</v>
      </c>
      <c r="T35" s="31">
        <f t="shared" si="20"/>
        <v>0</v>
      </c>
      <c r="U35" s="31">
        <f t="shared" si="21"/>
        <v>0</v>
      </c>
      <c r="V35" s="31">
        <f t="shared" si="22"/>
        <v>0</v>
      </c>
      <c r="W35" s="31">
        <f t="shared" si="23"/>
        <v>0</v>
      </c>
      <c r="X35" s="31"/>
      <c r="Y35" s="31" t="str">
        <f t="shared" si="4"/>
        <v/>
      </c>
      <c r="Z35" s="31">
        <f>[1]IG!$G35</f>
        <v>0</v>
      </c>
      <c r="AA35" s="31">
        <f t="shared" si="24"/>
        <v>0</v>
      </c>
      <c r="AB35" s="31">
        <f t="shared" si="25"/>
        <v>0</v>
      </c>
      <c r="AC35" s="31">
        <f t="shared" si="26"/>
        <v>0</v>
      </c>
      <c r="AD35" s="31">
        <f t="shared" si="27"/>
        <v>0</v>
      </c>
      <c r="AE35" s="31"/>
      <c r="AF35" s="31" t="str">
        <f t="shared" si="5"/>
        <v/>
      </c>
      <c r="AG35" s="31">
        <f>[1]IG!$H35</f>
        <v>0</v>
      </c>
      <c r="AH35" s="31">
        <f t="shared" si="28"/>
        <v>0</v>
      </c>
      <c r="AI35" s="31">
        <f t="shared" si="29"/>
        <v>0</v>
      </c>
      <c r="AJ35" s="31">
        <f t="shared" si="30"/>
        <v>0</v>
      </c>
      <c r="AK35" s="31">
        <f t="shared" si="31"/>
        <v>0</v>
      </c>
      <c r="AL35" s="31"/>
      <c r="AM35" s="31" t="str">
        <f t="shared" si="6"/>
        <v/>
      </c>
      <c r="AN35" s="31">
        <f>[1]IG!$I35</f>
        <v>0</v>
      </c>
      <c r="AO35" s="31">
        <f t="shared" si="32"/>
        <v>0</v>
      </c>
      <c r="AP35" s="31">
        <f t="shared" si="33"/>
        <v>0</v>
      </c>
      <c r="AQ35" s="31">
        <f t="shared" si="34"/>
        <v>0</v>
      </c>
      <c r="AR35" s="31">
        <f t="shared" si="35"/>
        <v>0</v>
      </c>
      <c r="AS35" s="33"/>
      <c r="AT35" s="37" t="str">
        <f t="shared" si="7"/>
        <v/>
      </c>
      <c r="AU35" s="36">
        <f>[1]IG!$J35</f>
        <v>0</v>
      </c>
      <c r="AV35" s="31">
        <f t="shared" si="36"/>
        <v>0</v>
      </c>
      <c r="AW35" s="18">
        <f t="shared" si="37"/>
        <v>0</v>
      </c>
      <c r="AX35" s="31">
        <f t="shared" si="38"/>
        <v>0</v>
      </c>
      <c r="AY35" s="31">
        <f t="shared" si="39"/>
        <v>0</v>
      </c>
      <c r="AZ35" s="27"/>
      <c r="BA35" s="37" t="str">
        <f t="shared" si="8"/>
        <v/>
      </c>
      <c r="BB35" s="36">
        <f>[1]IG!$K35</f>
        <v>0</v>
      </c>
      <c r="BC35" s="31">
        <f t="shared" si="40"/>
        <v>0</v>
      </c>
      <c r="BD35" s="18">
        <f t="shared" si="41"/>
        <v>0</v>
      </c>
      <c r="BE35" s="31">
        <f t="shared" si="42"/>
        <v>0</v>
      </c>
      <c r="BF35" s="31">
        <f t="shared" si="43"/>
        <v>0</v>
      </c>
      <c r="BG35" s="27"/>
      <c r="BH35" s="37" t="str">
        <f t="shared" si="9"/>
        <v/>
      </c>
      <c r="BI35" s="36">
        <f>[1]IG!$L35</f>
        <v>0</v>
      </c>
      <c r="BJ35" s="31">
        <f t="shared" si="44"/>
        <v>0</v>
      </c>
      <c r="BK35" s="18">
        <f t="shared" si="45"/>
        <v>0</v>
      </c>
      <c r="BL35" s="31">
        <f t="shared" si="46"/>
        <v>0</v>
      </c>
      <c r="BM35" s="31">
        <f t="shared" si="47"/>
        <v>0</v>
      </c>
      <c r="BN35" s="33"/>
      <c r="BO35" s="37" t="str">
        <f t="shared" si="10"/>
        <v/>
      </c>
      <c r="BP35" s="36">
        <f>[1]IG!$M35</f>
        <v>0</v>
      </c>
      <c r="BQ35" s="31">
        <f t="shared" si="48"/>
        <v>0</v>
      </c>
      <c r="BR35" s="18">
        <f t="shared" si="49"/>
        <v>0</v>
      </c>
      <c r="BS35" s="31">
        <f t="shared" si="50"/>
        <v>0</v>
      </c>
      <c r="BT35" s="31">
        <f t="shared" si="51"/>
        <v>0</v>
      </c>
      <c r="BU35" s="33"/>
      <c r="BV35" s="37" t="str">
        <f t="shared" si="11"/>
        <v/>
      </c>
      <c r="BW35" s="36">
        <f>[1]IG!$N35</f>
        <v>0</v>
      </c>
      <c r="BX35" s="31">
        <f t="shared" si="52"/>
        <v>0</v>
      </c>
      <c r="BY35" s="18">
        <f t="shared" si="53"/>
        <v>0</v>
      </c>
      <c r="BZ35" s="31">
        <f t="shared" si="54"/>
        <v>0</v>
      </c>
      <c r="CA35" s="31">
        <f t="shared" si="55"/>
        <v>0</v>
      </c>
      <c r="CB35" s="33"/>
      <c r="CC35" s="37" t="str">
        <f t="shared" si="12"/>
        <v/>
      </c>
      <c r="CD35" s="36">
        <f>[1]IG!$O35</f>
        <v>0</v>
      </c>
      <c r="CE35" s="31">
        <f t="shared" si="56"/>
        <v>0</v>
      </c>
      <c r="CF35" s="18">
        <f t="shared" si="57"/>
        <v>0</v>
      </c>
      <c r="CG35" s="31">
        <f t="shared" si="58"/>
        <v>0</v>
      </c>
      <c r="CH35" s="31">
        <f t="shared" si="59"/>
        <v>0</v>
      </c>
      <c r="CI35" s="33"/>
      <c r="CJ35" s="37" t="str">
        <f t="shared" si="13"/>
        <v/>
      </c>
      <c r="CK35" s="36">
        <f>[1]IG!$P35</f>
        <v>0</v>
      </c>
      <c r="CL35" s="31">
        <f t="shared" si="60"/>
        <v>0</v>
      </c>
      <c r="CM35" s="18">
        <f t="shared" si="61"/>
        <v>0</v>
      </c>
      <c r="CN35" s="31">
        <f t="shared" si="62"/>
        <v>0</v>
      </c>
      <c r="CO35" s="31">
        <f t="shared" si="63"/>
        <v>0</v>
      </c>
      <c r="CP35" s="33"/>
      <c r="CQ35" s="37" t="str">
        <f t="shared" si="14"/>
        <v/>
      </c>
    </row>
    <row r="36" spans="1:95" s="26" customFormat="1" ht="16" customHeight="1" thickBot="1" x14ac:dyDescent="0.25">
      <c r="A36" s="38" t="s">
        <v>60</v>
      </c>
      <c r="B36" s="30">
        <f t="shared" ref="B36:D54" si="64">+L36+S36+Z36+AG36+AN36+AU36+BB36+BI36+BP36+BW36+CD36+CK36</f>
        <v>399999.99999999994</v>
      </c>
      <c r="C36" s="31">
        <f t="shared" si="64"/>
        <v>371240.00000000006</v>
      </c>
      <c r="D36" s="32">
        <f t="shared" si="64"/>
        <v>28760.000000000011</v>
      </c>
      <c r="E36" s="30">
        <f t="shared" si="15"/>
        <v>133333.33333333334</v>
      </c>
      <c r="F36" s="33">
        <f t="shared" si="15"/>
        <v>123746.66666666667</v>
      </c>
      <c r="G36" s="34">
        <f t="shared" si="15"/>
        <v>9586.6666666666679</v>
      </c>
      <c r="H36" s="31">
        <f t="shared" ref="H36:J54" si="65">+O36+V36+AC36+AJ36+AQ36+AX36+BE36+BL36+BS36+BZ36+CG36+CN36</f>
        <v>256701.09077500002</v>
      </c>
      <c r="I36" s="33">
        <f t="shared" si="65"/>
        <v>19886.659225000003</v>
      </c>
      <c r="J36" s="33">
        <f t="shared" si="65"/>
        <v>276587.75</v>
      </c>
      <c r="K36" s="37">
        <f t="shared" si="2"/>
        <v>1.0744081249999997</v>
      </c>
      <c r="L36" s="36">
        <f>[1]IG!$E36</f>
        <v>33333.333333333336</v>
      </c>
      <c r="M36" s="31">
        <f t="shared" si="16"/>
        <v>30936.666666666668</v>
      </c>
      <c r="N36" s="31">
        <f t="shared" si="17"/>
        <v>2396.666666666667</v>
      </c>
      <c r="O36" s="31">
        <f t="shared" si="18"/>
        <v>60406.103136999998</v>
      </c>
      <c r="P36" s="31">
        <f t="shared" si="19"/>
        <v>4679.6668630000004</v>
      </c>
      <c r="Q36" s="31">
        <f>105.58+330+6900.76+6574.4+3000+506.63+12.41+480+93.53+45.41+368.34+89.95+37.8+138+1506.7+366.67+2633.94+948.98+465.95+1210.7+2818.4+5225+4690+105.52+19.53+102.5+85+1060.82+413.51+110+99.01+400+88.69+970+2519+2890.72+1500+830+101.22+138+958.92+1749.67+4821.4+2019.08+1777.7+531+3245.33</f>
        <v>65085.77</v>
      </c>
      <c r="R36" s="31">
        <f t="shared" si="3"/>
        <v>0.95257309999999973</v>
      </c>
      <c r="S36" s="31">
        <f>[1]IG!$F36</f>
        <v>33333.333333333336</v>
      </c>
      <c r="T36" s="31">
        <f t="shared" si="20"/>
        <v>30936.666666666668</v>
      </c>
      <c r="U36" s="31">
        <f t="shared" si="21"/>
        <v>2396.666666666667</v>
      </c>
      <c r="V36" s="31">
        <f t="shared" si="22"/>
        <v>25268.682625000001</v>
      </c>
      <c r="W36" s="31">
        <f t="shared" si="23"/>
        <v>1957.5673750000001</v>
      </c>
      <c r="X36" s="31">
        <f>680.02+679.85+732.76+629.47+999+1019+114.02+78.47+4680+1200+1770+980+270+380+480+64.06+613.63+96.83+130+499.69+366.67+2480.9+465.95+583.5+432.09+3555+3245.34</f>
        <v>27226.25</v>
      </c>
      <c r="Y36" s="31">
        <f t="shared" si="4"/>
        <v>-0.18321250000000011</v>
      </c>
      <c r="Z36" s="31">
        <f>[1]IG!$G36</f>
        <v>33333.333333333336</v>
      </c>
      <c r="AA36" s="31">
        <f t="shared" si="24"/>
        <v>30936.666666666668</v>
      </c>
      <c r="AB36" s="31">
        <f t="shared" si="25"/>
        <v>2396.666666666667</v>
      </c>
      <c r="AC36" s="31">
        <f t="shared" si="26"/>
        <v>33324.701997000004</v>
      </c>
      <c r="AD36" s="31">
        <f t="shared" si="27"/>
        <v>2581.6680030000002</v>
      </c>
      <c r="AE36" s="31">
        <f>1042+1606+3481.68+296.64+1475+111.56+81.65+950+950+2200+1070+615.66+108.19+84.35+684+8.97+9.23+62.78+94.81+366.66+2883.51+49.33+46.13+12.38+2819.6+51.25+748.37+281.86+410+115.86+2100+1604.47+40.48+78.16+425+4522+79.21+98.7+4155+85.88</f>
        <v>35906.370000000003</v>
      </c>
      <c r="AF36" s="31">
        <f t="shared" si="5"/>
        <v>7.7191100000000068E-2</v>
      </c>
      <c r="AG36" s="31">
        <f>[1]IG!$H36</f>
        <v>33333.333333333336</v>
      </c>
      <c r="AH36" s="31">
        <f t="shared" si="28"/>
        <v>30936.666666666668</v>
      </c>
      <c r="AI36" s="31">
        <f t="shared" si="29"/>
        <v>2396.666666666667</v>
      </c>
      <c r="AJ36" s="31">
        <f t="shared" si="30"/>
        <v>57244.706826000001</v>
      </c>
      <c r="AK36" s="31">
        <f t="shared" si="31"/>
        <v>4434.7531740000004</v>
      </c>
      <c r="AL36" s="31">
        <f>3481.68+729.05+950+3000+12000+106.3+1740.66+98.76+406.4+1550+4.47+1595+39.63+72.72+31.04+3088.52+3731.72+1322.25+782.4+305.72+15.38+74.49+67.04+119.18+74.49+1600+2066+516.02+1300+1500.41+58.52+1151.78+414.67+2150+576+600+1343.83+226.43+3963.14+27.09+89.39+472.44+483.82+1292+1222.98+853.54+3410+974.5</f>
        <v>61679.46</v>
      </c>
      <c r="AM36" s="31">
        <f t="shared" si="6"/>
        <v>0.85038379999999991</v>
      </c>
      <c r="AN36" s="31">
        <f>[1]IG!$I36</f>
        <v>33333.333333333336</v>
      </c>
      <c r="AO36" s="31">
        <f t="shared" si="32"/>
        <v>30936.666666666668</v>
      </c>
      <c r="AP36" s="31">
        <f t="shared" si="33"/>
        <v>2396.666666666667</v>
      </c>
      <c r="AQ36" s="31">
        <f t="shared" si="34"/>
        <v>40710.716698000004</v>
      </c>
      <c r="AR36" s="31">
        <f t="shared" si="35"/>
        <v>3153.8633020000002</v>
      </c>
      <c r="AS36" s="33">
        <v>43864.58</v>
      </c>
      <c r="AT36" s="37">
        <f t="shared" si="7"/>
        <v>0.31593739999999992</v>
      </c>
      <c r="AU36" s="36">
        <f>[1]IG!$J36</f>
        <v>33333.333333333336</v>
      </c>
      <c r="AV36" s="31">
        <f t="shared" si="36"/>
        <v>30936.666666666668</v>
      </c>
      <c r="AW36" s="18">
        <f t="shared" si="37"/>
        <v>2396.666666666667</v>
      </c>
      <c r="AX36" s="31">
        <f t="shared" si="38"/>
        <v>39746.179491999996</v>
      </c>
      <c r="AY36" s="31">
        <f t="shared" si="39"/>
        <v>3079.1405079999995</v>
      </c>
      <c r="AZ36" s="27">
        <v>42825.319999999992</v>
      </c>
      <c r="BA36" s="37">
        <f t="shared" si="8"/>
        <v>0.28475959999999967</v>
      </c>
      <c r="BB36" s="36">
        <f>[1]IG!$K36</f>
        <v>33333.333333333336</v>
      </c>
      <c r="BC36" s="31">
        <f t="shared" si="40"/>
        <v>30936.666666666668</v>
      </c>
      <c r="BD36" s="18">
        <f t="shared" si="41"/>
        <v>2396.666666666667</v>
      </c>
      <c r="BE36" s="31">
        <f t="shared" si="42"/>
        <v>0</v>
      </c>
      <c r="BF36" s="31">
        <f t="shared" si="43"/>
        <v>0</v>
      </c>
      <c r="BG36" s="33"/>
      <c r="BH36" s="37">
        <f t="shared" si="9"/>
        <v>-1</v>
      </c>
      <c r="BI36" s="36">
        <f>[1]IG!$L36</f>
        <v>33333.333333333336</v>
      </c>
      <c r="BJ36" s="31">
        <f t="shared" si="44"/>
        <v>30936.666666666668</v>
      </c>
      <c r="BK36" s="18">
        <f t="shared" si="45"/>
        <v>2396.666666666667</v>
      </c>
      <c r="BL36" s="31">
        <f t="shared" si="46"/>
        <v>0</v>
      </c>
      <c r="BM36" s="31">
        <f t="shared" si="47"/>
        <v>0</v>
      </c>
      <c r="BN36" s="33"/>
      <c r="BO36" s="37">
        <f t="shared" si="10"/>
        <v>-1</v>
      </c>
      <c r="BP36" s="36">
        <f>[1]IG!$M36</f>
        <v>33333.333333333336</v>
      </c>
      <c r="BQ36" s="31">
        <f t="shared" si="48"/>
        <v>30936.666666666668</v>
      </c>
      <c r="BR36" s="18">
        <f t="shared" si="49"/>
        <v>2396.666666666667</v>
      </c>
      <c r="BS36" s="31">
        <f t="shared" si="50"/>
        <v>0</v>
      </c>
      <c r="BT36" s="31">
        <f t="shared" si="51"/>
        <v>0</v>
      </c>
      <c r="BU36" s="33"/>
      <c r="BV36" s="37">
        <f t="shared" si="11"/>
        <v>-1</v>
      </c>
      <c r="BW36" s="36">
        <f>[1]IG!$N36</f>
        <v>33333.333333333336</v>
      </c>
      <c r="BX36" s="31">
        <f t="shared" si="52"/>
        <v>30936.666666666668</v>
      </c>
      <c r="BY36" s="18">
        <f t="shared" si="53"/>
        <v>2396.666666666667</v>
      </c>
      <c r="BZ36" s="31">
        <f t="shared" si="54"/>
        <v>0</v>
      </c>
      <c r="CA36" s="31">
        <f t="shared" si="55"/>
        <v>0</v>
      </c>
      <c r="CB36" s="33"/>
      <c r="CC36" s="37">
        <f t="shared" si="12"/>
        <v>-1</v>
      </c>
      <c r="CD36" s="36">
        <f>[1]IG!$O36</f>
        <v>33333.333333333336</v>
      </c>
      <c r="CE36" s="31">
        <f t="shared" si="56"/>
        <v>30936.666666666668</v>
      </c>
      <c r="CF36" s="18">
        <f t="shared" si="57"/>
        <v>2396.666666666667</v>
      </c>
      <c r="CG36" s="31">
        <f t="shared" si="58"/>
        <v>0</v>
      </c>
      <c r="CH36" s="31">
        <f t="shared" si="59"/>
        <v>0</v>
      </c>
      <c r="CI36" s="33"/>
      <c r="CJ36" s="37">
        <f t="shared" si="13"/>
        <v>-1</v>
      </c>
      <c r="CK36" s="36">
        <f>[1]IG!$P36</f>
        <v>33333.333333333336</v>
      </c>
      <c r="CL36" s="31">
        <f t="shared" si="60"/>
        <v>30936.666666666668</v>
      </c>
      <c r="CM36" s="18">
        <f t="shared" si="61"/>
        <v>2396.666666666667</v>
      </c>
      <c r="CN36" s="31">
        <f t="shared" si="62"/>
        <v>0</v>
      </c>
      <c r="CO36" s="31">
        <f t="shared" si="63"/>
        <v>0</v>
      </c>
      <c r="CP36" s="33"/>
      <c r="CQ36" s="37">
        <f t="shared" si="14"/>
        <v>-1</v>
      </c>
    </row>
    <row r="37" spans="1:95" s="26" customFormat="1" ht="16" customHeight="1" thickBot="1" x14ac:dyDescent="0.25">
      <c r="A37" s="38" t="s">
        <v>61</v>
      </c>
      <c r="B37" s="30">
        <f t="shared" si="64"/>
        <v>450000</v>
      </c>
      <c r="C37" s="31">
        <f t="shared" si="64"/>
        <v>417645</v>
      </c>
      <c r="D37" s="32">
        <f t="shared" si="64"/>
        <v>32355</v>
      </c>
      <c r="E37" s="30">
        <f t="shared" ref="E37:G54" si="66">+L37+S37+Z37+AG37</f>
        <v>150000</v>
      </c>
      <c r="F37" s="33">
        <f t="shared" si="66"/>
        <v>139215</v>
      </c>
      <c r="G37" s="34">
        <f t="shared" si="66"/>
        <v>10785</v>
      </c>
      <c r="H37" s="31">
        <f t="shared" si="65"/>
        <v>272905.91167600005</v>
      </c>
      <c r="I37" s="33">
        <f t="shared" si="65"/>
        <v>21142.048324000003</v>
      </c>
      <c r="J37" s="33">
        <f t="shared" si="65"/>
        <v>294047.96000000002</v>
      </c>
      <c r="K37" s="37">
        <f t="shared" si="2"/>
        <v>0.96031973333333354</v>
      </c>
      <c r="L37" s="36">
        <f>[1]IG!$E37</f>
        <v>37500</v>
      </c>
      <c r="M37" s="31">
        <f t="shared" si="16"/>
        <v>34803.75</v>
      </c>
      <c r="N37" s="31">
        <f t="shared" si="17"/>
        <v>2696.25</v>
      </c>
      <c r="O37" s="31">
        <f t="shared" si="18"/>
        <v>39043.394329000002</v>
      </c>
      <c r="P37" s="31">
        <f t="shared" si="19"/>
        <v>3024.6956710000004</v>
      </c>
      <c r="Q37" s="31">
        <f>107153.86-Q36</f>
        <v>42068.090000000004</v>
      </c>
      <c r="R37" s="31">
        <f t="shared" si="3"/>
        <v>0.1218157333333334</v>
      </c>
      <c r="S37" s="31">
        <f>[1]IG!$F37</f>
        <v>37500</v>
      </c>
      <c r="T37" s="31">
        <f t="shared" si="20"/>
        <v>34803.75</v>
      </c>
      <c r="U37" s="31">
        <f t="shared" si="21"/>
        <v>2696.25</v>
      </c>
      <c r="V37" s="31">
        <f t="shared" si="22"/>
        <v>28947.884488000003</v>
      </c>
      <c r="W37" s="31">
        <f t="shared" si="23"/>
        <v>2242.5955120000003</v>
      </c>
      <c r="X37" s="31">
        <f>58416.73-X36</f>
        <v>31190.480000000003</v>
      </c>
      <c r="Y37" s="31">
        <f t="shared" si="4"/>
        <v>-0.16825386666666653</v>
      </c>
      <c r="Z37" s="31">
        <f>[1]IG!$G37</f>
        <v>37500</v>
      </c>
      <c r="AA37" s="31">
        <f t="shared" si="24"/>
        <v>34803.75</v>
      </c>
      <c r="AB37" s="31">
        <f t="shared" si="25"/>
        <v>2696.25</v>
      </c>
      <c r="AC37" s="31">
        <f t="shared" si="26"/>
        <v>31361.232199000002</v>
      </c>
      <c r="AD37" s="31">
        <f t="shared" si="27"/>
        <v>2429.5578010000004</v>
      </c>
      <c r="AE37" s="31">
        <f>69697.16-AE36</f>
        <v>33790.79</v>
      </c>
      <c r="AF37" s="31">
        <f t="shared" si="5"/>
        <v>-9.8912266666666637E-2</v>
      </c>
      <c r="AG37" s="31">
        <f>[1]IG!$H37</f>
        <v>37500</v>
      </c>
      <c r="AH37" s="31">
        <f t="shared" si="28"/>
        <v>34803.75</v>
      </c>
      <c r="AI37" s="31">
        <f t="shared" si="29"/>
        <v>2696.25</v>
      </c>
      <c r="AJ37" s="31">
        <f t="shared" si="30"/>
        <v>64049.341124999999</v>
      </c>
      <c r="AK37" s="31">
        <f t="shared" si="31"/>
        <v>4961.9088750000001</v>
      </c>
      <c r="AL37" s="31">
        <f>130690.71-AL36</f>
        <v>69011.25</v>
      </c>
      <c r="AM37" s="31">
        <f t="shared" si="6"/>
        <v>0.84030000000000005</v>
      </c>
      <c r="AN37" s="31">
        <f>[1]IG!$I37</f>
        <v>37500</v>
      </c>
      <c r="AO37" s="31">
        <f t="shared" si="32"/>
        <v>34803.75</v>
      </c>
      <c r="AP37" s="31">
        <f t="shared" si="33"/>
        <v>2696.25</v>
      </c>
      <c r="AQ37" s="31">
        <f t="shared" si="34"/>
        <v>70997.691709000006</v>
      </c>
      <c r="AR37" s="31">
        <f t="shared" si="35"/>
        <v>5500.1982910000006</v>
      </c>
      <c r="AS37" s="33">
        <v>76497.89</v>
      </c>
      <c r="AT37" s="37">
        <f t="shared" si="7"/>
        <v>1.0399437333333332</v>
      </c>
      <c r="AU37" s="36">
        <f>[1]IG!$J37</f>
        <v>37500</v>
      </c>
      <c r="AV37" s="31">
        <f t="shared" si="36"/>
        <v>34803.75</v>
      </c>
      <c r="AW37" s="18">
        <f t="shared" si="37"/>
        <v>2696.25</v>
      </c>
      <c r="AX37" s="31">
        <f t="shared" si="38"/>
        <v>38506.367826000009</v>
      </c>
      <c r="AY37" s="31">
        <f t="shared" si="39"/>
        <v>2983.0921740000008</v>
      </c>
      <c r="AZ37" s="27">
        <v>41489.460000000006</v>
      </c>
      <c r="BA37" s="37">
        <f t="shared" si="8"/>
        <v>0.10638560000000008</v>
      </c>
      <c r="BB37" s="36">
        <f>[1]IG!$K37</f>
        <v>37500</v>
      </c>
      <c r="BC37" s="31">
        <f t="shared" si="40"/>
        <v>34803.75</v>
      </c>
      <c r="BD37" s="18">
        <f t="shared" si="41"/>
        <v>2696.25</v>
      </c>
      <c r="BE37" s="31">
        <f t="shared" si="42"/>
        <v>0</v>
      </c>
      <c r="BF37" s="31">
        <f t="shared" si="43"/>
        <v>0</v>
      </c>
      <c r="BG37" s="33"/>
      <c r="BH37" s="37">
        <f t="shared" si="9"/>
        <v>-1</v>
      </c>
      <c r="BI37" s="36">
        <f>[1]IG!$L37</f>
        <v>37500</v>
      </c>
      <c r="BJ37" s="31">
        <f t="shared" si="44"/>
        <v>34803.75</v>
      </c>
      <c r="BK37" s="18">
        <f t="shared" si="45"/>
        <v>2696.25</v>
      </c>
      <c r="BL37" s="31">
        <f t="shared" si="46"/>
        <v>0</v>
      </c>
      <c r="BM37" s="31">
        <f t="shared" si="47"/>
        <v>0</v>
      </c>
      <c r="BN37" s="33"/>
      <c r="BO37" s="37">
        <f t="shared" si="10"/>
        <v>-1</v>
      </c>
      <c r="BP37" s="36">
        <f>[1]IG!$M37</f>
        <v>37500</v>
      </c>
      <c r="BQ37" s="31">
        <f t="shared" si="48"/>
        <v>34803.75</v>
      </c>
      <c r="BR37" s="18">
        <f t="shared" si="49"/>
        <v>2696.25</v>
      </c>
      <c r="BS37" s="31">
        <f t="shared" si="50"/>
        <v>0</v>
      </c>
      <c r="BT37" s="31">
        <f t="shared" si="51"/>
        <v>0</v>
      </c>
      <c r="BU37" s="33"/>
      <c r="BV37" s="37">
        <f t="shared" si="11"/>
        <v>-1</v>
      </c>
      <c r="BW37" s="36">
        <f>[1]IG!$N37</f>
        <v>37500</v>
      </c>
      <c r="BX37" s="31">
        <f t="shared" si="52"/>
        <v>34803.75</v>
      </c>
      <c r="BY37" s="18">
        <f t="shared" si="53"/>
        <v>2696.25</v>
      </c>
      <c r="BZ37" s="31">
        <f t="shared" si="54"/>
        <v>0</v>
      </c>
      <c r="CA37" s="31">
        <f t="shared" si="55"/>
        <v>0</v>
      </c>
      <c r="CB37" s="33"/>
      <c r="CC37" s="37">
        <f t="shared" si="12"/>
        <v>-1</v>
      </c>
      <c r="CD37" s="36">
        <f>[1]IG!$O37</f>
        <v>37500</v>
      </c>
      <c r="CE37" s="31">
        <f t="shared" si="56"/>
        <v>34803.75</v>
      </c>
      <c r="CF37" s="18">
        <f t="shared" si="57"/>
        <v>2696.25</v>
      </c>
      <c r="CG37" s="31">
        <f t="shared" si="58"/>
        <v>0</v>
      </c>
      <c r="CH37" s="31">
        <f t="shared" si="59"/>
        <v>0</v>
      </c>
      <c r="CI37" s="33"/>
      <c r="CJ37" s="37">
        <f t="shared" si="13"/>
        <v>-1</v>
      </c>
      <c r="CK37" s="36">
        <f>[1]IG!$P37</f>
        <v>37500</v>
      </c>
      <c r="CL37" s="31">
        <f t="shared" si="60"/>
        <v>34803.75</v>
      </c>
      <c r="CM37" s="18">
        <f t="shared" si="61"/>
        <v>2696.25</v>
      </c>
      <c r="CN37" s="31">
        <f t="shared" si="62"/>
        <v>0</v>
      </c>
      <c r="CO37" s="31">
        <f t="shared" si="63"/>
        <v>0</v>
      </c>
      <c r="CP37" s="33"/>
      <c r="CQ37" s="37">
        <f t="shared" si="14"/>
        <v>-1</v>
      </c>
    </row>
    <row r="38" spans="1:95" s="26" customFormat="1" ht="16" customHeight="1" thickBot="1" x14ac:dyDescent="0.25">
      <c r="A38" s="38" t="s">
        <v>62</v>
      </c>
      <c r="B38" s="30">
        <f t="shared" si="64"/>
        <v>80000</v>
      </c>
      <c r="C38" s="31">
        <f t="shared" si="64"/>
        <v>74248.000000000015</v>
      </c>
      <c r="D38" s="32">
        <f t="shared" si="64"/>
        <v>5752</v>
      </c>
      <c r="E38" s="30">
        <f t="shared" si="66"/>
        <v>26666.666666666668</v>
      </c>
      <c r="F38" s="33">
        <f t="shared" si="66"/>
        <v>24749.333333333336</v>
      </c>
      <c r="G38" s="34">
        <f t="shared" si="66"/>
        <v>1917.3333333333335</v>
      </c>
      <c r="H38" s="31">
        <f t="shared" si="65"/>
        <v>130629.46245400001</v>
      </c>
      <c r="I38" s="33">
        <f t="shared" si="65"/>
        <v>10119.877546000002</v>
      </c>
      <c r="J38" s="33">
        <f t="shared" si="65"/>
        <v>140749.34</v>
      </c>
      <c r="K38" s="37">
        <f t="shared" si="2"/>
        <v>4.2781002499999996</v>
      </c>
      <c r="L38" s="36">
        <f>[1]IG!$E38</f>
        <v>6666.666666666667</v>
      </c>
      <c r="M38" s="31">
        <f t="shared" si="16"/>
        <v>6187.3333333333339</v>
      </c>
      <c r="N38" s="31">
        <f t="shared" si="17"/>
        <v>479.33333333333337</v>
      </c>
      <c r="O38" s="31">
        <f t="shared" si="18"/>
        <v>7884.4786490000006</v>
      </c>
      <c r="P38" s="31">
        <f t="shared" si="19"/>
        <v>610.81135100000006</v>
      </c>
      <c r="Q38" s="31">
        <f>8495.29</f>
        <v>8495.2900000000009</v>
      </c>
      <c r="R38" s="31">
        <f t="shared" si="3"/>
        <v>0.27429349999999997</v>
      </c>
      <c r="S38" s="31">
        <f>[1]IG!$F38</f>
        <v>6666.666666666667</v>
      </c>
      <c r="T38" s="31">
        <f t="shared" si="20"/>
        <v>6187.3333333333339</v>
      </c>
      <c r="U38" s="31">
        <f t="shared" si="21"/>
        <v>479.33333333333337</v>
      </c>
      <c r="V38" s="31">
        <f t="shared" si="22"/>
        <v>13057.262561</v>
      </c>
      <c r="W38" s="31">
        <f t="shared" si="23"/>
        <v>1011.5474390000001</v>
      </c>
      <c r="X38" s="31">
        <f>14068.81</f>
        <v>14068.81</v>
      </c>
      <c r="Y38" s="31">
        <f t="shared" si="4"/>
        <v>1.1103215</v>
      </c>
      <c r="Z38" s="31">
        <f>[1]IG!$G38</f>
        <v>6666.666666666667</v>
      </c>
      <c r="AA38" s="31">
        <f t="shared" si="24"/>
        <v>6187.3333333333339</v>
      </c>
      <c r="AB38" s="31">
        <f t="shared" si="25"/>
        <v>479.33333333333337</v>
      </c>
      <c r="AC38" s="31">
        <f t="shared" si="26"/>
        <v>17184.996592</v>
      </c>
      <c r="AD38" s="31">
        <f t="shared" si="27"/>
        <v>1331.323408</v>
      </c>
      <c r="AE38" s="31">
        <f>15621.42+2894.9</f>
        <v>18516.32</v>
      </c>
      <c r="AF38" s="31">
        <f t="shared" si="5"/>
        <v>1.7774479999999997</v>
      </c>
      <c r="AG38" s="31">
        <f>[1]IG!$H38</f>
        <v>6666.666666666667</v>
      </c>
      <c r="AH38" s="31">
        <f t="shared" si="28"/>
        <v>6187.3333333333339</v>
      </c>
      <c r="AI38" s="31">
        <f t="shared" si="29"/>
        <v>479.33333333333337</v>
      </c>
      <c r="AJ38" s="31">
        <f t="shared" si="30"/>
        <v>24503.074373000003</v>
      </c>
      <c r="AK38" s="31">
        <f t="shared" si="31"/>
        <v>1898.2556270000002</v>
      </c>
      <c r="AL38" s="31">
        <f>26401.33</f>
        <v>26401.33</v>
      </c>
      <c r="AM38" s="31">
        <f t="shared" si="6"/>
        <v>2.9601994999999999</v>
      </c>
      <c r="AN38" s="31">
        <f>[1]IG!$I38</f>
        <v>6666.666666666667</v>
      </c>
      <c r="AO38" s="31">
        <f t="shared" si="32"/>
        <v>6187.3333333333339</v>
      </c>
      <c r="AP38" s="31">
        <f t="shared" si="33"/>
        <v>479.33333333333337</v>
      </c>
      <c r="AQ38" s="31">
        <f t="shared" si="34"/>
        <v>11975.097960999999</v>
      </c>
      <c r="AR38" s="31">
        <f t="shared" si="35"/>
        <v>927.712039</v>
      </c>
      <c r="AS38" s="33">
        <v>12902.81</v>
      </c>
      <c r="AT38" s="37">
        <f t="shared" si="7"/>
        <v>0.93542149999999991</v>
      </c>
      <c r="AU38" s="36">
        <f>[1]IG!$J38</f>
        <v>6666.666666666667</v>
      </c>
      <c r="AV38" s="31">
        <f t="shared" si="36"/>
        <v>6187.3333333333339</v>
      </c>
      <c r="AW38" s="18">
        <f t="shared" si="37"/>
        <v>479.33333333333337</v>
      </c>
      <c r="AX38" s="31">
        <f t="shared" si="38"/>
        <v>56024.552318000002</v>
      </c>
      <c r="AY38" s="31">
        <f t="shared" si="39"/>
        <v>4340.2276820000006</v>
      </c>
      <c r="AZ38" s="27">
        <v>60364.78</v>
      </c>
      <c r="BA38" s="37">
        <f t="shared" si="8"/>
        <v>8.0547170000000001</v>
      </c>
      <c r="BB38" s="36">
        <f>[1]IG!$K38</f>
        <v>6666.666666666667</v>
      </c>
      <c r="BC38" s="31">
        <f t="shared" si="40"/>
        <v>6187.3333333333339</v>
      </c>
      <c r="BD38" s="18">
        <f t="shared" si="41"/>
        <v>479.33333333333337</v>
      </c>
      <c r="BE38" s="31">
        <f t="shared" si="42"/>
        <v>0</v>
      </c>
      <c r="BF38" s="31">
        <f t="shared" si="43"/>
        <v>0</v>
      </c>
      <c r="BG38" s="33"/>
      <c r="BH38" s="37">
        <f t="shared" si="9"/>
        <v>-1</v>
      </c>
      <c r="BI38" s="36">
        <f>[1]IG!$L38</f>
        <v>6666.666666666667</v>
      </c>
      <c r="BJ38" s="31">
        <f t="shared" si="44"/>
        <v>6187.3333333333339</v>
      </c>
      <c r="BK38" s="18">
        <f t="shared" si="45"/>
        <v>479.33333333333337</v>
      </c>
      <c r="BL38" s="31">
        <f t="shared" si="46"/>
        <v>0</v>
      </c>
      <c r="BM38" s="31">
        <f t="shared" si="47"/>
        <v>0</v>
      </c>
      <c r="BN38" s="33"/>
      <c r="BO38" s="37">
        <f t="shared" si="10"/>
        <v>-1</v>
      </c>
      <c r="BP38" s="36">
        <f>[1]IG!$M38</f>
        <v>6666.666666666667</v>
      </c>
      <c r="BQ38" s="31">
        <f t="shared" si="48"/>
        <v>6187.3333333333339</v>
      </c>
      <c r="BR38" s="18">
        <f t="shared" si="49"/>
        <v>479.33333333333337</v>
      </c>
      <c r="BS38" s="31">
        <f t="shared" si="50"/>
        <v>0</v>
      </c>
      <c r="BT38" s="31">
        <f t="shared" si="51"/>
        <v>0</v>
      </c>
      <c r="BU38" s="33"/>
      <c r="BV38" s="37">
        <f t="shared" si="11"/>
        <v>-1</v>
      </c>
      <c r="BW38" s="36">
        <f>[1]IG!$N38</f>
        <v>6666.666666666667</v>
      </c>
      <c r="BX38" s="31">
        <f t="shared" si="52"/>
        <v>6187.3333333333339</v>
      </c>
      <c r="BY38" s="18">
        <f t="shared" si="53"/>
        <v>479.33333333333337</v>
      </c>
      <c r="BZ38" s="31">
        <f t="shared" si="54"/>
        <v>0</v>
      </c>
      <c r="CA38" s="31">
        <f t="shared" si="55"/>
        <v>0</v>
      </c>
      <c r="CB38" s="33"/>
      <c r="CC38" s="37">
        <f t="shared" si="12"/>
        <v>-1</v>
      </c>
      <c r="CD38" s="36">
        <f>[1]IG!$O38</f>
        <v>6666.666666666667</v>
      </c>
      <c r="CE38" s="31">
        <f t="shared" si="56"/>
        <v>6187.3333333333339</v>
      </c>
      <c r="CF38" s="18">
        <f t="shared" si="57"/>
        <v>479.33333333333337</v>
      </c>
      <c r="CG38" s="31">
        <f t="shared" si="58"/>
        <v>0</v>
      </c>
      <c r="CH38" s="31">
        <f t="shared" si="59"/>
        <v>0</v>
      </c>
      <c r="CI38" s="33"/>
      <c r="CJ38" s="37">
        <f t="shared" si="13"/>
        <v>-1</v>
      </c>
      <c r="CK38" s="36">
        <f>[1]IG!$P38</f>
        <v>6666.666666666667</v>
      </c>
      <c r="CL38" s="31">
        <f t="shared" si="60"/>
        <v>6187.3333333333339</v>
      </c>
      <c r="CM38" s="18">
        <f t="shared" si="61"/>
        <v>479.33333333333337</v>
      </c>
      <c r="CN38" s="31">
        <f t="shared" si="62"/>
        <v>0</v>
      </c>
      <c r="CO38" s="31">
        <f t="shared" si="63"/>
        <v>0</v>
      </c>
      <c r="CP38" s="33"/>
      <c r="CQ38" s="37">
        <f t="shared" si="14"/>
        <v>-1</v>
      </c>
    </row>
    <row r="39" spans="1:95" s="26" customFormat="1" ht="16" customHeight="1" thickBot="1" x14ac:dyDescent="0.25">
      <c r="A39" s="38" t="s">
        <v>63</v>
      </c>
      <c r="B39" s="30">
        <f t="shared" si="64"/>
        <v>20000</v>
      </c>
      <c r="C39" s="31">
        <f t="shared" si="64"/>
        <v>18562.000000000004</v>
      </c>
      <c r="D39" s="32">
        <f t="shared" si="64"/>
        <v>1438</v>
      </c>
      <c r="E39" s="30">
        <f t="shared" si="66"/>
        <v>6666.666666666667</v>
      </c>
      <c r="F39" s="33">
        <f t="shared" si="66"/>
        <v>6187.3333333333339</v>
      </c>
      <c r="G39" s="34">
        <f t="shared" si="66"/>
        <v>479.33333333333337</v>
      </c>
      <c r="H39" s="31">
        <f t="shared" si="65"/>
        <v>16678.077653</v>
      </c>
      <c r="I39" s="33">
        <f t="shared" si="65"/>
        <v>1292.0523470000001</v>
      </c>
      <c r="J39" s="33">
        <f t="shared" si="65"/>
        <v>17970.13</v>
      </c>
      <c r="K39" s="37">
        <f t="shared" si="2"/>
        <v>1.6955195000000001</v>
      </c>
      <c r="L39" s="36">
        <f>[1]IG!$E39</f>
        <v>1666.6666666666667</v>
      </c>
      <c r="M39" s="31">
        <f t="shared" si="16"/>
        <v>1546.8333333333335</v>
      </c>
      <c r="N39" s="31">
        <f t="shared" si="17"/>
        <v>119.83333333333334</v>
      </c>
      <c r="O39" s="31">
        <f t="shared" si="18"/>
        <v>5888.3304500000004</v>
      </c>
      <c r="P39" s="31">
        <f t="shared" si="19"/>
        <v>456.16955000000002</v>
      </c>
      <c r="Q39" s="31">
        <f>6344.5</f>
        <v>6344.5</v>
      </c>
      <c r="R39" s="31">
        <f t="shared" si="3"/>
        <v>2.8066999999999998</v>
      </c>
      <c r="S39" s="31">
        <f>[1]IG!$F39</f>
        <v>1666.6666666666667</v>
      </c>
      <c r="T39" s="31">
        <f t="shared" si="20"/>
        <v>1546.8333333333335</v>
      </c>
      <c r="U39" s="31">
        <f t="shared" si="21"/>
        <v>119.83333333333334</v>
      </c>
      <c r="V39" s="31">
        <f t="shared" si="22"/>
        <v>956.40705000000003</v>
      </c>
      <c r="W39" s="31">
        <f t="shared" si="23"/>
        <v>74.092950000000002</v>
      </c>
      <c r="X39" s="31">
        <f>1030.5</f>
        <v>1030.5</v>
      </c>
      <c r="Y39" s="31">
        <f t="shared" si="4"/>
        <v>-0.38170000000000004</v>
      </c>
      <c r="Z39" s="31">
        <f>[1]IG!$G39</f>
        <v>1666.6666666666667</v>
      </c>
      <c r="AA39" s="31">
        <f t="shared" si="24"/>
        <v>1546.8333333333335</v>
      </c>
      <c r="AB39" s="31">
        <f t="shared" si="25"/>
        <v>119.83333333333334</v>
      </c>
      <c r="AC39" s="31">
        <f t="shared" si="26"/>
        <v>983.22914000000003</v>
      </c>
      <c r="AD39" s="31">
        <f t="shared" si="27"/>
        <v>76.170860000000019</v>
      </c>
      <c r="AE39" s="31">
        <f>1059.4</f>
        <v>1059.4000000000001</v>
      </c>
      <c r="AF39" s="31">
        <f t="shared" si="5"/>
        <v>-0.36436000000000002</v>
      </c>
      <c r="AG39" s="31">
        <f>[1]IG!$H39</f>
        <v>1666.6666666666667</v>
      </c>
      <c r="AH39" s="31">
        <f t="shared" si="28"/>
        <v>1546.8333333333335</v>
      </c>
      <c r="AI39" s="31">
        <f t="shared" si="29"/>
        <v>119.83333333333334</v>
      </c>
      <c r="AJ39" s="31">
        <f t="shared" si="30"/>
        <v>4744.8462829999999</v>
      </c>
      <c r="AK39" s="31">
        <f t="shared" si="31"/>
        <v>367.58371700000004</v>
      </c>
      <c r="AL39" s="31">
        <f>3982.43+1130</f>
        <v>5112.43</v>
      </c>
      <c r="AM39" s="31">
        <f t="shared" si="6"/>
        <v>2.0674580000000002</v>
      </c>
      <c r="AN39" s="31">
        <f>[1]IG!$I39</f>
        <v>1666.6666666666667</v>
      </c>
      <c r="AO39" s="31">
        <f t="shared" si="32"/>
        <v>1546.8333333333335</v>
      </c>
      <c r="AP39" s="31">
        <f t="shared" si="33"/>
        <v>119.83333333333334</v>
      </c>
      <c r="AQ39" s="31">
        <f t="shared" si="34"/>
        <v>1195.3928000000001</v>
      </c>
      <c r="AR39" s="31">
        <f t="shared" si="35"/>
        <v>92.607200000000006</v>
      </c>
      <c r="AS39" s="33">
        <v>1288</v>
      </c>
      <c r="AT39" s="37">
        <f t="shared" si="7"/>
        <v>-0.22720000000000007</v>
      </c>
      <c r="AU39" s="36">
        <f>[1]IG!$J39</f>
        <v>1666.6666666666667</v>
      </c>
      <c r="AV39" s="31">
        <f t="shared" si="36"/>
        <v>1546.8333333333335</v>
      </c>
      <c r="AW39" s="18">
        <f t="shared" si="37"/>
        <v>119.83333333333334</v>
      </c>
      <c r="AX39" s="31">
        <f t="shared" si="38"/>
        <v>2909.8719300000002</v>
      </c>
      <c r="AY39" s="31">
        <f t="shared" si="39"/>
        <v>225.42807000000002</v>
      </c>
      <c r="AZ39" s="27">
        <v>3135.3</v>
      </c>
      <c r="BA39" s="37">
        <f t="shared" si="8"/>
        <v>0.88118000000000007</v>
      </c>
      <c r="BB39" s="36">
        <f>[1]IG!$K39</f>
        <v>1666.6666666666667</v>
      </c>
      <c r="BC39" s="31">
        <f t="shared" si="40"/>
        <v>1546.8333333333335</v>
      </c>
      <c r="BD39" s="18">
        <f t="shared" si="41"/>
        <v>119.83333333333334</v>
      </c>
      <c r="BE39" s="31">
        <f t="shared" si="42"/>
        <v>0</v>
      </c>
      <c r="BF39" s="31">
        <f t="shared" si="43"/>
        <v>0</v>
      </c>
      <c r="BG39" s="27"/>
      <c r="BH39" s="37">
        <f t="shared" si="9"/>
        <v>-1</v>
      </c>
      <c r="BI39" s="36">
        <f>[1]IG!$L39</f>
        <v>1666.6666666666667</v>
      </c>
      <c r="BJ39" s="31">
        <f t="shared" si="44"/>
        <v>1546.8333333333335</v>
      </c>
      <c r="BK39" s="18">
        <f t="shared" si="45"/>
        <v>119.83333333333334</v>
      </c>
      <c r="BL39" s="31">
        <f t="shared" si="46"/>
        <v>0</v>
      </c>
      <c r="BM39" s="31">
        <f t="shared" si="47"/>
        <v>0</v>
      </c>
      <c r="BN39" s="33"/>
      <c r="BO39" s="37">
        <f t="shared" si="10"/>
        <v>-1</v>
      </c>
      <c r="BP39" s="36">
        <f>[1]IG!$M39</f>
        <v>1666.6666666666667</v>
      </c>
      <c r="BQ39" s="31">
        <f t="shared" si="48"/>
        <v>1546.8333333333335</v>
      </c>
      <c r="BR39" s="18">
        <f t="shared" si="49"/>
        <v>119.83333333333334</v>
      </c>
      <c r="BS39" s="31">
        <f t="shared" si="50"/>
        <v>0</v>
      </c>
      <c r="BT39" s="31">
        <f t="shared" si="51"/>
        <v>0</v>
      </c>
      <c r="BU39" s="33"/>
      <c r="BV39" s="37">
        <f t="shared" si="11"/>
        <v>-1</v>
      </c>
      <c r="BW39" s="36">
        <f>[1]IG!$N39</f>
        <v>1666.6666666666667</v>
      </c>
      <c r="BX39" s="31">
        <f t="shared" si="52"/>
        <v>1546.8333333333335</v>
      </c>
      <c r="BY39" s="18">
        <f t="shared" si="53"/>
        <v>119.83333333333334</v>
      </c>
      <c r="BZ39" s="31">
        <f t="shared" si="54"/>
        <v>0</v>
      </c>
      <c r="CA39" s="31">
        <f t="shared" si="55"/>
        <v>0</v>
      </c>
      <c r="CB39" s="33"/>
      <c r="CC39" s="37">
        <f t="shared" si="12"/>
        <v>-1</v>
      </c>
      <c r="CD39" s="36">
        <f>[1]IG!$O39</f>
        <v>1666.6666666666667</v>
      </c>
      <c r="CE39" s="31">
        <f t="shared" si="56"/>
        <v>1546.8333333333335</v>
      </c>
      <c r="CF39" s="18">
        <f t="shared" si="57"/>
        <v>119.83333333333334</v>
      </c>
      <c r="CG39" s="31">
        <f t="shared" si="58"/>
        <v>0</v>
      </c>
      <c r="CH39" s="31">
        <f t="shared" si="59"/>
        <v>0</v>
      </c>
      <c r="CI39" s="33"/>
      <c r="CJ39" s="37">
        <f t="shared" si="13"/>
        <v>-1</v>
      </c>
      <c r="CK39" s="36">
        <f>[1]IG!$P39</f>
        <v>1666.6666666666667</v>
      </c>
      <c r="CL39" s="31">
        <f t="shared" si="60"/>
        <v>1546.8333333333335</v>
      </c>
      <c r="CM39" s="18">
        <f t="shared" si="61"/>
        <v>119.83333333333334</v>
      </c>
      <c r="CN39" s="31">
        <f t="shared" si="62"/>
        <v>0</v>
      </c>
      <c r="CO39" s="31">
        <f t="shared" si="63"/>
        <v>0</v>
      </c>
      <c r="CP39" s="33"/>
      <c r="CQ39" s="37">
        <f t="shared" si="14"/>
        <v>-1</v>
      </c>
    </row>
    <row r="40" spans="1:95" s="26" customFormat="1" ht="16" customHeight="1" thickBot="1" x14ac:dyDescent="0.25">
      <c r="A40" s="38" t="s">
        <v>64</v>
      </c>
      <c r="B40" s="30">
        <f t="shared" si="64"/>
        <v>80000</v>
      </c>
      <c r="C40" s="31">
        <f t="shared" si="64"/>
        <v>74248.000000000015</v>
      </c>
      <c r="D40" s="32">
        <f t="shared" si="64"/>
        <v>5752</v>
      </c>
      <c r="E40" s="30">
        <f t="shared" si="66"/>
        <v>26666.666666666668</v>
      </c>
      <c r="F40" s="33">
        <f t="shared" si="66"/>
        <v>24749.333333333336</v>
      </c>
      <c r="G40" s="34">
        <f t="shared" si="66"/>
        <v>1917.3333333333335</v>
      </c>
      <c r="H40" s="31">
        <f t="shared" si="65"/>
        <v>93518.372325000004</v>
      </c>
      <c r="I40" s="33">
        <f t="shared" si="65"/>
        <v>7244.8776749999997</v>
      </c>
      <c r="J40" s="33">
        <f t="shared" si="65"/>
        <v>100763.25</v>
      </c>
      <c r="K40" s="37">
        <f t="shared" si="2"/>
        <v>2.7786218749999998</v>
      </c>
      <c r="L40" s="36">
        <f>[1]IG!$E40</f>
        <v>6666.666666666667</v>
      </c>
      <c r="M40" s="31">
        <f t="shared" si="16"/>
        <v>6187.3333333333339</v>
      </c>
      <c r="N40" s="31">
        <f t="shared" si="17"/>
        <v>479.33333333333337</v>
      </c>
      <c r="O40" s="31">
        <f t="shared" si="18"/>
        <v>9409.6346599999997</v>
      </c>
      <c r="P40" s="31">
        <f t="shared" si="19"/>
        <v>728.96534000000008</v>
      </c>
      <c r="Q40" s="31">
        <f>10138.6</f>
        <v>10138.6</v>
      </c>
      <c r="R40" s="31">
        <f t="shared" si="3"/>
        <v>0.52079000000000009</v>
      </c>
      <c r="S40" s="31">
        <f>[1]IG!$F40</f>
        <v>6666.666666666667</v>
      </c>
      <c r="T40" s="31">
        <f t="shared" si="20"/>
        <v>6187.3333333333339</v>
      </c>
      <c r="U40" s="31">
        <f t="shared" si="21"/>
        <v>479.33333333333337</v>
      </c>
      <c r="V40" s="31">
        <f t="shared" si="22"/>
        <v>24922.928250999998</v>
      </c>
      <c r="W40" s="31">
        <f t="shared" si="23"/>
        <v>1930.781749</v>
      </c>
      <c r="X40" s="31">
        <f>26853.71</f>
        <v>26853.71</v>
      </c>
      <c r="Y40" s="31">
        <f t="shared" si="4"/>
        <v>3.0280564999999999</v>
      </c>
      <c r="Z40" s="31">
        <f>[1]IG!$G40</f>
        <v>6666.666666666667</v>
      </c>
      <c r="AA40" s="31">
        <f t="shared" si="24"/>
        <v>6187.3333333333339</v>
      </c>
      <c r="AB40" s="31">
        <f t="shared" si="25"/>
        <v>479.33333333333337</v>
      </c>
      <c r="AC40" s="31">
        <f t="shared" si="26"/>
        <v>24771.545859999998</v>
      </c>
      <c r="AD40" s="31">
        <f t="shared" si="27"/>
        <v>1919.05414</v>
      </c>
      <c r="AE40" s="31">
        <f>26690.6</f>
        <v>26690.6</v>
      </c>
      <c r="AF40" s="31">
        <f t="shared" si="5"/>
        <v>3.00359</v>
      </c>
      <c r="AG40" s="31">
        <f>[1]IG!$H40</f>
        <v>6666.666666666667</v>
      </c>
      <c r="AH40" s="31">
        <f t="shared" si="28"/>
        <v>6187.3333333333339</v>
      </c>
      <c r="AI40" s="31">
        <f t="shared" si="29"/>
        <v>479.33333333333337</v>
      </c>
      <c r="AJ40" s="31">
        <f t="shared" si="30"/>
        <v>19416.40886</v>
      </c>
      <c r="AK40" s="31">
        <f t="shared" si="31"/>
        <v>1504.1911399999999</v>
      </c>
      <c r="AL40" s="31">
        <f>20920.6</f>
        <v>20920.599999999999</v>
      </c>
      <c r="AM40" s="31">
        <f t="shared" si="6"/>
        <v>2.1380899999999996</v>
      </c>
      <c r="AN40" s="31">
        <f>[1]IG!$I40</f>
        <v>6666.666666666667</v>
      </c>
      <c r="AO40" s="31">
        <f t="shared" si="32"/>
        <v>6187.3333333333339</v>
      </c>
      <c r="AP40" s="31">
        <f t="shared" si="33"/>
        <v>479.33333333333337</v>
      </c>
      <c r="AQ40" s="31">
        <f t="shared" si="34"/>
        <v>11140.671093999999</v>
      </c>
      <c r="AR40" s="31">
        <f t="shared" si="35"/>
        <v>863.06890600000008</v>
      </c>
      <c r="AS40" s="33">
        <v>12003.74</v>
      </c>
      <c r="AT40" s="37">
        <f t="shared" si="7"/>
        <v>0.80056099999999986</v>
      </c>
      <c r="AU40" s="36">
        <f>[1]IG!$J40</f>
        <v>6666.666666666667</v>
      </c>
      <c r="AV40" s="31">
        <f t="shared" si="36"/>
        <v>6187.3333333333339</v>
      </c>
      <c r="AW40" s="18">
        <f t="shared" si="37"/>
        <v>479.33333333333337</v>
      </c>
      <c r="AX40" s="31">
        <f t="shared" si="38"/>
        <v>3857.1835999999998</v>
      </c>
      <c r="AY40" s="31">
        <f t="shared" si="39"/>
        <v>298.81640000000004</v>
      </c>
      <c r="AZ40" s="27">
        <v>4156</v>
      </c>
      <c r="BA40" s="37">
        <f t="shared" si="8"/>
        <v>-0.37660000000000005</v>
      </c>
      <c r="BB40" s="36">
        <f>[1]IG!$K40</f>
        <v>6666.666666666667</v>
      </c>
      <c r="BC40" s="31">
        <f t="shared" si="40"/>
        <v>6187.3333333333339</v>
      </c>
      <c r="BD40" s="18">
        <f t="shared" si="41"/>
        <v>479.33333333333337</v>
      </c>
      <c r="BE40" s="31">
        <f t="shared" si="42"/>
        <v>0</v>
      </c>
      <c r="BF40" s="31">
        <f t="shared" si="43"/>
        <v>0</v>
      </c>
      <c r="BG40" s="33"/>
      <c r="BH40" s="37">
        <f t="shared" si="9"/>
        <v>-1</v>
      </c>
      <c r="BI40" s="36">
        <f>[1]IG!$L40</f>
        <v>6666.666666666667</v>
      </c>
      <c r="BJ40" s="31">
        <f t="shared" si="44"/>
        <v>6187.3333333333339</v>
      </c>
      <c r="BK40" s="18">
        <f t="shared" si="45"/>
        <v>479.33333333333337</v>
      </c>
      <c r="BL40" s="31">
        <f t="shared" si="46"/>
        <v>0</v>
      </c>
      <c r="BM40" s="31">
        <f t="shared" si="47"/>
        <v>0</v>
      </c>
      <c r="BN40" s="33"/>
      <c r="BO40" s="37">
        <f t="shared" si="10"/>
        <v>-1</v>
      </c>
      <c r="BP40" s="36">
        <f>[1]IG!$M40</f>
        <v>6666.666666666667</v>
      </c>
      <c r="BQ40" s="31">
        <f t="shared" si="48"/>
        <v>6187.3333333333339</v>
      </c>
      <c r="BR40" s="18">
        <f t="shared" si="49"/>
        <v>479.33333333333337</v>
      </c>
      <c r="BS40" s="31">
        <f t="shared" si="50"/>
        <v>0</v>
      </c>
      <c r="BT40" s="31">
        <f t="shared" si="51"/>
        <v>0</v>
      </c>
      <c r="BU40" s="33"/>
      <c r="BV40" s="37">
        <f t="shared" si="11"/>
        <v>-1</v>
      </c>
      <c r="BW40" s="36">
        <f>[1]IG!$N40</f>
        <v>6666.666666666667</v>
      </c>
      <c r="BX40" s="31">
        <f t="shared" si="52"/>
        <v>6187.3333333333339</v>
      </c>
      <c r="BY40" s="18">
        <f t="shared" si="53"/>
        <v>479.33333333333337</v>
      </c>
      <c r="BZ40" s="31">
        <f t="shared" si="54"/>
        <v>0</v>
      </c>
      <c r="CA40" s="31">
        <f t="shared" si="55"/>
        <v>0</v>
      </c>
      <c r="CB40" s="33"/>
      <c r="CC40" s="37">
        <f t="shared" si="12"/>
        <v>-1</v>
      </c>
      <c r="CD40" s="36">
        <f>[1]IG!$O40</f>
        <v>6666.666666666667</v>
      </c>
      <c r="CE40" s="31">
        <f t="shared" si="56"/>
        <v>6187.3333333333339</v>
      </c>
      <c r="CF40" s="18">
        <f t="shared" si="57"/>
        <v>479.33333333333337</v>
      </c>
      <c r="CG40" s="31">
        <f t="shared" si="58"/>
        <v>0</v>
      </c>
      <c r="CH40" s="31">
        <f t="shared" si="59"/>
        <v>0</v>
      </c>
      <c r="CI40" s="33"/>
      <c r="CJ40" s="37">
        <f t="shared" si="13"/>
        <v>-1</v>
      </c>
      <c r="CK40" s="36">
        <f>[1]IG!$P40</f>
        <v>6666.666666666667</v>
      </c>
      <c r="CL40" s="31">
        <f t="shared" si="60"/>
        <v>6187.3333333333339</v>
      </c>
      <c r="CM40" s="18">
        <f t="shared" si="61"/>
        <v>479.33333333333337</v>
      </c>
      <c r="CN40" s="31">
        <f t="shared" si="62"/>
        <v>0</v>
      </c>
      <c r="CO40" s="31">
        <f t="shared" si="63"/>
        <v>0</v>
      </c>
      <c r="CP40" s="33"/>
      <c r="CQ40" s="37">
        <f t="shared" si="14"/>
        <v>-1</v>
      </c>
    </row>
    <row r="41" spans="1:95" s="26" customFormat="1" ht="16" customHeight="1" thickBot="1" x14ac:dyDescent="0.25">
      <c r="A41" s="29" t="s">
        <v>65</v>
      </c>
      <c r="B41" s="30">
        <f t="shared" si="64"/>
        <v>865000.00000000012</v>
      </c>
      <c r="C41" s="31">
        <f t="shared" si="64"/>
        <v>802806.49999999965</v>
      </c>
      <c r="D41" s="32">
        <f t="shared" si="64"/>
        <v>62193.499999999993</v>
      </c>
      <c r="E41" s="30">
        <f t="shared" si="66"/>
        <v>288333.33333333331</v>
      </c>
      <c r="F41" s="33">
        <f t="shared" si="66"/>
        <v>267602.16666666663</v>
      </c>
      <c r="G41" s="34">
        <f t="shared" si="66"/>
        <v>20731.166666666668</v>
      </c>
      <c r="H41" s="31">
        <f t="shared" si="65"/>
        <v>401403.24999999988</v>
      </c>
      <c r="I41" s="33">
        <f t="shared" si="65"/>
        <v>31096.750000000004</v>
      </c>
      <c r="J41" s="33">
        <f t="shared" si="65"/>
        <v>432499.99999999994</v>
      </c>
      <c r="K41" s="37">
        <f t="shared" si="2"/>
        <v>0.5</v>
      </c>
      <c r="L41" s="46">
        <f>[1]IG!$E41</f>
        <v>72083.333333333328</v>
      </c>
      <c r="M41" s="47">
        <f t="shared" si="16"/>
        <v>66900.541666666657</v>
      </c>
      <c r="N41" s="47">
        <f t="shared" si="17"/>
        <v>5182.791666666667</v>
      </c>
      <c r="O41" s="47">
        <f t="shared" si="18"/>
        <v>66900.541666666657</v>
      </c>
      <c r="P41" s="47">
        <f t="shared" si="19"/>
        <v>5182.791666666667</v>
      </c>
      <c r="Q41" s="47">
        <v>72083.333333333328</v>
      </c>
      <c r="R41" s="47">
        <f t="shared" si="3"/>
        <v>0</v>
      </c>
      <c r="S41" s="47">
        <f>[1]IG!$F41</f>
        <v>72083.333333333328</v>
      </c>
      <c r="T41" s="47">
        <f t="shared" si="20"/>
        <v>66900.541666666657</v>
      </c>
      <c r="U41" s="47">
        <f t="shared" si="21"/>
        <v>5182.791666666667</v>
      </c>
      <c r="V41" s="47">
        <f t="shared" si="22"/>
        <v>66900.541666666657</v>
      </c>
      <c r="W41" s="47">
        <f t="shared" si="23"/>
        <v>5182.791666666667</v>
      </c>
      <c r="X41" s="47">
        <v>72083.333333333328</v>
      </c>
      <c r="Y41" s="47">
        <f t="shared" si="4"/>
        <v>0</v>
      </c>
      <c r="Z41" s="47">
        <f>[1]IG!$G41</f>
        <v>72083.333333333328</v>
      </c>
      <c r="AA41" s="47">
        <f t="shared" si="24"/>
        <v>66900.541666666657</v>
      </c>
      <c r="AB41" s="47">
        <f t="shared" si="25"/>
        <v>5182.791666666667</v>
      </c>
      <c r="AC41" s="47">
        <f t="shared" si="26"/>
        <v>66900.541666666657</v>
      </c>
      <c r="AD41" s="47">
        <f t="shared" si="27"/>
        <v>5182.791666666667</v>
      </c>
      <c r="AE41" s="47">
        <v>72083.333333333328</v>
      </c>
      <c r="AF41" s="47">
        <f t="shared" si="5"/>
        <v>0</v>
      </c>
      <c r="AG41" s="47">
        <f>[1]IG!$H41</f>
        <v>72083.333333333328</v>
      </c>
      <c r="AH41" s="47">
        <f t="shared" si="28"/>
        <v>66900.541666666657</v>
      </c>
      <c r="AI41" s="47">
        <f t="shared" si="29"/>
        <v>5182.791666666667</v>
      </c>
      <c r="AJ41" s="47">
        <f t="shared" si="30"/>
        <v>66900.541666666657</v>
      </c>
      <c r="AK41" s="47">
        <f t="shared" si="31"/>
        <v>5182.791666666667</v>
      </c>
      <c r="AL41" s="47">
        <v>72083.333333333328</v>
      </c>
      <c r="AM41" s="47">
        <f t="shared" si="6"/>
        <v>0</v>
      </c>
      <c r="AN41" s="47">
        <f>[1]IG!$I41</f>
        <v>72083.333333333328</v>
      </c>
      <c r="AO41" s="47">
        <f t="shared" si="32"/>
        <v>66900.541666666657</v>
      </c>
      <c r="AP41" s="47">
        <f t="shared" si="33"/>
        <v>5182.791666666667</v>
      </c>
      <c r="AQ41" s="47">
        <f t="shared" si="34"/>
        <v>66900.541666666657</v>
      </c>
      <c r="AR41" s="47">
        <f t="shared" si="35"/>
        <v>5182.791666666667</v>
      </c>
      <c r="AS41" s="45">
        <v>72083.333333333328</v>
      </c>
      <c r="AT41" s="37">
        <f t="shared" si="7"/>
        <v>0</v>
      </c>
      <c r="AU41" s="46">
        <f>[1]IG!$J41</f>
        <v>72083.333333333328</v>
      </c>
      <c r="AV41" s="47">
        <f t="shared" si="36"/>
        <v>66900.541666666657</v>
      </c>
      <c r="AW41" s="18">
        <f t="shared" si="37"/>
        <v>5182.791666666667</v>
      </c>
      <c r="AX41" s="47">
        <f t="shared" si="38"/>
        <v>66900.541666666657</v>
      </c>
      <c r="AY41" s="47">
        <f t="shared" si="39"/>
        <v>5182.791666666667</v>
      </c>
      <c r="AZ41" s="48">
        <v>72083.333333333328</v>
      </c>
      <c r="BA41" s="37">
        <f t="shared" si="8"/>
        <v>0</v>
      </c>
      <c r="BB41" s="46">
        <f>[1]IG!$K41</f>
        <v>72083.333333333328</v>
      </c>
      <c r="BC41" s="47">
        <f t="shared" si="40"/>
        <v>66900.541666666657</v>
      </c>
      <c r="BD41" s="18">
        <f t="shared" si="41"/>
        <v>5182.791666666667</v>
      </c>
      <c r="BE41" s="47">
        <f t="shared" si="42"/>
        <v>0</v>
      </c>
      <c r="BF41" s="47">
        <f t="shared" si="43"/>
        <v>0</v>
      </c>
      <c r="BG41" s="45"/>
      <c r="BH41" s="37">
        <f t="shared" si="9"/>
        <v>-1</v>
      </c>
      <c r="BI41" s="46">
        <f>[1]IG!$L41</f>
        <v>72083.333333333328</v>
      </c>
      <c r="BJ41" s="47">
        <f t="shared" si="44"/>
        <v>66900.541666666657</v>
      </c>
      <c r="BK41" s="18">
        <f t="shared" si="45"/>
        <v>5182.791666666667</v>
      </c>
      <c r="BL41" s="47">
        <f t="shared" si="46"/>
        <v>0</v>
      </c>
      <c r="BM41" s="47">
        <f t="shared" si="47"/>
        <v>0</v>
      </c>
      <c r="BN41" s="46"/>
      <c r="BO41" s="37">
        <f t="shared" si="10"/>
        <v>-1</v>
      </c>
      <c r="BP41" s="46">
        <f>[1]IG!$M41</f>
        <v>72083.333333333328</v>
      </c>
      <c r="BQ41" s="47">
        <f t="shared" si="48"/>
        <v>66900.541666666657</v>
      </c>
      <c r="BR41" s="18">
        <f t="shared" si="49"/>
        <v>5182.791666666667</v>
      </c>
      <c r="BS41" s="47">
        <f t="shared" si="50"/>
        <v>0</v>
      </c>
      <c r="BT41" s="47">
        <f t="shared" si="51"/>
        <v>0</v>
      </c>
      <c r="BU41" s="45"/>
      <c r="BV41" s="37">
        <f t="shared" si="11"/>
        <v>-1</v>
      </c>
      <c r="BW41" s="43">
        <f>[1]IG!$N41</f>
        <v>72083.333333333328</v>
      </c>
      <c r="BX41" s="44">
        <f t="shared" si="52"/>
        <v>66900.541666666657</v>
      </c>
      <c r="BY41" s="18">
        <f t="shared" si="53"/>
        <v>5182.791666666667</v>
      </c>
      <c r="BZ41" s="47">
        <f t="shared" si="54"/>
        <v>0</v>
      </c>
      <c r="CA41" s="47">
        <f t="shared" si="55"/>
        <v>0</v>
      </c>
      <c r="CB41" s="45"/>
      <c r="CC41" s="37">
        <f t="shared" si="12"/>
        <v>-1</v>
      </c>
      <c r="CD41" s="46">
        <f>[1]IG!$O41</f>
        <v>72083.333333333328</v>
      </c>
      <c r="CE41" s="47">
        <f t="shared" si="56"/>
        <v>66900.541666666657</v>
      </c>
      <c r="CF41" s="18">
        <f t="shared" si="57"/>
        <v>5182.791666666667</v>
      </c>
      <c r="CG41" s="47">
        <f t="shared" si="58"/>
        <v>0</v>
      </c>
      <c r="CH41" s="47">
        <f t="shared" si="59"/>
        <v>0</v>
      </c>
      <c r="CI41" s="45"/>
      <c r="CJ41" s="37">
        <f t="shared" si="13"/>
        <v>-1</v>
      </c>
      <c r="CK41" s="46">
        <f>[1]IG!$P41</f>
        <v>72083.333333333328</v>
      </c>
      <c r="CL41" s="47">
        <f t="shared" si="60"/>
        <v>66900.541666666657</v>
      </c>
      <c r="CM41" s="18">
        <f t="shared" si="61"/>
        <v>5182.791666666667</v>
      </c>
      <c r="CN41" s="47">
        <f t="shared" si="62"/>
        <v>0</v>
      </c>
      <c r="CO41" s="47">
        <f t="shared" si="63"/>
        <v>0</v>
      </c>
      <c r="CP41" s="45"/>
      <c r="CQ41" s="37">
        <f t="shared" si="14"/>
        <v>-1</v>
      </c>
    </row>
    <row r="42" spans="1:95" s="26" customFormat="1" ht="16" customHeight="1" thickBot="1" x14ac:dyDescent="0.25">
      <c r="A42" s="29" t="s">
        <v>66</v>
      </c>
      <c r="B42" s="30">
        <f t="shared" si="64"/>
        <v>1384347.6000000003</v>
      </c>
      <c r="C42" s="31">
        <f t="shared" si="64"/>
        <v>1284813.0075599998</v>
      </c>
      <c r="D42" s="32">
        <f t="shared" si="64"/>
        <v>99534.592439999979</v>
      </c>
      <c r="E42" s="30">
        <f t="shared" si="66"/>
        <v>461449.19999999995</v>
      </c>
      <c r="F42" s="33">
        <f t="shared" si="66"/>
        <v>428271.00251999998</v>
      </c>
      <c r="G42" s="34">
        <f t="shared" si="66"/>
        <v>33178.197480000003</v>
      </c>
      <c r="H42" s="31">
        <f t="shared" si="65"/>
        <v>594350.05192100001</v>
      </c>
      <c r="I42" s="33">
        <f t="shared" si="65"/>
        <v>46044.358078999998</v>
      </c>
      <c r="J42" s="33">
        <f t="shared" si="65"/>
        <v>640394.40999999992</v>
      </c>
      <c r="K42" s="37">
        <f t="shared" si="2"/>
        <v>0.38778962017920926</v>
      </c>
      <c r="L42" s="36">
        <f>[1]IG!$E42</f>
        <v>115362.29999999999</v>
      </c>
      <c r="M42" s="31">
        <f t="shared" si="16"/>
        <v>107067.75062999999</v>
      </c>
      <c r="N42" s="31">
        <f t="shared" si="17"/>
        <v>8294.5493700000006</v>
      </c>
      <c r="O42" s="31">
        <f t="shared" si="18"/>
        <v>98333.949108999994</v>
      </c>
      <c r="P42" s="31">
        <f t="shared" si="19"/>
        <v>7617.9408910000002</v>
      </c>
      <c r="Q42" s="31">
        <f>105951.89</f>
        <v>105951.89</v>
      </c>
      <c r="R42" s="31">
        <f t="shared" si="3"/>
        <v>-8.1572662819655917E-2</v>
      </c>
      <c r="S42" s="31">
        <f>[1]IG!$F42</f>
        <v>115362.29999999999</v>
      </c>
      <c r="T42" s="31">
        <f t="shared" si="20"/>
        <v>107067.75062999999</v>
      </c>
      <c r="U42" s="31">
        <f t="shared" si="21"/>
        <v>8294.5493700000006</v>
      </c>
      <c r="V42" s="31">
        <f t="shared" si="22"/>
        <v>98333.949108999994</v>
      </c>
      <c r="W42" s="31">
        <f t="shared" si="23"/>
        <v>7617.9408910000002</v>
      </c>
      <c r="X42" s="31">
        <f>105951.89</f>
        <v>105951.89</v>
      </c>
      <c r="Y42" s="31">
        <f t="shared" si="4"/>
        <v>-8.1572662819655917E-2</v>
      </c>
      <c r="Z42" s="31">
        <f>[1]IG!$G42</f>
        <v>115362.29999999999</v>
      </c>
      <c r="AA42" s="31">
        <f t="shared" si="24"/>
        <v>107067.75062999999</v>
      </c>
      <c r="AB42" s="31">
        <f t="shared" si="25"/>
        <v>8294.5493700000006</v>
      </c>
      <c r="AC42" s="31">
        <f t="shared" si="26"/>
        <v>98333.949108999994</v>
      </c>
      <c r="AD42" s="31">
        <f t="shared" si="27"/>
        <v>7617.9408910000002</v>
      </c>
      <c r="AE42" s="31">
        <f>105951.89</f>
        <v>105951.89</v>
      </c>
      <c r="AF42" s="31">
        <f t="shared" si="5"/>
        <v>-8.1572662819655917E-2</v>
      </c>
      <c r="AG42" s="31">
        <f>[1]IG!$H42</f>
        <v>115362.29999999999</v>
      </c>
      <c r="AH42" s="31">
        <f t="shared" si="28"/>
        <v>107067.75062999999</v>
      </c>
      <c r="AI42" s="31">
        <f t="shared" si="29"/>
        <v>8294.5493700000006</v>
      </c>
      <c r="AJ42" s="31">
        <f t="shared" si="30"/>
        <v>98333.949108999994</v>
      </c>
      <c r="AK42" s="31">
        <f t="shared" si="31"/>
        <v>7617.9408910000002</v>
      </c>
      <c r="AL42" s="31">
        <f>105951.89</f>
        <v>105951.89</v>
      </c>
      <c r="AM42" s="31">
        <f t="shared" si="6"/>
        <v>-8.1572662819655917E-2</v>
      </c>
      <c r="AN42" s="31">
        <f>[1]IG!$I42</f>
        <v>115362.29999999999</v>
      </c>
      <c r="AO42" s="31">
        <f t="shared" si="32"/>
        <v>107067.75062999999</v>
      </c>
      <c r="AP42" s="31">
        <f t="shared" si="33"/>
        <v>8294.5493700000006</v>
      </c>
      <c r="AQ42" s="31">
        <f t="shared" si="34"/>
        <v>98333.949108999994</v>
      </c>
      <c r="AR42" s="31">
        <f t="shared" si="35"/>
        <v>7617.9408910000002</v>
      </c>
      <c r="AS42" s="33">
        <v>105951.89</v>
      </c>
      <c r="AT42" s="37">
        <f t="shared" si="7"/>
        <v>-8.1572662819655917E-2</v>
      </c>
      <c r="AU42" s="36">
        <f>[1]IG!$J42</f>
        <v>115362.29999999999</v>
      </c>
      <c r="AV42" s="31">
        <f t="shared" si="36"/>
        <v>107067.75062999999</v>
      </c>
      <c r="AW42" s="18">
        <f t="shared" si="37"/>
        <v>8294.5493700000006</v>
      </c>
      <c r="AX42" s="31">
        <f t="shared" si="38"/>
        <v>102680.30637600001</v>
      </c>
      <c r="AY42" s="31">
        <f t="shared" si="39"/>
        <v>7954.6536240000014</v>
      </c>
      <c r="AZ42" s="27">
        <v>110634.96</v>
      </c>
      <c r="BA42" s="37">
        <f t="shared" si="8"/>
        <v>-4.0978205184882599E-2</v>
      </c>
      <c r="BB42" s="36">
        <f>[1]IG!$K42</f>
        <v>115362.29999999999</v>
      </c>
      <c r="BC42" s="31">
        <f t="shared" si="40"/>
        <v>107067.75062999999</v>
      </c>
      <c r="BD42" s="18">
        <f t="shared" si="41"/>
        <v>8294.5493700000006</v>
      </c>
      <c r="BE42" s="31">
        <f t="shared" si="42"/>
        <v>0</v>
      </c>
      <c r="BF42" s="31">
        <f t="shared" si="43"/>
        <v>0</v>
      </c>
      <c r="BG42" s="33"/>
      <c r="BH42" s="37">
        <f t="shared" si="9"/>
        <v>-1</v>
      </c>
      <c r="BI42" s="36">
        <f>[1]IG!$L42</f>
        <v>115362.29999999999</v>
      </c>
      <c r="BJ42" s="31">
        <f t="shared" si="44"/>
        <v>107067.75062999999</v>
      </c>
      <c r="BK42" s="18">
        <f t="shared" si="45"/>
        <v>8294.5493700000006</v>
      </c>
      <c r="BL42" s="31">
        <f t="shared" si="46"/>
        <v>0</v>
      </c>
      <c r="BM42" s="31">
        <f t="shared" si="47"/>
        <v>0</v>
      </c>
      <c r="BN42" s="33"/>
      <c r="BO42" s="37">
        <f t="shared" si="10"/>
        <v>-1</v>
      </c>
      <c r="BP42" s="36">
        <f>[1]IG!$M42</f>
        <v>115362.29999999999</v>
      </c>
      <c r="BQ42" s="31">
        <f t="shared" si="48"/>
        <v>107067.75062999999</v>
      </c>
      <c r="BR42" s="18">
        <f t="shared" si="49"/>
        <v>8294.5493700000006</v>
      </c>
      <c r="BS42" s="31">
        <f t="shared" si="50"/>
        <v>0</v>
      </c>
      <c r="BT42" s="31">
        <f t="shared" si="51"/>
        <v>0</v>
      </c>
      <c r="BU42" s="33"/>
      <c r="BV42" s="37">
        <f t="shared" si="11"/>
        <v>-1</v>
      </c>
      <c r="BW42" s="36">
        <f>[1]IG!$N42</f>
        <v>115362.29999999999</v>
      </c>
      <c r="BX42" s="31">
        <f t="shared" si="52"/>
        <v>107067.75062999999</v>
      </c>
      <c r="BY42" s="18">
        <f t="shared" si="53"/>
        <v>8294.5493700000006</v>
      </c>
      <c r="BZ42" s="31">
        <f t="shared" si="54"/>
        <v>0</v>
      </c>
      <c r="CA42" s="31">
        <f t="shared" si="55"/>
        <v>0</v>
      </c>
      <c r="CB42" s="33"/>
      <c r="CC42" s="37">
        <f t="shared" si="12"/>
        <v>-1</v>
      </c>
      <c r="CD42" s="36">
        <f>[1]IG!$O42</f>
        <v>115362.29999999999</v>
      </c>
      <c r="CE42" s="31">
        <f t="shared" si="56"/>
        <v>107067.75062999999</v>
      </c>
      <c r="CF42" s="18">
        <f t="shared" si="57"/>
        <v>8294.5493700000006</v>
      </c>
      <c r="CG42" s="31">
        <f t="shared" si="58"/>
        <v>0</v>
      </c>
      <c r="CH42" s="31">
        <f t="shared" si="59"/>
        <v>0</v>
      </c>
      <c r="CI42" s="33"/>
      <c r="CJ42" s="37">
        <f t="shared" si="13"/>
        <v>-1</v>
      </c>
      <c r="CK42" s="36">
        <f>[1]IG!$P42</f>
        <v>115362.29999999999</v>
      </c>
      <c r="CL42" s="31">
        <f t="shared" si="60"/>
        <v>107067.75062999999</v>
      </c>
      <c r="CM42" s="18">
        <f t="shared" si="61"/>
        <v>8294.5493700000006</v>
      </c>
      <c r="CN42" s="31">
        <f t="shared" si="62"/>
        <v>0</v>
      </c>
      <c r="CO42" s="31">
        <f t="shared" si="63"/>
        <v>0</v>
      </c>
      <c r="CP42" s="33"/>
      <c r="CQ42" s="37">
        <f t="shared" si="14"/>
        <v>-1</v>
      </c>
    </row>
    <row r="43" spans="1:95" s="26" customFormat="1" ht="16" customHeight="1" thickBot="1" x14ac:dyDescent="0.25">
      <c r="A43" s="38" t="s">
        <v>67</v>
      </c>
      <c r="B43" s="30">
        <f t="shared" si="64"/>
        <v>108624</v>
      </c>
      <c r="C43" s="31">
        <f t="shared" si="64"/>
        <v>100813.93440000001</v>
      </c>
      <c r="D43" s="32">
        <f t="shared" si="64"/>
        <v>7810.0656000000026</v>
      </c>
      <c r="E43" s="30">
        <f t="shared" si="66"/>
        <v>36208</v>
      </c>
      <c r="F43" s="33">
        <f t="shared" si="66"/>
        <v>33604.644800000002</v>
      </c>
      <c r="G43" s="34">
        <f t="shared" si="66"/>
        <v>2603.3552000000004</v>
      </c>
      <c r="H43" s="31">
        <f t="shared" si="65"/>
        <v>92539.152576999986</v>
      </c>
      <c r="I43" s="33">
        <f t="shared" si="65"/>
        <v>7169.0174230000002</v>
      </c>
      <c r="J43" s="33">
        <f t="shared" si="65"/>
        <v>99708.169999999984</v>
      </c>
      <c r="K43" s="37">
        <f t="shared" si="2"/>
        <v>1.7537607711003087</v>
      </c>
      <c r="L43" s="36">
        <f>[1]IG!$E43</f>
        <v>9052</v>
      </c>
      <c r="M43" s="31">
        <f t="shared" si="16"/>
        <v>8401.1612000000005</v>
      </c>
      <c r="N43" s="31">
        <f t="shared" si="17"/>
        <v>650.83880000000011</v>
      </c>
      <c r="O43" s="31">
        <f t="shared" si="18"/>
        <v>10111.120483000001</v>
      </c>
      <c r="P43" s="31">
        <f t="shared" si="19"/>
        <v>783.30951700000003</v>
      </c>
      <c r="Q43" s="31">
        <f>10894.43</f>
        <v>10894.43</v>
      </c>
      <c r="R43" s="31">
        <f t="shared" si="3"/>
        <v>0.20353844454264247</v>
      </c>
      <c r="S43" s="31">
        <f>[1]IG!$F43</f>
        <v>9052</v>
      </c>
      <c r="T43" s="31">
        <f t="shared" si="20"/>
        <v>8401.1612000000005</v>
      </c>
      <c r="U43" s="31">
        <f t="shared" si="21"/>
        <v>650.83880000000011</v>
      </c>
      <c r="V43" s="31">
        <f t="shared" si="22"/>
        <v>20850.508979999999</v>
      </c>
      <c r="W43" s="31">
        <f t="shared" si="23"/>
        <v>1615.2910200000001</v>
      </c>
      <c r="X43" s="31">
        <f>22465.8</f>
        <v>22465.8</v>
      </c>
      <c r="Y43" s="31">
        <f t="shared" si="4"/>
        <v>1.4818603623508615</v>
      </c>
      <c r="Z43" s="31">
        <f>[1]IG!$G43</f>
        <v>9052</v>
      </c>
      <c r="AA43" s="31">
        <f t="shared" si="24"/>
        <v>8401.1612000000005</v>
      </c>
      <c r="AB43" s="31">
        <f t="shared" si="25"/>
        <v>650.83880000000011</v>
      </c>
      <c r="AC43" s="31">
        <f t="shared" si="26"/>
        <v>9041.373861</v>
      </c>
      <c r="AD43" s="31">
        <f t="shared" si="27"/>
        <v>700.43613900000003</v>
      </c>
      <c r="AE43" s="31">
        <f>9741.81</f>
        <v>9741.81</v>
      </c>
      <c r="AF43" s="31">
        <f t="shared" si="5"/>
        <v>7.6205258506407469E-2</v>
      </c>
      <c r="AG43" s="31">
        <f>[1]IG!$H43</f>
        <v>9052</v>
      </c>
      <c r="AH43" s="31">
        <f t="shared" si="28"/>
        <v>8401.1612000000005</v>
      </c>
      <c r="AI43" s="31">
        <f t="shared" si="29"/>
        <v>650.83880000000011</v>
      </c>
      <c r="AJ43" s="31">
        <f t="shared" si="30"/>
        <v>9811.0657529999989</v>
      </c>
      <c r="AK43" s="31">
        <f t="shared" si="31"/>
        <v>760.06424700000002</v>
      </c>
      <c r="AL43" s="31">
        <f>10571.13</f>
        <v>10571.13</v>
      </c>
      <c r="AM43" s="31">
        <f t="shared" si="6"/>
        <v>0.1678225806451612</v>
      </c>
      <c r="AN43" s="31">
        <f>[1]IG!$I43</f>
        <v>9052</v>
      </c>
      <c r="AO43" s="31">
        <f t="shared" si="32"/>
        <v>8401.1612000000005</v>
      </c>
      <c r="AP43" s="31">
        <f t="shared" si="33"/>
        <v>650.83880000000011</v>
      </c>
      <c r="AQ43" s="31">
        <f t="shared" si="34"/>
        <v>8384.9101689999989</v>
      </c>
      <c r="AR43" s="31">
        <f t="shared" si="35"/>
        <v>649.57983100000001</v>
      </c>
      <c r="AS43" s="33">
        <v>9034.49</v>
      </c>
      <c r="AT43" s="37">
        <f t="shared" si="7"/>
        <v>-1.9343791427308688E-3</v>
      </c>
      <c r="AU43" s="36">
        <f>[1]IG!$J43</f>
        <v>9052</v>
      </c>
      <c r="AV43" s="31">
        <f t="shared" si="36"/>
        <v>8401.1612000000005</v>
      </c>
      <c r="AW43" s="18">
        <f t="shared" si="37"/>
        <v>650.83880000000011</v>
      </c>
      <c r="AX43" s="31">
        <f t="shared" si="38"/>
        <v>34340.173330999998</v>
      </c>
      <c r="AY43" s="31">
        <f t="shared" si="39"/>
        <v>2660.3366690000003</v>
      </c>
      <c r="AZ43" s="27">
        <v>37000.51</v>
      </c>
      <c r="BA43" s="37">
        <f t="shared" si="8"/>
        <v>3.0875508174988955</v>
      </c>
      <c r="BB43" s="36">
        <f>[1]IG!$K43</f>
        <v>9052</v>
      </c>
      <c r="BC43" s="31">
        <f t="shared" si="40"/>
        <v>8401.1612000000005</v>
      </c>
      <c r="BD43" s="18">
        <f t="shared" si="41"/>
        <v>650.83880000000011</v>
      </c>
      <c r="BE43" s="31">
        <f t="shared" si="42"/>
        <v>0</v>
      </c>
      <c r="BF43" s="31">
        <f t="shared" si="43"/>
        <v>0</v>
      </c>
      <c r="BG43" s="33"/>
      <c r="BH43" s="37">
        <f t="shared" si="9"/>
        <v>-1</v>
      </c>
      <c r="BI43" s="36">
        <f>[1]IG!$L43</f>
        <v>9052</v>
      </c>
      <c r="BJ43" s="31">
        <f t="shared" si="44"/>
        <v>8401.1612000000005</v>
      </c>
      <c r="BK43" s="18">
        <f t="shared" si="45"/>
        <v>650.83880000000011</v>
      </c>
      <c r="BL43" s="31">
        <f t="shared" si="46"/>
        <v>0</v>
      </c>
      <c r="BM43" s="31">
        <f t="shared" si="47"/>
        <v>0</v>
      </c>
      <c r="BN43" s="33"/>
      <c r="BO43" s="37">
        <f t="shared" si="10"/>
        <v>-1</v>
      </c>
      <c r="BP43" s="36">
        <f>[1]IG!$M43</f>
        <v>9052</v>
      </c>
      <c r="BQ43" s="31">
        <f t="shared" si="48"/>
        <v>8401.1612000000005</v>
      </c>
      <c r="BR43" s="18">
        <f t="shared" si="49"/>
        <v>650.83880000000011</v>
      </c>
      <c r="BS43" s="31">
        <f t="shared" si="50"/>
        <v>0</v>
      </c>
      <c r="BT43" s="31">
        <f t="shared" si="51"/>
        <v>0</v>
      </c>
      <c r="BU43" s="33"/>
      <c r="BV43" s="37">
        <f t="shared" si="11"/>
        <v>-1</v>
      </c>
      <c r="BW43" s="36">
        <f>[1]IG!$N43</f>
        <v>9052</v>
      </c>
      <c r="BX43" s="31">
        <f t="shared" si="52"/>
        <v>8401.1612000000005</v>
      </c>
      <c r="BY43" s="18">
        <f t="shared" si="53"/>
        <v>650.83880000000011</v>
      </c>
      <c r="BZ43" s="31">
        <f t="shared" si="54"/>
        <v>0</v>
      </c>
      <c r="CA43" s="31">
        <f t="shared" si="55"/>
        <v>0</v>
      </c>
      <c r="CB43" s="33"/>
      <c r="CC43" s="37">
        <f t="shared" si="12"/>
        <v>-1</v>
      </c>
      <c r="CD43" s="36">
        <f>[1]IG!$O43</f>
        <v>9052</v>
      </c>
      <c r="CE43" s="31">
        <f t="shared" si="56"/>
        <v>8401.1612000000005</v>
      </c>
      <c r="CF43" s="18">
        <f t="shared" si="57"/>
        <v>650.83880000000011</v>
      </c>
      <c r="CG43" s="31">
        <f t="shared" si="58"/>
        <v>0</v>
      </c>
      <c r="CH43" s="31">
        <f t="shared" si="59"/>
        <v>0</v>
      </c>
      <c r="CI43" s="33"/>
      <c r="CJ43" s="37">
        <f t="shared" si="13"/>
        <v>-1</v>
      </c>
      <c r="CK43" s="36">
        <f>[1]IG!$P43</f>
        <v>9052</v>
      </c>
      <c r="CL43" s="31">
        <f t="shared" si="60"/>
        <v>8401.1612000000005</v>
      </c>
      <c r="CM43" s="18">
        <f t="shared" si="61"/>
        <v>650.83880000000011</v>
      </c>
      <c r="CN43" s="31">
        <f t="shared" si="62"/>
        <v>0</v>
      </c>
      <c r="CO43" s="31">
        <f t="shared" si="63"/>
        <v>0</v>
      </c>
      <c r="CP43" s="33"/>
      <c r="CQ43" s="37">
        <f t="shared" si="14"/>
        <v>-1</v>
      </c>
    </row>
    <row r="44" spans="1:95" s="26" customFormat="1" ht="16" customHeight="1" thickBot="1" x14ac:dyDescent="0.25">
      <c r="A44" s="29" t="s">
        <v>68</v>
      </c>
      <c r="B44" s="30">
        <f t="shared" si="64"/>
        <v>0</v>
      </c>
      <c r="C44" s="31">
        <f t="shared" si="64"/>
        <v>0</v>
      </c>
      <c r="D44" s="32">
        <f t="shared" si="64"/>
        <v>0</v>
      </c>
      <c r="E44" s="30">
        <f t="shared" si="66"/>
        <v>0</v>
      </c>
      <c r="F44" s="33">
        <f t="shared" si="66"/>
        <v>0</v>
      </c>
      <c r="G44" s="34">
        <f t="shared" si="66"/>
        <v>0</v>
      </c>
      <c r="H44" s="31">
        <f t="shared" si="65"/>
        <v>0</v>
      </c>
      <c r="I44" s="33">
        <f t="shared" si="65"/>
        <v>0</v>
      </c>
      <c r="J44" s="33">
        <f t="shared" si="65"/>
        <v>0</v>
      </c>
      <c r="K44" s="37" t="str">
        <f t="shared" si="2"/>
        <v/>
      </c>
      <c r="L44" s="36">
        <f>[1]IG!$E44</f>
        <v>0</v>
      </c>
      <c r="M44" s="31">
        <f t="shared" si="16"/>
        <v>0</v>
      </c>
      <c r="N44" s="31">
        <f t="shared" si="17"/>
        <v>0</v>
      </c>
      <c r="O44" s="31">
        <f t="shared" si="18"/>
        <v>0</v>
      </c>
      <c r="P44" s="31">
        <f t="shared" si="19"/>
        <v>0</v>
      </c>
      <c r="Q44" s="31"/>
      <c r="R44" s="31" t="str">
        <f t="shared" si="3"/>
        <v/>
      </c>
      <c r="S44" s="31">
        <f>[1]IG!$F44</f>
        <v>0</v>
      </c>
      <c r="T44" s="31">
        <f t="shared" si="20"/>
        <v>0</v>
      </c>
      <c r="U44" s="31">
        <f t="shared" si="21"/>
        <v>0</v>
      </c>
      <c r="V44" s="31">
        <f t="shared" si="22"/>
        <v>0</v>
      </c>
      <c r="W44" s="31">
        <f t="shared" si="23"/>
        <v>0</v>
      </c>
      <c r="X44" s="31"/>
      <c r="Y44" s="31" t="str">
        <f t="shared" si="4"/>
        <v/>
      </c>
      <c r="Z44" s="31">
        <f>[1]IG!$G44</f>
        <v>0</v>
      </c>
      <c r="AA44" s="31">
        <f t="shared" si="24"/>
        <v>0</v>
      </c>
      <c r="AB44" s="31">
        <f t="shared" si="25"/>
        <v>0</v>
      </c>
      <c r="AC44" s="31">
        <f t="shared" si="26"/>
        <v>0</v>
      </c>
      <c r="AD44" s="31">
        <f t="shared" si="27"/>
        <v>0</v>
      </c>
      <c r="AE44" s="31"/>
      <c r="AF44" s="31" t="str">
        <f t="shared" si="5"/>
        <v/>
      </c>
      <c r="AG44" s="31">
        <f>[1]IG!$H44</f>
        <v>0</v>
      </c>
      <c r="AH44" s="31">
        <f t="shared" si="28"/>
        <v>0</v>
      </c>
      <c r="AI44" s="31">
        <f t="shared" si="29"/>
        <v>0</v>
      </c>
      <c r="AJ44" s="31">
        <f t="shared" si="30"/>
        <v>0</v>
      </c>
      <c r="AK44" s="31">
        <f t="shared" si="31"/>
        <v>0</v>
      </c>
      <c r="AL44" s="31"/>
      <c r="AM44" s="31" t="str">
        <f t="shared" si="6"/>
        <v/>
      </c>
      <c r="AN44" s="31">
        <f>[1]IG!$I44</f>
        <v>0</v>
      </c>
      <c r="AO44" s="31">
        <f t="shared" si="32"/>
        <v>0</v>
      </c>
      <c r="AP44" s="31">
        <f t="shared" si="33"/>
        <v>0</v>
      </c>
      <c r="AQ44" s="31">
        <f t="shared" si="34"/>
        <v>0</v>
      </c>
      <c r="AR44" s="31">
        <f t="shared" si="35"/>
        <v>0</v>
      </c>
      <c r="AS44" s="33"/>
      <c r="AT44" s="37" t="str">
        <f t="shared" si="7"/>
        <v/>
      </c>
      <c r="AU44" s="36">
        <f>[1]IG!$J44</f>
        <v>0</v>
      </c>
      <c r="AV44" s="31">
        <f t="shared" si="36"/>
        <v>0</v>
      </c>
      <c r="AW44" s="18">
        <f t="shared" si="37"/>
        <v>0</v>
      </c>
      <c r="AX44" s="31">
        <f t="shared" si="38"/>
        <v>0</v>
      </c>
      <c r="AY44" s="31">
        <f t="shared" si="39"/>
        <v>0</v>
      </c>
      <c r="AZ44" s="27"/>
      <c r="BA44" s="37" t="str">
        <f t="shared" si="8"/>
        <v/>
      </c>
      <c r="BB44" s="36">
        <f>[1]IG!$K44</f>
        <v>0</v>
      </c>
      <c r="BC44" s="31">
        <f t="shared" si="40"/>
        <v>0</v>
      </c>
      <c r="BD44" s="18">
        <f t="shared" si="41"/>
        <v>0</v>
      </c>
      <c r="BE44" s="31">
        <f t="shared" si="42"/>
        <v>0</v>
      </c>
      <c r="BF44" s="31">
        <f t="shared" si="43"/>
        <v>0</v>
      </c>
      <c r="BG44" s="27"/>
      <c r="BH44" s="37" t="str">
        <f t="shared" si="9"/>
        <v/>
      </c>
      <c r="BI44" s="36">
        <f>[1]IG!$L44</f>
        <v>0</v>
      </c>
      <c r="BJ44" s="31">
        <f t="shared" si="44"/>
        <v>0</v>
      </c>
      <c r="BK44" s="18">
        <f t="shared" si="45"/>
        <v>0</v>
      </c>
      <c r="BL44" s="31">
        <f t="shared" si="46"/>
        <v>0</v>
      </c>
      <c r="BM44" s="31">
        <f t="shared" si="47"/>
        <v>0</v>
      </c>
      <c r="BN44" s="33"/>
      <c r="BO44" s="37" t="str">
        <f t="shared" si="10"/>
        <v/>
      </c>
      <c r="BP44" s="36">
        <f>[1]IG!$M44</f>
        <v>0</v>
      </c>
      <c r="BQ44" s="31">
        <f t="shared" si="48"/>
        <v>0</v>
      </c>
      <c r="BR44" s="18">
        <f t="shared" si="49"/>
        <v>0</v>
      </c>
      <c r="BS44" s="31">
        <f t="shared" si="50"/>
        <v>0</v>
      </c>
      <c r="BT44" s="31">
        <f t="shared" si="51"/>
        <v>0</v>
      </c>
      <c r="BU44" s="33"/>
      <c r="BV44" s="37" t="str">
        <f t="shared" si="11"/>
        <v/>
      </c>
      <c r="BW44" s="36">
        <f>[1]IG!$N44</f>
        <v>0</v>
      </c>
      <c r="BX44" s="31">
        <f t="shared" si="52"/>
        <v>0</v>
      </c>
      <c r="BY44" s="18">
        <f t="shared" si="53"/>
        <v>0</v>
      </c>
      <c r="BZ44" s="31">
        <f t="shared" si="54"/>
        <v>0</v>
      </c>
      <c r="CA44" s="31">
        <f t="shared" si="55"/>
        <v>0</v>
      </c>
      <c r="CB44" s="33"/>
      <c r="CC44" s="37" t="str">
        <f t="shared" si="12"/>
        <v/>
      </c>
      <c r="CD44" s="36">
        <f>[1]IG!$O44</f>
        <v>0</v>
      </c>
      <c r="CE44" s="31">
        <f t="shared" si="56"/>
        <v>0</v>
      </c>
      <c r="CF44" s="18">
        <f t="shared" si="57"/>
        <v>0</v>
      </c>
      <c r="CG44" s="31">
        <f t="shared" si="58"/>
        <v>0</v>
      </c>
      <c r="CH44" s="31">
        <f t="shared" si="59"/>
        <v>0</v>
      </c>
      <c r="CI44" s="33"/>
      <c r="CJ44" s="37" t="str">
        <f t="shared" si="13"/>
        <v/>
      </c>
      <c r="CK44" s="36">
        <f>[1]IG!$P44</f>
        <v>0</v>
      </c>
      <c r="CL44" s="31">
        <f t="shared" si="60"/>
        <v>0</v>
      </c>
      <c r="CM44" s="18">
        <f t="shared" si="61"/>
        <v>0</v>
      </c>
      <c r="CN44" s="31">
        <f t="shared" si="62"/>
        <v>0</v>
      </c>
      <c r="CO44" s="31">
        <f t="shared" si="63"/>
        <v>0</v>
      </c>
      <c r="CP44" s="33"/>
      <c r="CQ44" s="37" t="str">
        <f t="shared" si="14"/>
        <v/>
      </c>
    </row>
    <row r="45" spans="1:95" s="26" customFormat="1" ht="16" customHeight="1" thickBot="1" x14ac:dyDescent="0.25">
      <c r="A45" s="39" t="s">
        <v>69</v>
      </c>
      <c r="B45" s="30">
        <f t="shared" si="64"/>
        <v>0</v>
      </c>
      <c r="C45" s="31">
        <f t="shared" si="64"/>
        <v>0</v>
      </c>
      <c r="D45" s="32">
        <f t="shared" si="64"/>
        <v>0</v>
      </c>
      <c r="E45" s="30">
        <f t="shared" si="66"/>
        <v>0</v>
      </c>
      <c r="F45" s="33">
        <f t="shared" si="66"/>
        <v>0</v>
      </c>
      <c r="G45" s="34">
        <f t="shared" si="66"/>
        <v>0</v>
      </c>
      <c r="H45" s="31">
        <f t="shared" si="65"/>
        <v>0</v>
      </c>
      <c r="I45" s="33">
        <f t="shared" si="65"/>
        <v>0</v>
      </c>
      <c r="J45" s="33">
        <f t="shared" si="65"/>
        <v>0</v>
      </c>
      <c r="K45" s="37" t="str">
        <f t="shared" si="2"/>
        <v/>
      </c>
      <c r="L45" s="36">
        <f>[1]IG!$E45</f>
        <v>0</v>
      </c>
      <c r="M45" s="31">
        <f t="shared" si="16"/>
        <v>0</v>
      </c>
      <c r="N45" s="31">
        <f t="shared" si="17"/>
        <v>0</v>
      </c>
      <c r="O45" s="31">
        <f t="shared" si="18"/>
        <v>0</v>
      </c>
      <c r="P45" s="31">
        <f t="shared" si="19"/>
        <v>0</v>
      </c>
      <c r="Q45" s="31"/>
      <c r="R45" s="31" t="str">
        <f t="shared" si="3"/>
        <v/>
      </c>
      <c r="S45" s="31">
        <f>[1]IG!$F45</f>
        <v>0</v>
      </c>
      <c r="T45" s="31">
        <f t="shared" si="20"/>
        <v>0</v>
      </c>
      <c r="U45" s="31">
        <f t="shared" si="21"/>
        <v>0</v>
      </c>
      <c r="V45" s="31">
        <f t="shared" si="22"/>
        <v>0</v>
      </c>
      <c r="W45" s="31">
        <f t="shared" si="23"/>
        <v>0</v>
      </c>
      <c r="X45" s="31"/>
      <c r="Y45" s="31" t="str">
        <f t="shared" si="4"/>
        <v/>
      </c>
      <c r="Z45" s="31">
        <f>[1]IG!$G45</f>
        <v>0</v>
      </c>
      <c r="AA45" s="31">
        <f t="shared" si="24"/>
        <v>0</v>
      </c>
      <c r="AB45" s="31">
        <f t="shared" si="25"/>
        <v>0</v>
      </c>
      <c r="AC45" s="31">
        <f t="shared" si="26"/>
        <v>0</v>
      </c>
      <c r="AD45" s="31">
        <f t="shared" si="27"/>
        <v>0</v>
      </c>
      <c r="AE45" s="31"/>
      <c r="AF45" s="31" t="str">
        <f t="shared" si="5"/>
        <v/>
      </c>
      <c r="AG45" s="31">
        <f>[1]IG!$H45</f>
        <v>0</v>
      </c>
      <c r="AH45" s="31">
        <f t="shared" si="28"/>
        <v>0</v>
      </c>
      <c r="AI45" s="31">
        <f t="shared" si="29"/>
        <v>0</v>
      </c>
      <c r="AJ45" s="31">
        <f t="shared" si="30"/>
        <v>0</v>
      </c>
      <c r="AK45" s="31">
        <f t="shared" si="31"/>
        <v>0</v>
      </c>
      <c r="AL45" s="31"/>
      <c r="AM45" s="31" t="str">
        <f t="shared" si="6"/>
        <v/>
      </c>
      <c r="AN45" s="31">
        <f>[1]IG!$I45</f>
        <v>0</v>
      </c>
      <c r="AO45" s="31">
        <f t="shared" si="32"/>
        <v>0</v>
      </c>
      <c r="AP45" s="31">
        <f t="shared" si="33"/>
        <v>0</v>
      </c>
      <c r="AQ45" s="31">
        <f t="shared" si="34"/>
        <v>0</v>
      </c>
      <c r="AR45" s="31">
        <f t="shared" si="35"/>
        <v>0</v>
      </c>
      <c r="AS45" s="33"/>
      <c r="AT45" s="37" t="str">
        <f t="shared" si="7"/>
        <v/>
      </c>
      <c r="AU45" s="36">
        <f>[1]IG!$J45</f>
        <v>0</v>
      </c>
      <c r="AV45" s="31">
        <f t="shared" si="36"/>
        <v>0</v>
      </c>
      <c r="AW45" s="18">
        <f t="shared" si="37"/>
        <v>0</v>
      </c>
      <c r="AX45" s="31">
        <f t="shared" si="38"/>
        <v>0</v>
      </c>
      <c r="AY45" s="31">
        <f t="shared" si="39"/>
        <v>0</v>
      </c>
      <c r="AZ45" s="27"/>
      <c r="BA45" s="37" t="str">
        <f t="shared" si="8"/>
        <v/>
      </c>
      <c r="BB45" s="36">
        <f>[1]IG!$K45</f>
        <v>0</v>
      </c>
      <c r="BC45" s="31">
        <f t="shared" si="40"/>
        <v>0</v>
      </c>
      <c r="BD45" s="18">
        <f t="shared" si="41"/>
        <v>0</v>
      </c>
      <c r="BE45" s="31">
        <f t="shared" si="42"/>
        <v>0</v>
      </c>
      <c r="BF45" s="31">
        <f t="shared" si="43"/>
        <v>0</v>
      </c>
      <c r="BG45" s="27"/>
      <c r="BH45" s="37" t="str">
        <f t="shared" si="9"/>
        <v/>
      </c>
      <c r="BI45" s="36">
        <f>[1]IG!$L45</f>
        <v>0</v>
      </c>
      <c r="BJ45" s="31">
        <f t="shared" si="44"/>
        <v>0</v>
      </c>
      <c r="BK45" s="18">
        <f t="shared" si="45"/>
        <v>0</v>
      </c>
      <c r="BL45" s="31">
        <f t="shared" si="46"/>
        <v>0</v>
      </c>
      <c r="BM45" s="31">
        <f t="shared" si="47"/>
        <v>0</v>
      </c>
      <c r="BN45" s="33"/>
      <c r="BO45" s="37" t="str">
        <f t="shared" si="10"/>
        <v/>
      </c>
      <c r="BP45" s="36">
        <f>[1]IG!$M45</f>
        <v>0</v>
      </c>
      <c r="BQ45" s="31">
        <f t="shared" si="48"/>
        <v>0</v>
      </c>
      <c r="BR45" s="18">
        <f t="shared" si="49"/>
        <v>0</v>
      </c>
      <c r="BS45" s="31">
        <f t="shared" si="50"/>
        <v>0</v>
      </c>
      <c r="BT45" s="31">
        <f t="shared" si="51"/>
        <v>0</v>
      </c>
      <c r="BU45" s="33"/>
      <c r="BV45" s="37" t="str">
        <f t="shared" si="11"/>
        <v/>
      </c>
      <c r="BW45" s="36">
        <f>[1]IG!$N45</f>
        <v>0</v>
      </c>
      <c r="BX45" s="31">
        <f t="shared" si="52"/>
        <v>0</v>
      </c>
      <c r="BY45" s="18">
        <f t="shared" si="53"/>
        <v>0</v>
      </c>
      <c r="BZ45" s="31">
        <f t="shared" si="54"/>
        <v>0</v>
      </c>
      <c r="CA45" s="31">
        <f t="shared" si="55"/>
        <v>0</v>
      </c>
      <c r="CB45" s="33"/>
      <c r="CC45" s="37" t="str">
        <f t="shared" si="12"/>
        <v/>
      </c>
      <c r="CD45" s="36">
        <f>[1]IG!$O45</f>
        <v>0</v>
      </c>
      <c r="CE45" s="31">
        <f t="shared" si="56"/>
        <v>0</v>
      </c>
      <c r="CF45" s="18">
        <f t="shared" si="57"/>
        <v>0</v>
      </c>
      <c r="CG45" s="31">
        <f t="shared" si="58"/>
        <v>0</v>
      </c>
      <c r="CH45" s="31">
        <f t="shared" si="59"/>
        <v>0</v>
      </c>
      <c r="CI45" s="33"/>
      <c r="CJ45" s="37" t="str">
        <f t="shared" si="13"/>
        <v/>
      </c>
      <c r="CK45" s="36">
        <f>[1]IG!$P45</f>
        <v>0</v>
      </c>
      <c r="CL45" s="31">
        <f t="shared" si="60"/>
        <v>0</v>
      </c>
      <c r="CM45" s="18">
        <f t="shared" si="61"/>
        <v>0</v>
      </c>
      <c r="CN45" s="31">
        <f t="shared" si="62"/>
        <v>0</v>
      </c>
      <c r="CO45" s="31">
        <f t="shared" si="63"/>
        <v>0</v>
      </c>
      <c r="CP45" s="33"/>
      <c r="CQ45" s="37" t="str">
        <f t="shared" si="14"/>
        <v/>
      </c>
    </row>
    <row r="46" spans="1:95" s="26" customFormat="1" ht="16" customHeight="1" thickBot="1" x14ac:dyDescent="0.25">
      <c r="A46" s="38" t="s">
        <v>70</v>
      </c>
      <c r="B46" s="30">
        <f t="shared" si="64"/>
        <v>0</v>
      </c>
      <c r="C46" s="31">
        <f t="shared" si="64"/>
        <v>0</v>
      </c>
      <c r="D46" s="32">
        <f t="shared" si="64"/>
        <v>0</v>
      </c>
      <c r="E46" s="30">
        <f t="shared" si="66"/>
        <v>0</v>
      </c>
      <c r="F46" s="33">
        <f t="shared" si="66"/>
        <v>0</v>
      </c>
      <c r="G46" s="34">
        <f t="shared" si="66"/>
        <v>0</v>
      </c>
      <c r="H46" s="31">
        <f t="shared" si="65"/>
        <v>0</v>
      </c>
      <c r="I46" s="33">
        <f t="shared" si="65"/>
        <v>0</v>
      </c>
      <c r="J46" s="33">
        <f t="shared" si="65"/>
        <v>0</v>
      </c>
      <c r="K46" s="37" t="str">
        <f t="shared" si="2"/>
        <v/>
      </c>
      <c r="L46" s="36">
        <f>[1]IG!$E46</f>
        <v>0</v>
      </c>
      <c r="M46" s="31">
        <f t="shared" si="16"/>
        <v>0</v>
      </c>
      <c r="N46" s="31">
        <f t="shared" si="17"/>
        <v>0</v>
      </c>
      <c r="O46" s="31">
        <f t="shared" si="18"/>
        <v>0</v>
      </c>
      <c r="P46" s="31">
        <f t="shared" si="19"/>
        <v>0</v>
      </c>
      <c r="Q46" s="31"/>
      <c r="R46" s="31" t="str">
        <f t="shared" si="3"/>
        <v/>
      </c>
      <c r="S46" s="31">
        <f>[1]IG!$F46</f>
        <v>0</v>
      </c>
      <c r="T46" s="31">
        <f t="shared" si="20"/>
        <v>0</v>
      </c>
      <c r="U46" s="31">
        <f t="shared" si="21"/>
        <v>0</v>
      </c>
      <c r="V46" s="31">
        <f t="shared" si="22"/>
        <v>0</v>
      </c>
      <c r="W46" s="31">
        <f t="shared" si="23"/>
        <v>0</v>
      </c>
      <c r="X46" s="31"/>
      <c r="Y46" s="31" t="str">
        <f t="shared" si="4"/>
        <v/>
      </c>
      <c r="Z46" s="31">
        <f>[1]IG!$G46</f>
        <v>0</v>
      </c>
      <c r="AA46" s="31">
        <f t="shared" si="24"/>
        <v>0</v>
      </c>
      <c r="AB46" s="31">
        <f t="shared" si="25"/>
        <v>0</v>
      </c>
      <c r="AC46" s="31">
        <f t="shared" si="26"/>
        <v>0</v>
      </c>
      <c r="AD46" s="31">
        <f t="shared" si="27"/>
        <v>0</v>
      </c>
      <c r="AE46" s="31"/>
      <c r="AF46" s="31" t="str">
        <f t="shared" si="5"/>
        <v/>
      </c>
      <c r="AG46" s="31">
        <f>[1]IG!$H46</f>
        <v>0</v>
      </c>
      <c r="AH46" s="31">
        <f t="shared" si="28"/>
        <v>0</v>
      </c>
      <c r="AI46" s="31">
        <f t="shared" si="29"/>
        <v>0</v>
      </c>
      <c r="AJ46" s="31">
        <f t="shared" si="30"/>
        <v>0</v>
      </c>
      <c r="AK46" s="31">
        <f t="shared" si="31"/>
        <v>0</v>
      </c>
      <c r="AL46" s="31"/>
      <c r="AM46" s="31" t="str">
        <f t="shared" si="6"/>
        <v/>
      </c>
      <c r="AN46" s="31">
        <f>[1]IG!$I46</f>
        <v>0</v>
      </c>
      <c r="AO46" s="31">
        <f t="shared" si="32"/>
        <v>0</v>
      </c>
      <c r="AP46" s="31">
        <f t="shared" si="33"/>
        <v>0</v>
      </c>
      <c r="AQ46" s="31">
        <f t="shared" si="34"/>
        <v>0</v>
      </c>
      <c r="AR46" s="31">
        <f t="shared" si="35"/>
        <v>0</v>
      </c>
      <c r="AS46" s="33"/>
      <c r="AT46" s="37" t="str">
        <f t="shared" si="7"/>
        <v/>
      </c>
      <c r="AU46" s="36">
        <f>[1]IG!$J46</f>
        <v>0</v>
      </c>
      <c r="AV46" s="31">
        <f t="shared" si="36"/>
        <v>0</v>
      </c>
      <c r="AW46" s="18">
        <f t="shared" si="37"/>
        <v>0</v>
      </c>
      <c r="AX46" s="31">
        <f t="shared" si="38"/>
        <v>0</v>
      </c>
      <c r="AY46" s="31">
        <f t="shared" si="39"/>
        <v>0</v>
      </c>
      <c r="AZ46" s="27"/>
      <c r="BA46" s="37" t="str">
        <f t="shared" si="8"/>
        <v/>
      </c>
      <c r="BB46" s="36">
        <f>[1]IG!$K46</f>
        <v>0</v>
      </c>
      <c r="BC46" s="31">
        <f t="shared" si="40"/>
        <v>0</v>
      </c>
      <c r="BD46" s="18">
        <f t="shared" si="41"/>
        <v>0</v>
      </c>
      <c r="BE46" s="31">
        <f t="shared" si="42"/>
        <v>0</v>
      </c>
      <c r="BF46" s="31">
        <f t="shared" si="43"/>
        <v>0</v>
      </c>
      <c r="BG46" s="27"/>
      <c r="BH46" s="37" t="str">
        <f t="shared" si="9"/>
        <v/>
      </c>
      <c r="BI46" s="36">
        <f>[1]IG!$L46</f>
        <v>0</v>
      </c>
      <c r="BJ46" s="31">
        <f t="shared" si="44"/>
        <v>0</v>
      </c>
      <c r="BK46" s="18">
        <f t="shared" si="45"/>
        <v>0</v>
      </c>
      <c r="BL46" s="31">
        <f t="shared" si="46"/>
        <v>0</v>
      </c>
      <c r="BM46" s="31">
        <f t="shared" si="47"/>
        <v>0</v>
      </c>
      <c r="BN46" s="33"/>
      <c r="BO46" s="37" t="str">
        <f t="shared" si="10"/>
        <v/>
      </c>
      <c r="BP46" s="36">
        <f>[1]IG!$M46</f>
        <v>0</v>
      </c>
      <c r="BQ46" s="31">
        <f t="shared" si="48"/>
        <v>0</v>
      </c>
      <c r="BR46" s="18">
        <f t="shared" si="49"/>
        <v>0</v>
      </c>
      <c r="BS46" s="31">
        <f t="shared" si="50"/>
        <v>0</v>
      </c>
      <c r="BT46" s="31">
        <f t="shared" si="51"/>
        <v>0</v>
      </c>
      <c r="BU46" s="33"/>
      <c r="BV46" s="37" t="str">
        <f t="shared" si="11"/>
        <v/>
      </c>
      <c r="BW46" s="36">
        <f>[1]IG!$N46</f>
        <v>0</v>
      </c>
      <c r="BX46" s="31">
        <f t="shared" si="52"/>
        <v>0</v>
      </c>
      <c r="BY46" s="18">
        <f t="shared" si="53"/>
        <v>0</v>
      </c>
      <c r="BZ46" s="31">
        <f t="shared" si="54"/>
        <v>0</v>
      </c>
      <c r="CA46" s="31">
        <f t="shared" si="55"/>
        <v>0</v>
      </c>
      <c r="CB46" s="33"/>
      <c r="CC46" s="37" t="str">
        <f t="shared" si="12"/>
        <v/>
      </c>
      <c r="CD46" s="36">
        <f>[1]IG!$O46</f>
        <v>0</v>
      </c>
      <c r="CE46" s="31">
        <f t="shared" si="56"/>
        <v>0</v>
      </c>
      <c r="CF46" s="18">
        <f t="shared" si="57"/>
        <v>0</v>
      </c>
      <c r="CG46" s="31">
        <f t="shared" si="58"/>
        <v>0</v>
      </c>
      <c r="CH46" s="31">
        <f t="shared" si="59"/>
        <v>0</v>
      </c>
      <c r="CI46" s="33"/>
      <c r="CJ46" s="37" t="str">
        <f t="shared" si="13"/>
        <v/>
      </c>
      <c r="CK46" s="36">
        <f>[1]IG!$P46</f>
        <v>0</v>
      </c>
      <c r="CL46" s="31">
        <f t="shared" si="60"/>
        <v>0</v>
      </c>
      <c r="CM46" s="18">
        <f t="shared" si="61"/>
        <v>0</v>
      </c>
      <c r="CN46" s="31">
        <f t="shared" si="62"/>
        <v>0</v>
      </c>
      <c r="CO46" s="31">
        <f t="shared" si="63"/>
        <v>0</v>
      </c>
      <c r="CP46" s="33"/>
      <c r="CQ46" s="37" t="str">
        <f t="shared" si="14"/>
        <v/>
      </c>
    </row>
    <row r="47" spans="1:95" s="26" customFormat="1" ht="16" customHeight="1" thickBot="1" x14ac:dyDescent="0.25">
      <c r="A47" s="29" t="s">
        <v>71</v>
      </c>
      <c r="B47" s="30">
        <f t="shared" si="64"/>
        <v>0</v>
      </c>
      <c r="C47" s="31">
        <f t="shared" si="64"/>
        <v>0</v>
      </c>
      <c r="D47" s="32">
        <f t="shared" si="64"/>
        <v>0</v>
      </c>
      <c r="E47" s="30">
        <f t="shared" si="66"/>
        <v>0</v>
      </c>
      <c r="F47" s="33">
        <f t="shared" si="66"/>
        <v>0</v>
      </c>
      <c r="G47" s="34">
        <f t="shared" si="66"/>
        <v>0</v>
      </c>
      <c r="H47" s="31">
        <f t="shared" si="65"/>
        <v>0</v>
      </c>
      <c r="I47" s="33">
        <f t="shared" si="65"/>
        <v>0</v>
      </c>
      <c r="J47" s="33">
        <f t="shared" si="65"/>
        <v>0</v>
      </c>
      <c r="K47" s="37" t="str">
        <f t="shared" si="2"/>
        <v/>
      </c>
      <c r="L47" s="36">
        <f>[1]IG!$E47</f>
        <v>0</v>
      </c>
      <c r="M47" s="31">
        <f t="shared" si="16"/>
        <v>0</v>
      </c>
      <c r="N47" s="31">
        <f t="shared" si="17"/>
        <v>0</v>
      </c>
      <c r="O47" s="31">
        <f t="shared" si="18"/>
        <v>0</v>
      </c>
      <c r="P47" s="31">
        <f t="shared" si="19"/>
        <v>0</v>
      </c>
      <c r="Q47" s="31"/>
      <c r="R47" s="31" t="str">
        <f t="shared" si="3"/>
        <v/>
      </c>
      <c r="S47" s="31">
        <f>[1]IG!$F47</f>
        <v>0</v>
      </c>
      <c r="T47" s="31">
        <f t="shared" si="20"/>
        <v>0</v>
      </c>
      <c r="U47" s="31">
        <f t="shared" si="21"/>
        <v>0</v>
      </c>
      <c r="V47" s="31">
        <f t="shared" si="22"/>
        <v>0</v>
      </c>
      <c r="W47" s="31">
        <f t="shared" si="23"/>
        <v>0</v>
      </c>
      <c r="X47" s="31"/>
      <c r="Y47" s="31" t="str">
        <f t="shared" si="4"/>
        <v/>
      </c>
      <c r="Z47" s="31">
        <f>[1]IG!$G47</f>
        <v>0</v>
      </c>
      <c r="AA47" s="31">
        <f t="shared" si="24"/>
        <v>0</v>
      </c>
      <c r="AB47" s="31">
        <f t="shared" si="25"/>
        <v>0</v>
      </c>
      <c r="AC47" s="31">
        <f t="shared" si="26"/>
        <v>0</v>
      </c>
      <c r="AD47" s="31">
        <f t="shared" si="27"/>
        <v>0</v>
      </c>
      <c r="AE47" s="31"/>
      <c r="AF47" s="31" t="str">
        <f t="shared" si="5"/>
        <v/>
      </c>
      <c r="AG47" s="31">
        <f>[1]IG!$H47</f>
        <v>0</v>
      </c>
      <c r="AH47" s="31">
        <f t="shared" si="28"/>
        <v>0</v>
      </c>
      <c r="AI47" s="31">
        <f t="shared" si="29"/>
        <v>0</v>
      </c>
      <c r="AJ47" s="31">
        <f t="shared" si="30"/>
        <v>0</v>
      </c>
      <c r="AK47" s="31">
        <f t="shared" si="31"/>
        <v>0</v>
      </c>
      <c r="AL47" s="31"/>
      <c r="AM47" s="31" t="str">
        <f t="shared" si="6"/>
        <v/>
      </c>
      <c r="AN47" s="31">
        <f>[1]IG!$I47</f>
        <v>0</v>
      </c>
      <c r="AO47" s="31">
        <f t="shared" si="32"/>
        <v>0</v>
      </c>
      <c r="AP47" s="31">
        <f t="shared" si="33"/>
        <v>0</v>
      </c>
      <c r="AQ47" s="31">
        <f t="shared" si="34"/>
        <v>0</v>
      </c>
      <c r="AR47" s="31">
        <f t="shared" si="35"/>
        <v>0</v>
      </c>
      <c r="AS47" s="33"/>
      <c r="AT47" s="37" t="str">
        <f t="shared" si="7"/>
        <v/>
      </c>
      <c r="AU47" s="36">
        <f>[1]IG!$J47</f>
        <v>0</v>
      </c>
      <c r="AV47" s="31">
        <f t="shared" si="36"/>
        <v>0</v>
      </c>
      <c r="AW47" s="18">
        <f t="shared" si="37"/>
        <v>0</v>
      </c>
      <c r="AX47" s="31">
        <f t="shared" si="38"/>
        <v>0</v>
      </c>
      <c r="AY47" s="31">
        <f t="shared" si="39"/>
        <v>0</v>
      </c>
      <c r="AZ47" s="27"/>
      <c r="BA47" s="37" t="str">
        <f t="shared" si="8"/>
        <v/>
      </c>
      <c r="BB47" s="36">
        <f>[1]IG!$K47</f>
        <v>0</v>
      </c>
      <c r="BC47" s="31">
        <f t="shared" si="40"/>
        <v>0</v>
      </c>
      <c r="BD47" s="18">
        <f t="shared" si="41"/>
        <v>0</v>
      </c>
      <c r="BE47" s="31">
        <f t="shared" si="42"/>
        <v>0</v>
      </c>
      <c r="BF47" s="31">
        <f t="shared" si="43"/>
        <v>0</v>
      </c>
      <c r="BG47" s="27"/>
      <c r="BH47" s="37" t="str">
        <f t="shared" si="9"/>
        <v/>
      </c>
      <c r="BI47" s="36">
        <f>[1]IG!$L47</f>
        <v>0</v>
      </c>
      <c r="BJ47" s="31">
        <f t="shared" si="44"/>
        <v>0</v>
      </c>
      <c r="BK47" s="18">
        <f t="shared" si="45"/>
        <v>0</v>
      </c>
      <c r="BL47" s="31">
        <f t="shared" si="46"/>
        <v>0</v>
      </c>
      <c r="BM47" s="31">
        <f t="shared" si="47"/>
        <v>0</v>
      </c>
      <c r="BN47" s="33"/>
      <c r="BO47" s="37" t="str">
        <f t="shared" si="10"/>
        <v/>
      </c>
      <c r="BP47" s="36">
        <f>[1]IG!$M47</f>
        <v>0</v>
      </c>
      <c r="BQ47" s="31">
        <f t="shared" si="48"/>
        <v>0</v>
      </c>
      <c r="BR47" s="18">
        <f t="shared" si="49"/>
        <v>0</v>
      </c>
      <c r="BS47" s="31">
        <f t="shared" si="50"/>
        <v>0</v>
      </c>
      <c r="BT47" s="31">
        <f t="shared" si="51"/>
        <v>0</v>
      </c>
      <c r="BU47" s="33"/>
      <c r="BV47" s="37" t="str">
        <f t="shared" si="11"/>
        <v/>
      </c>
      <c r="BW47" s="36">
        <f>[1]IG!$N47</f>
        <v>0</v>
      </c>
      <c r="BX47" s="31">
        <f t="shared" si="52"/>
        <v>0</v>
      </c>
      <c r="BY47" s="18">
        <f t="shared" si="53"/>
        <v>0</v>
      </c>
      <c r="BZ47" s="31">
        <f t="shared" si="54"/>
        <v>0</v>
      </c>
      <c r="CA47" s="31">
        <f t="shared" si="55"/>
        <v>0</v>
      </c>
      <c r="CB47" s="33"/>
      <c r="CC47" s="37" t="str">
        <f t="shared" si="12"/>
        <v/>
      </c>
      <c r="CD47" s="36">
        <f>[1]IG!$O47</f>
        <v>0</v>
      </c>
      <c r="CE47" s="31">
        <f t="shared" si="56"/>
        <v>0</v>
      </c>
      <c r="CF47" s="18">
        <f t="shared" si="57"/>
        <v>0</v>
      </c>
      <c r="CG47" s="31">
        <f t="shared" si="58"/>
        <v>0</v>
      </c>
      <c r="CH47" s="31">
        <f t="shared" si="59"/>
        <v>0</v>
      </c>
      <c r="CI47" s="33"/>
      <c r="CJ47" s="37" t="str">
        <f t="shared" si="13"/>
        <v/>
      </c>
      <c r="CK47" s="36">
        <f>[1]IG!$P47</f>
        <v>0</v>
      </c>
      <c r="CL47" s="31">
        <f t="shared" si="60"/>
        <v>0</v>
      </c>
      <c r="CM47" s="18">
        <f t="shared" si="61"/>
        <v>0</v>
      </c>
      <c r="CN47" s="31">
        <f t="shared" si="62"/>
        <v>0</v>
      </c>
      <c r="CO47" s="31">
        <f t="shared" si="63"/>
        <v>0</v>
      </c>
      <c r="CP47" s="33"/>
      <c r="CQ47" s="37" t="str">
        <f t="shared" si="14"/>
        <v/>
      </c>
    </row>
    <row r="48" spans="1:95" s="26" customFormat="1" ht="16" customHeight="1" thickBot="1" x14ac:dyDescent="0.25">
      <c r="A48" s="38" t="s">
        <v>72</v>
      </c>
      <c r="B48" s="30">
        <f t="shared" si="64"/>
        <v>60000</v>
      </c>
      <c r="C48" s="31">
        <f t="shared" si="64"/>
        <v>55686</v>
      </c>
      <c r="D48" s="32">
        <f t="shared" si="64"/>
        <v>4314</v>
      </c>
      <c r="E48" s="30">
        <f t="shared" si="66"/>
        <v>20000</v>
      </c>
      <c r="F48" s="33">
        <f t="shared" si="66"/>
        <v>18562</v>
      </c>
      <c r="G48" s="34">
        <f t="shared" si="66"/>
        <v>1438</v>
      </c>
      <c r="H48" s="31">
        <f t="shared" si="65"/>
        <v>33761.131740999997</v>
      </c>
      <c r="I48" s="33">
        <f t="shared" si="65"/>
        <v>2615.4782590000004</v>
      </c>
      <c r="J48" s="33">
        <f t="shared" si="65"/>
        <v>36376.61</v>
      </c>
      <c r="K48" s="37">
        <f t="shared" si="2"/>
        <v>0.81883050000000002</v>
      </c>
      <c r="L48" s="36">
        <f>[1]IG!$E48</f>
        <v>5000</v>
      </c>
      <c r="M48" s="31">
        <f t="shared" si="16"/>
        <v>4640.5</v>
      </c>
      <c r="N48" s="31">
        <f t="shared" si="17"/>
        <v>359.5</v>
      </c>
      <c r="O48" s="31">
        <f t="shared" si="18"/>
        <v>855.80101000000002</v>
      </c>
      <c r="P48" s="31">
        <f t="shared" si="19"/>
        <v>66.298990000000003</v>
      </c>
      <c r="Q48" s="31">
        <f>922.1</f>
        <v>922.1</v>
      </c>
      <c r="R48" s="31">
        <f t="shared" si="3"/>
        <v>-0.81557999999999997</v>
      </c>
      <c r="S48" s="31">
        <f>[1]IG!$F48</f>
        <v>5000</v>
      </c>
      <c r="T48" s="31">
        <f t="shared" si="20"/>
        <v>4640.5</v>
      </c>
      <c r="U48" s="31">
        <f t="shared" si="21"/>
        <v>359.5</v>
      </c>
      <c r="V48" s="31">
        <f t="shared" si="22"/>
        <v>3200.7384699999998</v>
      </c>
      <c r="W48" s="31">
        <f t="shared" si="23"/>
        <v>247.96153000000001</v>
      </c>
      <c r="X48" s="31">
        <f>3448.7</f>
        <v>3448.7</v>
      </c>
      <c r="Y48" s="31">
        <f t="shared" si="4"/>
        <v>-0.31026000000000009</v>
      </c>
      <c r="Z48" s="31">
        <f>[1]IG!$G48</f>
        <v>5000</v>
      </c>
      <c r="AA48" s="31">
        <f t="shared" si="24"/>
        <v>4640.5</v>
      </c>
      <c r="AB48" s="31">
        <f t="shared" si="25"/>
        <v>359.5</v>
      </c>
      <c r="AC48" s="31">
        <f t="shared" si="26"/>
        <v>3618.8568009999999</v>
      </c>
      <c r="AD48" s="31">
        <f t="shared" si="27"/>
        <v>280.35319900000002</v>
      </c>
      <c r="AE48" s="31">
        <f>3899.21</f>
        <v>3899.21</v>
      </c>
      <c r="AF48" s="31">
        <f t="shared" si="5"/>
        <v>-0.22015799999999996</v>
      </c>
      <c r="AG48" s="31">
        <f>[1]IG!$H48</f>
        <v>5000</v>
      </c>
      <c r="AH48" s="31">
        <f t="shared" si="28"/>
        <v>4640.5</v>
      </c>
      <c r="AI48" s="31">
        <f t="shared" si="29"/>
        <v>359.5</v>
      </c>
      <c r="AJ48" s="31">
        <f t="shared" si="30"/>
        <v>411.14830000000001</v>
      </c>
      <c r="AK48" s="31">
        <f t="shared" si="31"/>
        <v>31.851700000000001</v>
      </c>
      <c r="AL48" s="31">
        <f>443</f>
        <v>443</v>
      </c>
      <c r="AM48" s="31">
        <f t="shared" si="6"/>
        <v>-0.91139999999999999</v>
      </c>
      <c r="AN48" s="31">
        <f>[1]IG!$I48</f>
        <v>5000</v>
      </c>
      <c r="AO48" s="31">
        <f t="shared" si="32"/>
        <v>4640.5</v>
      </c>
      <c r="AP48" s="31">
        <f t="shared" si="33"/>
        <v>359.5</v>
      </c>
      <c r="AQ48" s="31">
        <f t="shared" si="34"/>
        <v>16713.809503</v>
      </c>
      <c r="AR48" s="31">
        <f t="shared" si="35"/>
        <v>1294.8204970000002</v>
      </c>
      <c r="AS48" s="33">
        <v>18008.63</v>
      </c>
      <c r="AT48" s="37">
        <f t="shared" si="7"/>
        <v>2.6017260000000002</v>
      </c>
      <c r="AU48" s="36">
        <f>[1]IG!$J48</f>
        <v>5000</v>
      </c>
      <c r="AV48" s="31">
        <f t="shared" si="36"/>
        <v>4640.5</v>
      </c>
      <c r="AW48" s="18">
        <f t="shared" si="37"/>
        <v>359.5</v>
      </c>
      <c r="AX48" s="31">
        <f t="shared" si="38"/>
        <v>8960.7776569999987</v>
      </c>
      <c r="AY48" s="31">
        <f t="shared" si="39"/>
        <v>694.19234300000005</v>
      </c>
      <c r="AZ48" s="27">
        <v>9654.9699999999993</v>
      </c>
      <c r="BA48" s="37">
        <f t="shared" si="8"/>
        <v>0.93099399999999988</v>
      </c>
      <c r="BB48" s="36">
        <f>[1]IG!$K48</f>
        <v>5000</v>
      </c>
      <c r="BC48" s="31">
        <f t="shared" si="40"/>
        <v>4640.5</v>
      </c>
      <c r="BD48" s="18">
        <f t="shared" si="41"/>
        <v>359.5</v>
      </c>
      <c r="BE48" s="31">
        <f t="shared" si="42"/>
        <v>0</v>
      </c>
      <c r="BF48" s="31">
        <f t="shared" si="43"/>
        <v>0</v>
      </c>
      <c r="BG48" s="33"/>
      <c r="BH48" s="37">
        <f t="shared" si="9"/>
        <v>-1</v>
      </c>
      <c r="BI48" s="36">
        <f>[1]IG!$L48</f>
        <v>5000</v>
      </c>
      <c r="BJ48" s="31">
        <f t="shared" si="44"/>
        <v>4640.5</v>
      </c>
      <c r="BK48" s="18">
        <f t="shared" si="45"/>
        <v>359.5</v>
      </c>
      <c r="BL48" s="31">
        <f t="shared" si="46"/>
        <v>0</v>
      </c>
      <c r="BM48" s="31">
        <f t="shared" si="47"/>
        <v>0</v>
      </c>
      <c r="BN48" s="33"/>
      <c r="BO48" s="37">
        <f t="shared" si="10"/>
        <v>-1</v>
      </c>
      <c r="BP48" s="36">
        <f>[1]IG!$M48</f>
        <v>5000</v>
      </c>
      <c r="BQ48" s="31">
        <f t="shared" si="48"/>
        <v>4640.5</v>
      </c>
      <c r="BR48" s="18">
        <f t="shared" si="49"/>
        <v>359.5</v>
      </c>
      <c r="BS48" s="31">
        <f t="shared" si="50"/>
        <v>0</v>
      </c>
      <c r="BT48" s="31">
        <f t="shared" si="51"/>
        <v>0</v>
      </c>
      <c r="BU48" s="33"/>
      <c r="BV48" s="37">
        <f t="shared" si="11"/>
        <v>-1</v>
      </c>
      <c r="BW48" s="36">
        <f>[1]IG!$N48</f>
        <v>5000</v>
      </c>
      <c r="BX48" s="31">
        <f t="shared" si="52"/>
        <v>4640.5</v>
      </c>
      <c r="BY48" s="18">
        <f t="shared" si="53"/>
        <v>359.5</v>
      </c>
      <c r="BZ48" s="31">
        <f t="shared" si="54"/>
        <v>0</v>
      </c>
      <c r="CA48" s="31">
        <f t="shared" si="55"/>
        <v>0</v>
      </c>
      <c r="CB48" s="33"/>
      <c r="CC48" s="37">
        <f t="shared" si="12"/>
        <v>-1</v>
      </c>
      <c r="CD48" s="36">
        <f>[1]IG!$O48</f>
        <v>5000</v>
      </c>
      <c r="CE48" s="31">
        <f t="shared" si="56"/>
        <v>4640.5</v>
      </c>
      <c r="CF48" s="18">
        <f t="shared" si="57"/>
        <v>359.5</v>
      </c>
      <c r="CG48" s="31">
        <f t="shared" si="58"/>
        <v>0</v>
      </c>
      <c r="CH48" s="31">
        <f t="shared" si="59"/>
        <v>0</v>
      </c>
      <c r="CI48" s="33"/>
      <c r="CJ48" s="37">
        <f t="shared" si="13"/>
        <v>-1</v>
      </c>
      <c r="CK48" s="36">
        <f>[1]IG!$P48</f>
        <v>5000</v>
      </c>
      <c r="CL48" s="31">
        <f t="shared" si="60"/>
        <v>4640.5</v>
      </c>
      <c r="CM48" s="18">
        <f t="shared" si="61"/>
        <v>359.5</v>
      </c>
      <c r="CN48" s="31">
        <f t="shared" si="62"/>
        <v>0</v>
      </c>
      <c r="CO48" s="31">
        <f t="shared" si="63"/>
        <v>0</v>
      </c>
      <c r="CP48" s="33"/>
      <c r="CQ48" s="37">
        <f t="shared" si="14"/>
        <v>-1</v>
      </c>
    </row>
    <row r="49" spans="1:99" s="26" customFormat="1" ht="16" customHeight="1" thickBot="1" x14ac:dyDescent="0.25">
      <c r="A49" s="29" t="s">
        <v>73</v>
      </c>
      <c r="B49" s="30">
        <f t="shared" si="64"/>
        <v>314400</v>
      </c>
      <c r="C49" s="31">
        <f t="shared" si="64"/>
        <v>291794.64</v>
      </c>
      <c r="D49" s="32">
        <f t="shared" si="64"/>
        <v>22605.360000000001</v>
      </c>
      <c r="E49" s="30">
        <f t="shared" si="66"/>
        <v>104800</v>
      </c>
      <c r="F49" s="33">
        <f t="shared" si="66"/>
        <v>97264.88</v>
      </c>
      <c r="G49" s="34">
        <f t="shared" si="66"/>
        <v>7535.1200000000008</v>
      </c>
      <c r="H49" s="31">
        <f t="shared" si="65"/>
        <v>152450.27214099999</v>
      </c>
      <c r="I49" s="33">
        <f t="shared" si="65"/>
        <v>11810.337859000001</v>
      </c>
      <c r="J49" s="33">
        <f t="shared" si="65"/>
        <v>164260.60999999999</v>
      </c>
      <c r="K49" s="37">
        <f t="shared" si="2"/>
        <v>0.56737223282442728</v>
      </c>
      <c r="L49" s="36">
        <f>[1]IG!$E49</f>
        <v>26200</v>
      </c>
      <c r="M49" s="31">
        <f t="shared" si="16"/>
        <v>24316.22</v>
      </c>
      <c r="N49" s="31">
        <f t="shared" si="17"/>
        <v>1883.7800000000002</v>
      </c>
      <c r="O49" s="31">
        <f t="shared" si="18"/>
        <v>32409.80885999999</v>
      </c>
      <c r="P49" s="31">
        <f t="shared" si="19"/>
        <v>2510.7911399999994</v>
      </c>
      <c r="Q49" s="31">
        <f>R87</f>
        <v>34920.599999999991</v>
      </c>
      <c r="R49" s="31">
        <f t="shared" si="3"/>
        <v>0.33284732824427454</v>
      </c>
      <c r="S49" s="31">
        <f>[1]IG!$F49</f>
        <v>26200</v>
      </c>
      <c r="T49" s="31">
        <f t="shared" si="20"/>
        <v>24316.22</v>
      </c>
      <c r="U49" s="31">
        <f t="shared" si="21"/>
        <v>1883.7800000000002</v>
      </c>
      <c r="V49" s="31">
        <f t="shared" si="22"/>
        <v>25218.620911000002</v>
      </c>
      <c r="W49" s="31">
        <f t="shared" si="23"/>
        <v>1953.6890890000002</v>
      </c>
      <c r="X49" s="31">
        <f>Y87</f>
        <v>27172.31</v>
      </c>
      <c r="Y49" s="31">
        <f t="shared" si="4"/>
        <v>3.7111068702290195E-2</v>
      </c>
      <c r="Z49" s="31">
        <f>[1]IG!$G49</f>
        <v>26200</v>
      </c>
      <c r="AA49" s="31">
        <f t="shared" si="24"/>
        <v>24316.22</v>
      </c>
      <c r="AB49" s="31">
        <f t="shared" si="25"/>
        <v>1883.7800000000002</v>
      </c>
      <c r="AC49" s="31">
        <f t="shared" si="26"/>
        <v>21462.628054000001</v>
      </c>
      <c r="AD49" s="31">
        <f t="shared" si="27"/>
        <v>1662.7119460000001</v>
      </c>
      <c r="AE49" s="31">
        <f>AF87</f>
        <v>23125.34</v>
      </c>
      <c r="AF49" s="31">
        <f t="shared" si="5"/>
        <v>-0.1173534351145038</v>
      </c>
      <c r="AG49" s="31">
        <f>[1]IG!$H49</f>
        <v>26200</v>
      </c>
      <c r="AH49" s="31">
        <f t="shared" si="28"/>
        <v>24316.22</v>
      </c>
      <c r="AI49" s="31">
        <f t="shared" si="29"/>
        <v>1883.7800000000002</v>
      </c>
      <c r="AJ49" s="31">
        <f t="shared" si="30"/>
        <v>19643.932574999995</v>
      </c>
      <c r="AK49" s="31">
        <f t="shared" si="31"/>
        <v>1521.817425</v>
      </c>
      <c r="AL49" s="31">
        <f>AM87</f>
        <v>21165.749999999996</v>
      </c>
      <c r="AM49" s="31">
        <f t="shared" si="6"/>
        <v>-0.19214694656488562</v>
      </c>
      <c r="AN49" s="31">
        <f>[1]IG!$I49</f>
        <v>26200</v>
      </c>
      <c r="AO49" s="31">
        <f t="shared" si="32"/>
        <v>24316.22</v>
      </c>
      <c r="AP49" s="31">
        <f t="shared" si="33"/>
        <v>1883.7800000000002</v>
      </c>
      <c r="AQ49" s="31">
        <f t="shared" si="34"/>
        <v>28948.534157999999</v>
      </c>
      <c r="AR49" s="31">
        <f t="shared" si="35"/>
        <v>2242.6458420000004</v>
      </c>
      <c r="AS49" s="33">
        <v>31191.18</v>
      </c>
      <c r="AT49" s="37">
        <f t="shared" si="7"/>
        <v>0.19050305343511442</v>
      </c>
      <c r="AU49" s="36">
        <f>[1]IG!$J49</f>
        <v>26200</v>
      </c>
      <c r="AV49" s="31">
        <f t="shared" si="36"/>
        <v>24316.22</v>
      </c>
      <c r="AW49" s="18">
        <f t="shared" si="37"/>
        <v>1883.7800000000002</v>
      </c>
      <c r="AX49" s="31">
        <f t="shared" si="38"/>
        <v>24766.747583</v>
      </c>
      <c r="AY49" s="31">
        <f t="shared" si="39"/>
        <v>1918.6824170000002</v>
      </c>
      <c r="AZ49" s="27">
        <v>26685.43</v>
      </c>
      <c r="BA49" s="37">
        <f t="shared" si="8"/>
        <v>1.8527862595419942E-2</v>
      </c>
      <c r="BB49" s="36">
        <f>[1]IG!$K49</f>
        <v>26200</v>
      </c>
      <c r="BC49" s="31">
        <f t="shared" si="40"/>
        <v>24316.22</v>
      </c>
      <c r="BD49" s="18">
        <f t="shared" si="41"/>
        <v>1883.7800000000002</v>
      </c>
      <c r="BE49" s="31">
        <f t="shared" si="42"/>
        <v>0</v>
      </c>
      <c r="BF49" s="31">
        <f t="shared" si="43"/>
        <v>0</v>
      </c>
      <c r="BG49" s="33"/>
      <c r="BH49" s="37">
        <f t="shared" si="9"/>
        <v>-1</v>
      </c>
      <c r="BI49" s="36">
        <f>[1]IG!$L49</f>
        <v>26200</v>
      </c>
      <c r="BJ49" s="31">
        <f t="shared" si="44"/>
        <v>24316.22</v>
      </c>
      <c r="BK49" s="18">
        <f t="shared" si="45"/>
        <v>1883.7800000000002</v>
      </c>
      <c r="BL49" s="31">
        <f t="shared" si="46"/>
        <v>0</v>
      </c>
      <c r="BM49" s="31">
        <f t="shared" si="47"/>
        <v>0</v>
      </c>
      <c r="BN49" s="33"/>
      <c r="BO49" s="37">
        <f t="shared" si="10"/>
        <v>-1</v>
      </c>
      <c r="BP49" s="36">
        <f>[1]IG!$M49</f>
        <v>26200</v>
      </c>
      <c r="BQ49" s="31">
        <f t="shared" si="48"/>
        <v>24316.22</v>
      </c>
      <c r="BR49" s="18">
        <f t="shared" si="49"/>
        <v>1883.7800000000002</v>
      </c>
      <c r="BS49" s="31">
        <f t="shared" si="50"/>
        <v>0</v>
      </c>
      <c r="BT49" s="31">
        <f t="shared" si="51"/>
        <v>0</v>
      </c>
      <c r="BU49" s="33"/>
      <c r="BV49" s="37">
        <f t="shared" si="11"/>
        <v>-1</v>
      </c>
      <c r="BW49" s="36">
        <f>[1]IG!$N49</f>
        <v>26200</v>
      </c>
      <c r="BX49" s="31">
        <f t="shared" si="52"/>
        <v>24316.22</v>
      </c>
      <c r="BY49" s="18">
        <f t="shared" si="53"/>
        <v>1883.7800000000002</v>
      </c>
      <c r="BZ49" s="31">
        <f t="shared" si="54"/>
        <v>0</v>
      </c>
      <c r="CA49" s="31">
        <f t="shared" si="55"/>
        <v>0</v>
      </c>
      <c r="CB49" s="33"/>
      <c r="CC49" s="37">
        <f t="shared" si="12"/>
        <v>-1</v>
      </c>
      <c r="CD49" s="36">
        <f>[1]IG!$O49</f>
        <v>26200</v>
      </c>
      <c r="CE49" s="31">
        <f t="shared" si="56"/>
        <v>24316.22</v>
      </c>
      <c r="CF49" s="18">
        <f t="shared" si="57"/>
        <v>1883.7800000000002</v>
      </c>
      <c r="CG49" s="31">
        <f t="shared" si="58"/>
        <v>0</v>
      </c>
      <c r="CH49" s="31">
        <f t="shared" si="59"/>
        <v>0</v>
      </c>
      <c r="CI49" s="33"/>
      <c r="CJ49" s="37">
        <f t="shared" si="13"/>
        <v>-1</v>
      </c>
      <c r="CK49" s="36">
        <f>[1]IG!$P49</f>
        <v>26200</v>
      </c>
      <c r="CL49" s="31">
        <f t="shared" si="60"/>
        <v>24316.22</v>
      </c>
      <c r="CM49" s="18">
        <f t="shared" si="61"/>
        <v>1883.7800000000002</v>
      </c>
      <c r="CN49" s="31">
        <f t="shared" si="62"/>
        <v>0</v>
      </c>
      <c r="CO49" s="31">
        <f t="shared" si="63"/>
        <v>0</v>
      </c>
      <c r="CP49" s="33"/>
      <c r="CQ49" s="37">
        <f t="shared" si="14"/>
        <v>-1</v>
      </c>
    </row>
    <row r="50" spans="1:99" s="26" customFormat="1" ht="16" customHeight="1" thickBot="1" x14ac:dyDescent="0.25">
      <c r="A50" s="29" t="s">
        <v>74</v>
      </c>
      <c r="B50" s="30">
        <f t="shared" si="64"/>
        <v>12921.399999999996</v>
      </c>
      <c r="C50" s="31">
        <f t="shared" si="64"/>
        <v>11992.351340000001</v>
      </c>
      <c r="D50" s="32">
        <f t="shared" si="64"/>
        <v>929.04865999999981</v>
      </c>
      <c r="E50" s="30">
        <f t="shared" si="66"/>
        <v>4307.1333333333332</v>
      </c>
      <c r="F50" s="33">
        <f t="shared" si="66"/>
        <v>3997.4504466666667</v>
      </c>
      <c r="G50" s="34">
        <f t="shared" si="66"/>
        <v>309.68288666666666</v>
      </c>
      <c r="H50" s="31">
        <f t="shared" si="65"/>
        <v>5752.5865439999998</v>
      </c>
      <c r="I50" s="33">
        <f t="shared" si="65"/>
        <v>445.65345600000001</v>
      </c>
      <c r="J50" s="33">
        <f t="shared" si="65"/>
        <v>6198.2400000000007</v>
      </c>
      <c r="K50" s="37">
        <f t="shared" si="2"/>
        <v>0.43906387852709483</v>
      </c>
      <c r="L50" s="36">
        <f>[1]IG!$E50</f>
        <v>1076.7833333333333</v>
      </c>
      <c r="M50" s="28">
        <f t="shared" si="16"/>
        <v>999.36261166666668</v>
      </c>
      <c r="N50" s="28">
        <f t="shared" si="17"/>
        <v>77.420721666666665</v>
      </c>
      <c r="O50" s="28">
        <f t="shared" si="18"/>
        <v>934.38323700000001</v>
      </c>
      <c r="P50" s="28">
        <f t="shared" si="19"/>
        <v>72.386763000000002</v>
      </c>
      <c r="Q50" s="28">
        <f>1006.77</f>
        <v>1006.77</v>
      </c>
      <c r="R50" s="28">
        <f t="shared" si="3"/>
        <v>-6.5020818177596862E-2</v>
      </c>
      <c r="S50" s="28">
        <f>[1]IG!$F50</f>
        <v>1076.7833333333333</v>
      </c>
      <c r="T50" s="28">
        <f t="shared" si="20"/>
        <v>999.36261166666668</v>
      </c>
      <c r="U50" s="28">
        <f t="shared" si="21"/>
        <v>77.420721666666665</v>
      </c>
      <c r="V50" s="28">
        <f t="shared" si="22"/>
        <v>1082.0903520000002</v>
      </c>
      <c r="W50" s="28">
        <f t="shared" si="23"/>
        <v>83.829648000000006</v>
      </c>
      <c r="X50" s="28">
        <f>1165.92</f>
        <v>1165.92</v>
      </c>
      <c r="Y50" s="28">
        <f t="shared" si="4"/>
        <v>8.2780503660594196E-2</v>
      </c>
      <c r="Z50" s="28">
        <f>[1]IG!$G50</f>
        <v>1076.7833333333333</v>
      </c>
      <c r="AA50" s="28">
        <f t="shared" si="24"/>
        <v>999.36261166666668</v>
      </c>
      <c r="AB50" s="28">
        <f t="shared" si="25"/>
        <v>77.420721666666665</v>
      </c>
      <c r="AC50" s="28">
        <f t="shared" si="26"/>
        <v>1908.3963439999998</v>
      </c>
      <c r="AD50" s="28">
        <f t="shared" si="27"/>
        <v>147.84365600000001</v>
      </c>
      <c r="AE50" s="28">
        <f>2056.24</f>
        <v>2056.2399999999998</v>
      </c>
      <c r="AF50" s="28">
        <f t="shared" si="5"/>
        <v>0.90961350937204921</v>
      </c>
      <c r="AG50" s="28">
        <f>[1]IG!$H50</f>
        <v>1076.7833333333333</v>
      </c>
      <c r="AH50" s="28">
        <f t="shared" si="28"/>
        <v>999.36261166666668</v>
      </c>
      <c r="AI50" s="28">
        <f t="shared" si="29"/>
        <v>77.420721666666665</v>
      </c>
      <c r="AJ50" s="28">
        <f t="shared" si="30"/>
        <v>883.64400999999998</v>
      </c>
      <c r="AK50" s="28">
        <f t="shared" si="31"/>
        <v>68.45599</v>
      </c>
      <c r="AL50" s="28">
        <f>952.1</f>
        <v>952.1</v>
      </c>
      <c r="AM50" s="28">
        <f t="shared" si="6"/>
        <v>-0.11579240639559174</v>
      </c>
      <c r="AN50" s="28">
        <f>[1]IG!$I50</f>
        <v>1076.7833333333333</v>
      </c>
      <c r="AO50" s="28">
        <f t="shared" si="32"/>
        <v>999.36261166666668</v>
      </c>
      <c r="AP50" s="28">
        <f t="shared" si="33"/>
        <v>77.420721666666665</v>
      </c>
      <c r="AQ50" s="28">
        <f t="shared" si="34"/>
        <v>758.30410499999994</v>
      </c>
      <c r="AR50" s="28">
        <f t="shared" si="35"/>
        <v>58.745895000000004</v>
      </c>
      <c r="AS50" s="150">
        <v>817.05</v>
      </c>
      <c r="AT50" s="37">
        <f t="shared" si="7"/>
        <v>-0.24121225254229417</v>
      </c>
      <c r="AU50" s="36">
        <f>[1]IG!$J50</f>
        <v>1076.7833333333333</v>
      </c>
      <c r="AV50" s="28">
        <f t="shared" si="36"/>
        <v>999.36261166666668</v>
      </c>
      <c r="AW50" s="18">
        <f t="shared" si="37"/>
        <v>77.420721666666665</v>
      </c>
      <c r="AX50" s="28">
        <f t="shared" si="38"/>
        <v>185.76849599999997</v>
      </c>
      <c r="AY50" s="28">
        <f t="shared" si="39"/>
        <v>14.391503999999999</v>
      </c>
      <c r="AZ50" s="152">
        <v>200.15999999999997</v>
      </c>
      <c r="BA50" s="37">
        <f t="shared" si="8"/>
        <v>-0.81411302180878242</v>
      </c>
      <c r="BB50" s="36">
        <f>[1]IG!$K50</f>
        <v>1076.7833333333333</v>
      </c>
      <c r="BC50" s="28">
        <f t="shared" si="40"/>
        <v>999.36261166666668</v>
      </c>
      <c r="BD50" s="18">
        <f t="shared" si="41"/>
        <v>77.420721666666665</v>
      </c>
      <c r="BE50" s="28">
        <f t="shared" si="42"/>
        <v>0</v>
      </c>
      <c r="BF50" s="28">
        <f t="shared" si="43"/>
        <v>0</v>
      </c>
      <c r="BG50" s="150"/>
      <c r="BH50" s="37">
        <f t="shared" si="9"/>
        <v>-1</v>
      </c>
      <c r="BI50" s="36">
        <f>[1]IG!$L50</f>
        <v>1076.7833333333333</v>
      </c>
      <c r="BJ50" s="28">
        <f t="shared" si="44"/>
        <v>999.36261166666668</v>
      </c>
      <c r="BK50" s="18">
        <f t="shared" si="45"/>
        <v>77.420721666666665</v>
      </c>
      <c r="BL50" s="28">
        <f t="shared" si="46"/>
        <v>0</v>
      </c>
      <c r="BM50" s="28">
        <f t="shared" si="47"/>
        <v>0</v>
      </c>
      <c r="BN50" s="150"/>
      <c r="BO50" s="37">
        <f t="shared" si="10"/>
        <v>-1</v>
      </c>
      <c r="BP50" s="36">
        <f>[1]IG!$M50</f>
        <v>1076.7833333333333</v>
      </c>
      <c r="BQ50" s="28">
        <f t="shared" si="48"/>
        <v>999.36261166666668</v>
      </c>
      <c r="BR50" s="18">
        <f t="shared" si="49"/>
        <v>77.420721666666665</v>
      </c>
      <c r="BS50" s="28">
        <f t="shared" si="50"/>
        <v>0</v>
      </c>
      <c r="BT50" s="28">
        <f t="shared" si="51"/>
        <v>0</v>
      </c>
      <c r="BU50" s="150"/>
      <c r="BV50" s="37">
        <f t="shared" si="11"/>
        <v>-1</v>
      </c>
      <c r="BW50" s="36">
        <f>[1]IG!$N50</f>
        <v>1076.7833333333333</v>
      </c>
      <c r="BX50" s="28">
        <f t="shared" si="52"/>
        <v>999.36261166666668</v>
      </c>
      <c r="BY50" s="18">
        <f t="shared" si="53"/>
        <v>77.420721666666665</v>
      </c>
      <c r="BZ50" s="28">
        <f t="shared" si="54"/>
        <v>0</v>
      </c>
      <c r="CA50" s="28">
        <f t="shared" si="55"/>
        <v>0</v>
      </c>
      <c r="CB50" s="150"/>
      <c r="CC50" s="37">
        <f t="shared" si="12"/>
        <v>-1</v>
      </c>
      <c r="CD50" s="36">
        <f>[1]IG!$O50</f>
        <v>1076.7833333333333</v>
      </c>
      <c r="CE50" s="28">
        <f t="shared" si="56"/>
        <v>999.36261166666668</v>
      </c>
      <c r="CF50" s="18">
        <f t="shared" si="57"/>
        <v>77.420721666666665</v>
      </c>
      <c r="CG50" s="28">
        <f t="shared" si="58"/>
        <v>0</v>
      </c>
      <c r="CH50" s="28">
        <f t="shared" si="59"/>
        <v>0</v>
      </c>
      <c r="CI50" s="150"/>
      <c r="CJ50" s="37">
        <f t="shared" si="13"/>
        <v>-1</v>
      </c>
      <c r="CK50" s="36">
        <f>[1]IG!$P50</f>
        <v>1076.7833333333333</v>
      </c>
      <c r="CL50" s="28">
        <f t="shared" si="60"/>
        <v>999.36261166666668</v>
      </c>
      <c r="CM50" s="18">
        <f t="shared" si="61"/>
        <v>77.420721666666665</v>
      </c>
      <c r="CN50" s="28">
        <f t="shared" si="62"/>
        <v>0</v>
      </c>
      <c r="CO50" s="28">
        <f t="shared" si="63"/>
        <v>0</v>
      </c>
      <c r="CP50" s="150"/>
      <c r="CQ50" s="37">
        <f t="shared" si="14"/>
        <v>-1</v>
      </c>
    </row>
    <row r="51" spans="1:99" s="26" customFormat="1" ht="16" customHeight="1" thickBot="1" x14ac:dyDescent="0.25">
      <c r="A51" s="29" t="s">
        <v>75</v>
      </c>
      <c r="B51" s="30">
        <f t="shared" si="64"/>
        <v>9711.8948999999993</v>
      </c>
      <c r="C51" s="31">
        <f t="shared" si="64"/>
        <v>9013.6096566899978</v>
      </c>
      <c r="D51" s="32">
        <f t="shared" si="64"/>
        <v>698.28524331000006</v>
      </c>
      <c r="E51" s="30">
        <f t="shared" si="66"/>
        <v>3237.2982999999999</v>
      </c>
      <c r="F51" s="33">
        <f t="shared" si="66"/>
        <v>3004.5365522299999</v>
      </c>
      <c r="G51" s="34">
        <f t="shared" si="66"/>
        <v>232.76174777</v>
      </c>
      <c r="H51" s="31">
        <f t="shared" si="65"/>
        <v>4444.4017510000003</v>
      </c>
      <c r="I51" s="33">
        <f t="shared" si="65"/>
        <v>344.30824900000005</v>
      </c>
      <c r="J51" s="33">
        <f t="shared" si="65"/>
        <v>4788.71</v>
      </c>
      <c r="K51" s="37">
        <f t="shared" si="2"/>
        <v>0.47923038170439836</v>
      </c>
      <c r="L51" s="36">
        <f>[1]IG!$E51</f>
        <v>809.32457499999998</v>
      </c>
      <c r="M51" s="31">
        <f t="shared" si="16"/>
        <v>751.13413805749997</v>
      </c>
      <c r="N51" s="31">
        <f t="shared" si="17"/>
        <v>58.1904369425</v>
      </c>
      <c r="O51" s="31">
        <f t="shared" si="18"/>
        <v>743.94639800000004</v>
      </c>
      <c r="P51" s="31">
        <f t="shared" si="19"/>
        <v>57.63360200000001</v>
      </c>
      <c r="Q51" s="31">
        <f>801.58</f>
        <v>801.58</v>
      </c>
      <c r="R51" s="31">
        <f t="shared" si="3"/>
        <v>-9.5691830437744096E-3</v>
      </c>
      <c r="S51" s="31">
        <f>[1]IG!$F51</f>
        <v>809.32457499999998</v>
      </c>
      <c r="T51" s="31">
        <f t="shared" si="20"/>
        <v>751.13413805749997</v>
      </c>
      <c r="U51" s="31">
        <f t="shared" si="21"/>
        <v>58.1904369425</v>
      </c>
      <c r="V51" s="31">
        <f t="shared" si="22"/>
        <v>724.586232</v>
      </c>
      <c r="W51" s="31">
        <f t="shared" si="23"/>
        <v>56.133768000000003</v>
      </c>
      <c r="X51" s="31">
        <f>780.72</f>
        <v>780.72</v>
      </c>
      <c r="Y51" s="31">
        <f t="shared" si="4"/>
        <v>-3.5343761802858809E-2</v>
      </c>
      <c r="Z51" s="31">
        <f>[1]IG!$G51</f>
        <v>809.32457499999998</v>
      </c>
      <c r="AA51" s="31">
        <f t="shared" si="24"/>
        <v>751.13413805749997</v>
      </c>
      <c r="AB51" s="31">
        <f t="shared" si="25"/>
        <v>58.1904369425</v>
      </c>
      <c r="AC51" s="31">
        <f t="shared" si="26"/>
        <v>673.93053399999997</v>
      </c>
      <c r="AD51" s="31">
        <f t="shared" si="27"/>
        <v>52.209466000000006</v>
      </c>
      <c r="AE51" s="31">
        <v>726.14</v>
      </c>
      <c r="AF51" s="31">
        <f t="shared" si="5"/>
        <v>-0.10278271236234238</v>
      </c>
      <c r="AG51" s="31">
        <f>[1]IG!$H51</f>
        <v>809.32457499999998</v>
      </c>
      <c r="AH51" s="31">
        <f t="shared" si="28"/>
        <v>751.13413805749997</v>
      </c>
      <c r="AI51" s="31">
        <f t="shared" si="29"/>
        <v>58.1904369425</v>
      </c>
      <c r="AJ51" s="31">
        <f t="shared" si="30"/>
        <v>898.75347799999997</v>
      </c>
      <c r="AK51" s="31">
        <f t="shared" si="31"/>
        <v>69.626522000000008</v>
      </c>
      <c r="AL51" s="31">
        <f>968.38</f>
        <v>968.38</v>
      </c>
      <c r="AM51" s="31">
        <f t="shared" si="6"/>
        <v>0.19652859917172294</v>
      </c>
      <c r="AN51" s="31">
        <f>[1]IG!$I51</f>
        <v>809.32457499999998</v>
      </c>
      <c r="AO51" s="31">
        <f t="shared" si="32"/>
        <v>751.13413805749997</v>
      </c>
      <c r="AP51" s="31">
        <f t="shared" si="33"/>
        <v>58.1904369425</v>
      </c>
      <c r="AQ51" s="31">
        <f t="shared" si="34"/>
        <v>738.14577300000008</v>
      </c>
      <c r="AR51" s="31">
        <f t="shared" si="35"/>
        <v>57.184227000000007</v>
      </c>
      <c r="AS51" s="45">
        <v>795.33</v>
      </c>
      <c r="AT51" s="37">
        <f t="shared" si="7"/>
        <v>-1.7291671885781956E-2</v>
      </c>
      <c r="AU51" s="36">
        <f>[1]IG!$J51</f>
        <v>809.32457499999998</v>
      </c>
      <c r="AV51" s="31">
        <f t="shared" si="36"/>
        <v>751.13413805749997</v>
      </c>
      <c r="AW51" s="18">
        <f t="shared" si="37"/>
        <v>58.1904369425</v>
      </c>
      <c r="AX51" s="31">
        <f t="shared" si="38"/>
        <v>665.03933599999993</v>
      </c>
      <c r="AY51" s="31">
        <f t="shared" si="39"/>
        <v>51.520664000000004</v>
      </c>
      <c r="AZ51" s="48">
        <v>716.56</v>
      </c>
      <c r="BA51" s="37">
        <f t="shared" si="8"/>
        <v>-0.11461974325937163</v>
      </c>
      <c r="BB51" s="36">
        <f>[1]IG!$K51</f>
        <v>809.32457499999998</v>
      </c>
      <c r="BC51" s="31">
        <f t="shared" si="40"/>
        <v>751.13413805749997</v>
      </c>
      <c r="BD51" s="18">
        <f t="shared" si="41"/>
        <v>58.1904369425</v>
      </c>
      <c r="BE51" s="31">
        <f t="shared" si="42"/>
        <v>0</v>
      </c>
      <c r="BF51" s="31">
        <f t="shared" si="43"/>
        <v>0</v>
      </c>
      <c r="BG51" s="45"/>
      <c r="BH51" s="37">
        <f t="shared" si="9"/>
        <v>-1</v>
      </c>
      <c r="BI51" s="36">
        <f>[1]IG!$L51</f>
        <v>809.32457499999998</v>
      </c>
      <c r="BJ51" s="31">
        <f t="shared" si="44"/>
        <v>751.13413805749997</v>
      </c>
      <c r="BK51" s="18">
        <f t="shared" si="45"/>
        <v>58.1904369425</v>
      </c>
      <c r="BL51" s="31">
        <f t="shared" si="46"/>
        <v>0</v>
      </c>
      <c r="BM51" s="31">
        <f t="shared" si="47"/>
        <v>0</v>
      </c>
      <c r="BN51" s="45"/>
      <c r="BO51" s="37">
        <f t="shared" si="10"/>
        <v>-1</v>
      </c>
      <c r="BP51" s="36">
        <f>[1]IG!$M51</f>
        <v>809.32457499999998</v>
      </c>
      <c r="BQ51" s="31">
        <f t="shared" si="48"/>
        <v>751.13413805749997</v>
      </c>
      <c r="BR51" s="18">
        <f t="shared" si="49"/>
        <v>58.1904369425</v>
      </c>
      <c r="BS51" s="31">
        <f t="shared" si="50"/>
        <v>0</v>
      </c>
      <c r="BT51" s="31">
        <f t="shared" si="51"/>
        <v>0</v>
      </c>
      <c r="BU51" s="45"/>
      <c r="BV51" s="37">
        <f t="shared" si="11"/>
        <v>-1</v>
      </c>
      <c r="BW51" s="36">
        <f>[1]IG!$N51</f>
        <v>809.32457499999998</v>
      </c>
      <c r="BX51" s="31">
        <f t="shared" si="52"/>
        <v>751.13413805749997</v>
      </c>
      <c r="BY51" s="18">
        <f t="shared" si="53"/>
        <v>58.1904369425</v>
      </c>
      <c r="BZ51" s="31">
        <f t="shared" si="54"/>
        <v>0</v>
      </c>
      <c r="CA51" s="31">
        <f t="shared" si="55"/>
        <v>0</v>
      </c>
      <c r="CB51" s="45"/>
      <c r="CC51" s="37">
        <f t="shared" si="12"/>
        <v>-1</v>
      </c>
      <c r="CD51" s="36">
        <f>[1]IG!$O51</f>
        <v>809.32457499999998</v>
      </c>
      <c r="CE51" s="31">
        <f t="shared" si="56"/>
        <v>751.13413805749997</v>
      </c>
      <c r="CF51" s="18">
        <f t="shared" si="57"/>
        <v>58.1904369425</v>
      </c>
      <c r="CG51" s="31">
        <f t="shared" si="58"/>
        <v>0</v>
      </c>
      <c r="CH51" s="31">
        <f t="shared" si="59"/>
        <v>0</v>
      </c>
      <c r="CI51" s="45"/>
      <c r="CJ51" s="37">
        <f t="shared" si="13"/>
        <v>-1</v>
      </c>
      <c r="CK51" s="36">
        <f>[1]IG!$P51</f>
        <v>809.32457499999998</v>
      </c>
      <c r="CL51" s="31">
        <f t="shared" si="60"/>
        <v>751.13413805749997</v>
      </c>
      <c r="CM51" s="18">
        <f t="shared" si="61"/>
        <v>58.1904369425</v>
      </c>
      <c r="CN51" s="31">
        <f t="shared" si="62"/>
        <v>0</v>
      </c>
      <c r="CO51" s="31">
        <f t="shared" si="63"/>
        <v>0</v>
      </c>
      <c r="CP51" s="45"/>
      <c r="CQ51" s="37">
        <f t="shared" si="14"/>
        <v>-1</v>
      </c>
    </row>
    <row r="52" spans="1:99" s="26" customFormat="1" ht="16" customHeight="1" thickBot="1" x14ac:dyDescent="0.25">
      <c r="A52" s="29" t="s">
        <v>76</v>
      </c>
      <c r="B52" s="30">
        <f t="shared" si="64"/>
        <v>49999.999999999993</v>
      </c>
      <c r="C52" s="31">
        <f t="shared" si="64"/>
        <v>46405.000000000007</v>
      </c>
      <c r="D52" s="32">
        <f t="shared" si="64"/>
        <v>3595.0000000000014</v>
      </c>
      <c r="E52" s="30">
        <f t="shared" si="66"/>
        <v>16666.666666666668</v>
      </c>
      <c r="F52" s="33">
        <f t="shared" si="66"/>
        <v>15468.333333333334</v>
      </c>
      <c r="G52" s="34">
        <f t="shared" si="66"/>
        <v>1198.3333333333335</v>
      </c>
      <c r="H52" s="31">
        <f t="shared" si="65"/>
        <v>11548.868036</v>
      </c>
      <c r="I52" s="33">
        <f t="shared" si="65"/>
        <v>894.69196399999998</v>
      </c>
      <c r="J52" s="33">
        <f t="shared" si="65"/>
        <v>12443.56</v>
      </c>
      <c r="K52" s="37">
        <f t="shared" si="2"/>
        <v>-0.25338640000000012</v>
      </c>
      <c r="L52" s="36">
        <f>[1]IG!$E52</f>
        <v>4166.666666666667</v>
      </c>
      <c r="M52" s="31">
        <f t="shared" si="16"/>
        <v>3867.0833333333335</v>
      </c>
      <c r="N52" s="31">
        <f t="shared" si="17"/>
        <v>299.58333333333337</v>
      </c>
      <c r="O52" s="31">
        <f t="shared" si="18"/>
        <v>6672.4171729999998</v>
      </c>
      <c r="P52" s="31">
        <f t="shared" si="19"/>
        <v>516.91282699999999</v>
      </c>
      <c r="Q52" s="31">
        <f>7189.33</f>
        <v>7189.33</v>
      </c>
      <c r="R52" s="31">
        <f t="shared" si="3"/>
        <v>0.72543919999999984</v>
      </c>
      <c r="S52" s="31">
        <f>[1]IG!$F52</f>
        <v>4166.666666666667</v>
      </c>
      <c r="T52" s="31">
        <f t="shared" si="20"/>
        <v>3867.0833333333335</v>
      </c>
      <c r="U52" s="31">
        <f t="shared" si="21"/>
        <v>299.58333333333337</v>
      </c>
      <c r="V52" s="31">
        <f t="shared" si="22"/>
        <v>573.89991599999996</v>
      </c>
      <c r="W52" s="31">
        <f t="shared" si="23"/>
        <v>44.460084000000002</v>
      </c>
      <c r="X52" s="31">
        <f>618.36</f>
        <v>618.36</v>
      </c>
      <c r="Y52" s="31">
        <f t="shared" si="4"/>
        <v>-0.85159359999999995</v>
      </c>
      <c r="Z52" s="31">
        <f>[1]IG!$G52</f>
        <v>4166.666666666667</v>
      </c>
      <c r="AA52" s="31">
        <f t="shared" si="24"/>
        <v>3867.0833333333335</v>
      </c>
      <c r="AB52" s="31">
        <f t="shared" si="25"/>
        <v>299.58333333333337</v>
      </c>
      <c r="AC52" s="31">
        <f t="shared" si="26"/>
        <v>1816.8392789999998</v>
      </c>
      <c r="AD52" s="31">
        <f t="shared" si="27"/>
        <v>140.750721</v>
      </c>
      <c r="AE52" s="31">
        <f>1957.59</f>
        <v>1957.59</v>
      </c>
      <c r="AF52" s="31">
        <f t="shared" si="5"/>
        <v>-0.53017840000000005</v>
      </c>
      <c r="AG52" s="31">
        <f>[1]IG!$H52</f>
        <v>4166.666666666667</v>
      </c>
      <c r="AH52" s="31">
        <f t="shared" si="28"/>
        <v>3867.0833333333335</v>
      </c>
      <c r="AI52" s="31">
        <f t="shared" si="29"/>
        <v>299.58333333333337</v>
      </c>
      <c r="AJ52" s="31">
        <f t="shared" si="30"/>
        <v>641.50272000000007</v>
      </c>
      <c r="AK52" s="31">
        <f t="shared" si="31"/>
        <v>49.697280000000006</v>
      </c>
      <c r="AL52" s="31">
        <f>691.2</f>
        <v>691.2</v>
      </c>
      <c r="AM52" s="31">
        <f t="shared" si="6"/>
        <v>-0.83411199999999996</v>
      </c>
      <c r="AN52" s="31">
        <f>[1]IG!$I52</f>
        <v>4166.666666666667</v>
      </c>
      <c r="AO52" s="31">
        <f t="shared" si="32"/>
        <v>3867.0833333333335</v>
      </c>
      <c r="AP52" s="31">
        <f t="shared" si="33"/>
        <v>299.58333333333337</v>
      </c>
      <c r="AQ52" s="31">
        <f t="shared" si="34"/>
        <v>390.35885999999999</v>
      </c>
      <c r="AR52" s="31">
        <f t="shared" si="35"/>
        <v>30.241140000000005</v>
      </c>
      <c r="AS52" s="33">
        <v>420.6</v>
      </c>
      <c r="AT52" s="37">
        <f t="shared" si="7"/>
        <v>-0.89905599999999997</v>
      </c>
      <c r="AU52" s="36">
        <f>[1]IG!$J52</f>
        <v>4166.666666666667</v>
      </c>
      <c r="AV52" s="31">
        <f t="shared" si="36"/>
        <v>3867.0833333333335</v>
      </c>
      <c r="AW52" s="18">
        <f t="shared" si="37"/>
        <v>299.58333333333337</v>
      </c>
      <c r="AX52" s="31">
        <f t="shared" si="38"/>
        <v>1453.8500879999999</v>
      </c>
      <c r="AY52" s="31">
        <f t="shared" si="39"/>
        <v>112.629912</v>
      </c>
      <c r="AZ52" s="27">
        <v>1566.48</v>
      </c>
      <c r="BA52" s="37">
        <f t="shared" si="8"/>
        <v>-0.62404480000000007</v>
      </c>
      <c r="BB52" s="36">
        <f>[1]IG!$K52</f>
        <v>4166.666666666667</v>
      </c>
      <c r="BC52" s="31">
        <f t="shared" si="40"/>
        <v>3867.0833333333335</v>
      </c>
      <c r="BD52" s="18">
        <f t="shared" si="41"/>
        <v>299.58333333333337</v>
      </c>
      <c r="BE52" s="31">
        <f t="shared" si="42"/>
        <v>0</v>
      </c>
      <c r="BF52" s="31">
        <f t="shared" si="43"/>
        <v>0</v>
      </c>
      <c r="BG52" s="33"/>
      <c r="BH52" s="37">
        <f t="shared" si="9"/>
        <v>-1</v>
      </c>
      <c r="BI52" s="36">
        <f>[1]IG!$L52</f>
        <v>4166.666666666667</v>
      </c>
      <c r="BJ52" s="31">
        <f t="shared" si="44"/>
        <v>3867.0833333333335</v>
      </c>
      <c r="BK52" s="18">
        <f t="shared" si="45"/>
        <v>299.58333333333337</v>
      </c>
      <c r="BL52" s="31">
        <f t="shared" si="46"/>
        <v>0</v>
      </c>
      <c r="BM52" s="31">
        <f t="shared" si="47"/>
        <v>0</v>
      </c>
      <c r="BN52" s="33"/>
      <c r="BO52" s="37">
        <f t="shared" si="10"/>
        <v>-1</v>
      </c>
      <c r="BP52" s="36">
        <f>[1]IG!$M52</f>
        <v>4166.666666666667</v>
      </c>
      <c r="BQ52" s="31">
        <f t="shared" si="48"/>
        <v>3867.0833333333335</v>
      </c>
      <c r="BR52" s="18">
        <f t="shared" si="49"/>
        <v>299.58333333333337</v>
      </c>
      <c r="BS52" s="31">
        <f t="shared" si="50"/>
        <v>0</v>
      </c>
      <c r="BT52" s="31">
        <f t="shared" si="51"/>
        <v>0</v>
      </c>
      <c r="BU52" s="33"/>
      <c r="BV52" s="37">
        <f t="shared" si="11"/>
        <v>-1</v>
      </c>
      <c r="BW52" s="36">
        <f>[1]IG!$N52</f>
        <v>4166.666666666667</v>
      </c>
      <c r="BX52" s="31">
        <f t="shared" si="52"/>
        <v>3867.0833333333335</v>
      </c>
      <c r="BY52" s="18">
        <f t="shared" si="53"/>
        <v>299.58333333333337</v>
      </c>
      <c r="BZ52" s="31">
        <f t="shared" si="54"/>
        <v>0</v>
      </c>
      <c r="CA52" s="31">
        <f t="shared" si="55"/>
        <v>0</v>
      </c>
      <c r="CB52" s="33"/>
      <c r="CC52" s="37">
        <f t="shared" si="12"/>
        <v>-1</v>
      </c>
      <c r="CD52" s="36">
        <f>[1]IG!$O52</f>
        <v>4166.666666666667</v>
      </c>
      <c r="CE52" s="31">
        <f t="shared" si="56"/>
        <v>3867.0833333333335</v>
      </c>
      <c r="CF52" s="18">
        <f t="shared" si="57"/>
        <v>299.58333333333337</v>
      </c>
      <c r="CG52" s="31">
        <f t="shared" si="58"/>
        <v>0</v>
      </c>
      <c r="CH52" s="31">
        <f t="shared" si="59"/>
        <v>0</v>
      </c>
      <c r="CI52" s="33"/>
      <c r="CJ52" s="37">
        <f t="shared" si="13"/>
        <v>-1</v>
      </c>
      <c r="CK52" s="36">
        <f>[1]IG!$P52</f>
        <v>4166.666666666667</v>
      </c>
      <c r="CL52" s="31">
        <f t="shared" si="60"/>
        <v>3867.0833333333335</v>
      </c>
      <c r="CM52" s="18">
        <f t="shared" si="61"/>
        <v>299.58333333333337</v>
      </c>
      <c r="CN52" s="31">
        <f t="shared" si="62"/>
        <v>0</v>
      </c>
      <c r="CO52" s="31">
        <f t="shared" si="63"/>
        <v>0</v>
      </c>
      <c r="CP52" s="33"/>
      <c r="CQ52" s="37">
        <f t="shared" si="14"/>
        <v>-1</v>
      </c>
    </row>
    <row r="53" spans="1:99" s="26" customFormat="1" ht="16" customHeight="1" thickBot="1" x14ac:dyDescent="0.25">
      <c r="A53" s="38" t="s">
        <v>77</v>
      </c>
      <c r="B53" s="30">
        <f t="shared" si="64"/>
        <v>35000.000000000007</v>
      </c>
      <c r="C53" s="31">
        <f t="shared" si="64"/>
        <v>32483.499999999989</v>
      </c>
      <c r="D53" s="32">
        <f t="shared" si="64"/>
        <v>2516.5</v>
      </c>
      <c r="E53" s="30">
        <f t="shared" si="66"/>
        <v>11666.666666666666</v>
      </c>
      <c r="F53" s="33">
        <f t="shared" si="66"/>
        <v>10827.833333333332</v>
      </c>
      <c r="G53" s="34">
        <f t="shared" si="66"/>
        <v>838.83333333333337</v>
      </c>
      <c r="H53" s="31">
        <f t="shared" si="65"/>
        <v>12784.438285</v>
      </c>
      <c r="I53" s="33">
        <f t="shared" si="65"/>
        <v>990.41171500000019</v>
      </c>
      <c r="J53" s="33">
        <f t="shared" si="65"/>
        <v>13774.85</v>
      </c>
      <c r="K53" s="37">
        <f t="shared" si="2"/>
        <v>0.18070142857142857</v>
      </c>
      <c r="L53" s="36">
        <f>[1]IG!$E53</f>
        <v>2916.6666666666665</v>
      </c>
      <c r="M53" s="31">
        <f t="shared" si="16"/>
        <v>2706.958333333333</v>
      </c>
      <c r="N53" s="31">
        <f t="shared" si="17"/>
        <v>209.70833333333334</v>
      </c>
      <c r="O53" s="31">
        <f t="shared" si="18"/>
        <v>204.18199999999999</v>
      </c>
      <c r="P53" s="31">
        <f t="shared" si="19"/>
        <v>15.818000000000001</v>
      </c>
      <c r="Q53" s="31">
        <f>220</f>
        <v>220</v>
      </c>
      <c r="R53" s="31">
        <f t="shared" si="3"/>
        <v>-0.9245714285714286</v>
      </c>
      <c r="S53" s="31">
        <f>[1]IG!$F53</f>
        <v>2916.6666666666665</v>
      </c>
      <c r="T53" s="31">
        <f t="shared" si="20"/>
        <v>2706.958333333333</v>
      </c>
      <c r="U53" s="31">
        <f t="shared" si="21"/>
        <v>209.70833333333334</v>
      </c>
      <c r="V53" s="31">
        <f t="shared" si="22"/>
        <v>0</v>
      </c>
      <c r="W53" s="31">
        <f t="shared" si="23"/>
        <v>0</v>
      </c>
      <c r="X53" s="31"/>
      <c r="Y53" s="31">
        <f t="shared" si="4"/>
        <v>-1</v>
      </c>
      <c r="Z53" s="31">
        <f>[1]IG!$G53</f>
        <v>2916.6666666666665</v>
      </c>
      <c r="AA53" s="31">
        <f t="shared" si="24"/>
        <v>2706.958333333333</v>
      </c>
      <c r="AB53" s="31">
        <f t="shared" si="25"/>
        <v>209.70833333333334</v>
      </c>
      <c r="AC53" s="31">
        <f t="shared" si="26"/>
        <v>0</v>
      </c>
      <c r="AD53" s="31">
        <f t="shared" si="27"/>
        <v>0</v>
      </c>
      <c r="AE53" s="31"/>
      <c r="AF53" s="31">
        <f t="shared" si="5"/>
        <v>-1</v>
      </c>
      <c r="AG53" s="31">
        <f>[1]IG!$H53</f>
        <v>2916.6666666666665</v>
      </c>
      <c r="AH53" s="31">
        <f t="shared" si="28"/>
        <v>2706.958333333333</v>
      </c>
      <c r="AI53" s="31">
        <f t="shared" si="29"/>
        <v>209.70833333333334</v>
      </c>
      <c r="AJ53" s="31">
        <f t="shared" si="30"/>
        <v>0</v>
      </c>
      <c r="AK53" s="31">
        <f t="shared" si="31"/>
        <v>0</v>
      </c>
      <c r="AL53" s="31"/>
      <c r="AM53" s="31">
        <f t="shared" si="6"/>
        <v>-1</v>
      </c>
      <c r="AN53" s="31">
        <f>[1]IG!$I53</f>
        <v>2916.6666666666665</v>
      </c>
      <c r="AO53" s="31">
        <f t="shared" si="32"/>
        <v>2706.958333333333</v>
      </c>
      <c r="AP53" s="31">
        <f t="shared" si="33"/>
        <v>209.70833333333334</v>
      </c>
      <c r="AQ53" s="31">
        <f t="shared" si="34"/>
        <v>6258.8372509999999</v>
      </c>
      <c r="AR53" s="31">
        <f t="shared" si="35"/>
        <v>484.87274900000006</v>
      </c>
      <c r="AS53" s="33">
        <v>6743.71</v>
      </c>
      <c r="AT53" s="37">
        <f t="shared" si="7"/>
        <v>1.3121291428571431</v>
      </c>
      <c r="AU53" s="36">
        <f>[1]IG!$J53</f>
        <v>2916.6666666666665</v>
      </c>
      <c r="AV53" s="31">
        <f t="shared" si="36"/>
        <v>2706.958333333333</v>
      </c>
      <c r="AW53" s="18">
        <f t="shared" si="37"/>
        <v>209.70833333333334</v>
      </c>
      <c r="AX53" s="31">
        <f t="shared" si="38"/>
        <v>6321.4190340000005</v>
      </c>
      <c r="AY53" s="31">
        <f t="shared" si="39"/>
        <v>489.72096600000009</v>
      </c>
      <c r="AZ53" s="27">
        <v>6811.14</v>
      </c>
      <c r="BA53" s="37">
        <f t="shared" si="8"/>
        <v>1.3352480000000004</v>
      </c>
      <c r="BB53" s="36">
        <f>[1]IG!$K53</f>
        <v>2916.6666666666665</v>
      </c>
      <c r="BC53" s="31">
        <f t="shared" si="40"/>
        <v>2706.958333333333</v>
      </c>
      <c r="BD53" s="18">
        <f t="shared" si="41"/>
        <v>209.70833333333334</v>
      </c>
      <c r="BE53" s="31">
        <f t="shared" si="42"/>
        <v>0</v>
      </c>
      <c r="BF53" s="31">
        <f t="shared" si="43"/>
        <v>0</v>
      </c>
      <c r="BG53" s="33"/>
      <c r="BH53" s="37">
        <f t="shared" si="9"/>
        <v>-1</v>
      </c>
      <c r="BI53" s="36">
        <f>[1]IG!$L53</f>
        <v>2916.6666666666665</v>
      </c>
      <c r="BJ53" s="31">
        <f t="shared" si="44"/>
        <v>2706.958333333333</v>
      </c>
      <c r="BK53" s="18">
        <f t="shared" si="45"/>
        <v>209.70833333333334</v>
      </c>
      <c r="BL53" s="31">
        <f t="shared" si="46"/>
        <v>0</v>
      </c>
      <c r="BM53" s="31">
        <f t="shared" si="47"/>
        <v>0</v>
      </c>
      <c r="BN53" s="33"/>
      <c r="BO53" s="37">
        <f t="shared" si="10"/>
        <v>-1</v>
      </c>
      <c r="BP53" s="36">
        <f>[1]IG!$M53</f>
        <v>2916.6666666666665</v>
      </c>
      <c r="BQ53" s="31">
        <f t="shared" si="48"/>
        <v>2706.958333333333</v>
      </c>
      <c r="BR53" s="18">
        <f t="shared" si="49"/>
        <v>209.70833333333334</v>
      </c>
      <c r="BS53" s="31">
        <f t="shared" si="50"/>
        <v>0</v>
      </c>
      <c r="BT53" s="31">
        <f t="shared" si="51"/>
        <v>0</v>
      </c>
      <c r="BU53" s="33"/>
      <c r="BV53" s="37">
        <f t="shared" si="11"/>
        <v>-1</v>
      </c>
      <c r="BW53" s="36">
        <f>[1]IG!$N53</f>
        <v>2916.6666666666665</v>
      </c>
      <c r="BX53" s="31">
        <f t="shared" si="52"/>
        <v>2706.958333333333</v>
      </c>
      <c r="BY53" s="18">
        <f t="shared" si="53"/>
        <v>209.70833333333334</v>
      </c>
      <c r="BZ53" s="31">
        <f t="shared" si="54"/>
        <v>0</v>
      </c>
      <c r="CA53" s="31">
        <f t="shared" si="55"/>
        <v>0</v>
      </c>
      <c r="CB53" s="33"/>
      <c r="CC53" s="37">
        <f t="shared" si="12"/>
        <v>-1</v>
      </c>
      <c r="CD53" s="36">
        <f>[1]IG!$O53</f>
        <v>2916.6666666666665</v>
      </c>
      <c r="CE53" s="31">
        <f t="shared" si="56"/>
        <v>2706.958333333333</v>
      </c>
      <c r="CF53" s="18">
        <f t="shared" si="57"/>
        <v>209.70833333333334</v>
      </c>
      <c r="CG53" s="31">
        <f t="shared" si="58"/>
        <v>0</v>
      </c>
      <c r="CH53" s="31">
        <f t="shared" si="59"/>
        <v>0</v>
      </c>
      <c r="CI53" s="33"/>
      <c r="CJ53" s="37">
        <f t="shared" si="13"/>
        <v>-1</v>
      </c>
      <c r="CK53" s="36">
        <f>[1]IG!$P53</f>
        <v>2916.6666666666665</v>
      </c>
      <c r="CL53" s="31">
        <f t="shared" si="60"/>
        <v>2706.958333333333</v>
      </c>
      <c r="CM53" s="18">
        <f t="shared" si="61"/>
        <v>209.70833333333334</v>
      </c>
      <c r="CN53" s="31">
        <f t="shared" si="62"/>
        <v>0</v>
      </c>
      <c r="CO53" s="31">
        <f t="shared" si="63"/>
        <v>0</v>
      </c>
      <c r="CP53" s="33"/>
      <c r="CQ53" s="37">
        <f t="shared" si="14"/>
        <v>-1</v>
      </c>
    </row>
    <row r="54" spans="1:99" s="26" customFormat="1" ht="16" customHeight="1" thickBot="1" x14ac:dyDescent="0.25">
      <c r="A54" s="39" t="s">
        <v>78</v>
      </c>
      <c r="B54" s="50">
        <f t="shared" si="64"/>
        <v>585649.99999999988</v>
      </c>
      <c r="C54" s="40">
        <f t="shared" si="64"/>
        <v>543541.7649999999</v>
      </c>
      <c r="D54" s="51">
        <f t="shared" si="64"/>
        <v>42108.234999999993</v>
      </c>
      <c r="E54" s="52">
        <f t="shared" si="66"/>
        <v>334657.14285714284</v>
      </c>
      <c r="F54" s="53">
        <f t="shared" si="66"/>
        <v>310595.29428571428</v>
      </c>
      <c r="G54" s="54">
        <f t="shared" si="66"/>
        <v>24061.848571428571</v>
      </c>
      <c r="H54" s="40">
        <f t="shared" si="65"/>
        <v>278118.64004677348</v>
      </c>
      <c r="I54" s="53">
        <f t="shared" si="65"/>
        <v>21545.878913223809</v>
      </c>
      <c r="J54" s="53">
        <f t="shared" si="65"/>
        <v>299664.51895999734</v>
      </c>
      <c r="K54" s="60">
        <f t="shared" si="2"/>
        <v>-0.10456260875950585</v>
      </c>
      <c r="L54" s="87">
        <f>[1]IG!$E54</f>
        <v>83664.28571428571</v>
      </c>
      <c r="M54" s="40">
        <f t="shared" si="16"/>
        <v>77648.823571428569</v>
      </c>
      <c r="N54" s="40">
        <f t="shared" si="17"/>
        <v>6015.4621428571427</v>
      </c>
      <c r="O54" s="40">
        <f t="shared" si="18"/>
        <v>0</v>
      </c>
      <c r="P54" s="40">
        <f t="shared" si="19"/>
        <v>0</v>
      </c>
      <c r="Q54" s="40"/>
      <c r="R54" s="40">
        <f t="shared" si="3"/>
        <v>-1</v>
      </c>
      <c r="S54" s="40">
        <f>[1]IG!$F54</f>
        <v>83664.28571428571</v>
      </c>
      <c r="T54" s="40">
        <f t="shared" si="20"/>
        <v>77648.823571428569</v>
      </c>
      <c r="U54" s="40">
        <f t="shared" si="21"/>
        <v>6015.4621428571427</v>
      </c>
      <c r="V54" s="40">
        <f t="shared" si="22"/>
        <v>121192.996423</v>
      </c>
      <c r="W54" s="40">
        <f t="shared" si="23"/>
        <v>9388.8335770000012</v>
      </c>
      <c r="X54" s="40">
        <v>130581.83</v>
      </c>
      <c r="Y54" s="40">
        <f t="shared" si="4"/>
        <v>0.56078342013147786</v>
      </c>
      <c r="Z54" s="40">
        <f>[1]IG!$G54</f>
        <v>83664.28571428571</v>
      </c>
      <c r="AA54" s="40">
        <f t="shared" si="24"/>
        <v>77648.823571428569</v>
      </c>
      <c r="AB54" s="40">
        <f t="shared" si="25"/>
        <v>6015.4621428571427</v>
      </c>
      <c r="AC54" s="40">
        <f t="shared" si="26"/>
        <v>94708.325493773518</v>
      </c>
      <c r="AD54" s="40">
        <f t="shared" si="27"/>
        <v>7337.063466223809</v>
      </c>
      <c r="AE54" s="40">
        <v>102045.38895999733</v>
      </c>
      <c r="AF54" s="40">
        <f t="shared" si="5"/>
        <v>0.21970071325874052</v>
      </c>
      <c r="AG54" s="40">
        <f>[1]IG!$H54</f>
        <v>83664.28571428571</v>
      </c>
      <c r="AH54" s="40">
        <f t="shared" si="28"/>
        <v>77648.823571428569</v>
      </c>
      <c r="AI54" s="40">
        <f t="shared" si="29"/>
        <v>6015.4621428571427</v>
      </c>
      <c r="AJ54" s="40">
        <f t="shared" si="30"/>
        <v>62217.31813</v>
      </c>
      <c r="AK54" s="40">
        <f t="shared" si="31"/>
        <v>4819.9818700000005</v>
      </c>
      <c r="AL54" s="40">
        <v>67037.3</v>
      </c>
      <c r="AM54" s="40">
        <f t="shared" si="6"/>
        <v>-0.198734568428242</v>
      </c>
      <c r="AN54" s="40">
        <f>[1]IG!$I54</f>
        <v>83664.28571428571</v>
      </c>
      <c r="AO54" s="40">
        <f t="shared" si="32"/>
        <v>77648.823571428569</v>
      </c>
      <c r="AP54" s="40">
        <f t="shared" si="33"/>
        <v>6015.4621428571427</v>
      </c>
      <c r="AQ54" s="40">
        <f t="shared" si="34"/>
        <v>0</v>
      </c>
      <c r="AR54" s="40">
        <f t="shared" si="35"/>
        <v>0</v>
      </c>
      <c r="AS54" s="58"/>
      <c r="AT54" s="60">
        <f t="shared" si="7"/>
        <v>-1</v>
      </c>
      <c r="AU54" s="56">
        <f>[1]IG!$J54</f>
        <v>83664.28571428571</v>
      </c>
      <c r="AV54" s="40">
        <f t="shared" si="36"/>
        <v>77648.823571428569</v>
      </c>
      <c r="AW54" s="18">
        <f t="shared" si="37"/>
        <v>6015.4621428571427</v>
      </c>
      <c r="AX54" s="40">
        <f t="shared" si="38"/>
        <v>0</v>
      </c>
      <c r="AY54" s="40">
        <f t="shared" si="39"/>
        <v>0</v>
      </c>
      <c r="AZ54" s="59"/>
      <c r="BA54" s="60">
        <f t="shared" si="8"/>
        <v>-1</v>
      </c>
      <c r="BB54" s="56">
        <f>[1]IG!$K54</f>
        <v>83664.28571428571</v>
      </c>
      <c r="BC54" s="40">
        <f t="shared" si="40"/>
        <v>77648.823571428569</v>
      </c>
      <c r="BD54" s="18">
        <f t="shared" si="41"/>
        <v>6015.4621428571427</v>
      </c>
      <c r="BE54" s="40">
        <f t="shared" si="42"/>
        <v>0</v>
      </c>
      <c r="BF54" s="40">
        <f t="shared" si="43"/>
        <v>0</v>
      </c>
      <c r="BG54" s="59"/>
      <c r="BH54" s="60">
        <f t="shared" si="9"/>
        <v>-1</v>
      </c>
      <c r="BI54" s="56">
        <f>[1]IG!$L54</f>
        <v>0</v>
      </c>
      <c r="BJ54" s="40">
        <f t="shared" si="44"/>
        <v>0</v>
      </c>
      <c r="BK54" s="18">
        <f t="shared" si="45"/>
        <v>0</v>
      </c>
      <c r="BL54" s="40">
        <f t="shared" si="46"/>
        <v>0</v>
      </c>
      <c r="BM54" s="40">
        <f t="shared" si="47"/>
        <v>0</v>
      </c>
      <c r="BN54" s="58"/>
      <c r="BO54" s="60" t="str">
        <f t="shared" si="10"/>
        <v/>
      </c>
      <c r="BP54" s="56">
        <f>[1]IG!$M54</f>
        <v>0</v>
      </c>
      <c r="BQ54" s="40">
        <f t="shared" si="48"/>
        <v>0</v>
      </c>
      <c r="BR54" s="18">
        <f t="shared" si="49"/>
        <v>0</v>
      </c>
      <c r="BS54" s="40">
        <f t="shared" si="50"/>
        <v>0</v>
      </c>
      <c r="BT54" s="40">
        <f t="shared" si="51"/>
        <v>0</v>
      </c>
      <c r="BU54" s="58"/>
      <c r="BV54" s="60" t="str">
        <f t="shared" si="11"/>
        <v/>
      </c>
      <c r="BW54" s="87">
        <f>[1]IG!$N54</f>
        <v>0</v>
      </c>
      <c r="BX54" s="40">
        <f t="shared" si="52"/>
        <v>0</v>
      </c>
      <c r="BY54" s="18">
        <f t="shared" si="53"/>
        <v>0</v>
      </c>
      <c r="BZ54" s="40">
        <f t="shared" si="54"/>
        <v>0</v>
      </c>
      <c r="CA54" s="40">
        <f t="shared" si="55"/>
        <v>0</v>
      </c>
      <c r="CB54" s="53"/>
      <c r="CC54" s="60" t="str">
        <f t="shared" si="12"/>
        <v/>
      </c>
      <c r="CD54" s="87">
        <f>[1]IG!$O54</f>
        <v>0</v>
      </c>
      <c r="CE54" s="40">
        <f t="shared" si="56"/>
        <v>0</v>
      </c>
      <c r="CF54" s="18">
        <f t="shared" si="57"/>
        <v>0</v>
      </c>
      <c r="CG54" s="40">
        <f t="shared" si="58"/>
        <v>0</v>
      </c>
      <c r="CH54" s="40">
        <f t="shared" si="59"/>
        <v>0</v>
      </c>
      <c r="CI54" s="53"/>
      <c r="CJ54" s="60" t="str">
        <f t="shared" si="13"/>
        <v/>
      </c>
      <c r="CK54" s="87">
        <f>[1]IG!$P54</f>
        <v>0</v>
      </c>
      <c r="CL54" s="40">
        <f t="shared" si="60"/>
        <v>0</v>
      </c>
      <c r="CM54" s="18">
        <f t="shared" si="61"/>
        <v>0</v>
      </c>
      <c r="CN54" s="40">
        <f t="shared" si="62"/>
        <v>0</v>
      </c>
      <c r="CO54" s="40">
        <f t="shared" si="63"/>
        <v>0</v>
      </c>
      <c r="CP54" s="53"/>
      <c r="CQ54" s="60" t="str">
        <f t="shared" si="14"/>
        <v/>
      </c>
    </row>
    <row r="55" spans="1:99" s="26" customFormat="1" ht="16" customHeight="1" thickBot="1" x14ac:dyDescent="0.25">
      <c r="A55" s="119" t="s">
        <v>79</v>
      </c>
      <c r="B55" s="63">
        <f t="shared" ref="B55:J55" si="67">SUM(B4:B54)</f>
        <v>27476931.223227691</v>
      </c>
      <c r="C55" s="64">
        <f t="shared" si="67"/>
        <v>25501339.868277621</v>
      </c>
      <c r="D55" s="65">
        <f t="shared" si="67"/>
        <v>1975591.3549500715</v>
      </c>
      <c r="E55" s="63">
        <f t="shared" si="67"/>
        <v>11534029.732762117</v>
      </c>
      <c r="F55" s="66">
        <f t="shared" si="67"/>
        <v>10704732.994976528</v>
      </c>
      <c r="G55" s="67">
        <f t="shared" si="67"/>
        <v>829296.7377855964</v>
      </c>
      <c r="H55" s="64">
        <f t="shared" si="67"/>
        <v>16718721.276383778</v>
      </c>
      <c r="I55" s="66">
        <f t="shared" si="67"/>
        <v>1295201.0125762238</v>
      </c>
      <c r="J55" s="66">
        <f t="shared" si="67"/>
        <v>18013922.288960002</v>
      </c>
      <c r="K55" s="120">
        <f>+J55/E55-1</f>
        <v>0.56180647235475001</v>
      </c>
      <c r="L55" s="121">
        <f t="shared" ref="L55:X55" si="68">SUM(L4:L54)</f>
        <v>2827817.6670486508</v>
      </c>
      <c r="M55" s="121">
        <f t="shared" si="68"/>
        <v>2624497.5767878541</v>
      </c>
      <c r="N55" s="121">
        <f t="shared" si="17"/>
        <v>203320.090260798</v>
      </c>
      <c r="O55" s="121">
        <f t="shared" si="68"/>
        <v>3050498.1648296667</v>
      </c>
      <c r="P55" s="121">
        <f t="shared" si="68"/>
        <v>236322.39850366663</v>
      </c>
      <c r="Q55" s="121">
        <f t="shared" si="68"/>
        <v>3286820.5633333344</v>
      </c>
      <c r="R55" s="121">
        <f>+Q55/L55-1</f>
        <v>0.16231700566597618</v>
      </c>
      <c r="S55" s="121">
        <f t="shared" si="68"/>
        <v>2647344.5576246507</v>
      </c>
      <c r="T55" s="121">
        <f t="shared" si="68"/>
        <v>2457000.4839314399</v>
      </c>
      <c r="U55" s="121">
        <f t="shared" si="21"/>
        <v>190344.07369321238</v>
      </c>
      <c r="V55" s="121">
        <f t="shared" si="68"/>
        <v>2703840.4803806669</v>
      </c>
      <c r="W55" s="121">
        <f t="shared" si="68"/>
        <v>209466.79295266667</v>
      </c>
      <c r="X55" s="121">
        <f t="shared" si="68"/>
        <v>2913307.2733333339</v>
      </c>
      <c r="Y55" s="121">
        <f>+X55/S55-1</f>
        <v>0.1004639592314045</v>
      </c>
      <c r="Z55" s="121">
        <f t="shared" ref="Z55:AE55" si="69">SUM(Z4:Z54)</f>
        <v>3286491.2105908212</v>
      </c>
      <c r="AA55" s="121">
        <f t="shared" si="69"/>
        <v>3050192.4925493421</v>
      </c>
      <c r="AB55" s="121">
        <f t="shared" si="25"/>
        <v>236298.71804148005</v>
      </c>
      <c r="AC55" s="121">
        <f t="shared" si="69"/>
        <v>3050330.6232524402</v>
      </c>
      <c r="AD55" s="121">
        <f t="shared" si="69"/>
        <v>236309.41904089047</v>
      </c>
      <c r="AE55" s="121">
        <f t="shared" si="69"/>
        <v>3286640.0422933311</v>
      </c>
      <c r="AF55" s="121">
        <f>+AE55/Z55-1</f>
        <v>4.5285897017022236E-5</v>
      </c>
      <c r="AG55" s="121">
        <f t="shared" ref="AG55:AL55" si="70">SUM(AG4:AG54)</f>
        <v>2772376.2974979947</v>
      </c>
      <c r="AH55" s="121">
        <f t="shared" si="70"/>
        <v>2573042.4417078905</v>
      </c>
      <c r="AI55" s="121">
        <f t="shared" si="29"/>
        <v>199333.85579010582</v>
      </c>
      <c r="AJ55" s="121">
        <f t="shared" si="70"/>
        <v>2911155.5046746661</v>
      </c>
      <c r="AK55" s="121">
        <f t="shared" si="70"/>
        <v>225527.50865866669</v>
      </c>
      <c r="AL55" s="121">
        <f t="shared" si="70"/>
        <v>3136683.0133333337</v>
      </c>
      <c r="AM55" s="121">
        <f>+AL55/AG55-1</f>
        <v>0.13140594087610591</v>
      </c>
      <c r="AN55" s="121">
        <f t="shared" ref="AN55:AS55" si="71">SUM(AN4:AN54)</f>
        <v>2942177.9208806506</v>
      </c>
      <c r="AO55" s="121">
        <f t="shared" si="71"/>
        <v>2730635.3283693334</v>
      </c>
      <c r="AP55" s="121">
        <f t="shared" si="33"/>
        <v>211542.5925113188</v>
      </c>
      <c r="AQ55" s="121">
        <f t="shared" si="71"/>
        <v>2404375.0103516667</v>
      </c>
      <c r="AR55" s="121">
        <f t="shared" si="71"/>
        <v>186267.17298166669</v>
      </c>
      <c r="AS55" s="123">
        <f t="shared" si="71"/>
        <v>2590642.1833333345</v>
      </c>
      <c r="AT55" s="120">
        <f>+AS55/AN55-1</f>
        <v>-0.11948146815067351</v>
      </c>
      <c r="AU55" s="121">
        <f t="shared" ref="AU55:AZ55" si="72">SUM(AU4:AU54)</f>
        <v>2945637.0749862506</v>
      </c>
      <c r="AV55" s="121">
        <f t="shared" si="72"/>
        <v>2733845.7692947411</v>
      </c>
      <c r="AW55" s="18">
        <f t="shared" si="37"/>
        <v>211791.30569151143</v>
      </c>
      <c r="AX55" s="122">
        <f t="shared" si="72"/>
        <v>2598521.4928946663</v>
      </c>
      <c r="AY55" s="122">
        <f t="shared" si="72"/>
        <v>201307.72043866667</v>
      </c>
      <c r="AZ55" s="123">
        <f t="shared" si="72"/>
        <v>2799829.2133333329</v>
      </c>
      <c r="BA55" s="120">
        <f>+AZ55/AU55-1</f>
        <v>-4.9499601594197862E-2</v>
      </c>
      <c r="BB55" s="121">
        <f t="shared" ref="BB55:BG55" si="73">SUM(BB4:BB54)</f>
        <v>3348261.474230207</v>
      </c>
      <c r="BC55" s="121">
        <f t="shared" si="73"/>
        <v>3107521.4742330569</v>
      </c>
      <c r="BD55" s="18">
        <f t="shared" si="41"/>
        <v>240739.9999971519</v>
      </c>
      <c r="BE55" s="122">
        <f t="shared" si="73"/>
        <v>0</v>
      </c>
      <c r="BF55" s="122">
        <f t="shared" si="73"/>
        <v>0</v>
      </c>
      <c r="BG55" s="123">
        <f t="shared" si="73"/>
        <v>0</v>
      </c>
      <c r="BH55" s="120">
        <f>+BG55/BB55-1</f>
        <v>-1</v>
      </c>
      <c r="BI55" s="121">
        <f t="shared" ref="BI55:BN55" si="74">SUM(BI4:BI54)</f>
        <v>1441780.8292224573</v>
      </c>
      <c r="BJ55" s="121">
        <f t="shared" si="74"/>
        <v>1338116.787601362</v>
      </c>
      <c r="BK55" s="18">
        <f t="shared" si="45"/>
        <v>103664.04162109469</v>
      </c>
      <c r="BL55" s="121">
        <f t="shared" si="74"/>
        <v>0</v>
      </c>
      <c r="BM55" s="122">
        <f t="shared" si="74"/>
        <v>0</v>
      </c>
      <c r="BN55" s="123">
        <f t="shared" si="74"/>
        <v>0</v>
      </c>
      <c r="BO55" s="120">
        <f>+BN55/BI55-1</f>
        <v>-1</v>
      </c>
      <c r="BP55" s="121">
        <f t="shared" ref="BP55:BU55" si="75">SUM(BP4:BP54)</f>
        <v>1644994.857994365</v>
      </c>
      <c r="BQ55" s="121">
        <f t="shared" si="75"/>
        <v>1526719.7277045692</v>
      </c>
      <c r="BR55" s="18">
        <f t="shared" si="49"/>
        <v>118275.13028979486</v>
      </c>
      <c r="BS55" s="121">
        <f t="shared" si="75"/>
        <v>0</v>
      </c>
      <c r="BT55" s="122">
        <f t="shared" si="75"/>
        <v>0</v>
      </c>
      <c r="BU55" s="123">
        <f t="shared" si="75"/>
        <v>0</v>
      </c>
      <c r="BV55" s="120">
        <f>+BU55/BP55-1</f>
        <v>-1</v>
      </c>
      <c r="BW55" s="121">
        <f t="shared" ref="BW55:CB55" si="76">SUM(BW4:BW54)</f>
        <v>1307574.2084365091</v>
      </c>
      <c r="BX55" s="121">
        <f t="shared" si="76"/>
        <v>1213559.6228499236</v>
      </c>
      <c r="BY55" s="18">
        <f t="shared" si="53"/>
        <v>94014.585586585017</v>
      </c>
      <c r="BZ55" s="121">
        <f t="shared" si="76"/>
        <v>0</v>
      </c>
      <c r="CA55" s="122">
        <f t="shared" si="76"/>
        <v>0</v>
      </c>
      <c r="CB55" s="123">
        <f t="shared" si="76"/>
        <v>0</v>
      </c>
      <c r="CC55" s="120">
        <f>+CB55/BW55-1</f>
        <v>-1</v>
      </c>
      <c r="CD55" s="121">
        <f t="shared" ref="CD55:CI55" si="77">SUM(CD4:CD54)</f>
        <v>1157485.9380263658</v>
      </c>
      <c r="CE55" s="121">
        <f t="shared" si="77"/>
        <v>1074262.6990822698</v>
      </c>
      <c r="CF55" s="18">
        <f t="shared" si="57"/>
        <v>83223.238944095705</v>
      </c>
      <c r="CG55" s="122">
        <f t="shared" si="77"/>
        <v>0</v>
      </c>
      <c r="CH55" s="122">
        <f t="shared" si="77"/>
        <v>0</v>
      </c>
      <c r="CI55" s="123">
        <f t="shared" si="77"/>
        <v>0</v>
      </c>
      <c r="CJ55" s="120">
        <f>+CI55/CD55-1</f>
        <v>-1</v>
      </c>
      <c r="CK55" s="121">
        <f t="shared" ref="CK55:CP55" si="78">SUM(CK4:CK54)</f>
        <v>1154989.1866887659</v>
      </c>
      <c r="CL55" s="121">
        <f t="shared" si="78"/>
        <v>1071945.4641658433</v>
      </c>
      <c r="CM55" s="18">
        <f t="shared" si="61"/>
        <v>83043.722522922268</v>
      </c>
      <c r="CN55" s="122">
        <f t="shared" si="78"/>
        <v>0</v>
      </c>
      <c r="CO55" s="122">
        <f t="shared" si="78"/>
        <v>0</v>
      </c>
      <c r="CP55" s="123">
        <f t="shared" si="78"/>
        <v>0</v>
      </c>
      <c r="CQ55" s="120">
        <f>+CP55/CK55-1</f>
        <v>-1</v>
      </c>
      <c r="CR55" s="72"/>
      <c r="CS55" s="72"/>
      <c r="CT55" s="72"/>
      <c r="CU55" s="72"/>
    </row>
    <row r="56" spans="1:99" s="26" customFormat="1" ht="16" customHeight="1" thickBot="1" x14ac:dyDescent="0.25">
      <c r="A56" s="125" t="s">
        <v>80</v>
      </c>
      <c r="B56" s="75">
        <f>+L56+S56+Z56+AG56+AN56+AU56+BB56+BI56+BP56+BW56+CD56+CK56</f>
        <v>-550173.0103806227</v>
      </c>
      <c r="C56" s="76">
        <f t="shared" ref="C56:D57" si="79">+M56+T56+AA56+AH56+AO56+AV56+BC56+BJ56+BQ56+BX56+CE56+CL56</f>
        <v>-510615.5709342559</v>
      </c>
      <c r="D56" s="77">
        <f t="shared" si="79"/>
        <v>-39557.439446366792</v>
      </c>
      <c r="E56" s="75">
        <f>+L56+S56+Z56+AG56</f>
        <v>-183391.0034602076</v>
      </c>
      <c r="F56" s="78">
        <f t="shared" ref="F56:G57" si="80">+M56+T56+AA56+AH56</f>
        <v>-170205.19031141867</v>
      </c>
      <c r="G56" s="79">
        <f t="shared" si="80"/>
        <v>-13185.813148788928</v>
      </c>
      <c r="H56" s="76">
        <f t="shared" ref="H56:J57" si="81">+O56+V56+AC56+AJ56+AQ56+AX56+BE56+BL56+BS56+BZ56+CG56+CN56</f>
        <v>-385313.81977199996</v>
      </c>
      <c r="I56" s="78">
        <f t="shared" si="81"/>
        <v>-29850.300228</v>
      </c>
      <c r="J56" s="78">
        <f t="shared" si="81"/>
        <v>-415164.11999999994</v>
      </c>
      <c r="K56" s="25">
        <f t="shared" ref="K56:K57" si="82">IF(E56=0,"",(+J56/E56-1))</f>
        <v>1.2638194467924526</v>
      </c>
      <c r="L56" s="23">
        <f>[1]IG!$E56</f>
        <v>-45847.750865051901</v>
      </c>
      <c r="M56" s="18">
        <f t="shared" ref="M56:M57" si="83">L56-N56</f>
        <v>-42551.297577854668</v>
      </c>
      <c r="N56" s="18">
        <f t="shared" si="17"/>
        <v>-3296.4532871972319</v>
      </c>
      <c r="O56" s="18">
        <f t="shared" ref="O56:O57" si="84">+Q56-P56</f>
        <v>0</v>
      </c>
      <c r="P56" s="18">
        <f t="shared" ref="P56:P57" si="85">+Q56*7.19%</f>
        <v>0</v>
      </c>
      <c r="Q56" s="18"/>
      <c r="R56" s="18">
        <f t="shared" ref="R56:R57" si="86">IF(L56=0,"",(+Q56/L56-1))</f>
        <v>-1</v>
      </c>
      <c r="S56" s="18">
        <f>[1]IG!$F56</f>
        <v>-45847.750865051901</v>
      </c>
      <c r="T56" s="18">
        <f t="shared" ref="T56:T57" si="87">S56-U56</f>
        <v>-42551.297577854668</v>
      </c>
      <c r="U56" s="18">
        <f t="shared" si="21"/>
        <v>-3296.4532871972319</v>
      </c>
      <c r="V56" s="18">
        <f t="shared" ref="V56:V57" si="88">+X56-W56</f>
        <v>-144609.92464700001</v>
      </c>
      <c r="W56" s="18">
        <f t="shared" ref="W56:W57" si="89">+X56*7.19%</f>
        <v>-11202.945353000001</v>
      </c>
      <c r="X56" s="18">
        <v>-155812.87</v>
      </c>
      <c r="Y56" s="18">
        <f>IF(S56=0,"",(+X56/S56-1))</f>
        <v>2.3984844852830189</v>
      </c>
      <c r="Z56" s="18">
        <f>[1]IG!$G56</f>
        <v>-45847.750865051901</v>
      </c>
      <c r="AA56" s="18">
        <f t="shared" ref="AA56:AA57" si="90">Z56-AB56</f>
        <v>-42551.297577854668</v>
      </c>
      <c r="AB56" s="18">
        <f t="shared" si="25"/>
        <v>-3296.4532871972319</v>
      </c>
      <c r="AC56" s="18">
        <f t="shared" ref="AC56:AC57" si="91">+AE56-AD56</f>
        <v>772.698936</v>
      </c>
      <c r="AD56" s="18">
        <f t="shared" ref="AD56:AD57" si="92">+AE56*7.19%</f>
        <v>59.861063999999999</v>
      </c>
      <c r="AE56" s="18">
        <f>832.56</f>
        <v>832.56</v>
      </c>
      <c r="AF56" s="18">
        <f t="shared" ref="AF56:AF57" si="93">IF(Z56=0,"",(+AE56/Z56-1))</f>
        <v>-1.0181592332075471</v>
      </c>
      <c r="AG56" s="18">
        <f>[1]IG!$H56</f>
        <v>-45847.750865051901</v>
      </c>
      <c r="AH56" s="18">
        <f t="shared" ref="AH56:AH57" si="94">AG56-AI56</f>
        <v>-42551.297577854668</v>
      </c>
      <c r="AI56" s="18">
        <f t="shared" si="29"/>
        <v>-3296.4532871972319</v>
      </c>
      <c r="AJ56" s="18">
        <f t="shared" ref="AJ56:AJ57" si="95">+AL56-AK56</f>
        <v>-132163.42613399998</v>
      </c>
      <c r="AK56" s="18">
        <f t="shared" ref="AK56:AK57" si="96">+AL56*7.19%</f>
        <v>-10238.713866</v>
      </c>
      <c r="AL56" s="18">
        <f>-143381.99+979.85</f>
        <v>-142402.13999999998</v>
      </c>
      <c r="AM56" s="18">
        <f t="shared" ref="AM56:AM57" si="97">IF(AG56=0,"",(+AL56/AG56-1))</f>
        <v>2.105978751698113</v>
      </c>
      <c r="AN56" s="18">
        <f>[1]IG!$I56</f>
        <v>-45847.750865051901</v>
      </c>
      <c r="AO56" s="18">
        <f t="shared" ref="AO56:AO57" si="98">AN56-AP56</f>
        <v>-42551.297577854668</v>
      </c>
      <c r="AP56" s="18">
        <f t="shared" si="33"/>
        <v>-3296.4532871972319</v>
      </c>
      <c r="AQ56" s="18">
        <f t="shared" ref="AQ56:AQ57" si="99">+AS56-AR56</f>
        <v>-110376.371444</v>
      </c>
      <c r="AR56" s="18">
        <f t="shared" ref="AR56:AR57" si="100">+AS56*7.19%</f>
        <v>-8550.8685560000013</v>
      </c>
      <c r="AS56" s="20">
        <v>-118927.24</v>
      </c>
      <c r="AT56" s="25">
        <f t="shared" ref="AT56:AT57" si="101">IF(AN56=0,"",(+AS56/AN56-1))</f>
        <v>1.5939601781132078</v>
      </c>
      <c r="AU56" s="23">
        <f>[1]IG!$J56</f>
        <v>-45847.750865051901</v>
      </c>
      <c r="AV56" s="18">
        <f t="shared" ref="AV56:AV57" si="102">AU56-AW56</f>
        <v>-42551.297577854668</v>
      </c>
      <c r="AW56" s="18">
        <f t="shared" si="37"/>
        <v>-3296.4532871972319</v>
      </c>
      <c r="AX56" s="18">
        <f t="shared" ref="AX56:AX57" si="103">+AZ56-AY56</f>
        <v>1063.2035169999999</v>
      </c>
      <c r="AY56" s="18">
        <f t="shared" ref="AY56:AY57" si="104">+AZ56*7.19%</f>
        <v>82.366483000000002</v>
      </c>
      <c r="AZ56" s="20">
        <v>1145.57</v>
      </c>
      <c r="BA56" s="25">
        <f t="shared" ref="BA56:BA57" si="105">IF(AU56=0,"",(+AZ56/AU56-1))</f>
        <v>-1.0249863947169811</v>
      </c>
      <c r="BB56" s="23">
        <f>[1]IG!$K56</f>
        <v>-45847.750865051901</v>
      </c>
      <c r="BC56" s="18">
        <f t="shared" ref="BC56:BC57" si="106">BB56-BD56</f>
        <v>-42551.297577854668</v>
      </c>
      <c r="BD56" s="18">
        <f t="shared" si="41"/>
        <v>-3296.4532871972319</v>
      </c>
      <c r="BE56" s="18">
        <f t="shared" ref="BE56:BE57" si="107">+BG56-BF56</f>
        <v>0</v>
      </c>
      <c r="BF56" s="18">
        <f t="shared" ref="BF56:BF57" si="108">+BG56*7.19%</f>
        <v>0</v>
      </c>
      <c r="BG56" s="20"/>
      <c r="BH56" s="25">
        <f t="shared" ref="BH56:BH57" si="109">IF(BB56=0,"",(+BG56/BB56-1))</f>
        <v>-1</v>
      </c>
      <c r="BI56" s="23">
        <f>[1]IG!$L56</f>
        <v>-45847.750865051901</v>
      </c>
      <c r="BJ56" s="18">
        <f t="shared" ref="BJ56:BJ57" si="110">BI56-BK56</f>
        <v>-42551.297577854668</v>
      </c>
      <c r="BK56" s="18">
        <f t="shared" si="45"/>
        <v>-3296.4532871972319</v>
      </c>
      <c r="BL56" s="18">
        <f t="shared" ref="BL56:BL57" si="111">+BN56-BM56</f>
        <v>0</v>
      </c>
      <c r="BM56" s="18">
        <f t="shared" ref="BM56:BM57" si="112">+BN56*7.19%</f>
        <v>0</v>
      </c>
      <c r="BN56" s="20"/>
      <c r="BO56" s="25">
        <f t="shared" ref="BO56:BO57" si="113">IF(BI56=0,"",(+BN56/BI56-1))</f>
        <v>-1</v>
      </c>
      <c r="BP56" s="23">
        <f>[1]IG!$M56</f>
        <v>-45847.750865051901</v>
      </c>
      <c r="BQ56" s="18">
        <f t="shared" ref="BQ56:BQ57" si="114">BP56-BR56</f>
        <v>-42551.297577854668</v>
      </c>
      <c r="BR56" s="18">
        <f t="shared" si="49"/>
        <v>-3296.4532871972319</v>
      </c>
      <c r="BS56" s="18">
        <f t="shared" ref="BS56:BS57" si="115">+BU56-BT56</f>
        <v>0</v>
      </c>
      <c r="BT56" s="18">
        <f t="shared" ref="BT56:BT57" si="116">+BU56*7.19%</f>
        <v>0</v>
      </c>
      <c r="BU56" s="20"/>
      <c r="BV56" s="25">
        <f t="shared" ref="BV56:BV57" si="117">IF(BP56=0,"",(+BU56/BP56-1))</f>
        <v>-1</v>
      </c>
      <c r="BW56" s="23">
        <f>[1]IG!$N56</f>
        <v>-45847.750865051901</v>
      </c>
      <c r="BX56" s="18">
        <f t="shared" ref="BX56:BX57" si="118">BW56-BY56</f>
        <v>-42551.297577854668</v>
      </c>
      <c r="BY56" s="18">
        <f t="shared" si="53"/>
        <v>-3296.4532871972319</v>
      </c>
      <c r="BZ56" s="18">
        <f t="shared" ref="BZ56:BZ57" si="119">+CB56-CA56</f>
        <v>0</v>
      </c>
      <c r="CA56" s="18">
        <f t="shared" ref="CA56:CA57" si="120">+CB56*7.19%</f>
        <v>0</v>
      </c>
      <c r="CB56" s="20"/>
      <c r="CC56" s="25">
        <f t="shared" ref="CC56:CC57" si="121">IF(BW56=0,"",(+CB56/BW56-1))</f>
        <v>-1</v>
      </c>
      <c r="CD56" s="23">
        <f>[1]IG!$O56</f>
        <v>-45847.750865051901</v>
      </c>
      <c r="CE56" s="18">
        <f t="shared" ref="CE56:CE57" si="122">CD56-CF56</f>
        <v>-42551.297577854668</v>
      </c>
      <c r="CF56" s="18">
        <f t="shared" si="57"/>
        <v>-3296.4532871972319</v>
      </c>
      <c r="CG56" s="18">
        <f t="shared" ref="CG56:CG57" si="123">+CI56-CH56</f>
        <v>0</v>
      </c>
      <c r="CH56" s="18">
        <f t="shared" ref="CH56:CH57" si="124">+CI56*7.19%</f>
        <v>0</v>
      </c>
      <c r="CI56" s="20"/>
      <c r="CJ56" s="25">
        <f t="shared" ref="CJ56:CJ57" si="125">IF(CD56=0,"",(+CI56/CD56-1))</f>
        <v>-1</v>
      </c>
      <c r="CK56" s="23">
        <f>[1]IG!$P56</f>
        <v>-45847.750865051901</v>
      </c>
      <c r="CL56" s="18">
        <f t="shared" ref="CL56:CL57" si="126">CK56-CM56</f>
        <v>-42551.297577854668</v>
      </c>
      <c r="CM56" s="18">
        <f t="shared" si="61"/>
        <v>-3296.4532871972319</v>
      </c>
      <c r="CN56" s="18">
        <f t="shared" ref="CN56:CN57" si="127">+CP56-CO56</f>
        <v>0</v>
      </c>
      <c r="CO56" s="18">
        <f t="shared" ref="CO56:CO57" si="128">+CP56*7.19%</f>
        <v>0</v>
      </c>
      <c r="CP56" s="20"/>
      <c r="CQ56" s="25">
        <f t="shared" ref="CQ56:CQ57" si="129">IF(CK56=0,"",(+CP56/CK56-1))</f>
        <v>-1</v>
      </c>
    </row>
    <row r="57" spans="1:99" s="26" customFormat="1" ht="16" customHeight="1" thickBot="1" x14ac:dyDescent="0.25">
      <c r="A57" s="126" t="s">
        <v>81</v>
      </c>
      <c r="B57" s="52">
        <f>+L57+S57+Z57+AG57+AN57+AU57+BB57+BI57+BP57+BW57+CD57+CK57</f>
        <v>-183391.0034602076</v>
      </c>
      <c r="C57" s="40">
        <f t="shared" si="79"/>
        <v>-170205.19031141867</v>
      </c>
      <c r="D57" s="51">
        <f t="shared" si="79"/>
        <v>-13185.813148788931</v>
      </c>
      <c r="E57" s="50">
        <f>+L57+S57+Z57+AG57</f>
        <v>-61130.334486735868</v>
      </c>
      <c r="F57" s="58">
        <f t="shared" si="80"/>
        <v>-56735.063437139557</v>
      </c>
      <c r="G57" s="85">
        <f t="shared" si="80"/>
        <v>-4395.2710495963092</v>
      </c>
      <c r="H57" s="57">
        <f t="shared" si="81"/>
        <v>-88057.162776000012</v>
      </c>
      <c r="I57" s="58">
        <f t="shared" si="81"/>
        <v>-6821.7972239999999</v>
      </c>
      <c r="J57" s="58">
        <f t="shared" si="81"/>
        <v>-94878.96</v>
      </c>
      <c r="K57" s="127">
        <f t="shared" si="82"/>
        <v>0.55207657207547189</v>
      </c>
      <c r="L57" s="56">
        <f>[1]IG!$E57</f>
        <v>-15282.583621683967</v>
      </c>
      <c r="M57" s="57">
        <f t="shared" si="83"/>
        <v>-14183.765859284889</v>
      </c>
      <c r="N57" s="57">
        <f t="shared" si="17"/>
        <v>-1098.8177623990773</v>
      </c>
      <c r="O57" s="57">
        <f t="shared" si="84"/>
        <v>-55925.199213</v>
      </c>
      <c r="P57" s="57">
        <f t="shared" si="85"/>
        <v>-4332.5307870000006</v>
      </c>
      <c r="Q57" s="57">
        <v>-60257.73</v>
      </c>
      <c r="R57" s="57">
        <f t="shared" si="86"/>
        <v>2.9429020309433964</v>
      </c>
      <c r="S57" s="57">
        <f>[1]IG!$F57</f>
        <v>-15282.583621683967</v>
      </c>
      <c r="T57" s="57">
        <f t="shared" si="87"/>
        <v>-14183.765859284889</v>
      </c>
      <c r="U57" s="57">
        <f t="shared" si="21"/>
        <v>-1098.8177623990773</v>
      </c>
      <c r="V57" s="57">
        <f t="shared" si="88"/>
        <v>-8263.004234</v>
      </c>
      <c r="W57" s="57">
        <f t="shared" si="89"/>
        <v>-640.13576599999999</v>
      </c>
      <c r="X57" s="57">
        <v>-8903.14</v>
      </c>
      <c r="Y57" s="57">
        <f>IF(S57=0,"",(+X57/S57-1))</f>
        <v>-0.41743227320754717</v>
      </c>
      <c r="Z57" s="57">
        <f>[1]IG!$G57</f>
        <v>-15282.583621683967</v>
      </c>
      <c r="AA57" s="57">
        <f t="shared" si="90"/>
        <v>-14183.765859284889</v>
      </c>
      <c r="AB57" s="57">
        <f t="shared" si="25"/>
        <v>-1098.8177623990773</v>
      </c>
      <c r="AC57" s="57">
        <f t="shared" si="91"/>
        <v>-36329.778424999997</v>
      </c>
      <c r="AD57" s="57">
        <f t="shared" si="92"/>
        <v>-2814.471575</v>
      </c>
      <c r="AE57" s="57">
        <v>-39144.25</v>
      </c>
      <c r="AF57" s="57">
        <f t="shared" si="93"/>
        <v>1.5613633773584907</v>
      </c>
      <c r="AG57" s="57">
        <f>[1]IG!$H57</f>
        <v>-15282.583621683967</v>
      </c>
      <c r="AH57" s="57">
        <f t="shared" si="94"/>
        <v>-14183.765859284889</v>
      </c>
      <c r="AI57" s="57">
        <f t="shared" si="29"/>
        <v>-1098.8177623990773</v>
      </c>
      <c r="AJ57" s="57">
        <f t="shared" si="95"/>
        <v>0</v>
      </c>
      <c r="AK57" s="57">
        <f t="shared" si="96"/>
        <v>0</v>
      </c>
      <c r="AL57" s="57"/>
      <c r="AM57" s="57">
        <f t="shared" si="97"/>
        <v>-1</v>
      </c>
      <c r="AN57" s="57">
        <f>[1]IG!$I57</f>
        <v>-15282.583621683967</v>
      </c>
      <c r="AO57" s="57">
        <f t="shared" si="98"/>
        <v>-14183.765859284889</v>
      </c>
      <c r="AP57" s="57">
        <f t="shared" si="33"/>
        <v>-1098.8177623990773</v>
      </c>
      <c r="AQ57" s="57">
        <f t="shared" si="99"/>
        <v>5262.3641239999997</v>
      </c>
      <c r="AR57" s="57">
        <f t="shared" si="100"/>
        <v>407.67587600000002</v>
      </c>
      <c r="AS57" s="58">
        <v>5670.04</v>
      </c>
      <c r="AT57" s="127">
        <f t="shared" si="101"/>
        <v>-1.3710131833962265</v>
      </c>
      <c r="AU57" s="56">
        <f>[1]IG!$J57</f>
        <v>-15282.583621683967</v>
      </c>
      <c r="AV57" s="57">
        <f t="shared" si="102"/>
        <v>-14183.765859284889</v>
      </c>
      <c r="AW57" s="18">
        <f t="shared" si="37"/>
        <v>-1098.8177623990773</v>
      </c>
      <c r="AX57" s="57">
        <f t="shared" si="103"/>
        <v>7198.4549719999995</v>
      </c>
      <c r="AY57" s="57">
        <f t="shared" si="104"/>
        <v>557.66502800000001</v>
      </c>
      <c r="AZ57" s="58">
        <v>7756.12</v>
      </c>
      <c r="BA57" s="127">
        <f t="shared" si="105"/>
        <v>-1.5075136633962263</v>
      </c>
      <c r="BB57" s="56">
        <f>[1]IG!$K57</f>
        <v>-15282.583621683967</v>
      </c>
      <c r="BC57" s="57">
        <f t="shared" si="106"/>
        <v>-14183.765859284889</v>
      </c>
      <c r="BD57" s="18">
        <f t="shared" si="41"/>
        <v>-1098.8177623990773</v>
      </c>
      <c r="BE57" s="57">
        <f t="shared" si="107"/>
        <v>0</v>
      </c>
      <c r="BF57" s="57">
        <f t="shared" si="108"/>
        <v>0</v>
      </c>
      <c r="BG57" s="58"/>
      <c r="BH57" s="127">
        <f t="shared" si="109"/>
        <v>-1</v>
      </c>
      <c r="BI57" s="56">
        <f>[1]IG!$L57</f>
        <v>-15282.583621683967</v>
      </c>
      <c r="BJ57" s="57">
        <f t="shared" si="110"/>
        <v>-14183.765859284889</v>
      </c>
      <c r="BK57" s="18">
        <f t="shared" si="45"/>
        <v>-1098.8177623990773</v>
      </c>
      <c r="BL57" s="57">
        <f t="shared" si="111"/>
        <v>0</v>
      </c>
      <c r="BM57" s="57">
        <f t="shared" si="112"/>
        <v>0</v>
      </c>
      <c r="BN57" s="58"/>
      <c r="BO57" s="127">
        <f t="shared" si="113"/>
        <v>-1</v>
      </c>
      <c r="BP57" s="56">
        <f>[1]IG!$M57</f>
        <v>-15282.583621683967</v>
      </c>
      <c r="BQ57" s="57">
        <f t="shared" si="114"/>
        <v>-14183.765859284889</v>
      </c>
      <c r="BR57" s="18">
        <f t="shared" si="49"/>
        <v>-1098.8177623990773</v>
      </c>
      <c r="BS57" s="57">
        <f t="shared" si="115"/>
        <v>0</v>
      </c>
      <c r="BT57" s="57">
        <f t="shared" si="116"/>
        <v>0</v>
      </c>
      <c r="BU57" s="58"/>
      <c r="BV57" s="127">
        <f t="shared" si="117"/>
        <v>-1</v>
      </c>
      <c r="BW57" s="56">
        <f>[1]IG!$N57</f>
        <v>-15282.583621683967</v>
      </c>
      <c r="BX57" s="57">
        <f t="shared" si="118"/>
        <v>-14183.765859284889</v>
      </c>
      <c r="BY57" s="18">
        <f t="shared" si="53"/>
        <v>-1098.8177623990773</v>
      </c>
      <c r="BZ57" s="57">
        <f t="shared" si="119"/>
        <v>0</v>
      </c>
      <c r="CA57" s="57">
        <f t="shared" si="120"/>
        <v>0</v>
      </c>
      <c r="CB57" s="58"/>
      <c r="CC57" s="127">
        <f t="shared" si="121"/>
        <v>-1</v>
      </c>
      <c r="CD57" s="56">
        <f>[1]IG!$O57</f>
        <v>-15282.583621683967</v>
      </c>
      <c r="CE57" s="57">
        <f t="shared" si="122"/>
        <v>-14183.765859284889</v>
      </c>
      <c r="CF57" s="18">
        <f t="shared" si="57"/>
        <v>-1098.8177623990773</v>
      </c>
      <c r="CG57" s="57">
        <f t="shared" si="123"/>
        <v>0</v>
      </c>
      <c r="CH57" s="57">
        <f t="shared" si="124"/>
        <v>0</v>
      </c>
      <c r="CI57" s="58"/>
      <c r="CJ57" s="127">
        <f t="shared" si="125"/>
        <v>-1</v>
      </c>
      <c r="CK57" s="56">
        <f>[1]IG!$P57</f>
        <v>-15282.583621683967</v>
      </c>
      <c r="CL57" s="57">
        <f t="shared" si="126"/>
        <v>-14183.765859284889</v>
      </c>
      <c r="CM57" s="18">
        <f t="shared" si="61"/>
        <v>-1098.8177623990773</v>
      </c>
      <c r="CN57" s="57">
        <f t="shared" si="127"/>
        <v>0</v>
      </c>
      <c r="CO57" s="57">
        <f t="shared" si="128"/>
        <v>0</v>
      </c>
      <c r="CP57" s="58"/>
      <c r="CQ57" s="127">
        <f t="shared" si="129"/>
        <v>-1</v>
      </c>
    </row>
    <row r="58" spans="1:99" s="26" customFormat="1" ht="16" customHeight="1" thickBot="1" x14ac:dyDescent="0.25">
      <c r="A58" s="131" t="s">
        <v>82</v>
      </c>
      <c r="B58" s="89">
        <f>+B55+B56+B57</f>
        <v>26743367.209386863</v>
      </c>
      <c r="C58" s="90">
        <f t="shared" ref="C58:D58" si="130">+C55+C56+C57</f>
        <v>24820519.107031949</v>
      </c>
      <c r="D58" s="91">
        <f t="shared" si="130"/>
        <v>1922848.1023549158</v>
      </c>
      <c r="E58" s="92">
        <f t="shared" ref="E58:J58" si="131">SUM(E55:E57)</f>
        <v>11289508.394815173</v>
      </c>
      <c r="F58" s="93">
        <f t="shared" si="131"/>
        <v>10477792.74122797</v>
      </c>
      <c r="G58" s="94">
        <f t="shared" si="131"/>
        <v>811715.65358721127</v>
      </c>
      <c r="H58" s="95">
        <f t="shared" si="131"/>
        <v>16245350.293835778</v>
      </c>
      <c r="I58" s="96">
        <f t="shared" si="131"/>
        <v>1258528.9151242238</v>
      </c>
      <c r="J58" s="96">
        <f t="shared" si="131"/>
        <v>17503879.20896</v>
      </c>
      <c r="K58" s="132">
        <f>+J58/E55-1</f>
        <v>0.51758575402668483</v>
      </c>
      <c r="L58" s="133">
        <f t="shared" ref="L58:X58" si="132">SUM(L55:L57)</f>
        <v>2766687.3325619148</v>
      </c>
      <c r="M58" s="133">
        <f t="shared" si="132"/>
        <v>2567762.5133507145</v>
      </c>
      <c r="N58" s="133">
        <f t="shared" si="17"/>
        <v>198924.81921120168</v>
      </c>
      <c r="O58" s="133">
        <f t="shared" si="132"/>
        <v>2994572.9656166667</v>
      </c>
      <c r="P58" s="133">
        <f t="shared" si="132"/>
        <v>231989.86771666663</v>
      </c>
      <c r="Q58" s="133">
        <f t="shared" si="132"/>
        <v>3226562.8333333344</v>
      </c>
      <c r="R58" s="133">
        <f>+Q58/L55-1</f>
        <v>0.14100808935847975</v>
      </c>
      <c r="S58" s="133">
        <f t="shared" si="132"/>
        <v>2586214.2231379147</v>
      </c>
      <c r="T58" s="133">
        <f t="shared" si="132"/>
        <v>2400265.4204943003</v>
      </c>
      <c r="U58" s="133">
        <f t="shared" si="21"/>
        <v>185948.80264361607</v>
      </c>
      <c r="V58" s="133">
        <f t="shared" si="132"/>
        <v>2550967.5514996666</v>
      </c>
      <c r="W58" s="133">
        <f t="shared" si="132"/>
        <v>197623.71183366669</v>
      </c>
      <c r="X58" s="133">
        <f t="shared" si="132"/>
        <v>2748591.2633333337</v>
      </c>
      <c r="Y58" s="133">
        <f>+X58/S55-1</f>
        <v>3.8244627212230764E-2</v>
      </c>
      <c r="Z58" s="133">
        <f t="shared" ref="Z58:AE58" si="133">SUM(Z55:Z57)</f>
        <v>3225360.8761040852</v>
      </c>
      <c r="AA58" s="133">
        <f t="shared" si="133"/>
        <v>2993457.4291122025</v>
      </c>
      <c r="AB58" s="133">
        <f t="shared" si="25"/>
        <v>231903.44699188374</v>
      </c>
      <c r="AC58" s="133">
        <f t="shared" si="133"/>
        <v>3014773.5437634401</v>
      </c>
      <c r="AD58" s="133">
        <f t="shared" si="133"/>
        <v>233554.80852989046</v>
      </c>
      <c r="AE58" s="133">
        <f t="shared" si="133"/>
        <v>3248328.3522933312</v>
      </c>
      <c r="AF58" s="133">
        <f>+AE58/Z55-1</f>
        <v>-1.1612037231229833E-2</v>
      </c>
      <c r="AG58" s="133">
        <f t="shared" ref="AG58:AL58" si="134">SUM(AG55:AG57)</f>
        <v>2711245.9630112587</v>
      </c>
      <c r="AH58" s="133">
        <f t="shared" si="134"/>
        <v>2516307.3782707509</v>
      </c>
      <c r="AI58" s="133">
        <f t="shared" si="29"/>
        <v>194938.58474050951</v>
      </c>
      <c r="AJ58" s="133">
        <f t="shared" si="134"/>
        <v>2778992.078540666</v>
      </c>
      <c r="AK58" s="133">
        <f t="shared" si="134"/>
        <v>215288.79479266668</v>
      </c>
      <c r="AL58" s="133">
        <f t="shared" si="134"/>
        <v>2994280.8733333335</v>
      </c>
      <c r="AM58" s="133">
        <f>+AL58/AG55-1</f>
        <v>8.0041290222976791E-2</v>
      </c>
      <c r="AN58" s="133">
        <f t="shared" ref="AN58:AS58" si="135">SUM(AN55:AN57)</f>
        <v>2881047.5863939147</v>
      </c>
      <c r="AO58" s="133">
        <f t="shared" si="135"/>
        <v>2673900.2649321938</v>
      </c>
      <c r="AP58" s="133">
        <f t="shared" si="33"/>
        <v>207147.32146172249</v>
      </c>
      <c r="AQ58" s="133">
        <f t="shared" si="135"/>
        <v>2299261.0030316669</v>
      </c>
      <c r="AR58" s="133">
        <f t="shared" si="135"/>
        <v>178123.98030166668</v>
      </c>
      <c r="AS58" s="96">
        <f t="shared" si="135"/>
        <v>2477384.9833333343</v>
      </c>
      <c r="AT58" s="132">
        <f>+AS58/AN55-1</f>
        <v>-0.15797580909321585</v>
      </c>
      <c r="AU58" s="133">
        <f t="shared" ref="AU58:AZ58" si="136">SUM(AU55:AU57)</f>
        <v>2884506.7404995146</v>
      </c>
      <c r="AV58" s="133">
        <f t="shared" si="136"/>
        <v>2677110.7058576015</v>
      </c>
      <c r="AW58" s="18">
        <f t="shared" si="37"/>
        <v>207396.03464191512</v>
      </c>
      <c r="AX58" s="95">
        <f t="shared" si="136"/>
        <v>2606783.1513836663</v>
      </c>
      <c r="AY58" s="95">
        <f t="shared" si="136"/>
        <v>201947.75194966665</v>
      </c>
      <c r="AZ58" s="96">
        <f t="shared" si="136"/>
        <v>2808730.9033333329</v>
      </c>
      <c r="BA58" s="132">
        <f>+AZ58/AU55-1</f>
        <v>-4.647761016300922E-2</v>
      </c>
      <c r="BB58" s="133">
        <f t="shared" ref="BB58:BG58" si="137">SUM(BB55:BB57)</f>
        <v>3287131.1397434711</v>
      </c>
      <c r="BC58" s="133">
        <f t="shared" si="137"/>
        <v>3050786.4107959173</v>
      </c>
      <c r="BD58" s="18">
        <f t="shared" si="41"/>
        <v>236344.72894755559</v>
      </c>
      <c r="BE58" s="95">
        <f t="shared" si="137"/>
        <v>0</v>
      </c>
      <c r="BF58" s="95">
        <f t="shared" si="137"/>
        <v>0</v>
      </c>
      <c r="BG58" s="96">
        <f t="shared" si="137"/>
        <v>0</v>
      </c>
      <c r="BH58" s="132">
        <f>+BG58/BB55-1</f>
        <v>-1</v>
      </c>
      <c r="BI58" s="133">
        <f t="shared" ref="BI58:BN58" si="138">SUM(BI55:BI57)</f>
        <v>1380650.4947357213</v>
      </c>
      <c r="BJ58" s="133">
        <f t="shared" si="138"/>
        <v>1281381.7241642224</v>
      </c>
      <c r="BK58" s="18">
        <f t="shared" si="45"/>
        <v>99268.77057149836</v>
      </c>
      <c r="BL58" s="95">
        <f t="shared" si="138"/>
        <v>0</v>
      </c>
      <c r="BM58" s="95">
        <f t="shared" si="138"/>
        <v>0</v>
      </c>
      <c r="BN58" s="96">
        <f t="shared" si="138"/>
        <v>0</v>
      </c>
      <c r="BO58" s="132">
        <f>+BN58/BI55-1</f>
        <v>-1</v>
      </c>
      <c r="BP58" s="133">
        <f t="shared" ref="BP58:BU58" si="139">SUM(BP55:BP57)</f>
        <v>1583864.5235076291</v>
      </c>
      <c r="BQ58" s="133">
        <f t="shared" si="139"/>
        <v>1469984.6642674296</v>
      </c>
      <c r="BR58" s="18">
        <f t="shared" si="49"/>
        <v>113879.85924019854</v>
      </c>
      <c r="BS58" s="95">
        <f t="shared" si="139"/>
        <v>0</v>
      </c>
      <c r="BT58" s="95">
        <f t="shared" si="139"/>
        <v>0</v>
      </c>
      <c r="BU58" s="96">
        <f t="shared" si="139"/>
        <v>0</v>
      </c>
      <c r="BV58" s="132">
        <f>+BU58/BP55-1</f>
        <v>-1</v>
      </c>
      <c r="BW58" s="133">
        <f t="shared" ref="BW58:CB58" si="140">SUM(BW55:BW57)</f>
        <v>1246443.8739497731</v>
      </c>
      <c r="BX58" s="133">
        <f t="shared" si="140"/>
        <v>1156824.5594127839</v>
      </c>
      <c r="BY58" s="18">
        <f t="shared" si="53"/>
        <v>89619.314536988692</v>
      </c>
      <c r="BZ58" s="95">
        <f t="shared" si="140"/>
        <v>0</v>
      </c>
      <c r="CA58" s="95">
        <f t="shared" si="140"/>
        <v>0</v>
      </c>
      <c r="CB58" s="96">
        <f t="shared" si="140"/>
        <v>0</v>
      </c>
      <c r="CC58" s="132">
        <f>+CB58/BW55-1</f>
        <v>-1</v>
      </c>
      <c r="CD58" s="133">
        <f t="shared" ref="CD58:CI58" si="141">SUM(CD55:CD57)</f>
        <v>1096355.6035396298</v>
      </c>
      <c r="CE58" s="133">
        <f t="shared" si="141"/>
        <v>1017527.6356451302</v>
      </c>
      <c r="CF58" s="18">
        <f t="shared" si="57"/>
        <v>78827.967894499394</v>
      </c>
      <c r="CG58" s="95">
        <f t="shared" si="141"/>
        <v>0</v>
      </c>
      <c r="CH58" s="95">
        <f t="shared" si="141"/>
        <v>0</v>
      </c>
      <c r="CI58" s="96">
        <f t="shared" si="141"/>
        <v>0</v>
      </c>
      <c r="CJ58" s="132">
        <f>+CI58/CD55-1</f>
        <v>-1</v>
      </c>
      <c r="CK58" s="133">
        <f t="shared" ref="CK58:CP58" si="142">SUM(CK55:CK57)</f>
        <v>1093858.8522020299</v>
      </c>
      <c r="CL58" s="133">
        <f t="shared" si="142"/>
        <v>1015210.4007287037</v>
      </c>
      <c r="CM58" s="18">
        <f t="shared" si="61"/>
        <v>78648.451473325957</v>
      </c>
      <c r="CN58" s="95">
        <f t="shared" si="142"/>
        <v>0</v>
      </c>
      <c r="CO58" s="95">
        <f t="shared" si="142"/>
        <v>0</v>
      </c>
      <c r="CP58" s="96">
        <f t="shared" si="142"/>
        <v>0</v>
      </c>
      <c r="CQ58" s="132">
        <f>+CP58/CK55-1</f>
        <v>-1</v>
      </c>
    </row>
    <row r="59" spans="1:99" s="105" customFormat="1" ht="14.25" customHeight="1" x14ac:dyDescent="0.2">
      <c r="B59" s="104"/>
      <c r="C59" s="104"/>
      <c r="D59" s="104"/>
      <c r="J59" s="104">
        <f>J58-'[2]IGARATÁ - CITROS'!$N$106</f>
        <v>5286115.886666676</v>
      </c>
      <c r="L59" s="170"/>
      <c r="M59" s="170"/>
      <c r="N59" s="170"/>
      <c r="O59" s="170"/>
      <c r="P59" s="170"/>
      <c r="Q59" s="170">
        <f>+Q58-'[2]IGARATÁ - CITROS'!$N$222</f>
        <v>0</v>
      </c>
      <c r="R59" s="170"/>
      <c r="S59" s="170"/>
      <c r="T59" s="170"/>
      <c r="U59" s="170"/>
      <c r="V59" s="170"/>
      <c r="W59" s="170"/>
      <c r="X59" s="170">
        <f>+X58-'[2]IGARATÁ - CITROS'!$N$332</f>
        <v>0</v>
      </c>
      <c r="Y59" s="170"/>
      <c r="Z59" s="170"/>
      <c r="AA59" s="170"/>
      <c r="AB59" s="170"/>
      <c r="AC59" s="170"/>
      <c r="AD59" s="170"/>
      <c r="AE59" s="170">
        <f>AE58-'[2]IGARATÁ - CITROS'!$N$442</f>
        <v>0</v>
      </c>
      <c r="AF59" s="170"/>
      <c r="AG59" s="170"/>
      <c r="AH59" s="170"/>
      <c r="AI59" s="170"/>
      <c r="AJ59" s="170"/>
      <c r="AK59" s="170"/>
      <c r="AL59" s="170">
        <f>AL58-'[2]IGARATÁ - CITROS'!$N$554</f>
        <v>0</v>
      </c>
      <c r="AM59" s="170"/>
      <c r="AN59" s="170"/>
      <c r="AO59" s="170"/>
      <c r="AP59" s="170"/>
      <c r="AQ59" s="170"/>
      <c r="AR59" s="170"/>
      <c r="AS59" s="170">
        <f>AS58-'[3]IGARATÁ - CITROS'!$N$659</f>
        <v>2477384.9833333343</v>
      </c>
      <c r="AT59" s="170"/>
      <c r="AU59" s="170"/>
      <c r="AV59" s="170"/>
      <c r="AW59" s="170"/>
      <c r="AX59" s="170"/>
      <c r="AY59" s="170"/>
      <c r="AZ59" s="170">
        <f>AZ58-'[3]IGARATÁ - CITROS'!$N$769</f>
        <v>2808730.9033333329</v>
      </c>
      <c r="BA59" s="170"/>
      <c r="BB59" s="170"/>
      <c r="BC59" s="170"/>
      <c r="BD59" s="170"/>
      <c r="BE59" s="170"/>
      <c r="BF59" s="170"/>
      <c r="BG59" s="170">
        <f>BG58-'[3]IGARATÁ - CITROS'!$N$879</f>
        <v>0</v>
      </c>
      <c r="BH59" s="170"/>
      <c r="BI59" s="170"/>
      <c r="BJ59" s="170"/>
      <c r="BK59" s="170"/>
      <c r="BL59" s="170"/>
      <c r="BM59" s="170"/>
      <c r="BN59" s="170">
        <f>BN58-'[3]IGARATÁ - CITROS'!$N$989</f>
        <v>0</v>
      </c>
      <c r="BO59" s="170"/>
      <c r="BP59" s="170"/>
      <c r="BQ59" s="170"/>
      <c r="BR59" s="170"/>
      <c r="BS59" s="170"/>
      <c r="BT59" s="170"/>
      <c r="BU59" s="170">
        <f>BU58-'[3]IGARATÁ - CITROS'!$N$1099</f>
        <v>0</v>
      </c>
      <c r="BV59" s="170"/>
      <c r="BW59" s="170"/>
      <c r="BX59" s="170"/>
      <c r="BY59" s="170"/>
      <c r="BZ59" s="170"/>
      <c r="CA59" s="170"/>
      <c r="CB59" s="170">
        <f>CB58-'[3]IGARATÁ - CITROS'!$N$1209</f>
        <v>0</v>
      </c>
      <c r="CC59" s="170"/>
      <c r="CD59" s="170"/>
      <c r="CE59" s="170"/>
      <c r="CF59" s="170"/>
      <c r="CG59" s="170"/>
      <c r="CH59" s="170"/>
      <c r="CI59" s="170">
        <f>CI58-'[3]IGARATÁ - CITROS'!$N$1319</f>
        <v>0</v>
      </c>
      <c r="CJ59" s="170"/>
      <c r="CK59" s="170"/>
      <c r="CL59" s="170"/>
      <c r="CM59" s="170"/>
      <c r="CN59" s="170"/>
      <c r="CO59" s="170"/>
      <c r="CP59" s="170">
        <f>CP58-'[3]IGARATÁ - CITROS'!$N$1429</f>
        <v>0</v>
      </c>
      <c r="CQ59" s="170"/>
    </row>
    <row r="60" spans="1:99" ht="14.25" customHeight="1" x14ac:dyDescent="0.2">
      <c r="L60" s="241" t="s">
        <v>83</v>
      </c>
      <c r="M60" s="242"/>
      <c r="N60" s="242"/>
      <c r="O60" s="242"/>
      <c r="P60" s="242"/>
      <c r="Q60" s="243"/>
      <c r="R60" s="244"/>
      <c r="S60" s="241" t="s">
        <v>83</v>
      </c>
      <c r="T60" s="242"/>
      <c r="U60" s="242"/>
      <c r="V60" s="242"/>
      <c r="W60" s="242"/>
      <c r="X60" s="243"/>
      <c r="Y60" s="244"/>
      <c r="Z60" s="241" t="s">
        <v>83</v>
      </c>
      <c r="AA60" s="242"/>
      <c r="AB60" s="242"/>
      <c r="AC60" s="242"/>
      <c r="AD60" s="242"/>
      <c r="AE60" s="243"/>
      <c r="AF60" s="244"/>
      <c r="AG60" s="241" t="s">
        <v>83</v>
      </c>
      <c r="AH60" s="242"/>
      <c r="AI60" s="242"/>
      <c r="AJ60" s="242"/>
      <c r="AK60" s="242"/>
      <c r="AL60" s="243"/>
      <c r="AM60" s="244"/>
      <c r="AN60" s="241" t="s">
        <v>83</v>
      </c>
      <c r="AO60" s="242"/>
      <c r="AP60" s="242"/>
      <c r="AQ60" s="242"/>
      <c r="AR60" s="242"/>
      <c r="AS60" s="243"/>
      <c r="AT60" s="244"/>
      <c r="AU60" s="241" t="s">
        <v>83</v>
      </c>
      <c r="AV60" s="242"/>
      <c r="AW60" s="242"/>
      <c r="AX60" s="242"/>
      <c r="AY60" s="242"/>
      <c r="AZ60" s="243"/>
      <c r="BA60" s="244"/>
      <c r="BB60" s="241" t="s">
        <v>83</v>
      </c>
      <c r="BC60" s="242"/>
      <c r="BD60" s="242"/>
      <c r="BE60" s="242"/>
      <c r="BF60" s="242"/>
      <c r="BG60" s="243"/>
      <c r="BH60" s="244"/>
      <c r="BI60" s="241" t="s">
        <v>83</v>
      </c>
      <c r="BJ60" s="242"/>
      <c r="BK60" s="242"/>
      <c r="BL60" s="242"/>
      <c r="BM60" s="242"/>
      <c r="BN60" s="243"/>
      <c r="BO60" s="244"/>
      <c r="BP60" s="241" t="s">
        <v>83</v>
      </c>
      <c r="BQ60" s="242"/>
      <c r="BR60" s="242"/>
      <c r="BS60" s="242"/>
      <c r="BT60" s="242"/>
      <c r="BU60" s="243"/>
      <c r="BV60" s="244"/>
      <c r="BW60" s="241" t="s">
        <v>83</v>
      </c>
      <c r="BX60" s="242"/>
      <c r="BY60" s="242"/>
      <c r="BZ60" s="242"/>
      <c r="CA60" s="242"/>
      <c r="CB60" s="243"/>
      <c r="CC60" s="244"/>
      <c r="CD60" s="241" t="s">
        <v>83</v>
      </c>
      <c r="CE60" s="242"/>
      <c r="CF60" s="242"/>
      <c r="CG60" s="242"/>
      <c r="CH60" s="242"/>
      <c r="CI60" s="243"/>
      <c r="CJ60" s="244"/>
      <c r="CK60" s="241" t="s">
        <v>83</v>
      </c>
      <c r="CL60" s="242"/>
      <c r="CM60" s="242"/>
      <c r="CN60" s="242"/>
      <c r="CO60" s="242"/>
      <c r="CP60" s="243"/>
      <c r="CQ60" s="244"/>
    </row>
    <row r="61" spans="1:99" ht="14.25" customHeight="1" x14ac:dyDescent="0.2">
      <c r="L61" s="107" t="s">
        <v>84</v>
      </c>
      <c r="M61" s="108"/>
      <c r="N61" s="108"/>
      <c r="O61" s="108"/>
      <c r="P61" s="108"/>
      <c r="Q61" s="109"/>
      <c r="R61" s="114">
        <f>26.04+1619.47+93.85+8.12+151.41+6.15+1461.95+430.3+229.49+768.39+91.18+15.37+13.11+83.64+953.65+115.86+2.18+1619.47+13.47+1462.47+7.75</f>
        <v>9173.32</v>
      </c>
      <c r="S61" s="107" t="s">
        <v>84</v>
      </c>
      <c r="T61" s="108"/>
      <c r="U61" s="108"/>
      <c r="V61" s="108"/>
      <c r="W61" s="108"/>
      <c r="X61" s="109"/>
      <c r="Y61" s="114">
        <f>36.88+28.31+45.08+151.42+34.32+30.74+1573.88+98.79+773.82+148.94+10.27+55.33+1619.47+184.41+8.12+53.84+6.15+16.39+768.39+15.37</f>
        <v>5659.92</v>
      </c>
      <c r="Z61" s="107" t="s">
        <v>84</v>
      </c>
      <c r="AA61" s="108"/>
      <c r="AB61" s="108"/>
      <c r="AC61" s="108"/>
      <c r="AD61" s="108"/>
      <c r="AE61" s="109"/>
      <c r="AF61" s="114">
        <f>37.91+8.12+40.9+6.15+245.88+768.39+15.37+80.15+1619.47+22.54+83.87+664.01+115.97</f>
        <v>3708.73</v>
      </c>
      <c r="AG61" s="107" t="s">
        <v>84</v>
      </c>
      <c r="AH61" s="108"/>
      <c r="AI61" s="108"/>
      <c r="AJ61" s="108"/>
      <c r="AK61" s="108"/>
      <c r="AL61" s="109"/>
      <c r="AM61" s="114">
        <f>75.99+102.82+24.8+8.12+430.3+59.33+10.67+6.15+1494.27+768.39+15.37+344.24+67.61+870.67+1619.47+37.91</f>
        <v>5936.11</v>
      </c>
      <c r="AN61" s="107"/>
      <c r="AO61" s="108"/>
      <c r="AP61" s="108"/>
      <c r="AQ61" s="108"/>
      <c r="AR61" s="108"/>
      <c r="AS61" s="109"/>
      <c r="AT61" s="114"/>
      <c r="AU61" s="107"/>
      <c r="AV61" s="108"/>
      <c r="AW61" s="108"/>
      <c r="AX61" s="108"/>
      <c r="AY61" s="108"/>
      <c r="AZ61" s="109"/>
      <c r="BA61" s="114"/>
      <c r="BB61" s="107"/>
      <c r="BC61" s="108"/>
      <c r="BD61" s="108"/>
      <c r="BE61" s="108"/>
      <c r="BF61" s="108"/>
      <c r="BG61" s="109"/>
      <c r="BH61" s="114"/>
      <c r="BI61" s="107"/>
      <c r="BJ61" s="108"/>
      <c r="BK61" s="108"/>
      <c r="BL61" s="108"/>
      <c r="BM61" s="108"/>
      <c r="BN61" s="109"/>
      <c r="BO61" s="114"/>
      <c r="BP61" s="107"/>
      <c r="BQ61" s="108"/>
      <c r="BR61" s="108"/>
      <c r="BS61" s="108"/>
      <c r="BT61" s="108"/>
      <c r="BU61" s="109"/>
      <c r="BV61" s="114"/>
      <c r="BW61" s="107"/>
      <c r="BX61" s="108"/>
      <c r="BY61" s="108"/>
      <c r="BZ61" s="108"/>
      <c r="CA61" s="108"/>
      <c r="CB61" s="109"/>
      <c r="CC61" s="114"/>
      <c r="CD61" s="107"/>
      <c r="CE61" s="108"/>
      <c r="CF61" s="108"/>
      <c r="CG61" s="108"/>
      <c r="CH61" s="108"/>
      <c r="CI61" s="109"/>
      <c r="CJ61" s="114"/>
      <c r="CK61" s="107"/>
      <c r="CL61" s="108"/>
      <c r="CM61" s="108"/>
      <c r="CN61" s="108"/>
      <c r="CO61" s="108"/>
      <c r="CP61" s="109"/>
      <c r="CQ61" s="114"/>
    </row>
    <row r="62" spans="1:99" ht="14.25" customHeight="1" x14ac:dyDescent="0.2">
      <c r="L62" s="107" t="s">
        <v>86</v>
      </c>
      <c r="M62" s="108"/>
      <c r="N62" s="108"/>
      <c r="O62" s="108"/>
      <c r="P62" s="108"/>
      <c r="Q62" s="109"/>
      <c r="R62" s="114">
        <f>918.74</f>
        <v>918.74</v>
      </c>
      <c r="S62" s="107" t="s">
        <v>86</v>
      </c>
      <c r="T62" s="108"/>
      <c r="U62" s="108"/>
      <c r="V62" s="108"/>
      <c r="W62" s="108"/>
      <c r="X62" s="109"/>
      <c r="Y62" s="114">
        <f>725.05</f>
        <v>725.05</v>
      </c>
      <c r="Z62" s="107" t="s">
        <v>86</v>
      </c>
      <c r="AA62" s="108"/>
      <c r="AB62" s="108"/>
      <c r="AC62" s="108"/>
      <c r="AD62" s="108"/>
      <c r="AE62" s="109"/>
      <c r="AF62" s="114">
        <f>939.38</f>
        <v>939.38</v>
      </c>
      <c r="AG62" s="107" t="s">
        <v>86</v>
      </c>
      <c r="AH62" s="108"/>
      <c r="AI62" s="108"/>
      <c r="AJ62" s="108"/>
      <c r="AK62" s="108"/>
      <c r="AL62" s="109"/>
      <c r="AM62" s="114">
        <f>876.71</f>
        <v>876.71</v>
      </c>
      <c r="AN62" s="107"/>
      <c r="AO62" s="108"/>
      <c r="AP62" s="108"/>
      <c r="AQ62" s="108"/>
      <c r="AR62" s="108"/>
      <c r="AS62" s="109"/>
      <c r="AT62" s="114"/>
      <c r="AU62" s="107"/>
      <c r="AV62" s="108"/>
      <c r="AW62" s="108"/>
      <c r="AX62" s="108"/>
      <c r="AY62" s="108"/>
      <c r="AZ62" s="109"/>
      <c r="BA62" s="114"/>
      <c r="BB62" s="107"/>
      <c r="BC62" s="108"/>
      <c r="BD62" s="108"/>
      <c r="BE62" s="108"/>
      <c r="BF62" s="108"/>
      <c r="BG62" s="109"/>
      <c r="BH62" s="114"/>
      <c r="BI62" s="107"/>
      <c r="BJ62" s="108"/>
      <c r="BK62" s="108"/>
      <c r="BL62" s="108"/>
      <c r="BM62" s="108"/>
      <c r="BN62" s="109"/>
      <c r="BO62" s="114"/>
      <c r="BP62" s="107"/>
      <c r="BQ62" s="108"/>
      <c r="BR62" s="108"/>
      <c r="BS62" s="108"/>
      <c r="BT62" s="108"/>
      <c r="BU62" s="109"/>
      <c r="BV62" s="114"/>
      <c r="BW62" s="107"/>
      <c r="BX62" s="108"/>
      <c r="BY62" s="108"/>
      <c r="BZ62" s="108"/>
      <c r="CA62" s="108"/>
      <c r="CB62" s="109"/>
      <c r="CC62" s="114"/>
      <c r="CD62" s="107"/>
      <c r="CE62" s="108"/>
      <c r="CF62" s="108"/>
      <c r="CG62" s="108"/>
      <c r="CH62" s="108"/>
      <c r="CI62" s="109"/>
      <c r="CJ62" s="114"/>
      <c r="CK62" s="107"/>
      <c r="CL62" s="108"/>
      <c r="CM62" s="108"/>
      <c r="CN62" s="108"/>
      <c r="CO62" s="108"/>
      <c r="CP62" s="109"/>
      <c r="CQ62" s="114"/>
    </row>
    <row r="63" spans="1:99" ht="14.25" customHeight="1" x14ac:dyDescent="0.2">
      <c r="L63" s="107" t="s">
        <v>87</v>
      </c>
      <c r="M63" s="108"/>
      <c r="N63" s="108"/>
      <c r="O63" s="108"/>
      <c r="P63" s="108"/>
      <c r="Q63" s="109"/>
      <c r="R63" s="166">
        <f>424.46</f>
        <v>424.46</v>
      </c>
      <c r="S63" s="107" t="s">
        <v>87</v>
      </c>
      <c r="T63" s="108"/>
      <c r="U63" s="108"/>
      <c r="V63" s="108"/>
      <c r="W63" s="108"/>
      <c r="X63" s="109"/>
      <c r="Y63" s="166">
        <f>1401.12</f>
        <v>1401.12</v>
      </c>
      <c r="Z63" s="107" t="s">
        <v>87</v>
      </c>
      <c r="AA63" s="108"/>
      <c r="AB63" s="108"/>
      <c r="AC63" s="108"/>
      <c r="AD63" s="108"/>
      <c r="AE63" s="109"/>
      <c r="AF63" s="166">
        <f>713.93</f>
        <v>713.93</v>
      </c>
      <c r="AG63" s="107" t="s">
        <v>87</v>
      </c>
      <c r="AH63" s="108"/>
      <c r="AI63" s="108"/>
      <c r="AJ63" s="108"/>
      <c r="AK63" s="108"/>
      <c r="AL63" s="109"/>
      <c r="AM63" s="166">
        <f>574.74+120</f>
        <v>694.74</v>
      </c>
      <c r="AN63" s="107"/>
      <c r="AO63" s="108"/>
      <c r="AP63" s="108"/>
      <c r="AQ63" s="108"/>
      <c r="AR63" s="108"/>
      <c r="AS63" s="109"/>
      <c r="AT63" s="166"/>
      <c r="AU63" s="107"/>
      <c r="AV63" s="108"/>
      <c r="AW63" s="108"/>
      <c r="AX63" s="108"/>
      <c r="AY63" s="108"/>
      <c r="AZ63" s="109"/>
      <c r="BA63" s="166"/>
      <c r="BB63" s="107"/>
      <c r="BC63" s="108"/>
      <c r="BD63" s="108"/>
      <c r="BE63" s="108"/>
      <c r="BF63" s="108"/>
      <c r="BG63" s="109"/>
      <c r="BH63" s="166"/>
      <c r="BI63" s="107"/>
      <c r="BJ63" s="108"/>
      <c r="BK63" s="108"/>
      <c r="BL63" s="108"/>
      <c r="BM63" s="108"/>
      <c r="BN63" s="109"/>
      <c r="BO63" s="166"/>
      <c r="BP63" s="107"/>
      <c r="BQ63" s="108"/>
      <c r="BR63" s="108"/>
      <c r="BS63" s="108"/>
      <c r="BT63" s="108"/>
      <c r="BU63" s="109"/>
      <c r="BV63" s="166"/>
      <c r="BW63" s="107"/>
      <c r="BX63" s="108"/>
      <c r="BY63" s="108"/>
      <c r="BZ63" s="108"/>
      <c r="CA63" s="108"/>
      <c r="CB63" s="109"/>
      <c r="CC63" s="166"/>
      <c r="CD63" s="107"/>
      <c r="CE63" s="108"/>
      <c r="CF63" s="108"/>
      <c r="CG63" s="108"/>
      <c r="CH63" s="108"/>
      <c r="CI63" s="109"/>
      <c r="CJ63" s="166"/>
      <c r="CK63" s="107"/>
      <c r="CL63" s="108"/>
      <c r="CM63" s="108"/>
      <c r="CN63" s="108"/>
      <c r="CO63" s="108"/>
      <c r="CP63" s="109"/>
      <c r="CQ63" s="166"/>
    </row>
    <row r="64" spans="1:99" ht="14.25" customHeight="1" x14ac:dyDescent="0.2">
      <c r="L64" s="107" t="s">
        <v>146</v>
      </c>
      <c r="M64" s="108"/>
      <c r="N64" s="108"/>
      <c r="O64" s="108"/>
      <c r="P64" s="108"/>
      <c r="Q64" s="109"/>
      <c r="R64" s="166">
        <f>308+374+198</f>
        <v>880</v>
      </c>
      <c r="S64" s="107" t="s">
        <v>146</v>
      </c>
      <c r="T64" s="108"/>
      <c r="U64" s="108"/>
      <c r="V64" s="108"/>
      <c r="W64" s="108"/>
      <c r="X64" s="109"/>
      <c r="Y64" s="166">
        <f>88</f>
        <v>88</v>
      </c>
      <c r="Z64" s="107" t="s">
        <v>146</v>
      </c>
      <c r="AA64" s="108"/>
      <c r="AB64" s="108"/>
      <c r="AC64" s="108"/>
      <c r="AD64" s="108"/>
      <c r="AE64" s="109"/>
      <c r="AF64" s="166"/>
      <c r="AG64" s="107" t="s">
        <v>146</v>
      </c>
      <c r="AH64" s="108"/>
      <c r="AI64" s="108"/>
      <c r="AJ64" s="108"/>
      <c r="AK64" s="108"/>
      <c r="AL64" s="109"/>
      <c r="AM64" s="166"/>
      <c r="AN64" s="107"/>
      <c r="AO64" s="108"/>
      <c r="AP64" s="108"/>
      <c r="AQ64" s="108"/>
      <c r="AR64" s="108"/>
      <c r="AS64" s="109"/>
      <c r="AT64" s="166"/>
      <c r="AU64" s="107"/>
      <c r="AV64" s="108"/>
      <c r="AW64" s="108"/>
      <c r="AX64" s="108"/>
      <c r="AY64" s="108"/>
      <c r="AZ64" s="109"/>
      <c r="BA64" s="166"/>
      <c r="BB64" s="107"/>
      <c r="BC64" s="108"/>
      <c r="BD64" s="108"/>
      <c r="BE64" s="108"/>
      <c r="BF64" s="108"/>
      <c r="BG64" s="109"/>
      <c r="BH64" s="166"/>
      <c r="BI64" s="107"/>
      <c r="BJ64" s="108"/>
      <c r="BK64" s="108"/>
      <c r="BL64" s="108"/>
      <c r="BM64" s="108"/>
      <c r="BN64" s="109"/>
      <c r="BO64" s="166"/>
      <c r="BP64" s="107"/>
      <c r="BQ64" s="108"/>
      <c r="BR64" s="108"/>
      <c r="BS64" s="108"/>
      <c r="BT64" s="108"/>
      <c r="BU64" s="109"/>
      <c r="BV64" s="166"/>
      <c r="BW64" s="107"/>
      <c r="BX64" s="108"/>
      <c r="BY64" s="108"/>
      <c r="BZ64" s="108"/>
      <c r="CA64" s="108"/>
      <c r="CB64" s="109"/>
      <c r="CC64" s="166"/>
      <c r="CD64" s="107"/>
      <c r="CE64" s="108"/>
      <c r="CF64" s="108"/>
      <c r="CG64" s="108"/>
      <c r="CH64" s="108"/>
      <c r="CI64" s="109"/>
      <c r="CJ64" s="166"/>
      <c r="CK64" s="107"/>
      <c r="CL64" s="108"/>
      <c r="CM64" s="108"/>
      <c r="CN64" s="108"/>
      <c r="CO64" s="108"/>
      <c r="CP64" s="109"/>
      <c r="CQ64" s="166"/>
    </row>
    <row r="65" spans="12:95" ht="14.25" customHeight="1" x14ac:dyDescent="0.2">
      <c r="L65" s="107" t="s">
        <v>88</v>
      </c>
      <c r="M65" s="108"/>
      <c r="N65" s="108"/>
      <c r="O65" s="108"/>
      <c r="P65" s="108"/>
      <c r="Q65" s="109"/>
      <c r="R65" s="166">
        <f>590+360+75</f>
        <v>1025</v>
      </c>
      <c r="S65" s="107" t="s">
        <v>88</v>
      </c>
      <c r="T65" s="108"/>
      <c r="U65" s="108"/>
      <c r="V65" s="108"/>
      <c r="W65" s="108"/>
      <c r="X65" s="109"/>
      <c r="Y65" s="166"/>
      <c r="Z65" s="107" t="s">
        <v>88</v>
      </c>
      <c r="AA65" s="108"/>
      <c r="AB65" s="108"/>
      <c r="AC65" s="108"/>
      <c r="AD65" s="108"/>
      <c r="AE65" s="109"/>
      <c r="AF65" s="166">
        <f>330+480</f>
        <v>810</v>
      </c>
      <c r="AG65" s="107" t="s">
        <v>88</v>
      </c>
      <c r="AH65" s="108"/>
      <c r="AI65" s="108"/>
      <c r="AJ65" s="108"/>
      <c r="AK65" s="108"/>
      <c r="AL65" s="109"/>
      <c r="AM65" s="166"/>
      <c r="AN65" s="107"/>
      <c r="AO65" s="108"/>
      <c r="AP65" s="108"/>
      <c r="AQ65" s="108"/>
      <c r="AR65" s="108"/>
      <c r="AS65" s="109"/>
      <c r="AT65" s="166"/>
      <c r="AU65" s="107"/>
      <c r="AV65" s="108"/>
      <c r="AW65" s="108"/>
      <c r="AX65" s="108"/>
      <c r="AY65" s="108"/>
      <c r="AZ65" s="109"/>
      <c r="BA65" s="166"/>
      <c r="BB65" s="107"/>
      <c r="BC65" s="108"/>
      <c r="BD65" s="108"/>
      <c r="BE65" s="108"/>
      <c r="BF65" s="108"/>
      <c r="BG65" s="109"/>
      <c r="BH65" s="166"/>
      <c r="BI65" s="107"/>
      <c r="BJ65" s="108"/>
      <c r="BK65" s="108"/>
      <c r="BL65" s="108"/>
      <c r="BM65" s="108"/>
      <c r="BN65" s="109"/>
      <c r="BO65" s="166"/>
      <c r="BP65" s="107"/>
      <c r="BQ65" s="108"/>
      <c r="BR65" s="108"/>
      <c r="BS65" s="108"/>
      <c r="BT65" s="108"/>
      <c r="BU65" s="109"/>
      <c r="BV65" s="166"/>
      <c r="BW65" s="107"/>
      <c r="BX65" s="108"/>
      <c r="BY65" s="108"/>
      <c r="BZ65" s="108"/>
      <c r="CA65" s="108"/>
      <c r="CB65" s="109"/>
      <c r="CC65" s="166"/>
      <c r="CD65" s="107"/>
      <c r="CE65" s="108"/>
      <c r="CF65" s="108"/>
      <c r="CG65" s="108"/>
      <c r="CH65" s="108"/>
      <c r="CI65" s="109"/>
      <c r="CJ65" s="166"/>
      <c r="CK65" s="107"/>
      <c r="CL65" s="108"/>
      <c r="CM65" s="108"/>
      <c r="CN65" s="108"/>
      <c r="CO65" s="108"/>
      <c r="CP65" s="109"/>
      <c r="CQ65" s="166"/>
    </row>
    <row r="66" spans="12:95" ht="14.25" customHeight="1" x14ac:dyDescent="0.2">
      <c r="L66" s="107" t="s">
        <v>131</v>
      </c>
      <c r="M66" s="108"/>
      <c r="N66" s="108"/>
      <c r="O66" s="108"/>
      <c r="P66" s="108"/>
      <c r="Q66" s="109"/>
      <c r="R66" s="166">
        <f>129.85</f>
        <v>129.85</v>
      </c>
      <c r="S66" s="107" t="s">
        <v>131</v>
      </c>
      <c r="T66" s="108"/>
      <c r="U66" s="108"/>
      <c r="V66" s="108"/>
      <c r="W66" s="108"/>
      <c r="X66" s="109"/>
      <c r="Y66" s="166">
        <f>917.03+435.06+382.75+1602.95</f>
        <v>3337.79</v>
      </c>
      <c r="Z66" s="107" t="s">
        <v>131</v>
      </c>
      <c r="AA66" s="108"/>
      <c r="AB66" s="108"/>
      <c r="AC66" s="108"/>
      <c r="AD66" s="108"/>
      <c r="AE66" s="109"/>
      <c r="AF66" s="166">
        <f>586.64</f>
        <v>586.64</v>
      </c>
      <c r="AG66" s="107" t="s">
        <v>131</v>
      </c>
      <c r="AH66" s="108"/>
      <c r="AI66" s="108"/>
      <c r="AJ66" s="108"/>
      <c r="AK66" s="108"/>
      <c r="AL66" s="109"/>
      <c r="AM66" s="166">
        <f>164.82</f>
        <v>164.82</v>
      </c>
      <c r="AN66" s="107"/>
      <c r="AO66" s="108"/>
      <c r="AP66" s="108"/>
      <c r="AQ66" s="108"/>
      <c r="AR66" s="108"/>
      <c r="AS66" s="109"/>
      <c r="AT66" s="166"/>
      <c r="AU66" s="107"/>
      <c r="AV66" s="108"/>
      <c r="AW66" s="108"/>
      <c r="AX66" s="108"/>
      <c r="AY66" s="108"/>
      <c r="AZ66" s="109"/>
      <c r="BA66" s="166"/>
      <c r="BB66" s="107"/>
      <c r="BC66" s="108"/>
      <c r="BD66" s="108"/>
      <c r="BE66" s="108"/>
      <c r="BF66" s="108"/>
      <c r="BG66" s="109"/>
      <c r="BH66" s="166"/>
      <c r="BI66" s="107"/>
      <c r="BJ66" s="108"/>
      <c r="BK66" s="108"/>
      <c r="BL66" s="108"/>
      <c r="BM66" s="108"/>
      <c r="BN66" s="109"/>
      <c r="BO66" s="166"/>
      <c r="BP66" s="107"/>
      <c r="BQ66" s="108"/>
      <c r="BR66" s="108"/>
      <c r="BS66" s="108"/>
      <c r="BT66" s="108"/>
      <c r="BU66" s="109"/>
      <c r="BV66" s="166"/>
      <c r="BW66" s="107"/>
      <c r="BX66" s="108"/>
      <c r="BY66" s="108"/>
      <c r="BZ66" s="108"/>
      <c r="CA66" s="108"/>
      <c r="CB66" s="109"/>
      <c r="CC66" s="166"/>
      <c r="CD66" s="107"/>
      <c r="CE66" s="108"/>
      <c r="CF66" s="108"/>
      <c r="CG66" s="108"/>
      <c r="CH66" s="108"/>
      <c r="CI66" s="109"/>
      <c r="CJ66" s="166"/>
      <c r="CK66" s="107"/>
      <c r="CL66" s="108"/>
      <c r="CM66" s="108"/>
      <c r="CN66" s="108"/>
      <c r="CO66" s="108"/>
      <c r="CP66" s="109"/>
      <c r="CQ66" s="166"/>
    </row>
    <row r="67" spans="12:95" ht="14.25" customHeight="1" x14ac:dyDescent="0.2">
      <c r="L67" s="107" t="s">
        <v>99</v>
      </c>
      <c r="M67" s="108"/>
      <c r="N67" s="108"/>
      <c r="O67" s="108"/>
      <c r="P67" s="108"/>
      <c r="Q67" s="109"/>
      <c r="R67" s="166">
        <f>797.5</f>
        <v>797.5</v>
      </c>
      <c r="S67" s="107" t="s">
        <v>99</v>
      </c>
      <c r="T67" s="108"/>
      <c r="U67" s="108"/>
      <c r="V67" s="108"/>
      <c r="W67" s="108"/>
      <c r="X67" s="109"/>
      <c r="Y67" s="166">
        <f>751.51+960</f>
        <v>1711.51</v>
      </c>
      <c r="Z67" s="107" t="s">
        <v>99</v>
      </c>
      <c r="AA67" s="108"/>
      <c r="AB67" s="108"/>
      <c r="AC67" s="108"/>
      <c r="AD67" s="108"/>
      <c r="AE67" s="109"/>
      <c r="AF67" s="166"/>
      <c r="AG67" s="107" t="s">
        <v>99</v>
      </c>
      <c r="AH67" s="108"/>
      <c r="AI67" s="108"/>
      <c r="AJ67" s="108"/>
      <c r="AK67" s="108"/>
      <c r="AL67" s="109"/>
      <c r="AM67" s="166">
        <f>103.31+880</f>
        <v>983.31</v>
      </c>
      <c r="AN67" s="107"/>
      <c r="AO67" s="108"/>
      <c r="AP67" s="108"/>
      <c r="AQ67" s="108"/>
      <c r="AR67" s="108"/>
      <c r="AS67" s="109"/>
      <c r="AT67" s="166"/>
      <c r="AU67" s="107"/>
      <c r="AV67" s="108"/>
      <c r="AW67" s="108"/>
      <c r="AX67" s="108"/>
      <c r="AY67" s="108"/>
      <c r="AZ67" s="109"/>
      <c r="BA67" s="166"/>
      <c r="BB67" s="107"/>
      <c r="BC67" s="108"/>
      <c r="BD67" s="108"/>
      <c r="BE67" s="108"/>
      <c r="BF67" s="108"/>
      <c r="BG67" s="109"/>
      <c r="BH67" s="166"/>
      <c r="BI67" s="107"/>
      <c r="BJ67" s="108"/>
      <c r="BK67" s="108"/>
      <c r="BL67" s="108"/>
      <c r="BM67" s="108"/>
      <c r="BN67" s="109"/>
      <c r="BO67" s="166"/>
      <c r="BP67" s="107"/>
      <c r="BQ67" s="108"/>
      <c r="BR67" s="108"/>
      <c r="BS67" s="108"/>
      <c r="BT67" s="108"/>
      <c r="BU67" s="109"/>
      <c r="BV67" s="166"/>
      <c r="BW67" s="107"/>
      <c r="BX67" s="108"/>
      <c r="BY67" s="108"/>
      <c r="BZ67" s="108"/>
      <c r="CA67" s="108"/>
      <c r="CB67" s="109"/>
      <c r="CC67" s="166"/>
      <c r="CD67" s="107"/>
      <c r="CE67" s="108"/>
      <c r="CF67" s="108"/>
      <c r="CG67" s="108"/>
      <c r="CH67" s="108"/>
      <c r="CI67" s="109"/>
      <c r="CJ67" s="166"/>
      <c r="CK67" s="107"/>
      <c r="CL67" s="108"/>
      <c r="CM67" s="108"/>
      <c r="CN67" s="108"/>
      <c r="CO67" s="108"/>
      <c r="CP67" s="109"/>
      <c r="CQ67" s="166"/>
    </row>
    <row r="68" spans="12:95" ht="14.25" customHeight="1" x14ac:dyDescent="0.2">
      <c r="L68" s="107" t="s">
        <v>110</v>
      </c>
      <c r="M68" s="108"/>
      <c r="N68" s="108"/>
      <c r="O68" s="108"/>
      <c r="P68" s="108"/>
      <c r="Q68" s="109"/>
      <c r="R68" s="166">
        <f>158.56</f>
        <v>158.56</v>
      </c>
      <c r="S68" s="107" t="s">
        <v>110</v>
      </c>
      <c r="T68" s="108"/>
      <c r="U68" s="108"/>
      <c r="V68" s="108"/>
      <c r="W68" s="108"/>
      <c r="X68" s="109"/>
      <c r="Y68" s="166">
        <f>158.56</f>
        <v>158.56</v>
      </c>
      <c r="Z68" s="107" t="s">
        <v>110</v>
      </c>
      <c r="AA68" s="108"/>
      <c r="AB68" s="108"/>
      <c r="AC68" s="108"/>
      <c r="AD68" s="108"/>
      <c r="AE68" s="109"/>
      <c r="AF68" s="166"/>
      <c r="AG68" s="107" t="s">
        <v>110</v>
      </c>
      <c r="AH68" s="108"/>
      <c r="AI68" s="108"/>
      <c r="AJ68" s="108"/>
      <c r="AK68" s="108"/>
      <c r="AL68" s="109"/>
      <c r="AM68" s="166">
        <f>158.56</f>
        <v>158.56</v>
      </c>
      <c r="AN68" s="107"/>
      <c r="AO68" s="108"/>
      <c r="AP68" s="108"/>
      <c r="AQ68" s="108"/>
      <c r="AR68" s="108"/>
      <c r="AS68" s="109"/>
      <c r="AT68" s="166"/>
      <c r="AU68" s="107"/>
      <c r="AV68" s="108"/>
      <c r="AW68" s="108"/>
      <c r="AX68" s="108"/>
      <c r="AY68" s="108"/>
      <c r="AZ68" s="109"/>
      <c r="BA68" s="166"/>
      <c r="BB68" s="107"/>
      <c r="BC68" s="108"/>
      <c r="BD68" s="108"/>
      <c r="BE68" s="108"/>
      <c r="BF68" s="108"/>
      <c r="BG68" s="109"/>
      <c r="BH68" s="166"/>
      <c r="BI68" s="107"/>
      <c r="BJ68" s="108"/>
      <c r="BK68" s="108"/>
      <c r="BL68" s="108"/>
      <c r="BM68" s="108"/>
      <c r="BN68" s="109"/>
      <c r="BO68" s="166"/>
      <c r="BP68" s="107"/>
      <c r="BQ68" s="108"/>
      <c r="BR68" s="108"/>
      <c r="BS68" s="108"/>
      <c r="BT68" s="108"/>
      <c r="BU68" s="109"/>
      <c r="BV68" s="166"/>
      <c r="BW68" s="107"/>
      <c r="BX68" s="108"/>
      <c r="BY68" s="108"/>
      <c r="BZ68" s="108"/>
      <c r="CA68" s="108"/>
      <c r="CB68" s="109"/>
      <c r="CC68" s="166"/>
      <c r="CD68" s="107"/>
      <c r="CE68" s="108"/>
      <c r="CF68" s="108"/>
      <c r="CG68" s="108"/>
      <c r="CH68" s="108"/>
      <c r="CI68" s="109"/>
      <c r="CJ68" s="166"/>
      <c r="CK68" s="107"/>
      <c r="CL68" s="108"/>
      <c r="CM68" s="108"/>
      <c r="CN68" s="108"/>
      <c r="CO68" s="108"/>
      <c r="CP68" s="109"/>
      <c r="CQ68" s="166"/>
    </row>
    <row r="69" spans="12:95" ht="14.25" customHeight="1" x14ac:dyDescent="0.2">
      <c r="L69" s="107" t="s">
        <v>147</v>
      </c>
      <c r="M69" s="108"/>
      <c r="N69" s="108"/>
      <c r="O69" s="108"/>
      <c r="P69" s="108"/>
      <c r="Q69" s="109"/>
      <c r="R69" s="166">
        <f>330.8</f>
        <v>330.8</v>
      </c>
      <c r="S69" s="107" t="s">
        <v>147</v>
      </c>
      <c r="T69" s="108"/>
      <c r="U69" s="108"/>
      <c r="V69" s="108"/>
      <c r="W69" s="108"/>
      <c r="X69" s="109"/>
      <c r="Y69" s="166">
        <f>214.4+97.2</f>
        <v>311.60000000000002</v>
      </c>
      <c r="Z69" s="107" t="s">
        <v>147</v>
      </c>
      <c r="AA69" s="108"/>
      <c r="AB69" s="108"/>
      <c r="AC69" s="108"/>
      <c r="AD69" s="108"/>
      <c r="AE69" s="109"/>
      <c r="AF69" s="166"/>
      <c r="AG69" s="107" t="s">
        <v>147</v>
      </c>
      <c r="AH69" s="108"/>
      <c r="AI69" s="108"/>
      <c r="AJ69" s="108"/>
      <c r="AK69" s="108"/>
      <c r="AL69" s="109"/>
      <c r="AM69" s="166"/>
      <c r="AN69" s="107"/>
      <c r="AO69" s="108"/>
      <c r="AP69" s="108"/>
      <c r="AQ69" s="108"/>
      <c r="AR69" s="108"/>
      <c r="AS69" s="109"/>
      <c r="AT69" s="166"/>
      <c r="AU69" s="107"/>
      <c r="AV69" s="108"/>
      <c r="AW69" s="108"/>
      <c r="AX69" s="108"/>
      <c r="AY69" s="108"/>
      <c r="AZ69" s="109"/>
      <c r="BA69" s="166"/>
      <c r="BB69" s="107"/>
      <c r="BC69" s="108"/>
      <c r="BD69" s="108"/>
      <c r="BE69" s="108"/>
      <c r="BF69" s="108"/>
      <c r="BG69" s="109"/>
      <c r="BH69" s="166"/>
      <c r="BI69" s="107"/>
      <c r="BJ69" s="108"/>
      <c r="BK69" s="108"/>
      <c r="BL69" s="108"/>
      <c r="BM69" s="108"/>
      <c r="BN69" s="109"/>
      <c r="BO69" s="166"/>
      <c r="BP69" s="107"/>
      <c r="BQ69" s="108"/>
      <c r="BR69" s="108"/>
      <c r="BS69" s="108"/>
      <c r="BT69" s="108"/>
      <c r="BU69" s="109"/>
      <c r="BV69" s="166"/>
      <c r="BW69" s="107"/>
      <c r="BX69" s="108"/>
      <c r="BY69" s="108"/>
      <c r="BZ69" s="108"/>
      <c r="CA69" s="108"/>
      <c r="CB69" s="109"/>
      <c r="CC69" s="166"/>
      <c r="CD69" s="107"/>
      <c r="CE69" s="108"/>
      <c r="CF69" s="108"/>
      <c r="CG69" s="108"/>
      <c r="CH69" s="108"/>
      <c r="CI69" s="109"/>
      <c r="CJ69" s="166"/>
      <c r="CK69" s="107"/>
      <c r="CL69" s="108"/>
      <c r="CM69" s="108"/>
      <c r="CN69" s="108"/>
      <c r="CO69" s="108"/>
      <c r="CP69" s="109"/>
      <c r="CQ69" s="166"/>
    </row>
    <row r="70" spans="12:95" ht="14.25" customHeight="1" x14ac:dyDescent="0.2">
      <c r="L70" s="107" t="s">
        <v>132</v>
      </c>
      <c r="M70" s="108"/>
      <c r="N70" s="108"/>
      <c r="O70" s="108"/>
      <c r="P70" s="108"/>
      <c r="Q70" s="109"/>
      <c r="R70" s="166">
        <f>2930</f>
        <v>2930</v>
      </c>
      <c r="S70" s="107" t="s">
        <v>148</v>
      </c>
      <c r="T70" s="108"/>
      <c r="U70" s="108"/>
      <c r="V70" s="108"/>
      <c r="W70" s="108"/>
      <c r="X70" s="109"/>
      <c r="Y70" s="166">
        <f>1008</f>
        <v>1008</v>
      </c>
      <c r="Z70" s="107" t="s">
        <v>148</v>
      </c>
      <c r="AA70" s="108"/>
      <c r="AB70" s="108"/>
      <c r="AC70" s="108"/>
      <c r="AD70" s="108"/>
      <c r="AE70" s="109"/>
      <c r="AF70" s="166"/>
      <c r="AG70" s="107" t="s">
        <v>148</v>
      </c>
      <c r="AH70" s="108"/>
      <c r="AI70" s="108"/>
      <c r="AJ70" s="108"/>
      <c r="AK70" s="108"/>
      <c r="AL70" s="109"/>
      <c r="AM70" s="166"/>
      <c r="AN70" s="107"/>
      <c r="AO70" s="108"/>
      <c r="AP70" s="108"/>
      <c r="AQ70" s="108"/>
      <c r="AR70" s="108"/>
      <c r="AS70" s="109"/>
      <c r="AT70" s="166"/>
      <c r="AU70" s="107"/>
      <c r="AV70" s="108"/>
      <c r="AW70" s="108"/>
      <c r="AX70" s="108"/>
      <c r="AY70" s="108"/>
      <c r="AZ70" s="109"/>
      <c r="BA70" s="166"/>
      <c r="BB70" s="107"/>
      <c r="BC70" s="108"/>
      <c r="BD70" s="108"/>
      <c r="BE70" s="108"/>
      <c r="BF70" s="108"/>
      <c r="BG70" s="109"/>
      <c r="BH70" s="166"/>
      <c r="BI70" s="107"/>
      <c r="BJ70" s="108"/>
      <c r="BK70" s="108"/>
      <c r="BL70" s="108"/>
      <c r="BM70" s="108"/>
      <c r="BN70" s="109"/>
      <c r="BO70" s="166"/>
      <c r="BP70" s="107"/>
      <c r="BQ70" s="108"/>
      <c r="BR70" s="108"/>
      <c r="BS70" s="108"/>
      <c r="BT70" s="108"/>
      <c r="BU70" s="109"/>
      <c r="BV70" s="166"/>
      <c r="BW70" s="107"/>
      <c r="BX70" s="108"/>
      <c r="BY70" s="108"/>
      <c r="BZ70" s="108"/>
      <c r="CA70" s="108"/>
      <c r="CB70" s="109"/>
      <c r="CC70" s="166"/>
      <c r="CD70" s="107"/>
      <c r="CE70" s="108"/>
      <c r="CF70" s="108"/>
      <c r="CG70" s="108"/>
      <c r="CH70" s="108"/>
      <c r="CI70" s="109"/>
      <c r="CJ70" s="166"/>
      <c r="CK70" s="107"/>
      <c r="CL70" s="108"/>
      <c r="CM70" s="108"/>
      <c r="CN70" s="108"/>
      <c r="CO70" s="108"/>
      <c r="CP70" s="109"/>
      <c r="CQ70" s="166"/>
    </row>
    <row r="71" spans="12:95" ht="14.25" customHeight="1" x14ac:dyDescent="0.2">
      <c r="L71" s="107" t="s">
        <v>149</v>
      </c>
      <c r="M71" s="108"/>
      <c r="N71" s="108"/>
      <c r="O71" s="108"/>
      <c r="P71" s="108"/>
      <c r="Q71" s="109"/>
      <c r="R71" s="166">
        <f>476.75</f>
        <v>476.75</v>
      </c>
      <c r="S71" s="107" t="s">
        <v>149</v>
      </c>
      <c r="T71" s="108"/>
      <c r="U71" s="108"/>
      <c r="V71" s="108"/>
      <c r="W71" s="108"/>
      <c r="X71" s="109"/>
      <c r="Y71" s="166">
        <f>318.35</f>
        <v>318.35000000000002</v>
      </c>
      <c r="Z71" s="107" t="s">
        <v>149</v>
      </c>
      <c r="AA71" s="108"/>
      <c r="AB71" s="108"/>
      <c r="AC71" s="108"/>
      <c r="AD71" s="108"/>
      <c r="AE71" s="109"/>
      <c r="AF71" s="166">
        <f>273.05</f>
        <v>273.05</v>
      </c>
      <c r="AG71" s="107" t="s">
        <v>149</v>
      </c>
      <c r="AH71" s="108"/>
      <c r="AI71" s="108"/>
      <c r="AJ71" s="108"/>
      <c r="AK71" s="108"/>
      <c r="AL71" s="109"/>
      <c r="AM71" s="166">
        <f>102.22</f>
        <v>102.22</v>
      </c>
      <c r="AN71" s="107"/>
      <c r="AO71" s="108"/>
      <c r="AP71" s="108"/>
      <c r="AQ71" s="108"/>
      <c r="AR71" s="108"/>
      <c r="AS71" s="109"/>
      <c r="AT71" s="166"/>
      <c r="AU71" s="107"/>
      <c r="AV71" s="108"/>
      <c r="AW71" s="108"/>
      <c r="AX71" s="108"/>
      <c r="AY71" s="108"/>
      <c r="AZ71" s="109"/>
      <c r="BA71" s="166"/>
      <c r="BB71" s="107"/>
      <c r="BC71" s="108"/>
      <c r="BD71" s="108"/>
      <c r="BE71" s="108"/>
      <c r="BF71" s="108"/>
      <c r="BG71" s="109"/>
      <c r="BH71" s="166"/>
      <c r="BI71" s="107"/>
      <c r="BJ71" s="108"/>
      <c r="BK71" s="108"/>
      <c r="BL71" s="108"/>
      <c r="BM71" s="108"/>
      <c r="BN71" s="109"/>
      <c r="BO71" s="166"/>
      <c r="BP71" s="107"/>
      <c r="BQ71" s="108"/>
      <c r="BR71" s="108"/>
      <c r="BS71" s="108"/>
      <c r="BT71" s="108"/>
      <c r="BU71" s="109"/>
      <c r="BV71" s="166"/>
      <c r="BW71" s="107"/>
      <c r="BX71" s="108"/>
      <c r="BY71" s="108"/>
      <c r="BZ71" s="108"/>
      <c r="CA71" s="108"/>
      <c r="CB71" s="109"/>
      <c r="CC71" s="166"/>
      <c r="CD71" s="107"/>
      <c r="CE71" s="108"/>
      <c r="CF71" s="108"/>
      <c r="CG71" s="108"/>
      <c r="CH71" s="108"/>
      <c r="CI71" s="109"/>
      <c r="CJ71" s="166"/>
      <c r="CK71" s="107"/>
      <c r="CL71" s="108"/>
      <c r="CM71" s="108"/>
      <c r="CN71" s="108"/>
      <c r="CO71" s="108"/>
      <c r="CP71" s="109"/>
      <c r="CQ71" s="166"/>
    </row>
    <row r="72" spans="12:95" ht="14.25" customHeight="1" x14ac:dyDescent="0.2">
      <c r="L72" s="107" t="s">
        <v>150</v>
      </c>
      <c r="M72" s="108"/>
      <c r="N72" s="108"/>
      <c r="O72" s="108"/>
      <c r="P72" s="108"/>
      <c r="Q72" s="109"/>
      <c r="R72" s="166">
        <f>3210.51</f>
        <v>3210.51</v>
      </c>
      <c r="S72" s="107" t="s">
        <v>150</v>
      </c>
      <c r="T72" s="108"/>
      <c r="U72" s="108"/>
      <c r="V72" s="108"/>
      <c r="W72" s="108"/>
      <c r="X72" s="109"/>
      <c r="Y72" s="166">
        <f>3210.51</f>
        <v>3210.51</v>
      </c>
      <c r="Z72" s="107" t="s">
        <v>150</v>
      </c>
      <c r="AA72" s="108"/>
      <c r="AB72" s="108"/>
      <c r="AC72" s="108"/>
      <c r="AD72" s="108"/>
      <c r="AE72" s="109"/>
      <c r="AF72" s="166">
        <f>3210.51</f>
        <v>3210.51</v>
      </c>
      <c r="AG72" s="107" t="s">
        <v>150</v>
      </c>
      <c r="AH72" s="108"/>
      <c r="AI72" s="108"/>
      <c r="AJ72" s="108"/>
      <c r="AK72" s="108"/>
      <c r="AL72" s="109"/>
      <c r="AM72" s="166"/>
      <c r="AN72" s="107"/>
      <c r="AO72" s="108"/>
      <c r="AP72" s="108"/>
      <c r="AQ72" s="108"/>
      <c r="AR72" s="108"/>
      <c r="AS72" s="109"/>
      <c r="AT72" s="166"/>
      <c r="AU72" s="107"/>
      <c r="AV72" s="108"/>
      <c r="AW72" s="108"/>
      <c r="AX72" s="108"/>
      <c r="AY72" s="108"/>
      <c r="AZ72" s="109"/>
      <c r="BA72" s="166"/>
      <c r="BB72" s="107"/>
      <c r="BC72" s="108"/>
      <c r="BD72" s="108"/>
      <c r="BE72" s="108"/>
      <c r="BF72" s="108"/>
      <c r="BG72" s="109"/>
      <c r="BH72" s="166"/>
      <c r="BI72" s="107"/>
      <c r="BJ72" s="108"/>
      <c r="BK72" s="108"/>
      <c r="BL72" s="108"/>
      <c r="BM72" s="108"/>
      <c r="BN72" s="109"/>
      <c r="BO72" s="166"/>
      <c r="BP72" s="107"/>
      <c r="BQ72" s="108"/>
      <c r="BR72" s="108"/>
      <c r="BS72" s="108"/>
      <c r="BT72" s="108"/>
      <c r="BU72" s="109"/>
      <c r="BV72" s="166"/>
      <c r="BW72" s="107"/>
      <c r="BX72" s="108"/>
      <c r="BY72" s="108"/>
      <c r="BZ72" s="108"/>
      <c r="CA72" s="108"/>
      <c r="CB72" s="109"/>
      <c r="CC72" s="166"/>
      <c r="CD72" s="107"/>
      <c r="CE72" s="108"/>
      <c r="CF72" s="108"/>
      <c r="CG72" s="108"/>
      <c r="CH72" s="108"/>
      <c r="CI72" s="109"/>
      <c r="CJ72" s="166"/>
      <c r="CK72" s="107"/>
      <c r="CL72" s="108"/>
      <c r="CM72" s="108"/>
      <c r="CN72" s="108"/>
      <c r="CO72" s="108"/>
      <c r="CP72" s="109"/>
      <c r="CQ72" s="166"/>
    </row>
    <row r="73" spans="12:95" ht="14.25" customHeight="1" x14ac:dyDescent="0.2">
      <c r="L73" s="107" t="s">
        <v>94</v>
      </c>
      <c r="M73" s="108"/>
      <c r="N73" s="108"/>
      <c r="O73" s="108"/>
      <c r="P73" s="108"/>
      <c r="Q73" s="109"/>
      <c r="R73" s="166">
        <f>281.26</f>
        <v>281.26</v>
      </c>
      <c r="S73" s="107" t="s">
        <v>94</v>
      </c>
      <c r="T73" s="108"/>
      <c r="U73" s="108"/>
      <c r="V73" s="108"/>
      <c r="W73" s="108"/>
      <c r="X73" s="109"/>
      <c r="Y73" s="166"/>
      <c r="Z73" s="107" t="s">
        <v>94</v>
      </c>
      <c r="AA73" s="108"/>
      <c r="AB73" s="108"/>
      <c r="AC73" s="108"/>
      <c r="AD73" s="108"/>
      <c r="AE73" s="109"/>
      <c r="AF73" s="166"/>
      <c r="AG73" s="107" t="s">
        <v>94</v>
      </c>
      <c r="AH73" s="108"/>
      <c r="AI73" s="108"/>
      <c r="AJ73" s="108"/>
      <c r="AK73" s="108"/>
      <c r="AL73" s="109"/>
      <c r="AM73" s="166"/>
      <c r="AN73" s="107"/>
      <c r="AO73" s="108"/>
      <c r="AP73" s="108"/>
      <c r="AQ73" s="108"/>
      <c r="AR73" s="108"/>
      <c r="AS73" s="109"/>
      <c r="AT73" s="166"/>
      <c r="AU73" s="107"/>
      <c r="AV73" s="108"/>
      <c r="AW73" s="108"/>
      <c r="AX73" s="108"/>
      <c r="AY73" s="108"/>
      <c r="AZ73" s="109"/>
      <c r="BA73" s="166"/>
      <c r="BB73" s="107"/>
      <c r="BC73" s="108"/>
      <c r="BD73" s="108"/>
      <c r="BE73" s="108"/>
      <c r="BF73" s="108"/>
      <c r="BG73" s="109"/>
      <c r="BH73" s="166"/>
      <c r="BI73" s="107"/>
      <c r="BJ73" s="108"/>
      <c r="BK73" s="108"/>
      <c r="BL73" s="108"/>
      <c r="BM73" s="108"/>
      <c r="BN73" s="109"/>
      <c r="BO73" s="166"/>
      <c r="BP73" s="107"/>
      <c r="BQ73" s="108"/>
      <c r="BR73" s="108"/>
      <c r="BS73" s="108"/>
      <c r="BT73" s="108"/>
      <c r="BU73" s="109"/>
      <c r="BV73" s="166"/>
      <c r="BW73" s="107"/>
      <c r="BX73" s="108"/>
      <c r="BY73" s="108"/>
      <c r="BZ73" s="108"/>
      <c r="CA73" s="108"/>
      <c r="CB73" s="109"/>
      <c r="CC73" s="166"/>
      <c r="CD73" s="107"/>
      <c r="CE73" s="108"/>
      <c r="CF73" s="108"/>
      <c r="CG73" s="108"/>
      <c r="CH73" s="108"/>
      <c r="CI73" s="109"/>
      <c r="CJ73" s="166"/>
      <c r="CK73" s="107"/>
      <c r="CL73" s="108"/>
      <c r="CM73" s="108"/>
      <c r="CN73" s="108"/>
      <c r="CO73" s="108"/>
      <c r="CP73" s="109"/>
      <c r="CQ73" s="166"/>
    </row>
    <row r="74" spans="12:95" ht="14.25" customHeight="1" x14ac:dyDescent="0.2">
      <c r="L74" s="107" t="s">
        <v>95</v>
      </c>
      <c r="M74" s="108"/>
      <c r="N74" s="108"/>
      <c r="O74" s="108"/>
      <c r="P74" s="108"/>
      <c r="Q74" s="109"/>
      <c r="R74" s="166">
        <f>904.96</f>
        <v>904.96</v>
      </c>
      <c r="S74" s="107" t="s">
        <v>95</v>
      </c>
      <c r="T74" s="108"/>
      <c r="U74" s="108"/>
      <c r="V74" s="108"/>
      <c r="W74" s="108"/>
      <c r="X74" s="109"/>
      <c r="Y74" s="166"/>
      <c r="Z74" s="107" t="s">
        <v>95</v>
      </c>
      <c r="AA74" s="108"/>
      <c r="AB74" s="108"/>
      <c r="AC74" s="108"/>
      <c r="AD74" s="108"/>
      <c r="AE74" s="109"/>
      <c r="AF74" s="166">
        <f>1159.48</f>
        <v>1159.48</v>
      </c>
      <c r="AG74" s="107" t="s">
        <v>95</v>
      </c>
      <c r="AH74" s="108"/>
      <c r="AI74" s="108"/>
      <c r="AJ74" s="108"/>
      <c r="AK74" s="108"/>
      <c r="AL74" s="109"/>
      <c r="AM74" s="166">
        <f>1159.48</f>
        <v>1159.48</v>
      </c>
      <c r="AN74" s="107"/>
      <c r="AO74" s="108"/>
      <c r="AP74" s="108"/>
      <c r="AQ74" s="108"/>
      <c r="AR74" s="108"/>
      <c r="AS74" s="109"/>
      <c r="AT74" s="166"/>
      <c r="AU74" s="107"/>
      <c r="AV74" s="108"/>
      <c r="AW74" s="108"/>
      <c r="AX74" s="108"/>
      <c r="AY74" s="108"/>
      <c r="AZ74" s="109"/>
      <c r="BA74" s="166"/>
      <c r="BB74" s="107"/>
      <c r="BC74" s="108"/>
      <c r="BD74" s="108"/>
      <c r="BE74" s="108"/>
      <c r="BF74" s="108"/>
      <c r="BG74" s="109"/>
      <c r="BH74" s="166"/>
      <c r="BI74" s="107"/>
      <c r="BJ74" s="108"/>
      <c r="BK74" s="108"/>
      <c r="BL74" s="108"/>
      <c r="BM74" s="108"/>
      <c r="BN74" s="109"/>
      <c r="BO74" s="166"/>
      <c r="BP74" s="107"/>
      <c r="BQ74" s="108"/>
      <c r="BR74" s="108"/>
      <c r="BS74" s="108"/>
      <c r="BT74" s="108"/>
      <c r="BU74" s="109"/>
      <c r="BV74" s="166"/>
      <c r="BW74" s="107"/>
      <c r="BX74" s="108"/>
      <c r="BY74" s="108"/>
      <c r="BZ74" s="108"/>
      <c r="CA74" s="108"/>
      <c r="CB74" s="109"/>
      <c r="CC74" s="166"/>
      <c r="CD74" s="107"/>
      <c r="CE74" s="108"/>
      <c r="CF74" s="108"/>
      <c r="CG74" s="108"/>
      <c r="CH74" s="108"/>
      <c r="CI74" s="109"/>
      <c r="CJ74" s="166"/>
      <c r="CK74" s="107"/>
      <c r="CL74" s="108"/>
      <c r="CM74" s="108"/>
      <c r="CN74" s="108"/>
      <c r="CO74" s="108"/>
      <c r="CP74" s="109"/>
      <c r="CQ74" s="166"/>
    </row>
    <row r="75" spans="12:95" ht="14.25" customHeight="1" x14ac:dyDescent="0.2">
      <c r="L75" s="107" t="s">
        <v>151</v>
      </c>
      <c r="M75" s="108"/>
      <c r="N75" s="108"/>
      <c r="O75" s="108"/>
      <c r="P75" s="108"/>
      <c r="Q75" s="109"/>
      <c r="R75" s="166">
        <f>540</f>
        <v>540</v>
      </c>
      <c r="S75" s="107" t="s">
        <v>152</v>
      </c>
      <c r="T75" s="108"/>
      <c r="U75" s="108"/>
      <c r="V75" s="108"/>
      <c r="W75" s="108"/>
      <c r="X75" s="109"/>
      <c r="Y75" s="166">
        <v>440</v>
      </c>
      <c r="Z75" s="107" t="s">
        <v>152</v>
      </c>
      <c r="AA75" s="108"/>
      <c r="AB75" s="108"/>
      <c r="AC75" s="108"/>
      <c r="AD75" s="108"/>
      <c r="AE75" s="109"/>
      <c r="AF75" s="166"/>
      <c r="AG75" s="107" t="s">
        <v>152</v>
      </c>
      <c r="AH75" s="108"/>
      <c r="AI75" s="108"/>
      <c r="AJ75" s="108"/>
      <c r="AK75" s="108"/>
      <c r="AL75" s="109"/>
      <c r="AM75" s="166"/>
      <c r="AN75" s="107"/>
      <c r="AO75" s="108"/>
      <c r="AP75" s="108"/>
      <c r="AQ75" s="108"/>
      <c r="AR75" s="108"/>
      <c r="AS75" s="109"/>
      <c r="AT75" s="166"/>
      <c r="AU75" s="107"/>
      <c r="AV75" s="108"/>
      <c r="AW75" s="108"/>
      <c r="AX75" s="108"/>
      <c r="AY75" s="108"/>
      <c r="AZ75" s="109"/>
      <c r="BA75" s="166"/>
      <c r="BB75" s="107"/>
      <c r="BC75" s="108"/>
      <c r="BD75" s="108"/>
      <c r="BE75" s="108"/>
      <c r="BF75" s="108"/>
      <c r="BG75" s="109"/>
      <c r="BH75" s="166"/>
      <c r="BI75" s="107"/>
      <c r="BJ75" s="108"/>
      <c r="BK75" s="108"/>
      <c r="BL75" s="108"/>
      <c r="BM75" s="108"/>
      <c r="BN75" s="109"/>
      <c r="BO75" s="166"/>
      <c r="BP75" s="107"/>
      <c r="BQ75" s="108"/>
      <c r="BR75" s="108"/>
      <c r="BS75" s="108"/>
      <c r="BT75" s="108"/>
      <c r="BU75" s="109"/>
      <c r="BV75" s="166"/>
      <c r="BW75" s="107"/>
      <c r="BX75" s="108"/>
      <c r="BY75" s="108"/>
      <c r="BZ75" s="108"/>
      <c r="CA75" s="108"/>
      <c r="CB75" s="109"/>
      <c r="CC75" s="166"/>
      <c r="CD75" s="107"/>
      <c r="CE75" s="108"/>
      <c r="CF75" s="108"/>
      <c r="CG75" s="108"/>
      <c r="CH75" s="108"/>
      <c r="CI75" s="109"/>
      <c r="CJ75" s="166"/>
      <c r="CK75" s="107"/>
      <c r="CL75" s="108"/>
      <c r="CM75" s="108"/>
      <c r="CN75" s="108"/>
      <c r="CO75" s="108"/>
      <c r="CP75" s="109"/>
      <c r="CQ75" s="166"/>
    </row>
    <row r="76" spans="12:95" ht="14.25" customHeight="1" x14ac:dyDescent="0.2">
      <c r="L76" s="107" t="s">
        <v>97</v>
      </c>
      <c r="M76" s="108"/>
      <c r="N76" s="108"/>
      <c r="O76" s="108"/>
      <c r="P76" s="108"/>
      <c r="Q76" s="109"/>
      <c r="R76" s="166">
        <f>1224</f>
        <v>1224</v>
      </c>
      <c r="S76" s="107" t="s">
        <v>97</v>
      </c>
      <c r="T76" s="108"/>
      <c r="U76" s="108"/>
      <c r="V76" s="108"/>
      <c r="W76" s="108"/>
      <c r="X76" s="109"/>
      <c r="Y76" s="166"/>
      <c r="Z76" s="107" t="s">
        <v>97</v>
      </c>
      <c r="AA76" s="108"/>
      <c r="AB76" s="108"/>
      <c r="AC76" s="108"/>
      <c r="AD76" s="108"/>
      <c r="AE76" s="109"/>
      <c r="AF76" s="166"/>
      <c r="AG76" s="107" t="s">
        <v>97</v>
      </c>
      <c r="AH76" s="108"/>
      <c r="AI76" s="108"/>
      <c r="AJ76" s="108"/>
      <c r="AK76" s="108"/>
      <c r="AL76" s="109"/>
      <c r="AM76" s="166">
        <f>1838.4</f>
        <v>1838.4</v>
      </c>
      <c r="AN76" s="107"/>
      <c r="AO76" s="108"/>
      <c r="AP76" s="108"/>
      <c r="AQ76" s="108"/>
      <c r="AR76" s="108"/>
      <c r="AS76" s="109"/>
      <c r="AT76" s="166"/>
      <c r="AU76" s="107"/>
      <c r="AV76" s="108"/>
      <c r="AW76" s="108"/>
      <c r="AX76" s="108"/>
      <c r="AY76" s="108"/>
      <c r="AZ76" s="109"/>
      <c r="BA76" s="166"/>
      <c r="BB76" s="107"/>
      <c r="BC76" s="108"/>
      <c r="BD76" s="108"/>
      <c r="BE76" s="108"/>
      <c r="BF76" s="108"/>
      <c r="BG76" s="109"/>
      <c r="BH76" s="166"/>
      <c r="BI76" s="107"/>
      <c r="BJ76" s="108"/>
      <c r="BK76" s="108"/>
      <c r="BL76" s="108"/>
      <c r="BM76" s="108"/>
      <c r="BN76" s="109"/>
      <c r="BO76" s="166"/>
      <c r="BP76" s="107"/>
      <c r="BQ76" s="108"/>
      <c r="BR76" s="108"/>
      <c r="BS76" s="108"/>
      <c r="BT76" s="108"/>
      <c r="BU76" s="109"/>
      <c r="BV76" s="166"/>
      <c r="BW76" s="107"/>
      <c r="BX76" s="108"/>
      <c r="BY76" s="108"/>
      <c r="BZ76" s="108"/>
      <c r="CA76" s="108"/>
      <c r="CB76" s="109"/>
      <c r="CC76" s="166"/>
      <c r="CD76" s="107"/>
      <c r="CE76" s="108"/>
      <c r="CF76" s="108"/>
      <c r="CG76" s="108"/>
      <c r="CH76" s="108"/>
      <c r="CI76" s="109"/>
      <c r="CJ76" s="166"/>
      <c r="CK76" s="107"/>
      <c r="CL76" s="108"/>
      <c r="CM76" s="108"/>
      <c r="CN76" s="108"/>
      <c r="CO76" s="108"/>
      <c r="CP76" s="109"/>
      <c r="CQ76" s="166"/>
    </row>
    <row r="77" spans="12:95" ht="14.25" customHeight="1" x14ac:dyDescent="0.2">
      <c r="L77" s="107" t="s">
        <v>98</v>
      </c>
      <c r="M77" s="108"/>
      <c r="N77" s="108"/>
      <c r="O77" s="108"/>
      <c r="P77" s="108"/>
      <c r="Q77" s="109"/>
      <c r="R77" s="166">
        <v>194.57</v>
      </c>
      <c r="S77" s="107" t="s">
        <v>98</v>
      </c>
      <c r="T77" s="108"/>
      <c r="U77" s="108"/>
      <c r="V77" s="108"/>
      <c r="W77" s="108"/>
      <c r="X77" s="109"/>
      <c r="Y77" s="166">
        <f>102.35</f>
        <v>102.35</v>
      </c>
      <c r="Z77" s="107" t="s">
        <v>98</v>
      </c>
      <c r="AA77" s="108"/>
      <c r="AB77" s="108"/>
      <c r="AC77" s="108"/>
      <c r="AD77" s="108"/>
      <c r="AE77" s="109"/>
      <c r="AF77" s="166">
        <f>102.35</f>
        <v>102.35</v>
      </c>
      <c r="AG77" s="107" t="s">
        <v>98</v>
      </c>
      <c r="AH77" s="108"/>
      <c r="AI77" s="108"/>
      <c r="AJ77" s="108"/>
      <c r="AK77" s="108"/>
      <c r="AL77" s="109"/>
      <c r="AM77" s="166">
        <v>102.35</v>
      </c>
      <c r="AN77" s="107"/>
      <c r="AO77" s="108"/>
      <c r="AP77" s="108"/>
      <c r="AQ77" s="108"/>
      <c r="AR77" s="108"/>
      <c r="AS77" s="109"/>
      <c r="AT77" s="166"/>
      <c r="AU77" s="107"/>
      <c r="AV77" s="108"/>
      <c r="AW77" s="108"/>
      <c r="AX77" s="108"/>
      <c r="AY77" s="108"/>
      <c r="AZ77" s="109"/>
      <c r="BA77" s="166"/>
      <c r="BB77" s="107"/>
      <c r="BC77" s="108"/>
      <c r="BD77" s="108"/>
      <c r="BE77" s="108"/>
      <c r="BF77" s="108"/>
      <c r="BG77" s="109"/>
      <c r="BH77" s="166"/>
      <c r="BI77" s="107"/>
      <c r="BJ77" s="108"/>
      <c r="BK77" s="108"/>
      <c r="BL77" s="108"/>
      <c r="BM77" s="108"/>
      <c r="BN77" s="109"/>
      <c r="BO77" s="166"/>
      <c r="BP77" s="107"/>
      <c r="BQ77" s="108"/>
      <c r="BR77" s="108"/>
      <c r="BS77" s="108"/>
      <c r="BT77" s="108"/>
      <c r="BU77" s="109"/>
      <c r="BV77" s="166"/>
      <c r="BW77" s="107"/>
      <c r="BX77" s="108"/>
      <c r="BY77" s="108"/>
      <c r="BZ77" s="108"/>
      <c r="CA77" s="108"/>
      <c r="CB77" s="109"/>
      <c r="CC77" s="166"/>
      <c r="CD77" s="107"/>
      <c r="CE77" s="108"/>
      <c r="CF77" s="108"/>
      <c r="CG77" s="108"/>
      <c r="CH77" s="108"/>
      <c r="CI77" s="109"/>
      <c r="CJ77" s="166"/>
      <c r="CK77" s="107"/>
      <c r="CL77" s="108"/>
      <c r="CM77" s="108"/>
      <c r="CN77" s="108"/>
      <c r="CO77" s="108"/>
      <c r="CP77" s="109"/>
      <c r="CQ77" s="166"/>
    </row>
    <row r="78" spans="12:95" ht="14.25" customHeight="1" x14ac:dyDescent="0.2">
      <c r="L78" s="107" t="s">
        <v>153</v>
      </c>
      <c r="M78" s="108"/>
      <c r="N78" s="108"/>
      <c r="O78" s="108"/>
      <c r="P78" s="108"/>
      <c r="Q78" s="109"/>
      <c r="R78" s="166">
        <v>11320.32</v>
      </c>
      <c r="S78" s="107" t="s">
        <v>153</v>
      </c>
      <c r="T78" s="108"/>
      <c r="U78" s="108"/>
      <c r="V78" s="108"/>
      <c r="W78" s="108"/>
      <c r="X78" s="109"/>
      <c r="Y78" s="166">
        <v>8447.5499999999993</v>
      </c>
      <c r="Z78" s="107" t="s">
        <v>153</v>
      </c>
      <c r="AA78" s="108"/>
      <c r="AB78" s="108"/>
      <c r="AC78" s="108"/>
      <c r="AD78" s="108"/>
      <c r="AE78" s="109"/>
      <c r="AF78" s="166">
        <f>6908.57</f>
        <v>6908.57</v>
      </c>
      <c r="AG78" s="107" t="s">
        <v>153</v>
      </c>
      <c r="AH78" s="108"/>
      <c r="AI78" s="108"/>
      <c r="AJ78" s="108"/>
      <c r="AK78" s="108"/>
      <c r="AL78" s="109"/>
      <c r="AM78" s="166">
        <f>3599.42</f>
        <v>3599.42</v>
      </c>
      <c r="AN78" s="107"/>
      <c r="AO78" s="108"/>
      <c r="AP78" s="108"/>
      <c r="AQ78" s="108"/>
      <c r="AR78" s="108"/>
      <c r="AS78" s="109"/>
      <c r="AT78" s="166"/>
      <c r="AU78" s="107"/>
      <c r="AV78" s="108"/>
      <c r="AW78" s="108"/>
      <c r="AX78" s="108"/>
      <c r="AY78" s="108"/>
      <c r="AZ78" s="109"/>
      <c r="BA78" s="166"/>
      <c r="BB78" s="107"/>
      <c r="BC78" s="108"/>
      <c r="BD78" s="108"/>
      <c r="BE78" s="108"/>
      <c r="BF78" s="108"/>
      <c r="BG78" s="109"/>
      <c r="BH78" s="166"/>
      <c r="BI78" s="107"/>
      <c r="BJ78" s="108"/>
      <c r="BK78" s="108"/>
      <c r="BL78" s="108"/>
      <c r="BM78" s="108"/>
      <c r="BN78" s="109"/>
      <c r="BO78" s="166"/>
      <c r="BP78" s="107"/>
      <c r="BQ78" s="108"/>
      <c r="BR78" s="108"/>
      <c r="BS78" s="108"/>
      <c r="BT78" s="108"/>
      <c r="BU78" s="109"/>
      <c r="BV78" s="166"/>
      <c r="BW78" s="107"/>
      <c r="BX78" s="108"/>
      <c r="BY78" s="108"/>
      <c r="BZ78" s="108"/>
      <c r="CA78" s="108"/>
      <c r="CB78" s="109"/>
      <c r="CC78" s="166"/>
      <c r="CD78" s="107"/>
      <c r="CE78" s="108"/>
      <c r="CF78" s="108"/>
      <c r="CG78" s="108"/>
      <c r="CH78" s="108"/>
      <c r="CI78" s="109"/>
      <c r="CJ78" s="166"/>
      <c r="CK78" s="107"/>
      <c r="CL78" s="108"/>
      <c r="CM78" s="108"/>
      <c r="CN78" s="108"/>
      <c r="CO78" s="108"/>
      <c r="CP78" s="109"/>
      <c r="CQ78" s="166"/>
    </row>
    <row r="79" spans="12:95" ht="14.25" customHeight="1" x14ac:dyDescent="0.2">
      <c r="L79" s="107"/>
      <c r="M79" s="108"/>
      <c r="N79" s="108"/>
      <c r="O79" s="108"/>
      <c r="P79" s="108"/>
      <c r="Q79" s="109"/>
      <c r="R79" s="166"/>
      <c r="S79" s="107" t="s">
        <v>109</v>
      </c>
      <c r="T79" s="108"/>
      <c r="U79" s="108"/>
      <c r="V79" s="108"/>
      <c r="W79" s="108"/>
      <c r="X79" s="109"/>
      <c r="Y79" s="166">
        <f>252</f>
        <v>252</v>
      </c>
      <c r="Z79" s="107" t="s">
        <v>109</v>
      </c>
      <c r="AA79" s="108"/>
      <c r="AB79" s="108"/>
      <c r="AC79" s="108"/>
      <c r="AD79" s="108"/>
      <c r="AE79" s="109"/>
      <c r="AF79" s="166"/>
      <c r="AG79" s="107" t="s">
        <v>109</v>
      </c>
      <c r="AH79" s="108"/>
      <c r="AI79" s="108"/>
      <c r="AJ79" s="108"/>
      <c r="AK79" s="108"/>
      <c r="AL79" s="109"/>
      <c r="AM79" s="166">
        <f>84+126</f>
        <v>210</v>
      </c>
      <c r="AN79" s="107"/>
      <c r="AO79" s="108"/>
      <c r="AP79" s="108"/>
      <c r="AQ79" s="108"/>
      <c r="AR79" s="108"/>
      <c r="AS79" s="109"/>
      <c r="AT79" s="166"/>
      <c r="AU79" s="107"/>
      <c r="AV79" s="108"/>
      <c r="AW79" s="108"/>
      <c r="AX79" s="108"/>
      <c r="AY79" s="108"/>
      <c r="AZ79" s="109"/>
      <c r="BA79" s="166"/>
      <c r="BB79" s="107"/>
      <c r="BC79" s="108"/>
      <c r="BD79" s="108"/>
      <c r="BE79" s="108"/>
      <c r="BF79" s="108"/>
      <c r="BG79" s="109"/>
      <c r="BH79" s="166"/>
      <c r="BI79" s="107"/>
      <c r="BJ79" s="108"/>
      <c r="BK79" s="108"/>
      <c r="BL79" s="108"/>
      <c r="BM79" s="108"/>
      <c r="BN79" s="109"/>
      <c r="BO79" s="166"/>
      <c r="BP79" s="107"/>
      <c r="BQ79" s="108"/>
      <c r="BR79" s="108"/>
      <c r="BS79" s="108"/>
      <c r="BT79" s="108"/>
      <c r="BU79" s="109"/>
      <c r="BV79" s="166"/>
      <c r="BW79" s="107"/>
      <c r="BX79" s="108"/>
      <c r="BY79" s="108"/>
      <c r="BZ79" s="108"/>
      <c r="CA79" s="108"/>
      <c r="CB79" s="109"/>
      <c r="CC79" s="166"/>
      <c r="CD79" s="107"/>
      <c r="CE79" s="108"/>
      <c r="CF79" s="108"/>
      <c r="CG79" s="108"/>
      <c r="CH79" s="108"/>
      <c r="CI79" s="109"/>
      <c r="CJ79" s="166"/>
      <c r="CK79" s="107"/>
      <c r="CL79" s="108"/>
      <c r="CM79" s="108"/>
      <c r="CN79" s="108"/>
      <c r="CO79" s="108"/>
      <c r="CP79" s="109"/>
      <c r="CQ79" s="166"/>
    </row>
    <row r="80" spans="12:95" ht="14.25" customHeight="1" x14ac:dyDescent="0.2">
      <c r="L80" s="107"/>
      <c r="M80" s="108"/>
      <c r="N80" s="108"/>
      <c r="O80" s="108"/>
      <c r="P80" s="108"/>
      <c r="Q80" s="109"/>
      <c r="R80" s="166"/>
      <c r="S80" s="107"/>
      <c r="T80" s="108"/>
      <c r="U80" s="108"/>
      <c r="V80" s="108"/>
      <c r="W80" s="108"/>
      <c r="X80" s="109"/>
      <c r="Y80" s="166"/>
      <c r="Z80" s="107" t="s">
        <v>122</v>
      </c>
      <c r="AA80" s="108"/>
      <c r="AB80" s="108"/>
      <c r="AC80" s="108"/>
      <c r="AD80" s="108"/>
      <c r="AE80" s="109"/>
      <c r="AF80" s="166">
        <f>225.7</f>
        <v>225.7</v>
      </c>
      <c r="AG80" s="107" t="s">
        <v>122</v>
      </c>
      <c r="AH80" s="108"/>
      <c r="AI80" s="108"/>
      <c r="AJ80" s="108"/>
      <c r="AK80" s="108"/>
      <c r="AL80" s="109"/>
      <c r="AM80" s="166">
        <f>12+229.94+232.8</f>
        <v>474.74</v>
      </c>
      <c r="AN80" s="107"/>
      <c r="AO80" s="108"/>
      <c r="AP80" s="108"/>
      <c r="AQ80" s="108"/>
      <c r="AR80" s="108"/>
      <c r="AS80" s="109"/>
      <c r="AT80" s="166"/>
      <c r="AU80" s="107"/>
      <c r="AV80" s="108"/>
      <c r="AW80" s="108"/>
      <c r="AX80" s="108"/>
      <c r="AY80" s="108"/>
      <c r="AZ80" s="109"/>
      <c r="BA80" s="166"/>
      <c r="BB80" s="107"/>
      <c r="BC80" s="108"/>
      <c r="BD80" s="108"/>
      <c r="BE80" s="108"/>
      <c r="BF80" s="108"/>
      <c r="BG80" s="109"/>
      <c r="BH80" s="166"/>
      <c r="BI80" s="107"/>
      <c r="BJ80" s="108"/>
      <c r="BK80" s="108"/>
      <c r="BL80" s="108"/>
      <c r="BM80" s="108"/>
      <c r="BN80" s="109"/>
      <c r="BO80" s="166"/>
      <c r="BP80" s="107"/>
      <c r="BQ80" s="108"/>
      <c r="BR80" s="108"/>
      <c r="BS80" s="108"/>
      <c r="BT80" s="108"/>
      <c r="BU80" s="109"/>
      <c r="BV80" s="166"/>
      <c r="BW80" s="107"/>
      <c r="BX80" s="108"/>
      <c r="BY80" s="108"/>
      <c r="BZ80" s="108"/>
      <c r="CA80" s="108"/>
      <c r="CB80" s="109"/>
      <c r="CC80" s="166"/>
      <c r="CD80" s="107"/>
      <c r="CE80" s="108"/>
      <c r="CF80" s="108"/>
      <c r="CG80" s="108"/>
      <c r="CH80" s="108"/>
      <c r="CI80" s="109"/>
      <c r="CJ80" s="166"/>
      <c r="CK80" s="107"/>
      <c r="CL80" s="108"/>
      <c r="CM80" s="108"/>
      <c r="CN80" s="108"/>
      <c r="CO80" s="108"/>
      <c r="CP80" s="109"/>
      <c r="CQ80" s="166"/>
    </row>
    <row r="81" spans="12:99" ht="14.25" customHeight="1" x14ac:dyDescent="0.2">
      <c r="L81" s="107"/>
      <c r="M81" s="108"/>
      <c r="N81" s="108"/>
      <c r="O81" s="108"/>
      <c r="P81" s="108"/>
      <c r="Q81" s="108"/>
      <c r="R81" s="166"/>
      <c r="S81" s="107"/>
      <c r="T81" s="108"/>
      <c r="U81" s="108"/>
      <c r="V81" s="108"/>
      <c r="W81" s="108"/>
      <c r="X81" s="108"/>
      <c r="Y81" s="166"/>
      <c r="Z81" s="107" t="s">
        <v>90</v>
      </c>
      <c r="AA81" s="108"/>
      <c r="AB81" s="108"/>
      <c r="AC81" s="108"/>
      <c r="AD81" s="108"/>
      <c r="AE81" s="108"/>
      <c r="AF81" s="166">
        <f>2561+1926</f>
        <v>4487</v>
      </c>
      <c r="AG81" s="107" t="s">
        <v>90</v>
      </c>
      <c r="AH81" s="108"/>
      <c r="AI81" s="108"/>
      <c r="AJ81" s="108"/>
      <c r="AK81" s="108"/>
      <c r="AL81" s="108"/>
      <c r="AM81" s="166">
        <f>554+388</f>
        <v>942</v>
      </c>
      <c r="AN81" s="107"/>
      <c r="AO81" s="108"/>
      <c r="AP81" s="108"/>
      <c r="AQ81" s="108"/>
      <c r="AR81" s="108"/>
      <c r="AS81" s="108"/>
      <c r="AT81" s="166"/>
      <c r="AU81" s="107"/>
      <c r="AV81" s="108"/>
      <c r="AW81" s="108"/>
      <c r="AX81" s="108"/>
      <c r="AY81" s="108"/>
      <c r="AZ81" s="108"/>
      <c r="BA81" s="166"/>
      <c r="BB81" s="107"/>
      <c r="BC81" s="108"/>
      <c r="BD81" s="108"/>
      <c r="BE81" s="108"/>
      <c r="BF81" s="108"/>
      <c r="BG81" s="108"/>
      <c r="BH81" s="166"/>
      <c r="BI81" s="107"/>
      <c r="BJ81" s="108"/>
      <c r="BK81" s="108"/>
      <c r="BL81" s="108"/>
      <c r="BM81" s="108"/>
      <c r="BN81" s="108"/>
      <c r="BO81" s="166"/>
      <c r="BP81" s="107"/>
      <c r="BQ81" s="108"/>
      <c r="BR81" s="108"/>
      <c r="BS81" s="108"/>
      <c r="BT81" s="108"/>
      <c r="BU81" s="108"/>
      <c r="BV81" s="166"/>
      <c r="BW81" s="107"/>
      <c r="BX81" s="108"/>
      <c r="BY81" s="108"/>
      <c r="BZ81" s="108"/>
      <c r="CA81" s="108"/>
      <c r="CB81" s="108"/>
      <c r="CC81" s="166"/>
      <c r="CD81" s="107"/>
      <c r="CE81" s="108"/>
      <c r="CF81" s="108"/>
      <c r="CG81" s="108"/>
      <c r="CH81" s="108"/>
      <c r="CI81" s="108"/>
      <c r="CJ81" s="166"/>
      <c r="CK81" s="107"/>
      <c r="CL81" s="108"/>
      <c r="CM81" s="108"/>
      <c r="CN81" s="108"/>
      <c r="CO81" s="108"/>
      <c r="CP81" s="108"/>
      <c r="CQ81" s="166"/>
    </row>
    <row r="82" spans="12:99" ht="14.25" customHeight="1" x14ac:dyDescent="0.2">
      <c r="L82" s="107"/>
      <c r="M82" s="108"/>
      <c r="N82" s="108"/>
      <c r="O82" s="108"/>
      <c r="P82" s="108"/>
      <c r="Q82" s="108"/>
      <c r="R82" s="166"/>
      <c r="S82" s="107"/>
      <c r="T82" s="108"/>
      <c r="U82" s="108"/>
      <c r="V82" s="108"/>
      <c r="W82" s="108"/>
      <c r="X82" s="108"/>
      <c r="Y82" s="166"/>
      <c r="Z82" s="107"/>
      <c r="AA82" s="108"/>
      <c r="AB82" s="108"/>
      <c r="AC82" s="108"/>
      <c r="AD82" s="108"/>
      <c r="AE82" s="108"/>
      <c r="AF82" s="166"/>
      <c r="AG82" s="107" t="s">
        <v>154</v>
      </c>
      <c r="AH82" s="108"/>
      <c r="AI82" s="108"/>
      <c r="AJ82" s="108"/>
      <c r="AK82" s="108"/>
      <c r="AL82" s="108"/>
      <c r="AM82" s="166">
        <f>400</f>
        <v>400</v>
      </c>
      <c r="AN82" s="107"/>
      <c r="AO82" s="108"/>
      <c r="AP82" s="108"/>
      <c r="AQ82" s="108"/>
      <c r="AR82" s="108"/>
      <c r="AS82" s="108"/>
      <c r="AT82" s="166"/>
      <c r="AU82" s="107"/>
      <c r="AV82" s="108"/>
      <c r="AW82" s="108"/>
      <c r="AX82" s="108"/>
      <c r="AY82" s="108"/>
      <c r="AZ82" s="108"/>
      <c r="BA82" s="166"/>
      <c r="BB82" s="107"/>
      <c r="BC82" s="108"/>
      <c r="BD82" s="108"/>
      <c r="BE82" s="108"/>
      <c r="BF82" s="108"/>
      <c r="BG82" s="108"/>
      <c r="BH82" s="166"/>
      <c r="BI82" s="107"/>
      <c r="BJ82" s="108"/>
      <c r="BK82" s="108"/>
      <c r="BL82" s="108"/>
      <c r="BM82" s="108"/>
      <c r="BN82" s="108"/>
      <c r="BO82" s="166"/>
      <c r="BP82" s="107"/>
      <c r="BQ82" s="108"/>
      <c r="BR82" s="108"/>
      <c r="BS82" s="108"/>
      <c r="BT82" s="108"/>
      <c r="BU82" s="108"/>
      <c r="BV82" s="166"/>
      <c r="BW82" s="107"/>
      <c r="BX82" s="108"/>
      <c r="BY82" s="108"/>
      <c r="BZ82" s="108"/>
      <c r="CA82" s="108"/>
      <c r="CB82" s="108"/>
      <c r="CC82" s="166"/>
      <c r="CD82" s="107"/>
      <c r="CE82" s="108"/>
      <c r="CF82" s="108"/>
      <c r="CG82" s="108"/>
      <c r="CH82" s="108"/>
      <c r="CI82" s="108"/>
      <c r="CJ82" s="166"/>
      <c r="CK82" s="107"/>
      <c r="CL82" s="108"/>
      <c r="CM82" s="108"/>
      <c r="CN82" s="108"/>
      <c r="CO82" s="108"/>
      <c r="CP82" s="108"/>
      <c r="CQ82" s="166"/>
    </row>
    <row r="83" spans="12:99" ht="14.25" customHeight="1" x14ac:dyDescent="0.2">
      <c r="L83" s="107"/>
      <c r="M83" s="108"/>
      <c r="N83" s="108"/>
      <c r="O83" s="108"/>
      <c r="P83" s="108"/>
      <c r="Q83" s="108"/>
      <c r="R83" s="166"/>
      <c r="S83" s="107"/>
      <c r="T83" s="108"/>
      <c r="U83" s="108"/>
      <c r="V83" s="108"/>
      <c r="W83" s="108"/>
      <c r="X83" s="108"/>
      <c r="Y83" s="166"/>
      <c r="Z83" s="107"/>
      <c r="AA83" s="108"/>
      <c r="AB83" s="108"/>
      <c r="AC83" s="108"/>
      <c r="AD83" s="108"/>
      <c r="AE83" s="108"/>
      <c r="AF83" s="166"/>
      <c r="AG83" s="107" t="s">
        <v>155</v>
      </c>
      <c r="AH83" s="108"/>
      <c r="AI83" s="108"/>
      <c r="AJ83" s="108"/>
      <c r="AK83" s="108"/>
      <c r="AL83" s="108"/>
      <c r="AM83" s="166">
        <f>3210.51</f>
        <v>3210.51</v>
      </c>
      <c r="AN83" s="107"/>
      <c r="AO83" s="108"/>
      <c r="AP83" s="108"/>
      <c r="AQ83" s="108"/>
      <c r="AR83" s="108"/>
      <c r="AS83" s="108"/>
      <c r="AT83" s="166"/>
      <c r="AU83" s="107"/>
      <c r="AV83" s="108"/>
      <c r="AW83" s="108"/>
      <c r="AX83" s="108"/>
      <c r="AY83" s="108"/>
      <c r="AZ83" s="108"/>
      <c r="BA83" s="166"/>
      <c r="BB83" s="107"/>
      <c r="BC83" s="108"/>
      <c r="BD83" s="108"/>
      <c r="BE83" s="108"/>
      <c r="BF83" s="108"/>
      <c r="BG83" s="108"/>
      <c r="BH83" s="166"/>
      <c r="BI83" s="107"/>
      <c r="BJ83" s="108"/>
      <c r="BK83" s="108"/>
      <c r="BL83" s="108"/>
      <c r="BM83" s="108"/>
      <c r="BN83" s="108"/>
      <c r="BO83" s="166"/>
      <c r="BP83" s="107"/>
      <c r="BQ83" s="108"/>
      <c r="BR83" s="108"/>
      <c r="BS83" s="108"/>
      <c r="BT83" s="108"/>
      <c r="BU83" s="108"/>
      <c r="BV83" s="166"/>
      <c r="BW83" s="107"/>
      <c r="BX83" s="108"/>
      <c r="BY83" s="108"/>
      <c r="BZ83" s="108"/>
      <c r="CA83" s="108"/>
      <c r="CB83" s="108"/>
      <c r="CC83" s="166"/>
      <c r="CD83" s="107"/>
      <c r="CE83" s="108"/>
      <c r="CF83" s="108"/>
      <c r="CG83" s="108"/>
      <c r="CH83" s="108"/>
      <c r="CI83" s="108"/>
      <c r="CJ83" s="166"/>
      <c r="CK83" s="107"/>
      <c r="CL83" s="108"/>
      <c r="CM83" s="108"/>
      <c r="CN83" s="108"/>
      <c r="CO83" s="108"/>
      <c r="CP83" s="108"/>
      <c r="CQ83" s="166"/>
    </row>
    <row r="84" spans="12:99" ht="14.25" customHeight="1" x14ac:dyDescent="0.2">
      <c r="L84" s="107"/>
      <c r="M84" s="108"/>
      <c r="N84" s="108"/>
      <c r="O84" s="108"/>
      <c r="P84" s="108"/>
      <c r="Q84" s="108"/>
      <c r="R84" s="166"/>
      <c r="S84" s="107"/>
      <c r="T84" s="108"/>
      <c r="U84" s="108"/>
      <c r="V84" s="108"/>
      <c r="W84" s="108"/>
      <c r="X84" s="108"/>
      <c r="Y84" s="166"/>
      <c r="Z84" s="107"/>
      <c r="AA84" s="108"/>
      <c r="AB84" s="108"/>
      <c r="AC84" s="108"/>
      <c r="AD84" s="108"/>
      <c r="AE84" s="108"/>
      <c r="AF84" s="166"/>
      <c r="AG84" s="107" t="s">
        <v>121</v>
      </c>
      <c r="AH84" s="108"/>
      <c r="AI84" s="108"/>
      <c r="AJ84" s="108"/>
      <c r="AK84" s="108"/>
      <c r="AL84" s="108"/>
      <c r="AM84" s="166">
        <f>156.19+156.19</f>
        <v>312.38</v>
      </c>
      <c r="AN84" s="107"/>
      <c r="AO84" s="108"/>
      <c r="AP84" s="108"/>
      <c r="AQ84" s="108"/>
      <c r="AR84" s="108"/>
      <c r="AS84" s="108"/>
      <c r="AT84" s="166"/>
      <c r="AU84" s="107"/>
      <c r="AV84" s="108"/>
      <c r="AW84" s="108"/>
      <c r="AX84" s="108"/>
      <c r="AY84" s="108"/>
      <c r="AZ84" s="108"/>
      <c r="BA84" s="166"/>
      <c r="BB84" s="107"/>
      <c r="BC84" s="108"/>
      <c r="BD84" s="108"/>
      <c r="BE84" s="108"/>
      <c r="BF84" s="108"/>
      <c r="BG84" s="108"/>
      <c r="BH84" s="166"/>
      <c r="BI84" s="107"/>
      <c r="BJ84" s="108"/>
      <c r="BK84" s="108"/>
      <c r="BL84" s="108"/>
      <c r="BM84" s="108"/>
      <c r="BN84" s="108"/>
      <c r="BO84" s="166"/>
      <c r="BP84" s="107"/>
      <c r="BQ84" s="108"/>
      <c r="BR84" s="108"/>
      <c r="BS84" s="108"/>
      <c r="BT84" s="108"/>
      <c r="BU84" s="108"/>
      <c r="BV84" s="166"/>
      <c r="BW84" s="107"/>
      <c r="BX84" s="108"/>
      <c r="BY84" s="108"/>
      <c r="BZ84" s="108"/>
      <c r="CA84" s="108"/>
      <c r="CB84" s="108"/>
      <c r="CC84" s="166"/>
      <c r="CD84" s="107"/>
      <c r="CE84" s="108"/>
      <c r="CF84" s="108"/>
      <c r="CG84" s="108"/>
      <c r="CH84" s="108"/>
      <c r="CI84" s="108"/>
      <c r="CJ84" s="166"/>
      <c r="CK84" s="107"/>
      <c r="CL84" s="108"/>
      <c r="CM84" s="108"/>
      <c r="CN84" s="108"/>
      <c r="CO84" s="108"/>
      <c r="CP84" s="108"/>
      <c r="CQ84" s="166"/>
    </row>
    <row r="85" spans="12:99" ht="14.25" customHeight="1" x14ac:dyDescent="0.2">
      <c r="L85" s="107"/>
      <c r="M85" s="108"/>
      <c r="N85" s="108"/>
      <c r="O85" s="108"/>
      <c r="P85" s="108"/>
      <c r="Q85" s="108"/>
      <c r="R85" s="166"/>
      <c r="S85" s="107"/>
      <c r="T85" s="108"/>
      <c r="U85" s="108"/>
      <c r="V85" s="108"/>
      <c r="W85" s="108"/>
      <c r="X85" s="108"/>
      <c r="Y85" s="166"/>
      <c r="Z85" s="107"/>
      <c r="AA85" s="108"/>
      <c r="AB85" s="108"/>
      <c r="AC85" s="108"/>
      <c r="AD85" s="108"/>
      <c r="AE85" s="108"/>
      <c r="AF85" s="166"/>
      <c r="AG85" s="107"/>
      <c r="AH85" s="108"/>
      <c r="AI85" s="108"/>
      <c r="AJ85" s="108"/>
      <c r="AK85" s="108"/>
      <c r="AL85" s="108"/>
      <c r="AM85" s="166"/>
      <c r="AN85" s="107"/>
      <c r="AO85" s="108"/>
      <c r="AP85" s="108"/>
      <c r="AQ85" s="108"/>
      <c r="AR85" s="108"/>
      <c r="AS85" s="108"/>
      <c r="AT85" s="166"/>
      <c r="AU85" s="107"/>
      <c r="AV85" s="108"/>
      <c r="AW85" s="108"/>
      <c r="AX85" s="108"/>
      <c r="AY85" s="108"/>
      <c r="AZ85" s="108"/>
      <c r="BA85" s="166"/>
      <c r="BB85" s="107"/>
      <c r="BC85" s="108"/>
      <c r="BD85" s="108"/>
      <c r="BE85" s="108"/>
      <c r="BF85" s="108"/>
      <c r="BG85" s="108"/>
      <c r="BH85" s="166"/>
      <c r="BI85" s="107"/>
      <c r="BJ85" s="108"/>
      <c r="BK85" s="108"/>
      <c r="BL85" s="108"/>
      <c r="BM85" s="108"/>
      <c r="BN85" s="108"/>
      <c r="BO85" s="166"/>
      <c r="BP85" s="107"/>
      <c r="BQ85" s="108"/>
      <c r="BR85" s="108"/>
      <c r="BS85" s="108"/>
      <c r="BT85" s="108"/>
      <c r="BU85" s="108"/>
      <c r="BV85" s="166"/>
      <c r="BW85" s="107"/>
      <c r="BX85" s="108"/>
      <c r="BY85" s="108"/>
      <c r="BZ85" s="108"/>
      <c r="CA85" s="108"/>
      <c r="CB85" s="108"/>
      <c r="CC85" s="166"/>
      <c r="CD85" s="107"/>
      <c r="CE85" s="108"/>
      <c r="CF85" s="108"/>
      <c r="CG85" s="108"/>
      <c r="CH85" s="108"/>
      <c r="CI85" s="108"/>
      <c r="CJ85" s="166"/>
      <c r="CK85" s="107"/>
      <c r="CL85" s="108"/>
      <c r="CM85" s="108"/>
      <c r="CN85" s="108"/>
      <c r="CO85" s="108"/>
      <c r="CP85" s="108"/>
      <c r="CQ85" s="166"/>
    </row>
    <row r="86" spans="12:99" ht="14.25" customHeight="1" x14ac:dyDescent="0.2">
      <c r="L86" s="107"/>
      <c r="M86" s="108"/>
      <c r="N86" s="108"/>
      <c r="O86" s="108"/>
      <c r="P86" s="108"/>
      <c r="Q86" s="108"/>
      <c r="R86" s="166"/>
      <c r="S86" s="107"/>
      <c r="T86" s="108"/>
      <c r="U86" s="108"/>
      <c r="V86" s="108"/>
      <c r="W86" s="108"/>
      <c r="X86" s="108"/>
      <c r="Y86" s="166"/>
      <c r="Z86" s="107"/>
      <c r="AA86" s="108"/>
      <c r="AB86" s="108"/>
      <c r="AC86" s="108"/>
      <c r="AD86" s="108"/>
      <c r="AE86" s="108"/>
      <c r="AF86" s="166"/>
      <c r="AG86" s="107"/>
      <c r="AH86" s="108"/>
      <c r="AI86" s="108"/>
      <c r="AJ86" s="108"/>
      <c r="AK86" s="108"/>
      <c r="AL86" s="108"/>
      <c r="AM86" s="166"/>
      <c r="AN86" s="107"/>
      <c r="AO86" s="108"/>
      <c r="AP86" s="108"/>
      <c r="AQ86" s="108"/>
      <c r="AR86" s="108"/>
      <c r="AS86" s="108"/>
      <c r="AT86" s="166"/>
      <c r="AU86" s="107"/>
      <c r="AV86" s="108"/>
      <c r="AW86" s="108"/>
      <c r="AX86" s="108"/>
      <c r="AY86" s="108"/>
      <c r="AZ86" s="108"/>
      <c r="BA86" s="166"/>
      <c r="BB86" s="107"/>
      <c r="BC86" s="108"/>
      <c r="BD86" s="108"/>
      <c r="BE86" s="108"/>
      <c r="BF86" s="108"/>
      <c r="BG86" s="108"/>
      <c r="BH86" s="166"/>
      <c r="BI86" s="107"/>
      <c r="BJ86" s="108"/>
      <c r="BK86" s="108"/>
      <c r="BL86" s="108"/>
      <c r="BM86" s="108"/>
      <c r="BN86" s="108"/>
      <c r="BO86" s="166"/>
      <c r="BP86" s="107"/>
      <c r="BQ86" s="108"/>
      <c r="BR86" s="108"/>
      <c r="BS86" s="108"/>
      <c r="BT86" s="108"/>
      <c r="BU86" s="108"/>
      <c r="BV86" s="166"/>
      <c r="BW86" s="107"/>
      <c r="BX86" s="108"/>
      <c r="BY86" s="108"/>
      <c r="BZ86" s="108"/>
      <c r="CA86" s="108"/>
      <c r="CB86" s="108"/>
      <c r="CC86" s="166"/>
      <c r="CD86" s="107"/>
      <c r="CE86" s="108"/>
      <c r="CF86" s="108"/>
      <c r="CG86" s="108"/>
      <c r="CH86" s="108"/>
      <c r="CI86" s="108"/>
      <c r="CJ86" s="166"/>
      <c r="CK86" s="107"/>
      <c r="CL86" s="108"/>
      <c r="CM86" s="108"/>
      <c r="CN86" s="108"/>
      <c r="CO86" s="108"/>
      <c r="CP86" s="108"/>
      <c r="CQ86" s="166"/>
      <c r="CU86" s="154"/>
    </row>
    <row r="87" spans="12:99" ht="14.25" customHeight="1" x14ac:dyDescent="0.2">
      <c r="L87" s="107" t="s">
        <v>82</v>
      </c>
      <c r="M87" s="108"/>
      <c r="N87" s="108"/>
      <c r="O87" s="108"/>
      <c r="P87" s="108"/>
      <c r="Q87" s="108"/>
      <c r="R87" s="166">
        <f>SUM(R61:R86)</f>
        <v>34920.599999999991</v>
      </c>
      <c r="S87" s="107" t="s">
        <v>82</v>
      </c>
      <c r="T87" s="108"/>
      <c r="U87" s="108"/>
      <c r="V87" s="108"/>
      <c r="W87" s="108"/>
      <c r="X87" s="171"/>
      <c r="Y87" s="166">
        <f>SUM(Y61:Y86)</f>
        <v>27172.31</v>
      </c>
      <c r="Z87" s="107" t="s">
        <v>82</v>
      </c>
      <c r="AA87" s="108"/>
      <c r="AB87" s="108"/>
      <c r="AC87" s="108"/>
      <c r="AD87" s="108"/>
      <c r="AE87" s="108"/>
      <c r="AF87" s="166">
        <f>SUM(AF61:AF86)</f>
        <v>23125.34</v>
      </c>
      <c r="AG87" s="107" t="s">
        <v>82</v>
      </c>
      <c r="AH87" s="108"/>
      <c r="AI87" s="108"/>
      <c r="AJ87" s="108"/>
      <c r="AK87" s="108"/>
      <c r="AL87" s="108"/>
      <c r="AM87" s="166">
        <f>SUM(AM61:AM86)</f>
        <v>21165.749999999996</v>
      </c>
      <c r="AN87" s="107" t="s">
        <v>82</v>
      </c>
      <c r="AO87" s="108"/>
      <c r="AP87" s="108"/>
      <c r="AQ87" s="108"/>
      <c r="AR87" s="108"/>
      <c r="AS87" s="108"/>
      <c r="AT87" s="166">
        <f>SUM(AT61:AT86)</f>
        <v>0</v>
      </c>
      <c r="AU87" s="107" t="s">
        <v>82</v>
      </c>
      <c r="AV87" s="108"/>
      <c r="AW87" s="108"/>
      <c r="AX87" s="108"/>
      <c r="AY87" s="108"/>
      <c r="AZ87" s="108"/>
      <c r="BA87" s="166">
        <f>SUM(BA61:BA86)</f>
        <v>0</v>
      </c>
      <c r="BB87" s="107" t="s">
        <v>82</v>
      </c>
      <c r="BC87" s="108"/>
      <c r="BD87" s="108"/>
      <c r="BE87" s="108"/>
      <c r="BF87" s="108"/>
      <c r="BG87" s="108"/>
      <c r="BH87" s="166">
        <f>SUM(BH61:BH86)</f>
        <v>0</v>
      </c>
      <c r="BI87" s="107" t="s">
        <v>82</v>
      </c>
      <c r="BJ87" s="108"/>
      <c r="BK87" s="108"/>
      <c r="BL87" s="108"/>
      <c r="BM87" s="108"/>
      <c r="BN87" s="108"/>
      <c r="BO87" s="166">
        <f>SUM(BO61:BO86)</f>
        <v>0</v>
      </c>
      <c r="BP87" s="107" t="s">
        <v>82</v>
      </c>
      <c r="BQ87" s="108"/>
      <c r="BR87" s="108"/>
      <c r="BS87" s="108"/>
      <c r="BT87" s="108"/>
      <c r="BU87" s="108"/>
      <c r="BV87" s="166">
        <f>SUM(BV61:BV86)</f>
        <v>0</v>
      </c>
      <c r="BW87" s="107" t="s">
        <v>82</v>
      </c>
      <c r="BX87" s="108"/>
      <c r="BY87" s="108"/>
      <c r="BZ87" s="108"/>
      <c r="CA87" s="108"/>
      <c r="CB87" s="108"/>
      <c r="CC87" s="166">
        <f>SUM(CC61:CC86)</f>
        <v>0</v>
      </c>
      <c r="CD87" s="107" t="s">
        <v>82</v>
      </c>
      <c r="CE87" s="108"/>
      <c r="CF87" s="108"/>
      <c r="CG87" s="108"/>
      <c r="CH87" s="108"/>
      <c r="CI87" s="108"/>
      <c r="CJ87" s="166">
        <f>SUM(CJ61:CJ86)</f>
        <v>0</v>
      </c>
      <c r="CK87" s="107" t="s">
        <v>82</v>
      </c>
      <c r="CL87" s="108"/>
      <c r="CM87" s="108"/>
      <c r="CN87" s="108"/>
      <c r="CO87" s="108"/>
      <c r="CP87" s="108"/>
      <c r="CQ87" s="166">
        <f>SUM(CQ61:CQ86)</f>
        <v>0</v>
      </c>
      <c r="CU87" s="154"/>
    </row>
    <row r="88" spans="12:99" ht="14.25" customHeight="1" x14ac:dyDescent="0.2">
      <c r="AM88" s="104"/>
      <c r="AT88" s="139"/>
      <c r="BA88" s="139"/>
      <c r="BH88" s="139"/>
      <c r="BO88" s="139"/>
      <c r="BV88" s="155"/>
      <c r="CC88" s="155"/>
      <c r="CJ88" s="139"/>
      <c r="CU88" s="154"/>
    </row>
    <row r="89" spans="12:99" ht="14.25" customHeight="1" x14ac:dyDescent="0.2">
      <c r="Y89" s="141"/>
      <c r="AF89" s="104"/>
      <c r="AM89" s="104"/>
      <c r="AT89" s="139"/>
      <c r="BA89" s="139"/>
      <c r="BH89" s="139"/>
      <c r="BO89" s="139"/>
      <c r="BV89" s="155"/>
      <c r="CC89" s="155"/>
      <c r="CJ89" s="139"/>
      <c r="CU89" s="154"/>
    </row>
    <row r="90" spans="12:99" ht="14.25" customHeight="1" x14ac:dyDescent="0.2">
      <c r="AF90" s="104"/>
      <c r="AM90" s="104"/>
      <c r="AT90" s="139"/>
      <c r="BA90" s="139"/>
      <c r="BH90" s="139"/>
      <c r="BO90" s="139"/>
      <c r="BV90" s="155"/>
      <c r="CC90" s="155"/>
      <c r="CJ90" s="139"/>
      <c r="CU90" s="154"/>
    </row>
    <row r="91" spans="12:99" ht="14.25" customHeight="1" x14ac:dyDescent="0.2">
      <c r="AF91" s="141"/>
      <c r="AM91" s="142"/>
      <c r="AT91" s="139"/>
      <c r="BA91" s="139"/>
      <c r="BH91" s="140"/>
      <c r="BO91" s="140"/>
      <c r="BV91" s="155"/>
      <c r="CC91" s="140"/>
      <c r="CJ91" s="139"/>
    </row>
    <row r="92" spans="12:99" ht="14.25" customHeight="1" x14ac:dyDescent="0.2">
      <c r="AT92" s="139"/>
      <c r="BA92" s="139"/>
      <c r="BV92" s="155"/>
      <c r="CC92" s="139"/>
      <c r="CJ92" s="139"/>
    </row>
    <row r="93" spans="12:99" ht="14.25" customHeight="1" x14ac:dyDescent="0.2">
      <c r="AT93" s="140"/>
      <c r="BA93" s="140"/>
      <c r="BV93" s="155"/>
      <c r="CJ93" s="139"/>
    </row>
    <row r="94" spans="12:99" ht="14.25" customHeight="1" x14ac:dyDescent="0.2">
      <c r="AT94" s="139"/>
      <c r="BA94" s="139"/>
      <c r="BV94" s="155"/>
      <c r="CJ94" s="139"/>
    </row>
    <row r="95" spans="12:99" ht="14.25" customHeight="1" x14ac:dyDescent="0.2">
      <c r="AT95" s="139"/>
      <c r="BA95" s="139"/>
      <c r="BV95" s="139"/>
      <c r="CJ95" s="139"/>
    </row>
    <row r="96" spans="12:99" ht="14.25" customHeight="1" x14ac:dyDescent="0.2">
      <c r="AT96" s="139"/>
      <c r="BA96" s="139"/>
      <c r="BV96" s="140"/>
      <c r="CJ96" s="139"/>
    </row>
    <row r="97" spans="46:88" ht="14.25" customHeight="1" x14ac:dyDescent="0.2">
      <c r="AT97" s="139"/>
      <c r="CJ97" s="140"/>
    </row>
    <row r="98" spans="46:88" ht="14.25" customHeight="1" x14ac:dyDescent="0.2">
      <c r="AT98" s="139"/>
    </row>
    <row r="99" spans="46:88" ht="14.25" customHeight="1" x14ac:dyDescent="0.2">
      <c r="AT99" s="139"/>
    </row>
    <row r="100" spans="46:88" ht="14.25" customHeight="1" x14ac:dyDescent="0.2"/>
    <row r="101" spans="46:88" ht="14.25" customHeight="1" x14ac:dyDescent="0.2">
      <c r="BA101" s="139"/>
    </row>
    <row r="102" spans="46:88" ht="14.25" customHeight="1" x14ac:dyDescent="0.2">
      <c r="BA102" s="139"/>
    </row>
    <row r="103" spans="46:88" ht="14.25" customHeight="1" x14ac:dyDescent="0.2">
      <c r="BA103" s="139"/>
    </row>
    <row r="104" spans="46:88" ht="14.25" customHeight="1" x14ac:dyDescent="0.2"/>
    <row r="105" spans="46:88" ht="14.25" customHeight="1" x14ac:dyDescent="0.2"/>
    <row r="106" spans="46:88" ht="14.25" customHeight="1" x14ac:dyDescent="0.2"/>
    <row r="107" spans="46:88" ht="14.25" customHeight="1" x14ac:dyDescent="0.2"/>
    <row r="108" spans="46:88" ht="14.25" customHeight="1" x14ac:dyDescent="0.2"/>
    <row r="109" spans="46:88" ht="14.25" customHeight="1" x14ac:dyDescent="0.2"/>
    <row r="110" spans="46:88" ht="14.25" customHeight="1" x14ac:dyDescent="0.2"/>
    <row r="111" spans="46:88" ht="14.25" customHeight="1" x14ac:dyDescent="0.2"/>
    <row r="112" spans="46:88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spans="99:99" ht="14.25" customHeight="1" x14ac:dyDescent="0.2"/>
    <row r="194" spans="99:99" ht="14.25" customHeight="1" x14ac:dyDescent="0.2"/>
    <row r="195" spans="99:99" ht="14.25" customHeight="1" x14ac:dyDescent="0.2"/>
    <row r="196" spans="99:99" ht="14.25" customHeight="1" x14ac:dyDescent="0.2"/>
    <row r="197" spans="99:99" ht="14.25" customHeight="1" x14ac:dyDescent="0.2"/>
    <row r="198" spans="99:99" ht="14.25" customHeight="1" x14ac:dyDescent="0.2"/>
    <row r="199" spans="99:99" ht="14.25" customHeight="1" x14ac:dyDescent="0.2"/>
    <row r="200" spans="99:99" ht="14.25" customHeight="1" x14ac:dyDescent="0.2"/>
    <row r="201" spans="99:99" ht="14.25" customHeight="1" x14ac:dyDescent="0.2"/>
    <row r="202" spans="99:99" ht="14.25" customHeight="1" x14ac:dyDescent="0.2"/>
    <row r="203" spans="99:99" ht="14.25" customHeight="1" x14ac:dyDescent="0.2"/>
    <row r="204" spans="99:99" ht="14.25" customHeight="1" x14ac:dyDescent="0.2"/>
    <row r="205" spans="99:99" ht="14.25" customHeight="1" x14ac:dyDescent="0.2"/>
    <row r="206" spans="99:99" ht="14.25" customHeight="1" x14ac:dyDescent="0.2"/>
    <row r="207" spans="99:99" ht="14.25" customHeight="1" x14ac:dyDescent="0.2"/>
    <row r="208" spans="99:99" ht="14.25" customHeight="1" x14ac:dyDescent="0.2">
      <c r="CU208" s="154"/>
    </row>
    <row r="209" spans="99:99" ht="14.25" customHeight="1" x14ac:dyDescent="0.2">
      <c r="CU209" s="154"/>
    </row>
    <row r="210" spans="99:99" ht="14.25" customHeight="1" x14ac:dyDescent="0.2">
      <c r="CU210" s="154"/>
    </row>
    <row r="211" spans="99:99" ht="14.25" customHeight="1" x14ac:dyDescent="0.2">
      <c r="CU211" s="154"/>
    </row>
    <row r="212" spans="99:99" ht="14.25" customHeight="1" x14ac:dyDescent="0.2">
      <c r="CU212" s="154"/>
    </row>
    <row r="213" spans="99:99" ht="14.25" customHeight="1" x14ac:dyDescent="0.2">
      <c r="CU213" s="154"/>
    </row>
    <row r="214" spans="99:99" ht="14.25" customHeight="1" x14ac:dyDescent="0.2">
      <c r="CU214" s="154"/>
    </row>
    <row r="215" spans="99:99" ht="14.25" customHeight="1" x14ac:dyDescent="0.2">
      <c r="CU215" s="154"/>
    </row>
    <row r="216" spans="99:99" ht="14.25" customHeight="1" x14ac:dyDescent="0.2">
      <c r="CU216" s="154"/>
    </row>
    <row r="217" spans="99:99" ht="14.25" customHeight="1" x14ac:dyDescent="0.2">
      <c r="CU217" s="154"/>
    </row>
    <row r="218" spans="99:99" ht="14.25" customHeight="1" x14ac:dyDescent="0.2">
      <c r="CU218" s="154"/>
    </row>
    <row r="219" spans="99:99" ht="14.25" customHeight="1" x14ac:dyDescent="0.2">
      <c r="CU219" s="154"/>
    </row>
    <row r="220" spans="99:99" ht="14.25" customHeight="1" x14ac:dyDescent="0.2">
      <c r="CU220" s="154"/>
    </row>
    <row r="221" spans="99:99" ht="14.25" customHeight="1" x14ac:dyDescent="0.2">
      <c r="CU221" s="154"/>
    </row>
    <row r="222" spans="99:99" ht="14.25" customHeight="1" x14ac:dyDescent="0.2">
      <c r="CU222" s="154"/>
    </row>
    <row r="223" spans="99:99" ht="14.25" customHeight="1" x14ac:dyDescent="0.2">
      <c r="CU223" s="154"/>
    </row>
    <row r="224" spans="99:99" ht="14.25" customHeight="1" x14ac:dyDescent="0.2">
      <c r="CU224" s="154"/>
    </row>
    <row r="225" spans="99:99" ht="14.25" customHeight="1" x14ac:dyDescent="0.2">
      <c r="CU225" s="154"/>
    </row>
    <row r="226" spans="99:99" ht="14.25" customHeight="1" x14ac:dyDescent="0.2">
      <c r="CU226" s="154"/>
    </row>
    <row r="227" spans="99:99" ht="14.25" customHeight="1" x14ac:dyDescent="0.2">
      <c r="CU227" s="154"/>
    </row>
    <row r="228" spans="99:99" ht="14.25" customHeight="1" x14ac:dyDescent="0.2">
      <c r="CU228" s="154"/>
    </row>
    <row r="229" spans="99:99" ht="14.25" customHeight="1" x14ac:dyDescent="0.2">
      <c r="CU229" s="154"/>
    </row>
    <row r="230" spans="99:99" ht="14.25" customHeight="1" x14ac:dyDescent="0.2">
      <c r="CU230" s="154"/>
    </row>
    <row r="231" spans="99:99" ht="14.25" customHeight="1" x14ac:dyDescent="0.2">
      <c r="CU231" s="154"/>
    </row>
    <row r="232" spans="99:99" ht="14.25" customHeight="1" x14ac:dyDescent="0.2">
      <c r="CU232" s="154"/>
    </row>
    <row r="233" spans="99:99" ht="14.25" customHeight="1" x14ac:dyDescent="0.2">
      <c r="CU233" s="154"/>
    </row>
    <row r="234" spans="99:99" ht="14.25" customHeight="1" x14ac:dyDescent="0.2">
      <c r="CU234" s="154"/>
    </row>
    <row r="235" spans="99:99" ht="14.25" customHeight="1" x14ac:dyDescent="0.2">
      <c r="CU235" s="154"/>
    </row>
    <row r="236" spans="99:99" ht="14.25" customHeight="1" x14ac:dyDescent="0.2">
      <c r="CU236" s="154"/>
    </row>
    <row r="237" spans="99:99" ht="14.25" customHeight="1" x14ac:dyDescent="0.2">
      <c r="CU237" s="154"/>
    </row>
    <row r="238" spans="99:99" ht="14.25" customHeight="1" x14ac:dyDescent="0.2">
      <c r="CU238" s="154"/>
    </row>
    <row r="239" spans="99:99" ht="14.25" customHeight="1" x14ac:dyDescent="0.2">
      <c r="CU239" s="154"/>
    </row>
    <row r="240" spans="99:99" ht="14.25" customHeight="1" x14ac:dyDescent="0.2">
      <c r="CU240" s="154"/>
    </row>
    <row r="241" spans="99:99" ht="14.25" customHeight="1" x14ac:dyDescent="0.2">
      <c r="CU241" s="154"/>
    </row>
    <row r="242" spans="99:99" ht="14.25" customHeight="1" x14ac:dyDescent="0.2">
      <c r="CU242" s="154"/>
    </row>
    <row r="243" spans="99:99" ht="14.25" customHeight="1" x14ac:dyDescent="0.2">
      <c r="CU243" s="154"/>
    </row>
    <row r="244" spans="99:99" ht="14.25" customHeight="1" x14ac:dyDescent="0.2">
      <c r="CU244" s="154"/>
    </row>
    <row r="245" spans="99:99" ht="14.25" customHeight="1" x14ac:dyDescent="0.2">
      <c r="CU245" s="154"/>
    </row>
    <row r="246" spans="99:99" ht="14.25" customHeight="1" x14ac:dyDescent="0.2">
      <c r="CU246" s="154"/>
    </row>
    <row r="247" spans="99:99" ht="14.25" customHeight="1" x14ac:dyDescent="0.2">
      <c r="CU247" s="154"/>
    </row>
    <row r="248" spans="99:99" ht="14.25" customHeight="1" x14ac:dyDescent="0.2">
      <c r="CU248" s="154"/>
    </row>
    <row r="249" spans="99:99" ht="14.25" customHeight="1" x14ac:dyDescent="0.2">
      <c r="CU249" s="154"/>
    </row>
    <row r="250" spans="99:99" ht="14.25" customHeight="1" x14ac:dyDescent="0.2">
      <c r="CU250" s="154"/>
    </row>
    <row r="251" spans="99:99" ht="14.25" customHeight="1" x14ac:dyDescent="0.2">
      <c r="CU251" s="154"/>
    </row>
    <row r="252" spans="99:99" ht="14.25" customHeight="1" x14ac:dyDescent="0.2">
      <c r="CU252" s="154"/>
    </row>
    <row r="253" spans="99:99" ht="14.25" customHeight="1" x14ac:dyDescent="0.2">
      <c r="CU253" s="154"/>
    </row>
    <row r="254" spans="99:99" ht="14.25" customHeight="1" x14ac:dyDescent="0.2">
      <c r="CU254" s="154"/>
    </row>
    <row r="255" spans="99:99" ht="14.25" customHeight="1" x14ac:dyDescent="0.2">
      <c r="CU255" s="154"/>
    </row>
    <row r="256" spans="99:99" ht="14.25" customHeight="1" x14ac:dyDescent="0.2">
      <c r="CU256" s="154"/>
    </row>
    <row r="257" spans="99:99" ht="14.25" customHeight="1" x14ac:dyDescent="0.2">
      <c r="CU257" s="154"/>
    </row>
    <row r="258" spans="99:99" ht="14.25" customHeight="1" x14ac:dyDescent="0.2">
      <c r="CU258" s="154"/>
    </row>
    <row r="259" spans="99:99" ht="14.25" customHeight="1" x14ac:dyDescent="0.2">
      <c r="CU259" s="154"/>
    </row>
    <row r="260" spans="99:99" ht="14.25" customHeight="1" x14ac:dyDescent="0.2">
      <c r="CU260" s="154"/>
    </row>
    <row r="261" spans="99:99" ht="14.25" customHeight="1" x14ac:dyDescent="0.2">
      <c r="CU261" s="154"/>
    </row>
    <row r="262" spans="99:99" ht="14.25" customHeight="1" x14ac:dyDescent="0.2">
      <c r="CU262" s="154"/>
    </row>
    <row r="263" spans="99:99" ht="14.25" customHeight="1" x14ac:dyDescent="0.2">
      <c r="CU263" s="154"/>
    </row>
    <row r="264" spans="99:99" ht="14.25" customHeight="1" x14ac:dyDescent="0.2">
      <c r="CU264" s="154"/>
    </row>
    <row r="265" spans="99:99" ht="14.25" customHeight="1" x14ac:dyDescent="0.2">
      <c r="CU265" s="154"/>
    </row>
    <row r="266" spans="99:99" ht="14.25" customHeight="1" x14ac:dyDescent="0.2">
      <c r="CU266" s="154"/>
    </row>
    <row r="267" spans="99:99" ht="14.25" customHeight="1" x14ac:dyDescent="0.2">
      <c r="CU267" s="154"/>
    </row>
    <row r="268" spans="99:99" ht="14.25" customHeight="1" x14ac:dyDescent="0.2">
      <c r="CU268" s="154"/>
    </row>
    <row r="269" spans="99:99" ht="14.25" customHeight="1" x14ac:dyDescent="0.2">
      <c r="CU269" s="154"/>
    </row>
    <row r="270" spans="99:99" ht="14.25" customHeight="1" x14ac:dyDescent="0.2">
      <c r="CU270" s="154"/>
    </row>
    <row r="271" spans="99:99" ht="14.25" customHeight="1" x14ac:dyDescent="0.2">
      <c r="CU271" s="154"/>
    </row>
    <row r="272" spans="99:99" ht="14.25" customHeight="1" x14ac:dyDescent="0.2">
      <c r="CU272" s="154"/>
    </row>
    <row r="273" spans="99:99" ht="14.25" customHeight="1" x14ac:dyDescent="0.2">
      <c r="CU273" s="154"/>
    </row>
    <row r="274" spans="99:99" ht="14.25" customHeight="1" x14ac:dyDescent="0.2">
      <c r="CU274" s="154"/>
    </row>
    <row r="275" spans="99:99" ht="14.25" customHeight="1" x14ac:dyDescent="0.2">
      <c r="CU275" s="154"/>
    </row>
    <row r="276" spans="99:99" ht="14.25" customHeight="1" x14ac:dyDescent="0.2">
      <c r="CU276" s="154"/>
    </row>
    <row r="277" spans="99:99" ht="14.25" customHeight="1" x14ac:dyDescent="0.2">
      <c r="CU277" s="154"/>
    </row>
    <row r="278" spans="99:99" ht="14.25" customHeight="1" x14ac:dyDescent="0.2">
      <c r="CU278" s="154"/>
    </row>
    <row r="279" spans="99:99" ht="14.25" customHeight="1" x14ac:dyDescent="0.2">
      <c r="CU279" s="154"/>
    </row>
    <row r="280" spans="99:99" ht="14.25" customHeight="1" x14ac:dyDescent="0.2">
      <c r="CU280" s="154"/>
    </row>
    <row r="281" spans="99:99" ht="14.25" customHeight="1" x14ac:dyDescent="0.2">
      <c r="CU281" s="154"/>
    </row>
    <row r="282" spans="99:99" ht="14.25" customHeight="1" x14ac:dyDescent="0.2">
      <c r="CU282" s="154"/>
    </row>
    <row r="283" spans="99:99" ht="14.25" customHeight="1" x14ac:dyDescent="0.2">
      <c r="CU283" s="154"/>
    </row>
    <row r="284" spans="99:99" ht="14.25" customHeight="1" x14ac:dyDescent="0.2">
      <c r="CU284" s="154"/>
    </row>
    <row r="285" spans="99:99" ht="14.25" customHeight="1" x14ac:dyDescent="0.2">
      <c r="CU285" s="154"/>
    </row>
    <row r="286" spans="99:99" ht="14.25" customHeight="1" x14ac:dyDescent="0.2">
      <c r="CU286" s="154"/>
    </row>
    <row r="287" spans="99:99" ht="14.25" customHeight="1" x14ac:dyDescent="0.2">
      <c r="CU287" s="154"/>
    </row>
    <row r="288" spans="99:99" ht="14.25" customHeight="1" x14ac:dyDescent="0.2">
      <c r="CU288" s="154"/>
    </row>
    <row r="289" spans="99:99" ht="14.25" customHeight="1" x14ac:dyDescent="0.2">
      <c r="CU289" s="154"/>
    </row>
    <row r="290" spans="99:99" ht="14.25" customHeight="1" x14ac:dyDescent="0.2">
      <c r="CU290" s="154"/>
    </row>
    <row r="291" spans="99:99" ht="14.25" customHeight="1" x14ac:dyDescent="0.2">
      <c r="CU291" s="154"/>
    </row>
    <row r="292" spans="99:99" ht="14.25" customHeight="1" x14ac:dyDescent="0.2">
      <c r="CU292" s="154"/>
    </row>
    <row r="293" spans="99:99" ht="14.25" customHeight="1" x14ac:dyDescent="0.2">
      <c r="CU293" s="154"/>
    </row>
    <row r="294" spans="99:99" ht="14.25" customHeight="1" x14ac:dyDescent="0.2">
      <c r="CU294" s="154"/>
    </row>
    <row r="295" spans="99:99" ht="14.25" customHeight="1" x14ac:dyDescent="0.2">
      <c r="CU295" s="154"/>
    </row>
    <row r="296" spans="99:99" ht="14.25" customHeight="1" x14ac:dyDescent="0.2">
      <c r="CU296" s="154"/>
    </row>
    <row r="297" spans="99:99" ht="14.25" customHeight="1" x14ac:dyDescent="0.2">
      <c r="CU297" s="154"/>
    </row>
    <row r="298" spans="99:99" ht="14.25" customHeight="1" x14ac:dyDescent="0.2">
      <c r="CU298" s="154"/>
    </row>
    <row r="299" spans="99:99" ht="14.25" customHeight="1" x14ac:dyDescent="0.2">
      <c r="CU299" s="154"/>
    </row>
    <row r="300" spans="99:99" ht="14.25" customHeight="1" x14ac:dyDescent="0.2">
      <c r="CU300" s="154"/>
    </row>
    <row r="301" spans="99:99" ht="14.25" customHeight="1" x14ac:dyDescent="0.2">
      <c r="CU301" s="154"/>
    </row>
    <row r="302" spans="99:99" ht="14.25" customHeight="1" x14ac:dyDescent="0.2">
      <c r="CU302" s="154"/>
    </row>
    <row r="303" spans="99:99" ht="14.25" customHeight="1" x14ac:dyDescent="0.2">
      <c r="CU303" s="154"/>
    </row>
    <row r="304" spans="99:99" ht="14.25" customHeight="1" x14ac:dyDescent="0.2">
      <c r="CU304" s="154"/>
    </row>
    <row r="305" spans="99:99" ht="14.25" customHeight="1" x14ac:dyDescent="0.2">
      <c r="CU305" s="154"/>
    </row>
    <row r="306" spans="99:99" ht="14.25" customHeight="1" x14ac:dyDescent="0.2">
      <c r="CU306" s="154"/>
    </row>
    <row r="307" spans="99:99" ht="14.25" customHeight="1" x14ac:dyDescent="0.2">
      <c r="CU307" s="154"/>
    </row>
    <row r="308" spans="99:99" ht="14.25" customHeight="1" x14ac:dyDescent="0.2">
      <c r="CU308" s="154"/>
    </row>
    <row r="309" spans="99:99" ht="14.25" customHeight="1" x14ac:dyDescent="0.2">
      <c r="CU309" s="154"/>
    </row>
    <row r="310" spans="99:99" ht="14.25" customHeight="1" x14ac:dyDescent="0.2">
      <c r="CU310" s="154"/>
    </row>
    <row r="311" spans="99:99" ht="14.25" customHeight="1" x14ac:dyDescent="0.2">
      <c r="CU311" s="154"/>
    </row>
    <row r="312" spans="99:99" ht="14.25" customHeight="1" x14ac:dyDescent="0.2">
      <c r="CU312" s="154"/>
    </row>
    <row r="313" spans="99:99" ht="14.25" customHeight="1" x14ac:dyDescent="0.2">
      <c r="CU313" s="154"/>
    </row>
    <row r="314" spans="99:99" ht="14.25" customHeight="1" x14ac:dyDescent="0.2">
      <c r="CU314" s="154"/>
    </row>
    <row r="315" spans="99:99" ht="14.25" customHeight="1" x14ac:dyDescent="0.2">
      <c r="CU315" s="154"/>
    </row>
    <row r="316" spans="99:99" ht="14.25" customHeight="1" x14ac:dyDescent="0.2">
      <c r="CU316" s="154"/>
    </row>
    <row r="317" spans="99:99" ht="14.25" customHeight="1" x14ac:dyDescent="0.2">
      <c r="CU317" s="154"/>
    </row>
    <row r="318" spans="99:99" ht="14.25" customHeight="1" x14ac:dyDescent="0.2">
      <c r="CU318" s="154"/>
    </row>
    <row r="319" spans="99:99" ht="14.25" customHeight="1" x14ac:dyDescent="0.2">
      <c r="CU319" s="154"/>
    </row>
    <row r="320" spans="99:99" ht="14.25" customHeight="1" x14ac:dyDescent="0.2">
      <c r="CU320" s="154"/>
    </row>
    <row r="321" spans="99:99" ht="14.25" customHeight="1" x14ac:dyDescent="0.2">
      <c r="CU321" s="154"/>
    </row>
    <row r="322" spans="99:99" ht="14.25" customHeight="1" x14ac:dyDescent="0.2">
      <c r="CU322" s="154"/>
    </row>
    <row r="323" spans="99:99" ht="14.25" customHeight="1" x14ac:dyDescent="0.2">
      <c r="CU323" s="154"/>
    </row>
    <row r="324" spans="99:99" ht="14.25" customHeight="1" x14ac:dyDescent="0.2">
      <c r="CU324" s="154"/>
    </row>
    <row r="325" spans="99:99" ht="14.25" customHeight="1" x14ac:dyDescent="0.2">
      <c r="CU325" s="154"/>
    </row>
    <row r="326" spans="99:99" ht="14.25" customHeight="1" x14ac:dyDescent="0.2">
      <c r="CU326" s="154"/>
    </row>
    <row r="327" spans="99:99" ht="14.25" customHeight="1" x14ac:dyDescent="0.2">
      <c r="CU327" s="154"/>
    </row>
    <row r="328" spans="99:99" ht="14.25" customHeight="1" x14ac:dyDescent="0.2">
      <c r="CU328" s="154"/>
    </row>
    <row r="329" spans="99:99" ht="14.25" customHeight="1" x14ac:dyDescent="0.2">
      <c r="CU329" s="154"/>
    </row>
    <row r="330" spans="99:99" ht="14.25" customHeight="1" x14ac:dyDescent="0.2">
      <c r="CU330" s="154"/>
    </row>
    <row r="331" spans="99:99" ht="14.25" customHeight="1" x14ac:dyDescent="0.2">
      <c r="CU331" s="154"/>
    </row>
    <row r="332" spans="99:99" ht="14.25" customHeight="1" x14ac:dyDescent="0.2">
      <c r="CU332" s="154"/>
    </row>
    <row r="333" spans="99:99" ht="14.25" customHeight="1" x14ac:dyDescent="0.2">
      <c r="CU333" s="154"/>
    </row>
    <row r="334" spans="99:99" ht="14.25" customHeight="1" x14ac:dyDescent="0.2">
      <c r="CU334" s="154"/>
    </row>
    <row r="335" spans="99:99" ht="14.25" customHeight="1" x14ac:dyDescent="0.2">
      <c r="CU335" s="154"/>
    </row>
    <row r="336" spans="99:99" ht="14.25" customHeight="1" x14ac:dyDescent="0.2">
      <c r="CU336" s="154"/>
    </row>
    <row r="337" spans="99:99" ht="14.25" customHeight="1" x14ac:dyDescent="0.2">
      <c r="CU337" s="154"/>
    </row>
    <row r="338" spans="99:99" ht="14.25" customHeight="1" x14ac:dyDescent="0.2">
      <c r="CU338" s="154"/>
    </row>
    <row r="339" spans="99:99" ht="14.25" customHeight="1" x14ac:dyDescent="0.2">
      <c r="CU339" s="154"/>
    </row>
    <row r="340" spans="99:99" ht="14.25" customHeight="1" x14ac:dyDescent="0.2">
      <c r="CU340" s="154"/>
    </row>
    <row r="341" spans="99:99" ht="14.25" customHeight="1" x14ac:dyDescent="0.2">
      <c r="CU341" s="154"/>
    </row>
    <row r="342" spans="99:99" ht="14.25" customHeight="1" x14ac:dyDescent="0.2">
      <c r="CU342" s="154"/>
    </row>
    <row r="343" spans="99:99" ht="14.25" customHeight="1" x14ac:dyDescent="0.2">
      <c r="CU343" s="154"/>
    </row>
    <row r="344" spans="99:99" ht="14.25" customHeight="1" x14ac:dyDescent="0.2">
      <c r="CU344" s="154"/>
    </row>
    <row r="345" spans="99:99" ht="14.25" customHeight="1" x14ac:dyDescent="0.2">
      <c r="CU345" s="154"/>
    </row>
    <row r="346" spans="99:99" ht="14.25" customHeight="1" x14ac:dyDescent="0.2">
      <c r="CU346" s="154"/>
    </row>
    <row r="347" spans="99:99" ht="14.25" customHeight="1" x14ac:dyDescent="0.2">
      <c r="CU347" s="154"/>
    </row>
    <row r="348" spans="99:99" ht="14.25" customHeight="1" x14ac:dyDescent="0.2">
      <c r="CU348" s="154"/>
    </row>
    <row r="349" spans="99:99" ht="14.25" customHeight="1" x14ac:dyDescent="0.2">
      <c r="CU349" s="154"/>
    </row>
    <row r="350" spans="99:99" ht="14.25" customHeight="1" x14ac:dyDescent="0.2">
      <c r="CU350" s="154"/>
    </row>
    <row r="351" spans="99:99" ht="14.25" customHeight="1" x14ac:dyDescent="0.2">
      <c r="CU351" s="154"/>
    </row>
    <row r="352" spans="99:99" ht="14.25" customHeight="1" x14ac:dyDescent="0.2">
      <c r="CU352" s="154"/>
    </row>
    <row r="353" spans="99:99" ht="14.25" customHeight="1" x14ac:dyDescent="0.2">
      <c r="CU353" s="154"/>
    </row>
    <row r="354" spans="99:99" ht="14.25" customHeight="1" x14ac:dyDescent="0.2">
      <c r="CU354" s="154"/>
    </row>
    <row r="355" spans="99:99" ht="14.25" customHeight="1" x14ac:dyDescent="0.2">
      <c r="CU355" s="154"/>
    </row>
    <row r="356" spans="99:99" ht="14.25" customHeight="1" x14ac:dyDescent="0.2">
      <c r="CU356" s="154"/>
    </row>
    <row r="357" spans="99:99" ht="14.25" customHeight="1" x14ac:dyDescent="0.2">
      <c r="CU357" s="154"/>
    </row>
    <row r="358" spans="99:99" ht="14.25" customHeight="1" x14ac:dyDescent="0.2">
      <c r="CU358" s="154"/>
    </row>
    <row r="359" spans="99:99" ht="14.25" customHeight="1" x14ac:dyDescent="0.2">
      <c r="CU359" s="154"/>
    </row>
    <row r="360" spans="99:99" ht="14.25" customHeight="1" x14ac:dyDescent="0.2">
      <c r="CU360" s="154"/>
    </row>
    <row r="361" spans="99:99" ht="14.25" customHeight="1" x14ac:dyDescent="0.2">
      <c r="CU361" s="154"/>
    </row>
    <row r="362" spans="99:99" ht="14.25" customHeight="1" x14ac:dyDescent="0.2">
      <c r="CU362" s="154"/>
    </row>
    <row r="363" spans="99:99" ht="14.25" customHeight="1" x14ac:dyDescent="0.2">
      <c r="CU363" s="154"/>
    </row>
    <row r="364" spans="99:99" ht="14.25" customHeight="1" x14ac:dyDescent="0.2">
      <c r="CU364" s="154"/>
    </row>
    <row r="365" spans="99:99" ht="14.25" customHeight="1" x14ac:dyDescent="0.2">
      <c r="CU365" s="154"/>
    </row>
    <row r="366" spans="99:99" ht="14.25" customHeight="1" x14ac:dyDescent="0.2">
      <c r="CU366" s="154"/>
    </row>
    <row r="367" spans="99:99" ht="14.25" customHeight="1" x14ac:dyDescent="0.2">
      <c r="CU367" s="154"/>
    </row>
    <row r="368" spans="99:99" ht="14.25" customHeight="1" x14ac:dyDescent="0.2">
      <c r="CU368" s="154"/>
    </row>
    <row r="369" spans="99:99" ht="14.25" customHeight="1" x14ac:dyDescent="0.2">
      <c r="CU369" s="154"/>
    </row>
    <row r="370" spans="99:99" ht="14.25" customHeight="1" x14ac:dyDescent="0.2">
      <c r="CU370" s="154"/>
    </row>
    <row r="371" spans="99:99" ht="14.25" customHeight="1" x14ac:dyDescent="0.2">
      <c r="CU371" s="154"/>
    </row>
    <row r="372" spans="99:99" ht="14.25" customHeight="1" x14ac:dyDescent="0.2">
      <c r="CU372" s="154"/>
    </row>
    <row r="373" spans="99:99" ht="14.25" customHeight="1" x14ac:dyDescent="0.2">
      <c r="CU373" s="154"/>
    </row>
    <row r="374" spans="99:99" ht="14.25" customHeight="1" x14ac:dyDescent="0.2">
      <c r="CU374" s="154"/>
    </row>
    <row r="375" spans="99:99" ht="14.25" customHeight="1" x14ac:dyDescent="0.2">
      <c r="CU375" s="154"/>
    </row>
    <row r="376" spans="99:99" ht="14.25" customHeight="1" x14ac:dyDescent="0.2">
      <c r="CU376" s="154"/>
    </row>
    <row r="377" spans="99:99" ht="14.25" customHeight="1" x14ac:dyDescent="0.2">
      <c r="CU377" s="154"/>
    </row>
    <row r="378" spans="99:99" ht="14.25" customHeight="1" x14ac:dyDescent="0.2">
      <c r="CU378" s="154"/>
    </row>
    <row r="379" spans="99:99" ht="14.25" customHeight="1" x14ac:dyDescent="0.2">
      <c r="CU379" s="154"/>
    </row>
    <row r="380" spans="99:99" ht="14.25" customHeight="1" x14ac:dyDescent="0.2">
      <c r="CU380" s="154"/>
    </row>
    <row r="381" spans="99:99" ht="14.25" customHeight="1" x14ac:dyDescent="0.2">
      <c r="CU381" s="154"/>
    </row>
    <row r="382" spans="99:99" ht="14.25" customHeight="1" x14ac:dyDescent="0.2">
      <c r="CU382" s="154"/>
    </row>
    <row r="383" spans="99:99" ht="14.25" customHeight="1" x14ac:dyDescent="0.2">
      <c r="CU383" s="154"/>
    </row>
    <row r="384" spans="99:99" ht="14.25" customHeight="1" x14ac:dyDescent="0.2">
      <c r="CU384" s="154"/>
    </row>
    <row r="385" spans="99:99" ht="14.25" customHeight="1" x14ac:dyDescent="0.2">
      <c r="CU385" s="154"/>
    </row>
    <row r="386" spans="99:99" ht="14.25" customHeight="1" x14ac:dyDescent="0.2">
      <c r="CU386" s="154"/>
    </row>
    <row r="387" spans="99:99" ht="14.25" customHeight="1" x14ac:dyDescent="0.2">
      <c r="CU387" s="154"/>
    </row>
    <row r="388" spans="99:99" ht="14.25" customHeight="1" x14ac:dyDescent="0.2">
      <c r="CU388" s="154"/>
    </row>
    <row r="389" spans="99:99" ht="14.25" customHeight="1" x14ac:dyDescent="0.2">
      <c r="CU389" s="154"/>
    </row>
    <row r="390" spans="99:99" ht="14.25" customHeight="1" x14ac:dyDescent="0.2">
      <c r="CU390" s="154"/>
    </row>
    <row r="391" spans="99:99" ht="14.25" customHeight="1" x14ac:dyDescent="0.2">
      <c r="CU391" s="154"/>
    </row>
    <row r="392" spans="99:99" ht="14.25" customHeight="1" x14ac:dyDescent="0.2">
      <c r="CU392" s="154"/>
    </row>
    <row r="393" spans="99:99" ht="14.25" customHeight="1" x14ac:dyDescent="0.2">
      <c r="CU393" s="154"/>
    </row>
    <row r="394" spans="99:99" ht="14.25" customHeight="1" x14ac:dyDescent="0.2">
      <c r="CU394" s="154"/>
    </row>
    <row r="395" spans="99:99" ht="14.25" customHeight="1" x14ac:dyDescent="0.2">
      <c r="CU395" s="154"/>
    </row>
    <row r="396" spans="99:99" ht="14.25" customHeight="1" x14ac:dyDescent="0.2">
      <c r="CU396" s="154"/>
    </row>
    <row r="397" spans="99:99" ht="14.25" customHeight="1" x14ac:dyDescent="0.2">
      <c r="CU397" s="154"/>
    </row>
    <row r="398" spans="99:99" ht="14.25" customHeight="1" x14ac:dyDescent="0.2">
      <c r="CU398" s="154"/>
    </row>
    <row r="399" spans="99:99" ht="14.25" customHeight="1" x14ac:dyDescent="0.2">
      <c r="CU399" s="154"/>
    </row>
    <row r="400" spans="99:99" ht="14.25" customHeight="1" x14ac:dyDescent="0.2">
      <c r="CU400" s="154"/>
    </row>
    <row r="401" spans="99:99" ht="14.25" customHeight="1" x14ac:dyDescent="0.2">
      <c r="CU401" s="154"/>
    </row>
    <row r="402" spans="99:99" ht="14.25" customHeight="1" x14ac:dyDescent="0.2">
      <c r="CU402" s="154"/>
    </row>
    <row r="403" spans="99:99" ht="14.25" customHeight="1" x14ac:dyDescent="0.2">
      <c r="CU403" s="154"/>
    </row>
    <row r="404" spans="99:99" ht="14.25" customHeight="1" x14ac:dyDescent="0.2">
      <c r="CU404" s="154"/>
    </row>
    <row r="405" spans="99:99" ht="14.25" customHeight="1" x14ac:dyDescent="0.2">
      <c r="CU405" s="154"/>
    </row>
    <row r="406" spans="99:99" ht="14.25" customHeight="1" x14ac:dyDescent="0.2">
      <c r="CU406" s="154"/>
    </row>
    <row r="407" spans="99:99" ht="14.25" customHeight="1" x14ac:dyDescent="0.2">
      <c r="CU407" s="154"/>
    </row>
    <row r="408" spans="99:99" ht="14.25" customHeight="1" x14ac:dyDescent="0.2">
      <c r="CU408" s="154"/>
    </row>
    <row r="409" spans="99:99" ht="14.25" customHeight="1" x14ac:dyDescent="0.2">
      <c r="CU409" s="154"/>
    </row>
    <row r="410" spans="99:99" ht="14.25" customHeight="1" x14ac:dyDescent="0.2">
      <c r="CU410" s="154"/>
    </row>
    <row r="411" spans="99:99" ht="14.25" customHeight="1" x14ac:dyDescent="0.2">
      <c r="CU411" s="154"/>
    </row>
    <row r="412" spans="99:99" ht="14.25" customHeight="1" x14ac:dyDescent="0.2">
      <c r="CU412" s="154"/>
    </row>
    <row r="413" spans="99:99" ht="14.25" customHeight="1" x14ac:dyDescent="0.2">
      <c r="CU413" s="154"/>
    </row>
    <row r="414" spans="99:99" ht="14.25" customHeight="1" x14ac:dyDescent="0.2">
      <c r="CU414" s="154"/>
    </row>
    <row r="415" spans="99:99" ht="14.25" customHeight="1" x14ac:dyDescent="0.2">
      <c r="CU415" s="154"/>
    </row>
    <row r="416" spans="99:99" ht="14.25" customHeight="1" x14ac:dyDescent="0.2">
      <c r="CU416" s="154"/>
    </row>
    <row r="417" spans="99:99" ht="14.25" customHeight="1" x14ac:dyDescent="0.2">
      <c r="CU417" s="154"/>
    </row>
    <row r="418" spans="99:99" ht="14.25" customHeight="1" x14ac:dyDescent="0.2">
      <c r="CU418" s="154"/>
    </row>
    <row r="419" spans="99:99" ht="14.25" customHeight="1" x14ac:dyDescent="0.2">
      <c r="CU419" s="154"/>
    </row>
    <row r="420" spans="99:99" ht="14.25" customHeight="1" x14ac:dyDescent="0.2">
      <c r="CU420" s="154"/>
    </row>
    <row r="421" spans="99:99" ht="14.25" customHeight="1" x14ac:dyDescent="0.2">
      <c r="CU421" s="154"/>
    </row>
    <row r="422" spans="99:99" ht="14.25" customHeight="1" x14ac:dyDescent="0.2">
      <c r="CU422" s="154"/>
    </row>
    <row r="423" spans="99:99" ht="14.25" customHeight="1" x14ac:dyDescent="0.2">
      <c r="CU423" s="154"/>
    </row>
    <row r="424" spans="99:99" ht="14.25" customHeight="1" x14ac:dyDescent="0.2">
      <c r="CU424" s="154"/>
    </row>
    <row r="425" spans="99:99" ht="14.25" customHeight="1" x14ac:dyDescent="0.2">
      <c r="CU425" s="154"/>
    </row>
    <row r="426" spans="99:99" ht="14.25" customHeight="1" x14ac:dyDescent="0.2">
      <c r="CU426" s="154"/>
    </row>
    <row r="427" spans="99:99" ht="14.25" customHeight="1" x14ac:dyDescent="0.2">
      <c r="CU427" s="154"/>
    </row>
    <row r="428" spans="99:99" ht="14.25" customHeight="1" x14ac:dyDescent="0.2">
      <c r="CU428" s="154"/>
    </row>
    <row r="429" spans="99:99" ht="14.25" customHeight="1" x14ac:dyDescent="0.2">
      <c r="CU429" s="154"/>
    </row>
    <row r="430" spans="99:99" ht="14.25" customHeight="1" x14ac:dyDescent="0.2">
      <c r="CU430" s="154"/>
    </row>
    <row r="431" spans="99:99" ht="14.25" customHeight="1" x14ac:dyDescent="0.2">
      <c r="CU431" s="154"/>
    </row>
    <row r="432" spans="99:99" ht="14.25" customHeight="1" x14ac:dyDescent="0.2">
      <c r="CU432" s="154"/>
    </row>
    <row r="433" spans="99:99" ht="14.25" customHeight="1" x14ac:dyDescent="0.2">
      <c r="CU433" s="154"/>
    </row>
    <row r="434" spans="99:99" ht="14.25" customHeight="1" x14ac:dyDescent="0.2">
      <c r="CU434" s="154"/>
    </row>
    <row r="435" spans="99:99" ht="14.25" customHeight="1" x14ac:dyDescent="0.2">
      <c r="CU435" s="154"/>
    </row>
    <row r="436" spans="99:99" ht="14.25" customHeight="1" x14ac:dyDescent="0.2">
      <c r="CU436" s="154"/>
    </row>
    <row r="437" spans="99:99" ht="14.25" customHeight="1" x14ac:dyDescent="0.2">
      <c r="CU437" s="154"/>
    </row>
    <row r="438" spans="99:99" ht="14.25" customHeight="1" x14ac:dyDescent="0.2">
      <c r="CU438" s="154"/>
    </row>
    <row r="439" spans="99:99" ht="14.25" customHeight="1" x14ac:dyDescent="0.2">
      <c r="CU439" s="154"/>
    </row>
    <row r="440" spans="99:99" ht="14.25" customHeight="1" x14ac:dyDescent="0.2">
      <c r="CU440" s="154"/>
    </row>
    <row r="441" spans="99:99" ht="14.25" customHeight="1" x14ac:dyDescent="0.2">
      <c r="CU441" s="154"/>
    </row>
    <row r="442" spans="99:99" ht="14.25" customHeight="1" x14ac:dyDescent="0.2">
      <c r="CU442" s="154"/>
    </row>
    <row r="443" spans="99:99" ht="14.25" customHeight="1" x14ac:dyDescent="0.2">
      <c r="CU443" s="154"/>
    </row>
    <row r="444" spans="99:99" ht="14.25" customHeight="1" x14ac:dyDescent="0.2">
      <c r="CU444" s="154"/>
    </row>
    <row r="445" spans="99:99" ht="14.25" customHeight="1" x14ac:dyDescent="0.2">
      <c r="CU445" s="154"/>
    </row>
    <row r="446" spans="99:99" ht="14.25" customHeight="1" x14ac:dyDescent="0.2">
      <c r="CU446" s="154"/>
    </row>
    <row r="447" spans="99:99" ht="14.25" customHeight="1" x14ac:dyDescent="0.2">
      <c r="CU447" s="154"/>
    </row>
    <row r="448" spans="99:99" ht="14.25" customHeight="1" x14ac:dyDescent="0.2">
      <c r="CU448" s="154"/>
    </row>
    <row r="449" spans="99:99" ht="14.25" customHeight="1" x14ac:dyDescent="0.2">
      <c r="CU449" s="154"/>
    </row>
    <row r="450" spans="99:99" ht="14.25" customHeight="1" x14ac:dyDescent="0.2">
      <c r="CU450" s="154"/>
    </row>
    <row r="451" spans="99:99" ht="14.25" customHeight="1" x14ac:dyDescent="0.2">
      <c r="CU451" s="154"/>
    </row>
    <row r="452" spans="99:99" ht="14.25" customHeight="1" x14ac:dyDescent="0.2">
      <c r="CU452" s="154"/>
    </row>
    <row r="453" spans="99:99" ht="14.25" customHeight="1" x14ac:dyDescent="0.2">
      <c r="CU453" s="154"/>
    </row>
    <row r="454" spans="99:99" ht="14.25" customHeight="1" x14ac:dyDescent="0.2">
      <c r="CU454" s="154"/>
    </row>
    <row r="455" spans="99:99" ht="14.25" customHeight="1" x14ac:dyDescent="0.2">
      <c r="CU455" s="154"/>
    </row>
    <row r="456" spans="99:99" ht="14.25" customHeight="1" x14ac:dyDescent="0.2">
      <c r="CU456" s="154"/>
    </row>
    <row r="457" spans="99:99" ht="14.25" customHeight="1" x14ac:dyDescent="0.2">
      <c r="CU457" s="154"/>
    </row>
    <row r="458" spans="99:99" ht="14.25" customHeight="1" x14ac:dyDescent="0.2">
      <c r="CU458" s="154"/>
    </row>
    <row r="459" spans="99:99" ht="14.25" customHeight="1" x14ac:dyDescent="0.2">
      <c r="CU459" s="154"/>
    </row>
    <row r="460" spans="99:99" ht="14.25" customHeight="1" x14ac:dyDescent="0.2">
      <c r="CU460" s="154"/>
    </row>
    <row r="461" spans="99:99" ht="14.25" customHeight="1" x14ac:dyDescent="0.2">
      <c r="CU461" s="154"/>
    </row>
    <row r="462" spans="99:99" ht="14.25" customHeight="1" x14ac:dyDescent="0.2">
      <c r="CU462" s="154"/>
    </row>
    <row r="463" spans="99:99" ht="14.25" customHeight="1" x14ac:dyDescent="0.2">
      <c r="CU463" s="154"/>
    </row>
    <row r="464" spans="99:99" ht="14.25" customHeight="1" x14ac:dyDescent="0.2">
      <c r="CU464" s="154"/>
    </row>
    <row r="465" spans="99:99" ht="14.25" customHeight="1" x14ac:dyDescent="0.2">
      <c r="CU465" s="154"/>
    </row>
    <row r="466" spans="99:99" ht="14.25" customHeight="1" x14ac:dyDescent="0.2">
      <c r="CU466" s="154"/>
    </row>
    <row r="467" spans="99:99" ht="14.25" customHeight="1" x14ac:dyDescent="0.2">
      <c r="CU467" s="154"/>
    </row>
    <row r="468" spans="99:99" ht="14.25" customHeight="1" x14ac:dyDescent="0.2">
      <c r="CU468" s="154"/>
    </row>
    <row r="469" spans="99:99" ht="14.25" customHeight="1" x14ac:dyDescent="0.2">
      <c r="CU469" s="154"/>
    </row>
    <row r="470" spans="99:99" ht="14.25" customHeight="1" x14ac:dyDescent="0.2">
      <c r="CU470" s="154"/>
    </row>
    <row r="471" spans="99:99" ht="14.25" customHeight="1" x14ac:dyDescent="0.2">
      <c r="CU471" s="154"/>
    </row>
    <row r="472" spans="99:99" ht="14.25" customHeight="1" x14ac:dyDescent="0.2">
      <c r="CU472" s="154"/>
    </row>
    <row r="473" spans="99:99" ht="14.25" customHeight="1" x14ac:dyDescent="0.2">
      <c r="CU473" s="154"/>
    </row>
    <row r="474" spans="99:99" ht="14.25" customHeight="1" x14ac:dyDescent="0.2">
      <c r="CU474" s="154"/>
    </row>
    <row r="475" spans="99:99" ht="14.25" customHeight="1" x14ac:dyDescent="0.2">
      <c r="CU475" s="154"/>
    </row>
    <row r="476" spans="99:99" ht="14.25" customHeight="1" x14ac:dyDescent="0.2">
      <c r="CU476" s="154"/>
    </row>
    <row r="477" spans="99:99" ht="14.25" customHeight="1" x14ac:dyDescent="0.2">
      <c r="CU477" s="154"/>
    </row>
    <row r="478" spans="99:99" ht="14.25" customHeight="1" x14ac:dyDescent="0.2">
      <c r="CU478" s="154"/>
    </row>
    <row r="479" spans="99:99" ht="14.25" customHeight="1" x14ac:dyDescent="0.2">
      <c r="CU479" s="154"/>
    </row>
    <row r="480" spans="99:99" ht="14.25" customHeight="1" x14ac:dyDescent="0.2">
      <c r="CU480" s="154"/>
    </row>
    <row r="481" spans="99:99" ht="14.25" customHeight="1" x14ac:dyDescent="0.2">
      <c r="CU481" s="154"/>
    </row>
    <row r="482" spans="99:99" ht="14.25" customHeight="1" x14ac:dyDescent="0.2">
      <c r="CU482" s="154"/>
    </row>
    <row r="483" spans="99:99" ht="14.25" customHeight="1" x14ac:dyDescent="0.2">
      <c r="CU483" s="154"/>
    </row>
    <row r="484" spans="99:99" ht="14.25" customHeight="1" x14ac:dyDescent="0.2">
      <c r="CU484" s="154"/>
    </row>
    <row r="485" spans="99:99" ht="14.25" customHeight="1" x14ac:dyDescent="0.2">
      <c r="CU485" s="154"/>
    </row>
    <row r="486" spans="99:99" ht="14.25" customHeight="1" x14ac:dyDescent="0.2">
      <c r="CU486" s="154"/>
    </row>
    <row r="487" spans="99:99" ht="14.25" customHeight="1" x14ac:dyDescent="0.2">
      <c r="CU487" s="154"/>
    </row>
    <row r="488" spans="99:99" ht="14.25" customHeight="1" x14ac:dyDescent="0.2">
      <c r="CU488" s="154"/>
    </row>
    <row r="489" spans="99:99" ht="14.25" customHeight="1" x14ac:dyDescent="0.2">
      <c r="CU489" s="154"/>
    </row>
    <row r="490" spans="99:99" ht="14.25" customHeight="1" x14ac:dyDescent="0.2">
      <c r="CU490" s="154"/>
    </row>
    <row r="491" spans="99:99" ht="14.25" customHeight="1" x14ac:dyDescent="0.2">
      <c r="CU491" s="154"/>
    </row>
    <row r="492" spans="99:99" ht="14.25" customHeight="1" x14ac:dyDescent="0.2">
      <c r="CU492" s="154"/>
    </row>
    <row r="493" spans="99:99" ht="14.25" customHeight="1" x14ac:dyDescent="0.2">
      <c r="CU493" s="154"/>
    </row>
    <row r="494" spans="99:99" ht="14.25" customHeight="1" x14ac:dyDescent="0.2">
      <c r="CU494" s="154"/>
    </row>
    <row r="495" spans="99:99" ht="14.25" customHeight="1" x14ac:dyDescent="0.2">
      <c r="CU495" s="154"/>
    </row>
    <row r="496" spans="99:99" ht="14.25" customHeight="1" x14ac:dyDescent="0.2">
      <c r="CU496" s="154"/>
    </row>
    <row r="497" spans="99:99" ht="14.25" customHeight="1" x14ac:dyDescent="0.2">
      <c r="CU497" s="154"/>
    </row>
    <row r="498" spans="99:99" ht="14.25" customHeight="1" x14ac:dyDescent="0.2">
      <c r="CU498" s="154"/>
    </row>
    <row r="499" spans="99:99" ht="14.25" customHeight="1" x14ac:dyDescent="0.2">
      <c r="CU499" s="154"/>
    </row>
    <row r="500" spans="99:99" ht="14.25" customHeight="1" x14ac:dyDescent="0.2">
      <c r="CU500" s="154"/>
    </row>
    <row r="501" spans="99:99" ht="14.25" customHeight="1" x14ac:dyDescent="0.2">
      <c r="CU501" s="154"/>
    </row>
    <row r="502" spans="99:99" ht="14.25" customHeight="1" x14ac:dyDescent="0.2">
      <c r="CU502" s="154"/>
    </row>
    <row r="503" spans="99:99" ht="14.25" customHeight="1" x14ac:dyDescent="0.2">
      <c r="CU503" s="154"/>
    </row>
    <row r="504" spans="99:99" ht="14.25" customHeight="1" x14ac:dyDescent="0.2">
      <c r="CU504" s="154"/>
    </row>
    <row r="505" spans="99:99" ht="14.25" customHeight="1" x14ac:dyDescent="0.2">
      <c r="CU505" s="154"/>
    </row>
    <row r="506" spans="99:99" ht="14.25" customHeight="1" x14ac:dyDescent="0.2">
      <c r="CU506" s="154"/>
    </row>
    <row r="507" spans="99:99" ht="14.25" customHeight="1" x14ac:dyDescent="0.2">
      <c r="CU507" s="154"/>
    </row>
    <row r="508" spans="99:99" ht="14.25" customHeight="1" x14ac:dyDescent="0.2">
      <c r="CU508" s="154"/>
    </row>
    <row r="509" spans="99:99" ht="14.25" customHeight="1" x14ac:dyDescent="0.2">
      <c r="CU509" s="154"/>
    </row>
    <row r="510" spans="99:99" ht="14.25" customHeight="1" x14ac:dyDescent="0.2">
      <c r="CU510" s="154"/>
    </row>
    <row r="511" spans="99:99" ht="14.25" customHeight="1" x14ac:dyDescent="0.2">
      <c r="CU511" s="154"/>
    </row>
    <row r="512" spans="99:99" ht="14.25" customHeight="1" x14ac:dyDescent="0.2">
      <c r="CU512" s="154"/>
    </row>
    <row r="513" spans="99:99" ht="14.25" customHeight="1" x14ac:dyDescent="0.2">
      <c r="CU513" s="154"/>
    </row>
    <row r="514" spans="99:99" ht="14.25" customHeight="1" x14ac:dyDescent="0.2">
      <c r="CU514" s="154"/>
    </row>
    <row r="515" spans="99:99" ht="14.25" customHeight="1" x14ac:dyDescent="0.2">
      <c r="CU515" s="154"/>
    </row>
    <row r="516" spans="99:99" ht="14.25" customHeight="1" x14ac:dyDescent="0.2">
      <c r="CU516" s="154"/>
    </row>
    <row r="517" spans="99:99" ht="14.25" customHeight="1" x14ac:dyDescent="0.2">
      <c r="CU517" s="154"/>
    </row>
    <row r="518" spans="99:99" ht="14.25" customHeight="1" x14ac:dyDescent="0.2">
      <c r="CU518" s="154"/>
    </row>
    <row r="519" spans="99:99" ht="14.25" customHeight="1" x14ac:dyDescent="0.2">
      <c r="CU519" s="154"/>
    </row>
    <row r="520" spans="99:99" ht="14.25" customHeight="1" x14ac:dyDescent="0.2">
      <c r="CU520" s="154"/>
    </row>
    <row r="521" spans="99:99" ht="14.25" customHeight="1" x14ac:dyDescent="0.2">
      <c r="CU521" s="154"/>
    </row>
    <row r="522" spans="99:99" ht="14.25" customHeight="1" x14ac:dyDescent="0.2">
      <c r="CU522" s="154"/>
    </row>
    <row r="523" spans="99:99" ht="14.25" customHeight="1" x14ac:dyDescent="0.2">
      <c r="CU523" s="154"/>
    </row>
    <row r="524" spans="99:99" ht="14.25" customHeight="1" x14ac:dyDescent="0.2">
      <c r="CU524" s="154"/>
    </row>
    <row r="525" spans="99:99" ht="14.25" customHeight="1" x14ac:dyDescent="0.2">
      <c r="CU525" s="154"/>
    </row>
    <row r="526" spans="99:99" ht="14.25" customHeight="1" x14ac:dyDescent="0.2">
      <c r="CU526" s="154"/>
    </row>
    <row r="527" spans="99:99" ht="14.25" customHeight="1" x14ac:dyDescent="0.2">
      <c r="CU527" s="154"/>
    </row>
    <row r="528" spans="99:99" ht="14.25" customHeight="1" x14ac:dyDescent="0.2">
      <c r="CU528" s="154"/>
    </row>
    <row r="529" spans="99:99" ht="14.25" customHeight="1" x14ac:dyDescent="0.2">
      <c r="CU529" s="154"/>
    </row>
    <row r="530" spans="99:99" ht="14.25" customHeight="1" x14ac:dyDescent="0.2">
      <c r="CU530" s="154"/>
    </row>
    <row r="531" spans="99:99" ht="14.25" customHeight="1" x14ac:dyDescent="0.2">
      <c r="CU531" s="154"/>
    </row>
    <row r="532" spans="99:99" ht="14.25" customHeight="1" x14ac:dyDescent="0.2">
      <c r="CU532" s="154"/>
    </row>
    <row r="533" spans="99:99" ht="14.25" customHeight="1" x14ac:dyDescent="0.2">
      <c r="CU533" s="154"/>
    </row>
    <row r="534" spans="99:99" ht="14.25" customHeight="1" x14ac:dyDescent="0.2">
      <c r="CU534" s="154"/>
    </row>
    <row r="535" spans="99:99" ht="14.25" customHeight="1" x14ac:dyDescent="0.2">
      <c r="CU535" s="154"/>
    </row>
    <row r="536" spans="99:99" ht="14.25" customHeight="1" x14ac:dyDescent="0.2">
      <c r="CU536" s="154"/>
    </row>
    <row r="537" spans="99:99" ht="14.25" customHeight="1" x14ac:dyDescent="0.2">
      <c r="CU537" s="154"/>
    </row>
    <row r="538" spans="99:99" ht="14.25" customHeight="1" x14ac:dyDescent="0.2">
      <c r="CU538" s="154"/>
    </row>
    <row r="539" spans="99:99" ht="14.25" customHeight="1" x14ac:dyDescent="0.2">
      <c r="CU539" s="154"/>
    </row>
    <row r="540" spans="99:99" ht="14.25" customHeight="1" x14ac:dyDescent="0.2">
      <c r="CU540" s="154"/>
    </row>
    <row r="541" spans="99:99" ht="14.25" customHeight="1" x14ac:dyDescent="0.2">
      <c r="CU541" s="154"/>
    </row>
    <row r="542" spans="99:99" ht="14.25" customHeight="1" x14ac:dyDescent="0.2">
      <c r="CU542" s="154"/>
    </row>
    <row r="543" spans="99:99" ht="14.25" customHeight="1" x14ac:dyDescent="0.2">
      <c r="CU543" s="154"/>
    </row>
    <row r="544" spans="99:99" ht="14.25" customHeight="1" x14ac:dyDescent="0.2">
      <c r="CU544" s="154"/>
    </row>
    <row r="545" spans="99:99" ht="14.25" customHeight="1" x14ac:dyDescent="0.2">
      <c r="CU545" s="154"/>
    </row>
    <row r="546" spans="99:99" ht="14.25" customHeight="1" x14ac:dyDescent="0.2">
      <c r="CU546" s="154"/>
    </row>
    <row r="547" spans="99:99" ht="14.25" customHeight="1" x14ac:dyDescent="0.2">
      <c r="CU547" s="154"/>
    </row>
    <row r="548" spans="99:99" ht="14.25" customHeight="1" x14ac:dyDescent="0.2">
      <c r="CU548" s="154"/>
    </row>
    <row r="549" spans="99:99" ht="14.25" customHeight="1" x14ac:dyDescent="0.2">
      <c r="CU549" s="154"/>
    </row>
    <row r="550" spans="99:99" ht="14.25" customHeight="1" x14ac:dyDescent="0.2">
      <c r="CU550" s="154"/>
    </row>
    <row r="551" spans="99:99" ht="14.25" customHeight="1" x14ac:dyDescent="0.2">
      <c r="CU551" s="154"/>
    </row>
    <row r="552" spans="99:99" ht="14.25" customHeight="1" x14ac:dyDescent="0.2">
      <c r="CU552" s="154"/>
    </row>
    <row r="553" spans="99:99" ht="14.25" customHeight="1" x14ac:dyDescent="0.2">
      <c r="CU553" s="154"/>
    </row>
    <row r="554" spans="99:99" ht="14.25" customHeight="1" x14ac:dyDescent="0.2">
      <c r="CU554" s="154"/>
    </row>
    <row r="555" spans="99:99" ht="14.25" customHeight="1" x14ac:dyDescent="0.2">
      <c r="CU555" s="154"/>
    </row>
    <row r="556" spans="99:99" ht="14.25" customHeight="1" x14ac:dyDescent="0.2">
      <c r="CU556" s="154"/>
    </row>
    <row r="557" spans="99:99" ht="14.25" customHeight="1" x14ac:dyDescent="0.2">
      <c r="CU557" s="154"/>
    </row>
    <row r="558" spans="99:99" ht="14.25" customHeight="1" x14ac:dyDescent="0.2">
      <c r="CU558" s="154"/>
    </row>
    <row r="559" spans="99:99" ht="14.25" customHeight="1" x14ac:dyDescent="0.2">
      <c r="CU559" s="154"/>
    </row>
    <row r="560" spans="99:99" ht="14.25" customHeight="1" x14ac:dyDescent="0.2">
      <c r="CU560" s="154"/>
    </row>
    <row r="561" spans="99:99" ht="14.25" customHeight="1" x14ac:dyDescent="0.2">
      <c r="CU561" s="154"/>
    </row>
    <row r="562" spans="99:99" ht="14.25" customHeight="1" x14ac:dyDescent="0.2">
      <c r="CU562" s="154"/>
    </row>
    <row r="563" spans="99:99" ht="14.25" customHeight="1" x14ac:dyDescent="0.2">
      <c r="CU563" s="154"/>
    </row>
    <row r="564" spans="99:99" ht="14.25" customHeight="1" x14ac:dyDescent="0.2">
      <c r="CU564" s="154"/>
    </row>
    <row r="565" spans="99:99" ht="14.25" customHeight="1" x14ac:dyDescent="0.2">
      <c r="CU565" s="154"/>
    </row>
    <row r="566" spans="99:99" ht="14.25" customHeight="1" x14ac:dyDescent="0.2">
      <c r="CU566" s="154"/>
    </row>
    <row r="567" spans="99:99" ht="14.25" customHeight="1" x14ac:dyDescent="0.2">
      <c r="CU567" s="154"/>
    </row>
    <row r="568" spans="99:99" ht="14.25" customHeight="1" x14ac:dyDescent="0.2">
      <c r="CU568" s="154"/>
    </row>
    <row r="569" spans="99:99" ht="14.25" customHeight="1" x14ac:dyDescent="0.2">
      <c r="CU569" s="154"/>
    </row>
    <row r="570" spans="99:99" ht="14.25" customHeight="1" x14ac:dyDescent="0.2">
      <c r="CU570" s="154"/>
    </row>
    <row r="571" spans="99:99" ht="14.25" customHeight="1" x14ac:dyDescent="0.2">
      <c r="CU571" s="154"/>
    </row>
    <row r="572" spans="99:99" ht="14.25" customHeight="1" x14ac:dyDescent="0.2">
      <c r="CU572" s="154"/>
    </row>
    <row r="573" spans="99:99" ht="14.25" customHeight="1" x14ac:dyDescent="0.2">
      <c r="CU573" s="154"/>
    </row>
    <row r="574" spans="99:99" ht="14.25" customHeight="1" x14ac:dyDescent="0.2">
      <c r="CU574" s="154"/>
    </row>
    <row r="575" spans="99:99" ht="14.25" customHeight="1" x14ac:dyDescent="0.2">
      <c r="CU575" s="154"/>
    </row>
    <row r="576" spans="99:99" ht="14.25" customHeight="1" x14ac:dyDescent="0.2">
      <c r="CU576" s="154"/>
    </row>
    <row r="577" spans="99:99" ht="14.25" customHeight="1" x14ac:dyDescent="0.2">
      <c r="CU577" s="154"/>
    </row>
    <row r="578" spans="99:99" ht="14.25" customHeight="1" x14ac:dyDescent="0.2">
      <c r="CU578" s="154"/>
    </row>
    <row r="579" spans="99:99" ht="14.25" customHeight="1" x14ac:dyDescent="0.2">
      <c r="CU579" s="154"/>
    </row>
    <row r="580" spans="99:99" ht="14.25" customHeight="1" x14ac:dyDescent="0.2">
      <c r="CU580" s="154"/>
    </row>
    <row r="581" spans="99:99" ht="14.25" customHeight="1" x14ac:dyDescent="0.2">
      <c r="CU581" s="154"/>
    </row>
    <row r="582" spans="99:99" ht="14.25" customHeight="1" x14ac:dyDescent="0.2">
      <c r="CU582" s="154"/>
    </row>
    <row r="583" spans="99:99" ht="14.25" customHeight="1" x14ac:dyDescent="0.2">
      <c r="CU583" s="154"/>
    </row>
    <row r="584" spans="99:99" ht="14.25" customHeight="1" x14ac:dyDescent="0.2">
      <c r="CU584" s="154"/>
    </row>
    <row r="585" spans="99:99" ht="14.25" customHeight="1" x14ac:dyDescent="0.2">
      <c r="CU585" s="154"/>
    </row>
    <row r="586" spans="99:99" ht="14.25" customHeight="1" x14ac:dyDescent="0.2">
      <c r="CU586" s="154"/>
    </row>
    <row r="587" spans="99:99" ht="14.25" customHeight="1" x14ac:dyDescent="0.2">
      <c r="CU587" s="154"/>
    </row>
    <row r="588" spans="99:99" ht="14.25" customHeight="1" x14ac:dyDescent="0.2">
      <c r="CU588" s="154"/>
    </row>
    <row r="589" spans="99:99" ht="14.25" customHeight="1" x14ac:dyDescent="0.2">
      <c r="CU589" s="154"/>
    </row>
    <row r="590" spans="99:99" ht="14.25" customHeight="1" x14ac:dyDescent="0.2">
      <c r="CU590" s="154"/>
    </row>
    <row r="591" spans="99:99" ht="14.25" customHeight="1" x14ac:dyDescent="0.2">
      <c r="CU591" s="154"/>
    </row>
    <row r="592" spans="99:99" ht="14.25" customHeight="1" x14ac:dyDescent="0.2">
      <c r="CU592" s="154"/>
    </row>
    <row r="593" spans="99:99" ht="14.25" customHeight="1" x14ac:dyDescent="0.2">
      <c r="CU593" s="154"/>
    </row>
    <row r="594" spans="99:99" ht="14.25" customHeight="1" x14ac:dyDescent="0.2">
      <c r="CU594" s="154"/>
    </row>
    <row r="595" spans="99:99" ht="14.25" customHeight="1" x14ac:dyDescent="0.2">
      <c r="CU595" s="154"/>
    </row>
    <row r="596" spans="99:99" ht="14.25" customHeight="1" x14ac:dyDescent="0.2">
      <c r="CU596" s="154"/>
    </row>
    <row r="597" spans="99:99" ht="14.25" customHeight="1" x14ac:dyDescent="0.2">
      <c r="CU597" s="154"/>
    </row>
    <row r="598" spans="99:99" ht="14.25" customHeight="1" x14ac:dyDescent="0.2">
      <c r="CU598" s="154"/>
    </row>
    <row r="599" spans="99:99" ht="14.25" customHeight="1" x14ac:dyDescent="0.2">
      <c r="CU599" s="154"/>
    </row>
    <row r="600" spans="99:99" ht="14.25" customHeight="1" x14ac:dyDescent="0.2">
      <c r="CU600" s="154"/>
    </row>
    <row r="601" spans="99:99" ht="14.25" customHeight="1" x14ac:dyDescent="0.2">
      <c r="CU601" s="154"/>
    </row>
    <row r="602" spans="99:99" ht="14.25" customHeight="1" x14ac:dyDescent="0.2">
      <c r="CU602" s="154"/>
    </row>
    <row r="603" spans="99:99" ht="14.25" customHeight="1" x14ac:dyDescent="0.2">
      <c r="CU603" s="154"/>
    </row>
    <row r="604" spans="99:99" ht="14.25" customHeight="1" x14ac:dyDescent="0.2">
      <c r="CU604" s="154"/>
    </row>
    <row r="605" spans="99:99" ht="14.25" customHeight="1" x14ac:dyDescent="0.2">
      <c r="CU605" s="154"/>
    </row>
    <row r="606" spans="99:99" ht="14.25" customHeight="1" x14ac:dyDescent="0.2">
      <c r="CU606" s="154"/>
    </row>
    <row r="607" spans="99:99" ht="14.25" customHeight="1" x14ac:dyDescent="0.2">
      <c r="CU607" s="154"/>
    </row>
    <row r="608" spans="99:99" ht="14.25" customHeight="1" x14ac:dyDescent="0.2">
      <c r="CU608" s="154"/>
    </row>
    <row r="609" spans="99:99" ht="14.25" customHeight="1" x14ac:dyDescent="0.2">
      <c r="CU609" s="154"/>
    </row>
    <row r="610" spans="99:99" ht="14.25" customHeight="1" x14ac:dyDescent="0.2">
      <c r="CU610" s="154"/>
    </row>
    <row r="611" spans="99:99" ht="14.25" customHeight="1" x14ac:dyDescent="0.2">
      <c r="CU611" s="154"/>
    </row>
    <row r="612" spans="99:99" ht="14.25" customHeight="1" x14ac:dyDescent="0.2">
      <c r="CU612" s="154"/>
    </row>
    <row r="613" spans="99:99" ht="14.25" customHeight="1" x14ac:dyDescent="0.2">
      <c r="CU613" s="154"/>
    </row>
    <row r="614" spans="99:99" ht="14.25" customHeight="1" x14ac:dyDescent="0.2">
      <c r="CU614" s="154"/>
    </row>
    <row r="615" spans="99:99" ht="14.25" customHeight="1" x14ac:dyDescent="0.2">
      <c r="CU615" s="154"/>
    </row>
    <row r="616" spans="99:99" ht="14.25" customHeight="1" x14ac:dyDescent="0.2">
      <c r="CU616" s="154"/>
    </row>
    <row r="617" spans="99:99" ht="14.25" customHeight="1" x14ac:dyDescent="0.2">
      <c r="CU617" s="154"/>
    </row>
    <row r="618" spans="99:99" ht="14.25" customHeight="1" x14ac:dyDescent="0.2">
      <c r="CU618" s="154"/>
    </row>
    <row r="619" spans="99:99" ht="14.25" customHeight="1" x14ac:dyDescent="0.2">
      <c r="CU619" s="154"/>
    </row>
    <row r="620" spans="99:99" ht="14.25" customHeight="1" x14ac:dyDescent="0.2">
      <c r="CU620" s="154"/>
    </row>
    <row r="621" spans="99:99" ht="14.25" customHeight="1" x14ac:dyDescent="0.2">
      <c r="CU621" s="154"/>
    </row>
    <row r="622" spans="99:99" ht="14.25" customHeight="1" x14ac:dyDescent="0.2">
      <c r="CU622" s="154"/>
    </row>
    <row r="623" spans="99:99" ht="14.25" customHeight="1" x14ac:dyDescent="0.2">
      <c r="CU623" s="154"/>
    </row>
    <row r="624" spans="99:99" ht="14.25" customHeight="1" x14ac:dyDescent="0.2">
      <c r="CU624" s="154"/>
    </row>
    <row r="625" spans="99:99" ht="14.25" customHeight="1" x14ac:dyDescent="0.2">
      <c r="CU625" s="154"/>
    </row>
    <row r="626" spans="99:99" ht="14.25" customHeight="1" x14ac:dyDescent="0.2">
      <c r="CU626" s="154"/>
    </row>
    <row r="627" spans="99:99" ht="14.25" customHeight="1" x14ac:dyDescent="0.2">
      <c r="CU627" s="154"/>
    </row>
    <row r="628" spans="99:99" ht="14.25" customHeight="1" x14ac:dyDescent="0.2">
      <c r="CU628" s="154"/>
    </row>
    <row r="629" spans="99:99" ht="14.25" customHeight="1" x14ac:dyDescent="0.2">
      <c r="CU629" s="154"/>
    </row>
    <row r="630" spans="99:99" ht="14.25" customHeight="1" x14ac:dyDescent="0.2">
      <c r="CU630" s="154"/>
    </row>
    <row r="631" spans="99:99" ht="14.25" customHeight="1" x14ac:dyDescent="0.2">
      <c r="CU631" s="154"/>
    </row>
    <row r="632" spans="99:99" ht="14.25" customHeight="1" x14ac:dyDescent="0.2">
      <c r="CU632" s="154"/>
    </row>
    <row r="633" spans="99:99" ht="14.25" customHeight="1" x14ac:dyDescent="0.2">
      <c r="CU633" s="154"/>
    </row>
    <row r="634" spans="99:99" ht="14.25" customHeight="1" x14ac:dyDescent="0.2">
      <c r="CU634" s="154"/>
    </row>
    <row r="635" spans="99:99" ht="14.25" customHeight="1" x14ac:dyDescent="0.2">
      <c r="CU635" s="154"/>
    </row>
    <row r="636" spans="99:99" ht="14.25" customHeight="1" x14ac:dyDescent="0.2">
      <c r="CU636" s="154"/>
    </row>
    <row r="637" spans="99:99" ht="14.25" customHeight="1" x14ac:dyDescent="0.2">
      <c r="CU637" s="154"/>
    </row>
    <row r="638" spans="99:99" ht="14.25" customHeight="1" x14ac:dyDescent="0.2">
      <c r="CU638" s="154"/>
    </row>
    <row r="639" spans="99:99" ht="14.25" customHeight="1" x14ac:dyDescent="0.2">
      <c r="CU639" s="154"/>
    </row>
    <row r="640" spans="99:99" ht="14.25" customHeight="1" x14ac:dyDescent="0.2">
      <c r="CU640" s="154"/>
    </row>
    <row r="641" spans="99:99" ht="14.25" customHeight="1" x14ac:dyDescent="0.2">
      <c r="CU641" s="154"/>
    </row>
    <row r="642" spans="99:99" ht="14.25" customHeight="1" x14ac:dyDescent="0.2">
      <c r="CU642" s="154"/>
    </row>
    <row r="643" spans="99:99" ht="14.25" customHeight="1" x14ac:dyDescent="0.2">
      <c r="CU643" s="154"/>
    </row>
    <row r="644" spans="99:99" ht="14.25" customHeight="1" x14ac:dyDescent="0.2">
      <c r="CU644" s="154"/>
    </row>
    <row r="645" spans="99:99" ht="14.25" customHeight="1" x14ac:dyDescent="0.2">
      <c r="CU645" s="154"/>
    </row>
    <row r="646" spans="99:99" ht="14.25" customHeight="1" x14ac:dyDescent="0.2">
      <c r="CU646" s="154"/>
    </row>
    <row r="647" spans="99:99" ht="14.25" customHeight="1" x14ac:dyDescent="0.2">
      <c r="CU647" s="154"/>
    </row>
    <row r="648" spans="99:99" ht="14.25" customHeight="1" x14ac:dyDescent="0.2">
      <c r="CU648" s="154"/>
    </row>
    <row r="649" spans="99:99" ht="14.25" customHeight="1" x14ac:dyDescent="0.2">
      <c r="CU649" s="154"/>
    </row>
    <row r="650" spans="99:99" ht="14.25" customHeight="1" x14ac:dyDescent="0.2">
      <c r="CU650" s="154"/>
    </row>
    <row r="651" spans="99:99" ht="14.25" customHeight="1" x14ac:dyDescent="0.2">
      <c r="CU651" s="154"/>
    </row>
    <row r="652" spans="99:99" ht="14.25" customHeight="1" x14ac:dyDescent="0.2">
      <c r="CU652" s="154"/>
    </row>
    <row r="653" spans="99:99" ht="14.25" customHeight="1" x14ac:dyDescent="0.2">
      <c r="CU653" s="154"/>
    </row>
    <row r="654" spans="99:99" ht="14.25" customHeight="1" x14ac:dyDescent="0.2">
      <c r="CU654" s="154"/>
    </row>
    <row r="655" spans="99:99" ht="14.25" customHeight="1" x14ac:dyDescent="0.2">
      <c r="CU655" s="154"/>
    </row>
    <row r="656" spans="99:99" ht="14.25" customHeight="1" x14ac:dyDescent="0.2">
      <c r="CU656" s="154"/>
    </row>
    <row r="657" spans="99:99" ht="14.25" customHeight="1" x14ac:dyDescent="0.2">
      <c r="CU657" s="154"/>
    </row>
    <row r="658" spans="99:99" ht="14.25" customHeight="1" x14ac:dyDescent="0.2">
      <c r="CU658" s="154"/>
    </row>
    <row r="659" spans="99:99" ht="14.25" customHeight="1" x14ac:dyDescent="0.2">
      <c r="CU659" s="154"/>
    </row>
    <row r="660" spans="99:99" ht="14.25" customHeight="1" x14ac:dyDescent="0.2">
      <c r="CU660" s="154"/>
    </row>
    <row r="661" spans="99:99" ht="14.25" customHeight="1" x14ac:dyDescent="0.2">
      <c r="CU661" s="154"/>
    </row>
    <row r="662" spans="99:99" ht="14.25" customHeight="1" x14ac:dyDescent="0.2">
      <c r="CU662" s="154"/>
    </row>
    <row r="663" spans="99:99" ht="14.25" customHeight="1" x14ac:dyDescent="0.2">
      <c r="CU663" s="154"/>
    </row>
    <row r="664" spans="99:99" ht="14.25" customHeight="1" x14ac:dyDescent="0.2">
      <c r="CU664" s="154"/>
    </row>
    <row r="665" spans="99:99" ht="14.25" customHeight="1" x14ac:dyDescent="0.2">
      <c r="CU665" s="154"/>
    </row>
    <row r="666" spans="99:99" ht="14.25" customHeight="1" x14ac:dyDescent="0.2">
      <c r="CU666" s="154"/>
    </row>
    <row r="667" spans="99:99" ht="14.25" customHeight="1" x14ac:dyDescent="0.2">
      <c r="CU667" s="154"/>
    </row>
    <row r="668" spans="99:99" ht="14.25" customHeight="1" x14ac:dyDescent="0.2">
      <c r="CU668" s="154"/>
    </row>
    <row r="669" spans="99:99" ht="14.25" customHeight="1" x14ac:dyDescent="0.2">
      <c r="CU669" s="154"/>
    </row>
    <row r="670" spans="99:99" ht="14.25" customHeight="1" x14ac:dyDescent="0.2">
      <c r="CU670" s="154"/>
    </row>
    <row r="671" spans="99:99" ht="14.25" customHeight="1" x14ac:dyDescent="0.2">
      <c r="CU671" s="154"/>
    </row>
    <row r="672" spans="99:99" ht="14.25" customHeight="1" x14ac:dyDescent="0.2">
      <c r="CU672" s="154"/>
    </row>
    <row r="673" spans="99:99" ht="14.25" customHeight="1" x14ac:dyDescent="0.2">
      <c r="CU673" s="154"/>
    </row>
    <row r="674" spans="99:99" ht="14.25" customHeight="1" x14ac:dyDescent="0.2">
      <c r="CU674" s="154"/>
    </row>
    <row r="675" spans="99:99" ht="14.25" customHeight="1" x14ac:dyDescent="0.2">
      <c r="CU675" s="154"/>
    </row>
    <row r="676" spans="99:99" ht="14.25" customHeight="1" x14ac:dyDescent="0.2">
      <c r="CU676" s="154"/>
    </row>
    <row r="677" spans="99:99" ht="14.25" customHeight="1" x14ac:dyDescent="0.2">
      <c r="CU677" s="154"/>
    </row>
    <row r="678" spans="99:99" ht="14.25" customHeight="1" x14ac:dyDescent="0.2">
      <c r="CU678" s="154"/>
    </row>
    <row r="679" spans="99:99" ht="14.25" customHeight="1" x14ac:dyDescent="0.2">
      <c r="CU679" s="154"/>
    </row>
    <row r="680" spans="99:99" ht="14.25" customHeight="1" x14ac:dyDescent="0.2">
      <c r="CU680" s="154"/>
    </row>
    <row r="681" spans="99:99" ht="14.25" customHeight="1" x14ac:dyDescent="0.2">
      <c r="CU681" s="154"/>
    </row>
    <row r="682" spans="99:99" ht="14.25" customHeight="1" x14ac:dyDescent="0.2">
      <c r="CU682" s="154"/>
    </row>
    <row r="683" spans="99:99" ht="14.25" customHeight="1" x14ac:dyDescent="0.2">
      <c r="CU683" s="154"/>
    </row>
    <row r="684" spans="99:99" ht="14.25" customHeight="1" x14ac:dyDescent="0.2">
      <c r="CU684" s="154"/>
    </row>
    <row r="685" spans="99:99" ht="14.25" customHeight="1" x14ac:dyDescent="0.2">
      <c r="CU685" s="154"/>
    </row>
    <row r="686" spans="99:99" ht="14.25" customHeight="1" x14ac:dyDescent="0.2">
      <c r="CU686" s="154"/>
    </row>
    <row r="687" spans="99:99" ht="14.25" customHeight="1" x14ac:dyDescent="0.2">
      <c r="CU687" s="154"/>
    </row>
    <row r="688" spans="99:99" ht="14.25" customHeight="1" x14ac:dyDescent="0.2">
      <c r="CU688" s="154"/>
    </row>
    <row r="689" spans="99:99" ht="14.25" customHeight="1" x14ac:dyDescent="0.2">
      <c r="CU689" s="154"/>
    </row>
    <row r="690" spans="99:99" ht="14.25" customHeight="1" x14ac:dyDescent="0.2">
      <c r="CU690" s="154"/>
    </row>
    <row r="691" spans="99:99" ht="14.25" customHeight="1" x14ac:dyDescent="0.2">
      <c r="CU691" s="154"/>
    </row>
    <row r="692" spans="99:99" ht="14.25" customHeight="1" x14ac:dyDescent="0.2">
      <c r="CU692" s="154"/>
    </row>
    <row r="693" spans="99:99" ht="14.25" customHeight="1" x14ac:dyDescent="0.2">
      <c r="CU693" s="154"/>
    </row>
    <row r="694" spans="99:99" ht="14.25" customHeight="1" x14ac:dyDescent="0.2">
      <c r="CU694" s="154"/>
    </row>
    <row r="695" spans="99:99" ht="14.25" customHeight="1" x14ac:dyDescent="0.2">
      <c r="CU695" s="154"/>
    </row>
    <row r="696" spans="99:99" ht="14.25" customHeight="1" x14ac:dyDescent="0.2">
      <c r="CU696" s="154"/>
    </row>
    <row r="697" spans="99:99" ht="14.25" customHeight="1" x14ac:dyDescent="0.2">
      <c r="CU697" s="154"/>
    </row>
    <row r="698" spans="99:99" ht="14.25" customHeight="1" x14ac:dyDescent="0.2">
      <c r="CU698" s="154"/>
    </row>
    <row r="699" spans="99:99" ht="14.25" customHeight="1" x14ac:dyDescent="0.2">
      <c r="CU699" s="154"/>
    </row>
    <row r="700" spans="99:99" ht="14.25" customHeight="1" x14ac:dyDescent="0.2">
      <c r="CU700" s="154"/>
    </row>
    <row r="701" spans="99:99" ht="14.25" customHeight="1" x14ac:dyDescent="0.2">
      <c r="CU701" s="154"/>
    </row>
    <row r="702" spans="99:99" ht="14.25" customHeight="1" x14ac:dyDescent="0.2">
      <c r="CU702" s="154"/>
    </row>
    <row r="703" spans="99:99" ht="14.25" customHeight="1" x14ac:dyDescent="0.2">
      <c r="CU703" s="154"/>
    </row>
    <row r="704" spans="99:99" ht="14.25" customHeight="1" x14ac:dyDescent="0.2">
      <c r="CU704" s="154"/>
    </row>
    <row r="705" spans="99:99" ht="14.25" customHeight="1" x14ac:dyDescent="0.2">
      <c r="CU705" s="154"/>
    </row>
    <row r="706" spans="99:99" ht="14.25" customHeight="1" x14ac:dyDescent="0.2">
      <c r="CU706" s="154"/>
    </row>
    <row r="707" spans="99:99" ht="14.25" customHeight="1" x14ac:dyDescent="0.2">
      <c r="CU707" s="154"/>
    </row>
    <row r="708" spans="99:99" ht="14.25" customHeight="1" x14ac:dyDescent="0.2">
      <c r="CU708" s="154"/>
    </row>
    <row r="709" spans="99:99" ht="14.25" customHeight="1" x14ac:dyDescent="0.2">
      <c r="CU709" s="154"/>
    </row>
    <row r="710" spans="99:99" ht="14.25" customHeight="1" x14ac:dyDescent="0.2">
      <c r="CU710" s="154"/>
    </row>
    <row r="711" spans="99:99" ht="14.25" customHeight="1" x14ac:dyDescent="0.2">
      <c r="CU711" s="154"/>
    </row>
    <row r="712" spans="99:99" ht="14.25" customHeight="1" x14ac:dyDescent="0.2">
      <c r="CU712" s="154"/>
    </row>
    <row r="713" spans="99:99" ht="14.25" customHeight="1" x14ac:dyDescent="0.2">
      <c r="CU713" s="154"/>
    </row>
    <row r="714" spans="99:99" ht="14.25" customHeight="1" x14ac:dyDescent="0.2">
      <c r="CU714" s="154"/>
    </row>
    <row r="715" spans="99:99" ht="14.25" customHeight="1" x14ac:dyDescent="0.2">
      <c r="CU715" s="154"/>
    </row>
    <row r="716" spans="99:99" ht="14.25" customHeight="1" x14ac:dyDescent="0.2">
      <c r="CU716" s="154"/>
    </row>
    <row r="717" spans="99:99" ht="14.25" customHeight="1" x14ac:dyDescent="0.2">
      <c r="CU717" s="154"/>
    </row>
    <row r="718" spans="99:99" ht="14.25" customHeight="1" x14ac:dyDescent="0.2">
      <c r="CU718" s="154"/>
    </row>
    <row r="719" spans="99:99" ht="14.25" customHeight="1" x14ac:dyDescent="0.2">
      <c r="CU719" s="154"/>
    </row>
    <row r="720" spans="99:99" ht="14.25" customHeight="1" x14ac:dyDescent="0.2">
      <c r="CU720" s="154"/>
    </row>
    <row r="721" spans="99:99" ht="14.25" customHeight="1" x14ac:dyDescent="0.2">
      <c r="CU721" s="154"/>
    </row>
    <row r="722" spans="99:99" ht="14.25" customHeight="1" x14ac:dyDescent="0.2">
      <c r="CU722" s="154"/>
    </row>
    <row r="723" spans="99:99" ht="14.25" customHeight="1" x14ac:dyDescent="0.2">
      <c r="CU723" s="154"/>
    </row>
    <row r="724" spans="99:99" ht="14.25" customHeight="1" x14ac:dyDescent="0.2">
      <c r="CU724" s="154"/>
    </row>
    <row r="725" spans="99:99" ht="14.25" customHeight="1" x14ac:dyDescent="0.2">
      <c r="CU725" s="154"/>
    </row>
    <row r="726" spans="99:99" ht="14.25" customHeight="1" x14ac:dyDescent="0.2">
      <c r="CU726" s="154"/>
    </row>
    <row r="727" spans="99:99" ht="14.25" customHeight="1" x14ac:dyDescent="0.2">
      <c r="CU727" s="154"/>
    </row>
    <row r="728" spans="99:99" ht="14.25" customHeight="1" x14ac:dyDescent="0.2">
      <c r="CU728" s="154"/>
    </row>
    <row r="729" spans="99:99" ht="14.25" customHeight="1" x14ac:dyDescent="0.2">
      <c r="CU729" s="154"/>
    </row>
    <row r="730" spans="99:99" ht="14.25" customHeight="1" x14ac:dyDescent="0.2">
      <c r="CU730" s="154"/>
    </row>
    <row r="731" spans="99:99" ht="14.25" customHeight="1" x14ac:dyDescent="0.2">
      <c r="CU731" s="154"/>
    </row>
    <row r="732" spans="99:99" ht="14.25" customHeight="1" x14ac:dyDescent="0.2">
      <c r="CU732" s="154"/>
    </row>
    <row r="733" spans="99:99" ht="14.25" customHeight="1" x14ac:dyDescent="0.2">
      <c r="CU733" s="154"/>
    </row>
    <row r="734" spans="99:99" ht="14.25" customHeight="1" x14ac:dyDescent="0.2">
      <c r="CU734" s="154"/>
    </row>
    <row r="735" spans="99:99" ht="14.25" customHeight="1" x14ac:dyDescent="0.2">
      <c r="CU735" s="154"/>
    </row>
    <row r="736" spans="99:99" ht="14.25" customHeight="1" x14ac:dyDescent="0.2">
      <c r="CU736" s="154"/>
    </row>
    <row r="737" spans="99:99" ht="14.25" customHeight="1" x14ac:dyDescent="0.2">
      <c r="CU737" s="154"/>
    </row>
    <row r="738" spans="99:99" ht="14.25" customHeight="1" x14ac:dyDescent="0.2">
      <c r="CU738" s="154"/>
    </row>
    <row r="739" spans="99:99" ht="14.25" customHeight="1" x14ac:dyDescent="0.2">
      <c r="CU739" s="154"/>
    </row>
    <row r="740" spans="99:99" ht="14.25" customHeight="1" x14ac:dyDescent="0.2">
      <c r="CU740" s="154"/>
    </row>
    <row r="741" spans="99:99" ht="14.25" customHeight="1" x14ac:dyDescent="0.2">
      <c r="CU741" s="154"/>
    </row>
    <row r="742" spans="99:99" ht="14.25" customHeight="1" x14ac:dyDescent="0.2">
      <c r="CU742" s="154"/>
    </row>
    <row r="743" spans="99:99" ht="14.25" customHeight="1" x14ac:dyDescent="0.2">
      <c r="CU743" s="154"/>
    </row>
    <row r="744" spans="99:99" ht="14.25" customHeight="1" x14ac:dyDescent="0.2">
      <c r="CU744" s="154"/>
    </row>
    <row r="745" spans="99:99" ht="14.25" customHeight="1" x14ac:dyDescent="0.2">
      <c r="CU745" s="154"/>
    </row>
    <row r="746" spans="99:99" ht="14.25" customHeight="1" x14ac:dyDescent="0.2">
      <c r="CU746" s="154"/>
    </row>
    <row r="747" spans="99:99" ht="14.25" customHeight="1" x14ac:dyDescent="0.2">
      <c r="CU747" s="154"/>
    </row>
    <row r="748" spans="99:99" ht="14.25" customHeight="1" x14ac:dyDescent="0.2">
      <c r="CU748" s="154"/>
    </row>
    <row r="749" spans="99:99" ht="14.25" customHeight="1" x14ac:dyDescent="0.2">
      <c r="CU749" s="154"/>
    </row>
    <row r="750" spans="99:99" ht="14.25" customHeight="1" x14ac:dyDescent="0.2">
      <c r="CU750" s="154"/>
    </row>
    <row r="751" spans="99:99" ht="14.25" customHeight="1" x14ac:dyDescent="0.2">
      <c r="CU751" s="154"/>
    </row>
    <row r="752" spans="99:99" ht="14.25" customHeight="1" x14ac:dyDescent="0.2">
      <c r="CU752" s="154"/>
    </row>
    <row r="753" spans="99:99" ht="14.25" customHeight="1" x14ac:dyDescent="0.2">
      <c r="CU753" s="154"/>
    </row>
    <row r="754" spans="99:99" ht="14.25" customHeight="1" x14ac:dyDescent="0.2">
      <c r="CU754" s="154"/>
    </row>
    <row r="755" spans="99:99" ht="14.25" customHeight="1" x14ac:dyDescent="0.2">
      <c r="CU755" s="154"/>
    </row>
    <row r="756" spans="99:99" ht="14.25" customHeight="1" x14ac:dyDescent="0.2">
      <c r="CU756" s="154"/>
    </row>
    <row r="757" spans="99:99" ht="14.25" customHeight="1" x14ac:dyDescent="0.2">
      <c r="CU757" s="154"/>
    </row>
    <row r="758" spans="99:99" ht="14.25" customHeight="1" x14ac:dyDescent="0.2">
      <c r="CU758" s="154"/>
    </row>
    <row r="759" spans="99:99" ht="14.25" customHeight="1" x14ac:dyDescent="0.2">
      <c r="CU759" s="154"/>
    </row>
    <row r="760" spans="99:99" ht="14.25" customHeight="1" x14ac:dyDescent="0.2">
      <c r="CU760" s="154"/>
    </row>
    <row r="761" spans="99:99" ht="14.25" customHeight="1" x14ac:dyDescent="0.2">
      <c r="CU761" s="154"/>
    </row>
    <row r="762" spans="99:99" ht="14.25" customHeight="1" x14ac:dyDescent="0.2">
      <c r="CU762" s="154"/>
    </row>
    <row r="763" spans="99:99" ht="14.25" customHeight="1" x14ac:dyDescent="0.2">
      <c r="CU763" s="154"/>
    </row>
    <row r="764" spans="99:99" ht="14.25" customHeight="1" x14ac:dyDescent="0.2">
      <c r="CU764" s="154"/>
    </row>
    <row r="765" spans="99:99" ht="14.25" customHeight="1" x14ac:dyDescent="0.2">
      <c r="CU765" s="154"/>
    </row>
    <row r="766" spans="99:99" ht="14.25" customHeight="1" x14ac:dyDescent="0.2">
      <c r="CU766" s="154"/>
    </row>
    <row r="767" spans="99:99" ht="14.25" customHeight="1" x14ac:dyDescent="0.2">
      <c r="CU767" s="154"/>
    </row>
    <row r="768" spans="99:99" ht="14.25" customHeight="1" x14ac:dyDescent="0.2">
      <c r="CU768" s="154"/>
    </row>
    <row r="769" spans="99:99" ht="14.25" customHeight="1" x14ac:dyDescent="0.2">
      <c r="CU769" s="154"/>
    </row>
    <row r="770" spans="99:99" ht="14.25" customHeight="1" x14ac:dyDescent="0.2">
      <c r="CU770" s="154"/>
    </row>
    <row r="771" spans="99:99" ht="14.25" customHeight="1" x14ac:dyDescent="0.2">
      <c r="CU771" s="154"/>
    </row>
    <row r="772" spans="99:99" ht="14.25" customHeight="1" x14ac:dyDescent="0.2">
      <c r="CU772" s="154"/>
    </row>
    <row r="773" spans="99:99" ht="14.25" customHeight="1" x14ac:dyDescent="0.2">
      <c r="CU773" s="154"/>
    </row>
    <row r="774" spans="99:99" ht="14.25" customHeight="1" x14ac:dyDescent="0.2">
      <c r="CU774" s="154"/>
    </row>
    <row r="775" spans="99:99" ht="14.25" customHeight="1" x14ac:dyDescent="0.2">
      <c r="CU775" s="154"/>
    </row>
    <row r="776" spans="99:99" ht="14.25" customHeight="1" x14ac:dyDescent="0.2">
      <c r="CU776" s="154"/>
    </row>
    <row r="777" spans="99:99" ht="14.25" customHeight="1" x14ac:dyDescent="0.2">
      <c r="CU777" s="154"/>
    </row>
    <row r="778" spans="99:99" ht="14.25" customHeight="1" x14ac:dyDescent="0.2">
      <c r="CU778" s="154"/>
    </row>
    <row r="779" spans="99:99" ht="14.25" customHeight="1" x14ac:dyDescent="0.2">
      <c r="CU779" s="154"/>
    </row>
    <row r="780" spans="99:99" ht="14.25" customHeight="1" x14ac:dyDescent="0.2">
      <c r="CU780" s="154"/>
    </row>
    <row r="781" spans="99:99" ht="14.25" customHeight="1" x14ac:dyDescent="0.2">
      <c r="CU781" s="154"/>
    </row>
    <row r="782" spans="99:99" ht="14.25" customHeight="1" x14ac:dyDescent="0.2">
      <c r="CU782" s="154"/>
    </row>
    <row r="783" spans="99:99" ht="14.25" customHeight="1" x14ac:dyDescent="0.2">
      <c r="CU783" s="154"/>
    </row>
    <row r="784" spans="99:99" ht="14.25" customHeight="1" x14ac:dyDescent="0.2">
      <c r="CU784" s="154"/>
    </row>
    <row r="785" spans="99:99" ht="14.25" customHeight="1" x14ac:dyDescent="0.2">
      <c r="CU785" s="154"/>
    </row>
    <row r="786" spans="99:99" ht="14.25" customHeight="1" x14ac:dyDescent="0.2">
      <c r="CU786" s="154"/>
    </row>
    <row r="787" spans="99:99" ht="14.25" customHeight="1" x14ac:dyDescent="0.2">
      <c r="CU787" s="154"/>
    </row>
    <row r="788" spans="99:99" ht="14.25" customHeight="1" x14ac:dyDescent="0.2">
      <c r="CU788" s="154"/>
    </row>
    <row r="789" spans="99:99" ht="14.25" customHeight="1" x14ac:dyDescent="0.2">
      <c r="CU789" s="154"/>
    </row>
    <row r="790" spans="99:99" ht="14.25" customHeight="1" x14ac:dyDescent="0.2">
      <c r="CU790" s="154"/>
    </row>
    <row r="791" spans="99:99" ht="14.25" customHeight="1" x14ac:dyDescent="0.2">
      <c r="CU791" s="154"/>
    </row>
    <row r="792" spans="99:99" ht="14.25" customHeight="1" x14ac:dyDescent="0.2">
      <c r="CU792" s="154"/>
    </row>
    <row r="793" spans="99:99" ht="14.25" customHeight="1" x14ac:dyDescent="0.2">
      <c r="CU793" s="154"/>
    </row>
    <row r="794" spans="99:99" ht="14.25" customHeight="1" x14ac:dyDescent="0.2">
      <c r="CU794" s="154"/>
    </row>
    <row r="795" spans="99:99" ht="14.25" customHeight="1" x14ac:dyDescent="0.2">
      <c r="CU795" s="154"/>
    </row>
    <row r="796" spans="99:99" ht="14.25" customHeight="1" x14ac:dyDescent="0.2">
      <c r="CU796" s="154"/>
    </row>
    <row r="797" spans="99:99" ht="14.25" customHeight="1" x14ac:dyDescent="0.2">
      <c r="CU797" s="154"/>
    </row>
    <row r="798" spans="99:99" ht="14.25" customHeight="1" x14ac:dyDescent="0.2">
      <c r="CU798" s="154"/>
    </row>
    <row r="799" spans="99:99" ht="14.25" customHeight="1" x14ac:dyDescent="0.2">
      <c r="CU799" s="154"/>
    </row>
    <row r="800" spans="99:99" ht="14.25" customHeight="1" x14ac:dyDescent="0.2">
      <c r="CU800" s="154"/>
    </row>
    <row r="801" spans="99:99" ht="14.25" customHeight="1" x14ac:dyDescent="0.2">
      <c r="CU801" s="154"/>
    </row>
    <row r="802" spans="99:99" ht="14.25" customHeight="1" x14ac:dyDescent="0.2">
      <c r="CU802" s="154"/>
    </row>
    <row r="803" spans="99:99" ht="14.25" customHeight="1" x14ac:dyDescent="0.2">
      <c r="CU803" s="154"/>
    </row>
    <row r="804" spans="99:99" ht="14.25" customHeight="1" x14ac:dyDescent="0.2">
      <c r="CU804" s="154"/>
    </row>
    <row r="805" spans="99:99" ht="14.25" customHeight="1" x14ac:dyDescent="0.2">
      <c r="CU805" s="154"/>
    </row>
    <row r="806" spans="99:99" ht="14.25" customHeight="1" x14ac:dyDescent="0.2">
      <c r="CU806" s="154"/>
    </row>
    <row r="807" spans="99:99" ht="14.25" customHeight="1" x14ac:dyDescent="0.2">
      <c r="CU807" s="154"/>
    </row>
    <row r="808" spans="99:99" ht="14.25" customHeight="1" x14ac:dyDescent="0.2">
      <c r="CU808" s="154"/>
    </row>
    <row r="809" spans="99:99" ht="14.25" customHeight="1" x14ac:dyDescent="0.2">
      <c r="CU809" s="154"/>
    </row>
    <row r="810" spans="99:99" ht="14.25" customHeight="1" x14ac:dyDescent="0.2">
      <c r="CU810" s="154"/>
    </row>
    <row r="811" spans="99:99" ht="14.25" customHeight="1" x14ac:dyDescent="0.2">
      <c r="CU811" s="154"/>
    </row>
    <row r="812" spans="99:99" ht="14.25" customHeight="1" x14ac:dyDescent="0.2">
      <c r="CU812" s="154"/>
    </row>
    <row r="813" spans="99:99" ht="14.25" customHeight="1" x14ac:dyDescent="0.2">
      <c r="CU813" s="154"/>
    </row>
    <row r="814" spans="99:99" ht="14.25" customHeight="1" x14ac:dyDescent="0.2">
      <c r="CU814" s="154"/>
    </row>
    <row r="815" spans="99:99" ht="14.25" customHeight="1" x14ac:dyDescent="0.2">
      <c r="CU815" s="154"/>
    </row>
    <row r="816" spans="99:99" ht="14.25" customHeight="1" x14ac:dyDescent="0.2">
      <c r="CU816" s="154"/>
    </row>
    <row r="817" spans="99:99" ht="14.25" customHeight="1" x14ac:dyDescent="0.2">
      <c r="CU817" s="154"/>
    </row>
    <row r="818" spans="99:99" ht="14.25" customHeight="1" x14ac:dyDescent="0.2">
      <c r="CU818" s="154"/>
    </row>
    <row r="819" spans="99:99" ht="14.25" customHeight="1" x14ac:dyDescent="0.2">
      <c r="CU819" s="154"/>
    </row>
    <row r="820" spans="99:99" ht="14.25" customHeight="1" x14ac:dyDescent="0.2">
      <c r="CU820" s="154"/>
    </row>
    <row r="821" spans="99:99" ht="14.25" customHeight="1" x14ac:dyDescent="0.2">
      <c r="CU821" s="154"/>
    </row>
    <row r="822" spans="99:99" ht="14.25" customHeight="1" x14ac:dyDescent="0.2">
      <c r="CU822" s="154"/>
    </row>
    <row r="823" spans="99:99" ht="14.25" customHeight="1" x14ac:dyDescent="0.2">
      <c r="CU823" s="154"/>
    </row>
    <row r="824" spans="99:99" ht="14.25" customHeight="1" x14ac:dyDescent="0.2">
      <c r="CU824" s="154"/>
    </row>
    <row r="825" spans="99:99" ht="14.25" customHeight="1" x14ac:dyDescent="0.2">
      <c r="CU825" s="154"/>
    </row>
    <row r="826" spans="99:99" ht="14.25" customHeight="1" x14ac:dyDescent="0.2">
      <c r="CU826" s="154"/>
    </row>
    <row r="827" spans="99:99" ht="14.25" customHeight="1" x14ac:dyDescent="0.2">
      <c r="CU827" s="154"/>
    </row>
    <row r="828" spans="99:99" ht="14.25" customHeight="1" x14ac:dyDescent="0.2">
      <c r="CU828" s="154"/>
    </row>
    <row r="829" spans="99:99" ht="14.25" customHeight="1" x14ac:dyDescent="0.2">
      <c r="CU829" s="154"/>
    </row>
    <row r="830" spans="99:99" ht="14.25" customHeight="1" x14ac:dyDescent="0.2">
      <c r="CU830" s="154"/>
    </row>
    <row r="831" spans="99:99" ht="14.25" customHeight="1" x14ac:dyDescent="0.2">
      <c r="CU831" s="154"/>
    </row>
    <row r="832" spans="99:99" ht="14.25" customHeight="1" x14ac:dyDescent="0.2">
      <c r="CU832" s="154"/>
    </row>
    <row r="833" spans="99:99" ht="14.25" customHeight="1" x14ac:dyDescent="0.2">
      <c r="CU833" s="154"/>
    </row>
    <row r="834" spans="99:99" ht="14.25" customHeight="1" x14ac:dyDescent="0.2">
      <c r="CU834" s="154"/>
    </row>
    <row r="835" spans="99:99" ht="14.25" customHeight="1" x14ac:dyDescent="0.2">
      <c r="CU835" s="154"/>
    </row>
    <row r="836" spans="99:99" ht="14.25" customHeight="1" x14ac:dyDescent="0.2">
      <c r="CU836" s="154"/>
    </row>
    <row r="837" spans="99:99" ht="14.25" customHeight="1" x14ac:dyDescent="0.2">
      <c r="CU837" s="154"/>
    </row>
    <row r="838" spans="99:99" ht="14.25" customHeight="1" x14ac:dyDescent="0.2">
      <c r="CU838" s="154"/>
    </row>
    <row r="839" spans="99:99" ht="14.25" customHeight="1" x14ac:dyDescent="0.2">
      <c r="CU839" s="154"/>
    </row>
    <row r="840" spans="99:99" ht="14.25" customHeight="1" x14ac:dyDescent="0.2">
      <c r="CU840" s="154"/>
    </row>
    <row r="841" spans="99:99" ht="14.25" customHeight="1" x14ac:dyDescent="0.2">
      <c r="CU841" s="154"/>
    </row>
    <row r="842" spans="99:99" ht="14.25" customHeight="1" x14ac:dyDescent="0.2">
      <c r="CU842" s="154"/>
    </row>
    <row r="843" spans="99:99" ht="14.25" customHeight="1" x14ac:dyDescent="0.2">
      <c r="CU843" s="154"/>
    </row>
    <row r="844" spans="99:99" ht="14.25" customHeight="1" x14ac:dyDescent="0.2">
      <c r="CU844" s="154"/>
    </row>
    <row r="845" spans="99:99" ht="14.25" customHeight="1" x14ac:dyDescent="0.2">
      <c r="CU845" s="154"/>
    </row>
    <row r="846" spans="99:99" ht="14.25" customHeight="1" x14ac:dyDescent="0.2">
      <c r="CU846" s="154"/>
    </row>
    <row r="847" spans="99:99" ht="14.25" customHeight="1" x14ac:dyDescent="0.2">
      <c r="CU847" s="154"/>
    </row>
    <row r="848" spans="99:99" ht="14.25" customHeight="1" x14ac:dyDescent="0.2">
      <c r="CU848" s="154"/>
    </row>
    <row r="849" spans="99:99" ht="14.25" customHeight="1" x14ac:dyDescent="0.2">
      <c r="CU849" s="154"/>
    </row>
    <row r="850" spans="99:99" ht="14.25" customHeight="1" x14ac:dyDescent="0.2">
      <c r="CU850" s="154"/>
    </row>
    <row r="851" spans="99:99" ht="14.25" customHeight="1" x14ac:dyDescent="0.2">
      <c r="CU851" s="154"/>
    </row>
    <row r="852" spans="99:99" ht="14.25" customHeight="1" x14ac:dyDescent="0.2">
      <c r="CU852" s="154"/>
    </row>
    <row r="853" spans="99:99" ht="14.25" customHeight="1" x14ac:dyDescent="0.2">
      <c r="CU853" s="154"/>
    </row>
    <row r="854" spans="99:99" ht="14.25" customHeight="1" x14ac:dyDescent="0.2">
      <c r="CU854" s="154"/>
    </row>
    <row r="855" spans="99:99" ht="14.25" customHeight="1" x14ac:dyDescent="0.2">
      <c r="CU855" s="154"/>
    </row>
    <row r="856" spans="99:99" ht="14.25" customHeight="1" x14ac:dyDescent="0.2">
      <c r="CU856" s="154"/>
    </row>
    <row r="857" spans="99:99" ht="14.25" customHeight="1" x14ac:dyDescent="0.2">
      <c r="CU857" s="154"/>
    </row>
    <row r="858" spans="99:99" ht="14.25" customHeight="1" x14ac:dyDescent="0.2">
      <c r="CU858" s="154"/>
    </row>
    <row r="859" spans="99:99" ht="14.25" customHeight="1" x14ac:dyDescent="0.2">
      <c r="CU859" s="154"/>
    </row>
    <row r="860" spans="99:99" ht="14.25" customHeight="1" x14ac:dyDescent="0.2">
      <c r="CU860" s="154"/>
    </row>
    <row r="861" spans="99:99" ht="14.25" customHeight="1" x14ac:dyDescent="0.2">
      <c r="CU861" s="154"/>
    </row>
    <row r="862" spans="99:99" ht="14.25" customHeight="1" x14ac:dyDescent="0.2">
      <c r="CU862" s="154"/>
    </row>
    <row r="863" spans="99:99" ht="14.25" customHeight="1" x14ac:dyDescent="0.2">
      <c r="CU863" s="154"/>
    </row>
    <row r="864" spans="99:99" ht="14.25" customHeight="1" x14ac:dyDescent="0.2">
      <c r="CU864" s="154"/>
    </row>
    <row r="865" spans="99:99" ht="14.25" customHeight="1" x14ac:dyDescent="0.2">
      <c r="CU865" s="154"/>
    </row>
    <row r="866" spans="99:99" ht="14.25" customHeight="1" x14ac:dyDescent="0.2">
      <c r="CU866" s="154"/>
    </row>
    <row r="867" spans="99:99" ht="14.25" customHeight="1" x14ac:dyDescent="0.2">
      <c r="CU867" s="154"/>
    </row>
    <row r="868" spans="99:99" ht="14.25" customHeight="1" x14ac:dyDescent="0.2">
      <c r="CU868" s="154"/>
    </row>
    <row r="869" spans="99:99" ht="14.25" customHeight="1" x14ac:dyDescent="0.2">
      <c r="CU869" s="154"/>
    </row>
    <row r="870" spans="99:99" ht="14.25" customHeight="1" x14ac:dyDescent="0.2">
      <c r="CU870" s="154"/>
    </row>
    <row r="871" spans="99:99" ht="14.25" customHeight="1" x14ac:dyDescent="0.2">
      <c r="CU871" s="154"/>
    </row>
    <row r="872" spans="99:99" ht="14.25" customHeight="1" x14ac:dyDescent="0.2">
      <c r="CU872" s="154"/>
    </row>
    <row r="873" spans="99:99" ht="14.25" customHeight="1" x14ac:dyDescent="0.2">
      <c r="CU873" s="154"/>
    </row>
    <row r="874" spans="99:99" ht="14.25" customHeight="1" x14ac:dyDescent="0.2">
      <c r="CU874" s="154"/>
    </row>
    <row r="875" spans="99:99" ht="14.25" customHeight="1" x14ac:dyDescent="0.2">
      <c r="CU875" s="154"/>
    </row>
    <row r="876" spans="99:99" ht="14.25" customHeight="1" x14ac:dyDescent="0.2">
      <c r="CU876" s="154"/>
    </row>
    <row r="877" spans="99:99" ht="14.25" customHeight="1" x14ac:dyDescent="0.2">
      <c r="CU877" s="154"/>
    </row>
    <row r="878" spans="99:99" ht="14.25" customHeight="1" x14ac:dyDescent="0.2">
      <c r="CU878" s="154"/>
    </row>
    <row r="879" spans="99:99" ht="14.25" customHeight="1" x14ac:dyDescent="0.2">
      <c r="CU879" s="154"/>
    </row>
    <row r="880" spans="99:99" ht="14.25" customHeight="1" x14ac:dyDescent="0.2">
      <c r="CU880" s="154"/>
    </row>
    <row r="881" spans="99:99" ht="14.25" customHeight="1" x14ac:dyDescent="0.2">
      <c r="CU881" s="154"/>
    </row>
    <row r="882" spans="99:99" ht="14.25" customHeight="1" x14ac:dyDescent="0.2">
      <c r="CU882" s="154"/>
    </row>
    <row r="883" spans="99:99" ht="14.25" customHeight="1" x14ac:dyDescent="0.2">
      <c r="CU883" s="154"/>
    </row>
    <row r="884" spans="99:99" ht="14.25" customHeight="1" x14ac:dyDescent="0.2">
      <c r="CU884" s="154"/>
    </row>
    <row r="885" spans="99:99" ht="14.25" customHeight="1" x14ac:dyDescent="0.2">
      <c r="CU885" s="154"/>
    </row>
    <row r="886" spans="99:99" ht="14.25" customHeight="1" x14ac:dyDescent="0.2">
      <c r="CU886" s="154"/>
    </row>
    <row r="887" spans="99:99" ht="14.25" customHeight="1" x14ac:dyDescent="0.2">
      <c r="CU887" s="154"/>
    </row>
    <row r="888" spans="99:99" ht="14.25" customHeight="1" x14ac:dyDescent="0.2">
      <c r="CU888" s="154"/>
    </row>
    <row r="889" spans="99:99" ht="14.25" customHeight="1" x14ac:dyDescent="0.2">
      <c r="CU889" s="154"/>
    </row>
    <row r="890" spans="99:99" ht="14.25" customHeight="1" x14ac:dyDescent="0.2">
      <c r="CU890" s="154"/>
    </row>
    <row r="891" spans="99:99" ht="14.25" customHeight="1" x14ac:dyDescent="0.2">
      <c r="CU891" s="154"/>
    </row>
    <row r="892" spans="99:99" ht="14.25" customHeight="1" x14ac:dyDescent="0.2">
      <c r="CU892" s="154"/>
    </row>
    <row r="893" spans="99:99" ht="14.25" customHeight="1" x14ac:dyDescent="0.2">
      <c r="CU893" s="154"/>
    </row>
    <row r="894" spans="99:99" ht="14.25" customHeight="1" x14ac:dyDescent="0.2">
      <c r="CU894" s="154"/>
    </row>
    <row r="895" spans="99:99" ht="14.25" customHeight="1" x14ac:dyDescent="0.2">
      <c r="CU895" s="154"/>
    </row>
    <row r="896" spans="99:99" ht="14.25" customHeight="1" x14ac:dyDescent="0.2">
      <c r="CU896" s="154"/>
    </row>
    <row r="897" spans="99:99" ht="14.25" customHeight="1" x14ac:dyDescent="0.2">
      <c r="CU897" s="154"/>
    </row>
    <row r="898" spans="99:99" ht="14.25" customHeight="1" x14ac:dyDescent="0.2">
      <c r="CU898" s="154"/>
    </row>
    <row r="899" spans="99:99" ht="14.25" customHeight="1" x14ac:dyDescent="0.2">
      <c r="CU899" s="154"/>
    </row>
    <row r="900" spans="99:99" ht="14.25" customHeight="1" x14ac:dyDescent="0.2">
      <c r="CU900" s="154"/>
    </row>
    <row r="901" spans="99:99" ht="14.25" customHeight="1" x14ac:dyDescent="0.2">
      <c r="CU901" s="154"/>
    </row>
    <row r="902" spans="99:99" ht="14.25" customHeight="1" x14ac:dyDescent="0.2">
      <c r="CU902" s="154"/>
    </row>
    <row r="903" spans="99:99" ht="14.25" customHeight="1" x14ac:dyDescent="0.2">
      <c r="CU903" s="154"/>
    </row>
    <row r="904" spans="99:99" ht="14.25" customHeight="1" x14ac:dyDescent="0.2">
      <c r="CU904" s="154"/>
    </row>
    <row r="905" spans="99:99" ht="14.25" customHeight="1" x14ac:dyDescent="0.2">
      <c r="CU905" s="154"/>
    </row>
    <row r="906" spans="99:99" ht="14.25" customHeight="1" x14ac:dyDescent="0.2">
      <c r="CU906" s="154"/>
    </row>
    <row r="907" spans="99:99" ht="14.25" customHeight="1" x14ac:dyDescent="0.2">
      <c r="CU907" s="154"/>
    </row>
    <row r="908" spans="99:99" ht="14.25" customHeight="1" x14ac:dyDescent="0.2">
      <c r="CU908" s="154"/>
    </row>
    <row r="909" spans="99:99" ht="14.25" customHeight="1" x14ac:dyDescent="0.2">
      <c r="CU909" s="154"/>
    </row>
    <row r="910" spans="99:99" ht="14.25" customHeight="1" x14ac:dyDescent="0.2">
      <c r="CU910" s="154"/>
    </row>
    <row r="911" spans="99:99" ht="14.25" customHeight="1" x14ac:dyDescent="0.2">
      <c r="CU911" s="154"/>
    </row>
    <row r="912" spans="99:99" ht="14.25" customHeight="1" x14ac:dyDescent="0.2">
      <c r="CU912" s="154"/>
    </row>
    <row r="913" spans="99:99" ht="14.25" customHeight="1" x14ac:dyDescent="0.2">
      <c r="CU913" s="154"/>
    </row>
    <row r="914" spans="99:99" ht="14.25" customHeight="1" x14ac:dyDescent="0.2">
      <c r="CU914" s="154"/>
    </row>
    <row r="915" spans="99:99" ht="14.25" customHeight="1" x14ac:dyDescent="0.2">
      <c r="CU915" s="154"/>
    </row>
    <row r="916" spans="99:99" ht="14.25" customHeight="1" x14ac:dyDescent="0.2">
      <c r="CU916" s="154"/>
    </row>
    <row r="917" spans="99:99" ht="14.25" customHeight="1" x14ac:dyDescent="0.2">
      <c r="CU917" s="154"/>
    </row>
    <row r="918" spans="99:99" ht="14.25" customHeight="1" x14ac:dyDescent="0.2">
      <c r="CU918" s="154"/>
    </row>
    <row r="919" spans="99:99" ht="14.25" customHeight="1" x14ac:dyDescent="0.2">
      <c r="CU919" s="154"/>
    </row>
    <row r="920" spans="99:99" ht="14.25" customHeight="1" x14ac:dyDescent="0.2">
      <c r="CU920" s="154"/>
    </row>
    <row r="921" spans="99:99" ht="14.25" customHeight="1" x14ac:dyDescent="0.2">
      <c r="CU921" s="154"/>
    </row>
    <row r="922" spans="99:99" ht="14.25" customHeight="1" x14ac:dyDescent="0.2">
      <c r="CU922" s="154"/>
    </row>
    <row r="923" spans="99:99" ht="14.25" customHeight="1" x14ac:dyDescent="0.2">
      <c r="CU923" s="154"/>
    </row>
    <row r="924" spans="99:99" ht="14.25" customHeight="1" x14ac:dyDescent="0.2">
      <c r="CU924" s="154"/>
    </row>
    <row r="925" spans="99:99" ht="14.25" customHeight="1" x14ac:dyDescent="0.2">
      <c r="CU925" s="154"/>
    </row>
    <row r="926" spans="99:99" ht="14.25" customHeight="1" x14ac:dyDescent="0.2">
      <c r="CU926" s="154"/>
    </row>
    <row r="927" spans="99:99" ht="14.25" customHeight="1" x14ac:dyDescent="0.2">
      <c r="CU927" s="154"/>
    </row>
    <row r="928" spans="99:99" ht="14.25" customHeight="1" x14ac:dyDescent="0.2">
      <c r="CU928" s="154"/>
    </row>
    <row r="929" spans="99:99" ht="14.25" customHeight="1" x14ac:dyDescent="0.2">
      <c r="CU929" s="154"/>
    </row>
    <row r="930" spans="99:99" ht="14.25" customHeight="1" x14ac:dyDescent="0.2">
      <c r="CU930" s="154"/>
    </row>
    <row r="931" spans="99:99" ht="14.25" customHeight="1" x14ac:dyDescent="0.2">
      <c r="CU931" s="154"/>
    </row>
    <row r="932" spans="99:99" ht="14.25" customHeight="1" x14ac:dyDescent="0.2">
      <c r="CU932" s="154"/>
    </row>
    <row r="933" spans="99:99" ht="14.25" customHeight="1" x14ac:dyDescent="0.2">
      <c r="CU933" s="154"/>
    </row>
    <row r="934" spans="99:99" ht="14.25" customHeight="1" x14ac:dyDescent="0.2">
      <c r="CU934" s="154"/>
    </row>
    <row r="935" spans="99:99" ht="14.25" customHeight="1" x14ac:dyDescent="0.2">
      <c r="CU935" s="154"/>
    </row>
    <row r="936" spans="99:99" ht="14.25" customHeight="1" x14ac:dyDescent="0.2">
      <c r="CU936" s="154"/>
    </row>
    <row r="937" spans="99:99" ht="14.25" customHeight="1" x14ac:dyDescent="0.2">
      <c r="CU937" s="154"/>
    </row>
    <row r="938" spans="99:99" ht="14.25" customHeight="1" x14ac:dyDescent="0.2">
      <c r="CU938" s="154"/>
    </row>
    <row r="939" spans="99:99" ht="14.25" customHeight="1" x14ac:dyDescent="0.2">
      <c r="CU939" s="154"/>
    </row>
    <row r="940" spans="99:99" ht="14.25" customHeight="1" x14ac:dyDescent="0.2">
      <c r="CU940" s="154"/>
    </row>
    <row r="941" spans="99:99" ht="14.25" customHeight="1" x14ac:dyDescent="0.2">
      <c r="CU941" s="154"/>
    </row>
    <row r="942" spans="99:99" ht="14.25" customHeight="1" x14ac:dyDescent="0.2">
      <c r="CU942" s="154"/>
    </row>
    <row r="943" spans="99:99" ht="14.25" customHeight="1" x14ac:dyDescent="0.2">
      <c r="CU943" s="154"/>
    </row>
    <row r="944" spans="99:99" ht="14.25" customHeight="1" x14ac:dyDescent="0.2">
      <c r="CU944" s="154"/>
    </row>
    <row r="945" spans="99:99" ht="14.25" customHeight="1" x14ac:dyDescent="0.2">
      <c r="CU945" s="154"/>
    </row>
    <row r="946" spans="99:99" ht="14.25" customHeight="1" x14ac:dyDescent="0.2">
      <c r="CU946" s="154"/>
    </row>
    <row r="947" spans="99:99" ht="14.25" customHeight="1" x14ac:dyDescent="0.2">
      <c r="CU947" s="154"/>
    </row>
    <row r="948" spans="99:99" ht="14.25" customHeight="1" x14ac:dyDescent="0.2">
      <c r="CU948" s="154"/>
    </row>
    <row r="949" spans="99:99" ht="14.25" customHeight="1" x14ac:dyDescent="0.2">
      <c r="CU949" s="154"/>
    </row>
    <row r="950" spans="99:99" ht="14.25" customHeight="1" x14ac:dyDescent="0.2">
      <c r="CU950" s="154"/>
    </row>
    <row r="951" spans="99:99" ht="14.25" customHeight="1" x14ac:dyDescent="0.2">
      <c r="CU951" s="154"/>
    </row>
    <row r="952" spans="99:99" ht="14.25" customHeight="1" x14ac:dyDescent="0.2">
      <c r="CU952" s="154"/>
    </row>
    <row r="953" spans="99:99" ht="14.25" customHeight="1" x14ac:dyDescent="0.2">
      <c r="CU953" s="154"/>
    </row>
    <row r="954" spans="99:99" ht="14.25" customHeight="1" x14ac:dyDescent="0.2">
      <c r="CU954" s="154"/>
    </row>
    <row r="955" spans="99:99" ht="14.25" customHeight="1" x14ac:dyDescent="0.2">
      <c r="CU955" s="154"/>
    </row>
    <row r="956" spans="99:99" ht="14.25" customHeight="1" x14ac:dyDescent="0.2">
      <c r="CU956" s="154"/>
    </row>
    <row r="957" spans="99:99" ht="14.25" customHeight="1" x14ac:dyDescent="0.2">
      <c r="CU957" s="154"/>
    </row>
    <row r="958" spans="99:99" ht="14.25" customHeight="1" x14ac:dyDescent="0.2">
      <c r="CU958" s="154"/>
    </row>
    <row r="959" spans="99:99" ht="14.25" customHeight="1" x14ac:dyDescent="0.2">
      <c r="CU959" s="154"/>
    </row>
    <row r="960" spans="99:99" ht="14.25" customHeight="1" x14ac:dyDescent="0.2">
      <c r="CU960" s="154"/>
    </row>
    <row r="961" spans="99:99" ht="14.25" customHeight="1" x14ac:dyDescent="0.2">
      <c r="CU961" s="154"/>
    </row>
    <row r="962" spans="99:99" ht="14.25" customHeight="1" x14ac:dyDescent="0.2">
      <c r="CU962" s="154"/>
    </row>
    <row r="963" spans="99:99" ht="14.25" customHeight="1" x14ac:dyDescent="0.2">
      <c r="CU963" s="154"/>
    </row>
    <row r="964" spans="99:99" ht="14.25" customHeight="1" x14ac:dyDescent="0.2">
      <c r="CU964" s="154"/>
    </row>
    <row r="965" spans="99:99" ht="14.25" customHeight="1" x14ac:dyDescent="0.2">
      <c r="CU965" s="154"/>
    </row>
    <row r="966" spans="99:99" ht="14.25" customHeight="1" x14ac:dyDescent="0.2">
      <c r="CU966" s="154"/>
    </row>
    <row r="967" spans="99:99" ht="14.25" customHeight="1" x14ac:dyDescent="0.2">
      <c r="CU967" s="154"/>
    </row>
    <row r="968" spans="99:99" ht="14.25" customHeight="1" x14ac:dyDescent="0.2">
      <c r="CU968" s="154"/>
    </row>
    <row r="969" spans="99:99" ht="14.25" customHeight="1" x14ac:dyDescent="0.2">
      <c r="CU969" s="154"/>
    </row>
    <row r="970" spans="99:99" ht="14.25" customHeight="1" x14ac:dyDescent="0.2">
      <c r="CU970" s="154"/>
    </row>
    <row r="971" spans="99:99" ht="14.25" customHeight="1" x14ac:dyDescent="0.2">
      <c r="CU971" s="154"/>
    </row>
    <row r="972" spans="99:99" ht="14.25" customHeight="1" x14ac:dyDescent="0.2">
      <c r="CU972" s="154"/>
    </row>
    <row r="973" spans="99:99" ht="14.25" customHeight="1" x14ac:dyDescent="0.2">
      <c r="CU973" s="154"/>
    </row>
    <row r="974" spans="99:99" ht="14.25" customHeight="1" x14ac:dyDescent="0.2">
      <c r="CU974" s="154"/>
    </row>
    <row r="975" spans="99:99" ht="14.25" customHeight="1" x14ac:dyDescent="0.2">
      <c r="CU975" s="154"/>
    </row>
    <row r="976" spans="99:99" ht="14.25" customHeight="1" x14ac:dyDescent="0.2">
      <c r="CU976" s="154"/>
    </row>
    <row r="977" spans="99:99" ht="14.25" customHeight="1" x14ac:dyDescent="0.2">
      <c r="CU977" s="154"/>
    </row>
    <row r="978" spans="99:99" ht="14.25" customHeight="1" x14ac:dyDescent="0.2">
      <c r="CU978" s="154"/>
    </row>
    <row r="979" spans="99:99" ht="14.25" customHeight="1" x14ac:dyDescent="0.2">
      <c r="CU979" s="154"/>
    </row>
    <row r="980" spans="99:99" ht="14.25" customHeight="1" x14ac:dyDescent="0.2">
      <c r="CU980" s="154"/>
    </row>
    <row r="981" spans="99:99" ht="14.25" customHeight="1" x14ac:dyDescent="0.2">
      <c r="CU981" s="154"/>
    </row>
    <row r="982" spans="99:99" ht="14.25" customHeight="1" x14ac:dyDescent="0.2">
      <c r="CU982" s="154"/>
    </row>
    <row r="983" spans="99:99" ht="14.25" customHeight="1" x14ac:dyDescent="0.2">
      <c r="CU983" s="154"/>
    </row>
    <row r="984" spans="99:99" ht="14.25" customHeight="1" x14ac:dyDescent="0.2">
      <c r="CU984" s="154"/>
    </row>
    <row r="985" spans="99:99" ht="14.25" customHeight="1" x14ac:dyDescent="0.2">
      <c r="CU985" s="154"/>
    </row>
    <row r="986" spans="99:99" ht="14.25" customHeight="1" x14ac:dyDescent="0.2">
      <c r="CU986" s="154"/>
    </row>
    <row r="987" spans="99:99" ht="14.25" customHeight="1" x14ac:dyDescent="0.2">
      <c r="CU987" s="154"/>
    </row>
    <row r="988" spans="99:99" ht="14.25" customHeight="1" x14ac:dyDescent="0.2">
      <c r="CU988" s="154"/>
    </row>
    <row r="989" spans="99:99" ht="14.25" customHeight="1" x14ac:dyDescent="0.2">
      <c r="CU989" s="154"/>
    </row>
    <row r="990" spans="99:99" ht="14.25" customHeight="1" x14ac:dyDescent="0.2">
      <c r="CU990" s="154"/>
    </row>
    <row r="991" spans="99:99" ht="14.25" customHeight="1" x14ac:dyDescent="0.2">
      <c r="CU991" s="154"/>
    </row>
    <row r="992" spans="99:99" ht="14.25" customHeight="1" x14ac:dyDescent="0.2">
      <c r="CU992" s="154"/>
    </row>
    <row r="993" spans="99:99" ht="14.25" customHeight="1" x14ac:dyDescent="0.2">
      <c r="CU993" s="154"/>
    </row>
    <row r="994" spans="99:99" ht="14.25" customHeight="1" x14ac:dyDescent="0.2">
      <c r="CU994" s="154"/>
    </row>
    <row r="995" spans="99:99" ht="14.25" customHeight="1" x14ac:dyDescent="0.2">
      <c r="CU995" s="154"/>
    </row>
    <row r="996" spans="99:99" ht="14.25" customHeight="1" x14ac:dyDescent="0.2">
      <c r="CU996" s="154"/>
    </row>
    <row r="997" spans="99:99" ht="14.25" customHeight="1" x14ac:dyDescent="0.2">
      <c r="CU997" s="154"/>
    </row>
    <row r="998" spans="99:99" ht="14.25" customHeight="1" x14ac:dyDescent="0.2">
      <c r="CU998" s="154"/>
    </row>
    <row r="999" spans="99:99" ht="14.25" customHeight="1" x14ac:dyDescent="0.2">
      <c r="CU999" s="154"/>
    </row>
    <row r="1000" spans="99:99" ht="14.25" customHeight="1" x14ac:dyDescent="0.2">
      <c r="CU1000" s="154"/>
    </row>
  </sheetData>
  <mergeCells count="25">
    <mergeCell ref="BP2:BV2"/>
    <mergeCell ref="BW2:CC2"/>
    <mergeCell ref="CD2:CJ2"/>
    <mergeCell ref="B2:K2"/>
    <mergeCell ref="L2:R2"/>
    <mergeCell ref="S2:Y2"/>
    <mergeCell ref="Z2:AF2"/>
    <mergeCell ref="AG2:AM2"/>
    <mergeCell ref="AN2:AT2"/>
    <mergeCell ref="BW60:CC60"/>
    <mergeCell ref="CD60:CJ60"/>
    <mergeCell ref="CK60:CQ60"/>
    <mergeCell ref="CK2:CQ2"/>
    <mergeCell ref="L60:R60"/>
    <mergeCell ref="S60:Y60"/>
    <mergeCell ref="Z60:AF60"/>
    <mergeCell ref="AG60:AM60"/>
    <mergeCell ref="AN60:AT60"/>
    <mergeCell ref="AU60:BA60"/>
    <mergeCell ref="BB60:BH60"/>
    <mergeCell ref="BI60:BO60"/>
    <mergeCell ref="BP60:BV60"/>
    <mergeCell ref="AU2:BA2"/>
    <mergeCell ref="BB2:BH2"/>
    <mergeCell ref="BI2:BO2"/>
  </mergeCells>
  <printOptions horizontalCentered="1"/>
  <pageMargins left="9.8425196850393706E-2" right="9.8425196850393706E-2" top="0.59055118110236227" bottom="0.39370078740157483" header="0" footer="0"/>
  <pageSetup paperSize="9" scale="43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264D5-61F9-EF43-A853-0E3FA1CADD8C}">
  <sheetPr>
    <pageSetUpPr fitToPage="1"/>
  </sheetPr>
  <dimension ref="A1:CU1000"/>
  <sheetViews>
    <sheetView zoomScale="70" zoomScaleNormal="70" workbookViewId="0">
      <pane xSplit="1" ySplit="3" topLeftCell="AY4" activePane="bottomRight" state="frozen"/>
      <selection pane="topRight" activeCell="B1" sqref="B1"/>
      <selection pane="bottomLeft" activeCell="A4" sqref="A4"/>
      <selection pane="bottomRight" activeCell="AZ56" sqref="AZ56:AZ57"/>
    </sheetView>
  </sheetViews>
  <sheetFormatPr baseColWidth="10" defaultColWidth="14.5" defaultRowHeight="15" customHeight="1" x14ac:dyDescent="0.2"/>
  <cols>
    <col min="1" max="1" width="32.33203125" customWidth="1"/>
    <col min="2" max="96" width="11.5" customWidth="1"/>
    <col min="97" max="98" width="10.5" customWidth="1"/>
    <col min="99" max="99" width="2.6640625" customWidth="1"/>
  </cols>
  <sheetData>
    <row r="1" spans="1:99" ht="20" customHeight="1" thickBot="1" x14ac:dyDescent="0.25">
      <c r="A1" s="1" t="s">
        <v>156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45"/>
    </row>
    <row r="2" spans="1:99" ht="14.25" customHeight="1" thickBot="1" x14ac:dyDescent="0.25">
      <c r="A2" s="5"/>
      <c r="B2" s="245"/>
      <c r="C2" s="246"/>
      <c r="D2" s="246"/>
      <c r="E2" s="247"/>
      <c r="F2" s="247"/>
      <c r="G2" s="247"/>
      <c r="H2" s="247"/>
      <c r="I2" s="247"/>
      <c r="J2" s="247"/>
      <c r="K2" s="248"/>
      <c r="L2" s="245" t="s">
        <v>2</v>
      </c>
      <c r="M2" s="246"/>
      <c r="N2" s="246"/>
      <c r="O2" s="246"/>
      <c r="P2" s="246"/>
      <c r="Q2" s="247"/>
      <c r="R2" s="248"/>
      <c r="S2" s="245" t="s">
        <v>3</v>
      </c>
      <c r="T2" s="246"/>
      <c r="U2" s="246"/>
      <c r="V2" s="246"/>
      <c r="W2" s="246"/>
      <c r="X2" s="247"/>
      <c r="Y2" s="248"/>
      <c r="Z2" s="245" t="s">
        <v>4</v>
      </c>
      <c r="AA2" s="246"/>
      <c r="AB2" s="246"/>
      <c r="AC2" s="246"/>
      <c r="AD2" s="246"/>
      <c r="AE2" s="247"/>
      <c r="AF2" s="248"/>
      <c r="AG2" s="245" t="s">
        <v>5</v>
      </c>
      <c r="AH2" s="246"/>
      <c r="AI2" s="246"/>
      <c r="AJ2" s="246"/>
      <c r="AK2" s="246"/>
      <c r="AL2" s="247"/>
      <c r="AM2" s="248"/>
      <c r="AN2" s="245" t="s">
        <v>6</v>
      </c>
      <c r="AO2" s="246"/>
      <c r="AP2" s="246"/>
      <c r="AQ2" s="246"/>
      <c r="AR2" s="246"/>
      <c r="AS2" s="247"/>
      <c r="AT2" s="248"/>
      <c r="AU2" s="245" t="s">
        <v>7</v>
      </c>
      <c r="AV2" s="246"/>
      <c r="AW2" s="246"/>
      <c r="AX2" s="246"/>
      <c r="AY2" s="246"/>
      <c r="AZ2" s="247"/>
      <c r="BA2" s="248"/>
      <c r="BB2" s="245" t="s">
        <v>8</v>
      </c>
      <c r="BC2" s="246"/>
      <c r="BD2" s="246"/>
      <c r="BE2" s="246"/>
      <c r="BF2" s="246"/>
      <c r="BG2" s="247"/>
      <c r="BH2" s="248"/>
      <c r="BI2" s="245" t="s">
        <v>9</v>
      </c>
      <c r="BJ2" s="246"/>
      <c r="BK2" s="246"/>
      <c r="BL2" s="246"/>
      <c r="BM2" s="246"/>
      <c r="BN2" s="247"/>
      <c r="BO2" s="248"/>
      <c r="BP2" s="245" t="s">
        <v>10</v>
      </c>
      <c r="BQ2" s="246"/>
      <c r="BR2" s="246"/>
      <c r="BS2" s="246"/>
      <c r="BT2" s="246"/>
      <c r="BU2" s="247"/>
      <c r="BV2" s="248"/>
      <c r="BW2" s="245" t="s">
        <v>11</v>
      </c>
      <c r="BX2" s="246"/>
      <c r="BY2" s="246"/>
      <c r="BZ2" s="246"/>
      <c r="CA2" s="246"/>
      <c r="CB2" s="247"/>
      <c r="CC2" s="248"/>
      <c r="CD2" s="245" t="s">
        <v>12</v>
      </c>
      <c r="CE2" s="246"/>
      <c r="CF2" s="246"/>
      <c r="CG2" s="246"/>
      <c r="CH2" s="246"/>
      <c r="CI2" s="247"/>
      <c r="CJ2" s="248"/>
      <c r="CK2" s="245" t="s">
        <v>13</v>
      </c>
      <c r="CL2" s="246"/>
      <c r="CM2" s="246"/>
      <c r="CN2" s="246"/>
      <c r="CO2" s="246"/>
      <c r="CP2" s="247"/>
      <c r="CQ2" s="248"/>
    </row>
    <row r="3" spans="1:99" ht="45" customHeight="1" thickBot="1" x14ac:dyDescent="0.25">
      <c r="A3" s="5"/>
      <c r="B3" s="8" t="s">
        <v>14</v>
      </c>
      <c r="C3" s="9" t="s">
        <v>15</v>
      </c>
      <c r="D3" s="10" t="s">
        <v>16</v>
      </c>
      <c r="E3" s="8" t="s">
        <v>17</v>
      </c>
      <c r="F3" s="11" t="s">
        <v>18</v>
      </c>
      <c r="G3" s="12" t="s">
        <v>19</v>
      </c>
      <c r="H3" s="13" t="s">
        <v>20</v>
      </c>
      <c r="I3" s="14" t="s">
        <v>21</v>
      </c>
      <c r="J3" s="14" t="s">
        <v>22</v>
      </c>
      <c r="K3" s="15" t="s">
        <v>23</v>
      </c>
      <c r="L3" s="6" t="s">
        <v>24</v>
      </c>
      <c r="M3" s="14" t="s">
        <v>25</v>
      </c>
      <c r="N3" s="14" t="s">
        <v>26</v>
      </c>
      <c r="O3" s="14" t="s">
        <v>20</v>
      </c>
      <c r="P3" s="14" t="s">
        <v>21</v>
      </c>
      <c r="Q3" s="14" t="s">
        <v>22</v>
      </c>
      <c r="R3" s="15" t="s">
        <v>23</v>
      </c>
      <c r="S3" s="6" t="s">
        <v>24</v>
      </c>
      <c r="T3" s="14" t="s">
        <v>25</v>
      </c>
      <c r="U3" s="14" t="s">
        <v>26</v>
      </c>
      <c r="V3" s="14" t="s">
        <v>20</v>
      </c>
      <c r="W3" s="14" t="s">
        <v>21</v>
      </c>
      <c r="X3" s="14" t="s">
        <v>22</v>
      </c>
      <c r="Y3" s="15" t="s">
        <v>23</v>
      </c>
      <c r="Z3" s="6" t="s">
        <v>24</v>
      </c>
      <c r="AA3" s="14" t="s">
        <v>25</v>
      </c>
      <c r="AB3" s="14" t="s">
        <v>26</v>
      </c>
      <c r="AC3" s="14" t="s">
        <v>20</v>
      </c>
      <c r="AD3" s="14" t="s">
        <v>21</v>
      </c>
      <c r="AE3" s="14" t="s">
        <v>22</v>
      </c>
      <c r="AF3" s="15" t="s">
        <v>23</v>
      </c>
      <c r="AG3" s="6" t="s">
        <v>24</v>
      </c>
      <c r="AH3" s="14" t="s">
        <v>25</v>
      </c>
      <c r="AI3" s="14" t="s">
        <v>26</v>
      </c>
      <c r="AJ3" s="14" t="s">
        <v>20</v>
      </c>
      <c r="AK3" s="14" t="s">
        <v>21</v>
      </c>
      <c r="AL3" s="14" t="s">
        <v>22</v>
      </c>
      <c r="AM3" s="15" t="s">
        <v>23</v>
      </c>
      <c r="AN3" s="6" t="s">
        <v>24</v>
      </c>
      <c r="AO3" s="14" t="s">
        <v>25</v>
      </c>
      <c r="AP3" s="14" t="s">
        <v>26</v>
      </c>
      <c r="AQ3" s="14" t="s">
        <v>20</v>
      </c>
      <c r="AR3" s="14" t="s">
        <v>21</v>
      </c>
      <c r="AS3" s="14" t="s">
        <v>22</v>
      </c>
      <c r="AT3" s="15" t="s">
        <v>23</v>
      </c>
      <c r="AU3" s="6" t="s">
        <v>24</v>
      </c>
      <c r="AV3" s="14" t="s">
        <v>25</v>
      </c>
      <c r="AW3" s="14" t="s">
        <v>26</v>
      </c>
      <c r="AX3" s="14" t="s">
        <v>20</v>
      </c>
      <c r="AY3" s="14" t="s">
        <v>21</v>
      </c>
      <c r="AZ3" s="14" t="s">
        <v>22</v>
      </c>
      <c r="BA3" s="15" t="s">
        <v>23</v>
      </c>
      <c r="BB3" s="6" t="s">
        <v>24</v>
      </c>
      <c r="BC3" s="14" t="s">
        <v>25</v>
      </c>
      <c r="BD3" s="14" t="s">
        <v>26</v>
      </c>
      <c r="BE3" s="14" t="s">
        <v>20</v>
      </c>
      <c r="BF3" s="14" t="s">
        <v>21</v>
      </c>
      <c r="BG3" s="14" t="s">
        <v>22</v>
      </c>
      <c r="BH3" s="15" t="s">
        <v>23</v>
      </c>
      <c r="BI3" s="6" t="s">
        <v>24</v>
      </c>
      <c r="BJ3" s="14" t="s">
        <v>25</v>
      </c>
      <c r="BK3" s="14" t="s">
        <v>26</v>
      </c>
      <c r="BL3" s="14" t="s">
        <v>20</v>
      </c>
      <c r="BM3" s="14" t="s">
        <v>21</v>
      </c>
      <c r="BN3" s="14" t="s">
        <v>22</v>
      </c>
      <c r="BO3" s="15" t="s">
        <v>23</v>
      </c>
      <c r="BP3" s="6" t="s">
        <v>24</v>
      </c>
      <c r="BQ3" s="14" t="s">
        <v>25</v>
      </c>
      <c r="BR3" s="14" t="s">
        <v>26</v>
      </c>
      <c r="BS3" s="14" t="s">
        <v>20</v>
      </c>
      <c r="BT3" s="14" t="s">
        <v>21</v>
      </c>
      <c r="BU3" s="14" t="s">
        <v>22</v>
      </c>
      <c r="BV3" s="15" t="s">
        <v>23</v>
      </c>
      <c r="BW3" s="6" t="s">
        <v>24</v>
      </c>
      <c r="BX3" s="14" t="s">
        <v>25</v>
      </c>
      <c r="BY3" s="14" t="s">
        <v>26</v>
      </c>
      <c r="BZ3" s="14" t="s">
        <v>20</v>
      </c>
      <c r="CA3" s="14" t="s">
        <v>21</v>
      </c>
      <c r="CB3" s="14" t="s">
        <v>22</v>
      </c>
      <c r="CC3" s="15" t="s">
        <v>23</v>
      </c>
      <c r="CD3" s="6" t="s">
        <v>24</v>
      </c>
      <c r="CE3" s="14" t="s">
        <v>25</v>
      </c>
      <c r="CF3" s="14" t="s">
        <v>26</v>
      </c>
      <c r="CG3" s="14" t="s">
        <v>20</v>
      </c>
      <c r="CH3" s="14" t="s">
        <v>21</v>
      </c>
      <c r="CI3" s="14" t="s">
        <v>22</v>
      </c>
      <c r="CJ3" s="15" t="s">
        <v>23</v>
      </c>
      <c r="CK3" s="6" t="s">
        <v>24</v>
      </c>
      <c r="CL3" s="14" t="s">
        <v>25</v>
      </c>
      <c r="CM3" s="14" t="s">
        <v>26</v>
      </c>
      <c r="CN3" s="14" t="s">
        <v>20</v>
      </c>
      <c r="CO3" s="14" t="s">
        <v>21</v>
      </c>
      <c r="CP3" s="14" t="s">
        <v>22</v>
      </c>
      <c r="CQ3" s="15" t="s">
        <v>23</v>
      </c>
    </row>
    <row r="4" spans="1:99" s="26" customFormat="1" ht="14.25" customHeight="1" thickBot="1" x14ac:dyDescent="0.25">
      <c r="A4" s="16" t="s">
        <v>28</v>
      </c>
      <c r="B4" s="17">
        <f t="shared" ref="B4:D35" si="0">+L4+S4+Z4+AG4+AN4+AU4+BB4+BI4+BP4+BW4+CD4+CK4</f>
        <v>744802.80984320003</v>
      </c>
      <c r="C4" s="18">
        <f t="shared" si="0"/>
        <v>696539.58776536072</v>
      </c>
      <c r="D4" s="19">
        <f t="shared" si="0"/>
        <v>48263.222077839368</v>
      </c>
      <c r="E4" s="17">
        <f>+L4+S4+Z4+AG4</f>
        <v>257232.39027199999</v>
      </c>
      <c r="F4" s="20">
        <f>+M4+T4+AA4+AH4</f>
        <v>240563.73138237442</v>
      </c>
      <c r="G4" s="21">
        <f>+N4+U4+AB4+AI4</f>
        <v>16668.658889625603</v>
      </c>
      <c r="H4" s="18">
        <f t="shared" ref="H4:J35" si="1">+O4+V4+AC4+AJ4+AQ4+AX4+BE4+BL4+BS4+BZ4+CG4+CN4</f>
        <v>337963.35221599997</v>
      </c>
      <c r="I4" s="20">
        <f t="shared" si="1"/>
        <v>23417.477784000002</v>
      </c>
      <c r="J4" s="20">
        <f t="shared" si="1"/>
        <v>361380.83</v>
      </c>
      <c r="K4" s="25">
        <f t="shared" ref="K4:K54" si="2">IF(E4=0,"",(+J4/E4-1))</f>
        <v>0.40488073690048321</v>
      </c>
      <c r="L4" s="23">
        <f>[1]PN!$E4</f>
        <v>58044.097568000005</v>
      </c>
      <c r="M4" s="18">
        <f>L4-N4</f>
        <v>54282.840045593606</v>
      </c>
      <c r="N4" s="18">
        <f>+L4*6.48%</f>
        <v>3761.2575224064008</v>
      </c>
      <c r="O4" s="18">
        <f>+Q4-P4</f>
        <v>38974.721855999996</v>
      </c>
      <c r="P4" s="18">
        <f>+Q4*6.48%</f>
        <v>2700.5581440000005</v>
      </c>
      <c r="Q4" s="18">
        <f>71588.51-Q5-Q6-Q7-Q8-Q9</f>
        <v>41675.279999999999</v>
      </c>
      <c r="R4" s="18">
        <f t="shared" ref="R4:R54" si="3">IF(L4=0,"",(+Q4/L4-1))</f>
        <v>-0.2820065821304838</v>
      </c>
      <c r="S4" s="18">
        <f>[1]PN!$F4</f>
        <v>83100.097567999997</v>
      </c>
      <c r="T4" s="18">
        <f>S4-U4</f>
        <v>77715.2112455936</v>
      </c>
      <c r="U4" s="18">
        <f>+S4*6.48%</f>
        <v>5384.8863224064007</v>
      </c>
      <c r="V4" s="18">
        <f>+X4-W4</f>
        <v>67649.964535999999</v>
      </c>
      <c r="W4" s="18">
        <f>+X4*6.48%</f>
        <v>4687.4654639999999</v>
      </c>
      <c r="X4" s="18">
        <f>85697.37-X5-X6-X7-X8-X9</f>
        <v>72337.429999999993</v>
      </c>
      <c r="Y4" s="18">
        <f t="shared" ref="Y4:Y54" si="4">IF(S4=0,"",(+X4/S4-1))</f>
        <v>-0.12951449977772911</v>
      </c>
      <c r="Z4" s="18">
        <f>[1]PN!$G4</f>
        <v>58044.097568000005</v>
      </c>
      <c r="AA4" s="18">
        <f>Z4-AB4</f>
        <v>54282.840045593606</v>
      </c>
      <c r="AB4" s="18">
        <f>+Z4*6.48%</f>
        <v>3761.2575224064008</v>
      </c>
      <c r="AC4" s="18">
        <f>+AE4-AD4</f>
        <v>39427.162263999999</v>
      </c>
      <c r="AD4" s="18">
        <f>+AE4*6.48%</f>
        <v>2731.9077360000006</v>
      </c>
      <c r="AE4" s="18">
        <f>71943.39-AE5-AE6-AE7-AE8-AE9</f>
        <v>42159.07</v>
      </c>
      <c r="AF4" s="18">
        <f t="shared" ref="AF4:AF54" si="5">IF(Z4=0,"",(+AE4/Z4-1))</f>
        <v>-0.27367171225963716</v>
      </c>
      <c r="AG4" s="18">
        <f>[1]PN!$H4</f>
        <v>58044.097568000005</v>
      </c>
      <c r="AH4" s="18">
        <f>AG4-AI4</f>
        <v>54282.840045593606</v>
      </c>
      <c r="AI4" s="18">
        <f>+AG4*6.48%</f>
        <v>3761.2575224064008</v>
      </c>
      <c r="AJ4" s="18">
        <f>+AL4-AK4</f>
        <v>82443.678239999994</v>
      </c>
      <c r="AK4" s="18">
        <f>+AL4*6.48%</f>
        <v>5712.5217600000005</v>
      </c>
      <c r="AL4" s="18">
        <f>111283.97-AL5-AL6-AL7-AL8-AL9</f>
        <v>88156.2</v>
      </c>
      <c r="AM4" s="18">
        <f t="shared" ref="AM4:AM54" si="6">IF(AG4=0,"",(+AL4/AG4-1))</f>
        <v>0.51877975011538369</v>
      </c>
      <c r="AN4" s="18">
        <f>[1]PN!$I4</f>
        <v>58044.097568000005</v>
      </c>
      <c r="AO4" s="18">
        <f>AN4-AP4</f>
        <v>54282.840045593606</v>
      </c>
      <c r="AP4" s="18">
        <f>+AN4*6.48%</f>
        <v>3761.2575224064008</v>
      </c>
      <c r="AQ4" s="18">
        <f>+AS4-AR4</f>
        <v>55875.169952000004</v>
      </c>
      <c r="AR4" s="18">
        <f>+AS4*6.48%</f>
        <v>3871.5900480000009</v>
      </c>
      <c r="AS4" s="20">
        <v>59746.76</v>
      </c>
      <c r="AT4" s="25">
        <f t="shared" ref="AT4:AT54" si="7">IF(AN4=0,"",(+AS4/AN4-1))</f>
        <v>2.9333946143366152E-2</v>
      </c>
      <c r="AU4" s="23">
        <f>[1]PN!$J4</f>
        <v>58044.097568000005</v>
      </c>
      <c r="AV4" s="18">
        <f>AU4-AW4</f>
        <v>54282.840045593606</v>
      </c>
      <c r="AW4" s="18">
        <f>+AU4*6.48%</f>
        <v>3761.2575224064008</v>
      </c>
      <c r="AX4" s="18">
        <f>+AZ4-AY4</f>
        <v>53592.655368</v>
      </c>
      <c r="AY4" s="18">
        <f>+AZ4*6.48%</f>
        <v>3713.4346320000009</v>
      </c>
      <c r="AZ4" s="20">
        <v>57306.090000000004</v>
      </c>
      <c r="BA4" s="25">
        <f t="shared" ref="BA4:BA54" si="8">IF(AU4=0,"",(+AZ4/AU4-1))</f>
        <v>-1.2714601465470432E-2</v>
      </c>
      <c r="BB4" s="23">
        <f>[1]PN!$K4</f>
        <v>58044.097568000005</v>
      </c>
      <c r="BC4" s="18">
        <f>BB4-BD4</f>
        <v>54282.840045593606</v>
      </c>
      <c r="BD4" s="18">
        <f>+BB4*6.48%</f>
        <v>3761.2575224064008</v>
      </c>
      <c r="BE4" s="18">
        <f>+BG4-BF4</f>
        <v>0</v>
      </c>
      <c r="BF4" s="18">
        <f>+BG4*6.48%</f>
        <v>0</v>
      </c>
      <c r="BG4" s="24"/>
      <c r="BH4" s="25">
        <f t="shared" ref="BH4:BH54" si="9">IF(BB4=0,"",(+BG4/BB4-1))</f>
        <v>-1</v>
      </c>
      <c r="BI4" s="23">
        <f>[1]PN!$L$4</f>
        <v>62687.625373440009</v>
      </c>
      <c r="BJ4" s="18">
        <f>BI4-BK4</f>
        <v>58625.467249241097</v>
      </c>
      <c r="BK4" s="18">
        <f>+BI4*6.48%</f>
        <v>4062.1581241989134</v>
      </c>
      <c r="BL4" s="18">
        <f>+BN4-BM4</f>
        <v>0</v>
      </c>
      <c r="BM4" s="18">
        <f>+BN4*6.48%</f>
        <v>0</v>
      </c>
      <c r="BN4" s="20"/>
      <c r="BO4" s="25">
        <f t="shared" ref="BO4:BO54" si="10">IF(BI4=0,"",(+BN4/BI4-1))</f>
        <v>-1</v>
      </c>
      <c r="BP4" s="23">
        <f>[1]PN!$M4</f>
        <v>62687.625373440009</v>
      </c>
      <c r="BQ4" s="18">
        <f>BP4-BR4</f>
        <v>58625.467249241097</v>
      </c>
      <c r="BR4" s="18">
        <f>+BP4*6.48%</f>
        <v>4062.1581241989134</v>
      </c>
      <c r="BS4" s="18">
        <f>+BU4-BT4</f>
        <v>0</v>
      </c>
      <c r="BT4" s="18">
        <f>+BU4*6.48%</f>
        <v>0</v>
      </c>
      <c r="BU4" s="20"/>
      <c r="BV4" s="25">
        <f t="shared" ref="BV4:BV54" si="11">IF(BP4=0,"",(+BU4/BP4-1))</f>
        <v>-1</v>
      </c>
      <c r="BW4" s="23">
        <f>[1]PN!$N4</f>
        <v>62687.625373440009</v>
      </c>
      <c r="BX4" s="18">
        <f>BW4-BY4</f>
        <v>58625.467249241097</v>
      </c>
      <c r="BY4" s="18">
        <f>+BW4*6.48%</f>
        <v>4062.1581241989134</v>
      </c>
      <c r="BZ4" s="18">
        <f>+CB4-CA4</f>
        <v>0</v>
      </c>
      <c r="CA4" s="18">
        <f>+CB4*6.48%</f>
        <v>0</v>
      </c>
      <c r="CB4" s="20"/>
      <c r="CC4" s="25">
        <f t="shared" ref="CC4:CC54" si="12">IF(BW4=0,"",(+CB4/BW4-1))</f>
        <v>-1</v>
      </c>
      <c r="CD4" s="23">
        <f>[1]PN!$O4</f>
        <v>62687.625373440009</v>
      </c>
      <c r="CE4" s="18">
        <f>CD4-CF4</f>
        <v>58625.467249241097</v>
      </c>
      <c r="CF4" s="18">
        <f>+CD4*6.48%</f>
        <v>4062.1581241989134</v>
      </c>
      <c r="CG4" s="18">
        <f>+CI4-CH4</f>
        <v>0</v>
      </c>
      <c r="CH4" s="18">
        <f>+CI4*6.48%</f>
        <v>0</v>
      </c>
      <c r="CI4" s="20"/>
      <c r="CJ4" s="25">
        <f t="shared" ref="CJ4:CJ54" si="13">IF(CD4=0,"",(+CI4/CD4-1))</f>
        <v>-1</v>
      </c>
      <c r="CK4" s="23">
        <f>[1]PN!$P4</f>
        <v>62687.625373440009</v>
      </c>
      <c r="CL4" s="18">
        <f>CK4-CM4</f>
        <v>58625.467249241097</v>
      </c>
      <c r="CM4" s="18">
        <f>+CK4*6.48%</f>
        <v>4062.1581241989134</v>
      </c>
      <c r="CN4" s="18">
        <f>+CP4-CO4</f>
        <v>0</v>
      </c>
      <c r="CO4" s="18">
        <f>+CP4*6.48%</f>
        <v>0</v>
      </c>
      <c r="CP4" s="20"/>
      <c r="CQ4" s="25">
        <f t="shared" ref="CQ4:CQ54" si="14">IF(CK4=0,"",(+CP4/CK4-1))</f>
        <v>-1</v>
      </c>
    </row>
    <row r="5" spans="1:99" s="26" customFormat="1" ht="14.25" customHeight="1" thickBot="1" x14ac:dyDescent="0.25">
      <c r="A5" s="29" t="s">
        <v>29</v>
      </c>
      <c r="B5" s="30">
        <f t="shared" si="0"/>
        <v>45000</v>
      </c>
      <c r="C5" s="31">
        <f t="shared" si="0"/>
        <v>42084</v>
      </c>
      <c r="D5" s="32">
        <f t="shared" si="0"/>
        <v>2916.0000000000005</v>
      </c>
      <c r="E5" s="30">
        <f t="shared" ref="E5:G36" si="15">+L5+S5+Z5+AG5</f>
        <v>15000</v>
      </c>
      <c r="F5" s="33">
        <f t="shared" si="15"/>
        <v>14028</v>
      </c>
      <c r="G5" s="34">
        <f t="shared" si="15"/>
        <v>972.00000000000011</v>
      </c>
      <c r="H5" s="31">
        <f t="shared" si="1"/>
        <v>21979.220031999997</v>
      </c>
      <c r="I5" s="33">
        <f t="shared" si="1"/>
        <v>1522.9399680000001</v>
      </c>
      <c r="J5" s="33">
        <f t="shared" si="1"/>
        <v>23502.16</v>
      </c>
      <c r="K5" s="37">
        <f t="shared" si="2"/>
        <v>0.56681066666666657</v>
      </c>
      <c r="L5" s="36">
        <f>[1]PN!$E5</f>
        <v>3750</v>
      </c>
      <c r="M5" s="31">
        <f t="shared" ref="M5:M54" si="16">L5-N5</f>
        <v>3507</v>
      </c>
      <c r="N5" s="31">
        <f t="shared" ref="N5:N58" si="17">+L5*6.48%</f>
        <v>243.00000000000003</v>
      </c>
      <c r="O5" s="31">
        <f t="shared" ref="O5:O54" si="18">+Q5-P5</f>
        <v>4073.5535120000004</v>
      </c>
      <c r="P5" s="31">
        <f t="shared" ref="P5:P54" si="19">+Q5*6.48%</f>
        <v>282.25648800000005</v>
      </c>
      <c r="Q5" s="31">
        <f>4355.81</f>
        <v>4355.8100000000004</v>
      </c>
      <c r="R5" s="31">
        <f t="shared" si="3"/>
        <v>0.16154933333333354</v>
      </c>
      <c r="S5" s="31">
        <f>[1]PN!$F5</f>
        <v>3750</v>
      </c>
      <c r="T5" s="31">
        <f t="shared" ref="T5:T54" si="20">S5-U5</f>
        <v>3507</v>
      </c>
      <c r="U5" s="31">
        <f t="shared" ref="U5:U58" si="21">+S5*6.48%</f>
        <v>243.00000000000003</v>
      </c>
      <c r="V5" s="31">
        <f t="shared" ref="V5:V54" si="22">+X5-W5</f>
        <v>1774.6355199999998</v>
      </c>
      <c r="W5" s="31">
        <f t="shared" ref="W5:W54" si="23">+X5*6.48%</f>
        <v>122.96448000000001</v>
      </c>
      <c r="X5" s="31">
        <f>1897.6</f>
        <v>1897.6</v>
      </c>
      <c r="Y5" s="31">
        <f t="shared" si="4"/>
        <v>-0.49397333333333338</v>
      </c>
      <c r="Z5" s="31">
        <f>[1]PN!$G5</f>
        <v>3750</v>
      </c>
      <c r="AA5" s="31">
        <f t="shared" ref="AA5:AA54" si="24">Z5-AB5</f>
        <v>3507</v>
      </c>
      <c r="AB5" s="31">
        <f t="shared" ref="AB5:AB58" si="25">+Z5*6.48%</f>
        <v>243.00000000000003</v>
      </c>
      <c r="AC5" s="31">
        <f t="shared" ref="AC5:AC54" si="26">+AE5-AD5</f>
        <v>3735.0391680000002</v>
      </c>
      <c r="AD5" s="31">
        <f t="shared" ref="AD5:AD54" si="27">+AE5*6.48%</f>
        <v>258.80083200000007</v>
      </c>
      <c r="AE5" s="31">
        <f>3484.84+509</f>
        <v>3993.84</v>
      </c>
      <c r="AF5" s="31">
        <f t="shared" si="5"/>
        <v>6.5023999999999971E-2</v>
      </c>
      <c r="AG5" s="31">
        <f>[1]PN!$H5</f>
        <v>3750</v>
      </c>
      <c r="AH5" s="31">
        <f t="shared" ref="AH5:AH54" si="28">AG5-AI5</f>
        <v>3507</v>
      </c>
      <c r="AI5" s="31">
        <f t="shared" ref="AI5:AI58" si="29">+AG5*6.48%</f>
        <v>243.00000000000003</v>
      </c>
      <c r="AJ5" s="31">
        <f t="shared" ref="AJ5:AJ54" si="30">+AL5-AK5</f>
        <v>7479.7763599999998</v>
      </c>
      <c r="AK5" s="31">
        <f t="shared" ref="AK5:AK54" si="31">+AL5*6.48%</f>
        <v>518.27364000000011</v>
      </c>
      <c r="AL5" s="31">
        <f>6493.87+1504.18</f>
        <v>7998.05</v>
      </c>
      <c r="AM5" s="31">
        <f t="shared" si="6"/>
        <v>1.1328133333333334</v>
      </c>
      <c r="AN5" s="31">
        <f>[1]PN!$I5</f>
        <v>3750</v>
      </c>
      <c r="AO5" s="31">
        <f t="shared" ref="AO5:AO54" si="32">AN5-AP5</f>
        <v>3507</v>
      </c>
      <c r="AP5" s="31">
        <f t="shared" ref="AP5:AP58" si="33">+AN5*6.48%</f>
        <v>243.00000000000003</v>
      </c>
      <c r="AQ5" s="31">
        <f t="shared" ref="AQ5:AQ54" si="34">+AS5-AR5</f>
        <v>2458.1077359999999</v>
      </c>
      <c r="AR5" s="31">
        <f t="shared" ref="AR5:AR54" si="35">+AS5*6.48%</f>
        <v>170.32226400000002</v>
      </c>
      <c r="AS5" s="33">
        <v>2628.43</v>
      </c>
      <c r="AT5" s="37">
        <f t="shared" si="7"/>
        <v>-0.29908533333333343</v>
      </c>
      <c r="AU5" s="36">
        <f>[1]PN!$J5</f>
        <v>3750</v>
      </c>
      <c r="AV5" s="31">
        <f t="shared" ref="AV5:AV54" si="36">AU5-AW5</f>
        <v>3507</v>
      </c>
      <c r="AW5" s="18">
        <f t="shared" ref="AW5:AW58" si="37">+AU5*6.48%</f>
        <v>243.00000000000003</v>
      </c>
      <c r="AX5" s="31">
        <f t="shared" ref="AX5:AX54" si="38">+AZ5-AY5</f>
        <v>2458.1077359999999</v>
      </c>
      <c r="AY5" s="31">
        <f t="shared" ref="AY5:AY54" si="39">+AZ5*6.48%</f>
        <v>170.32226400000002</v>
      </c>
      <c r="AZ5" s="33">
        <v>2628.43</v>
      </c>
      <c r="BA5" s="37">
        <f t="shared" si="8"/>
        <v>-0.29908533333333343</v>
      </c>
      <c r="BB5" s="36">
        <f>[1]PN!$K5</f>
        <v>3750</v>
      </c>
      <c r="BC5" s="31">
        <f t="shared" ref="BC5:BC54" si="40">BB5-BD5</f>
        <v>3507</v>
      </c>
      <c r="BD5" s="18">
        <f t="shared" ref="BD5:BD58" si="41">+BB5*6.48%</f>
        <v>243.00000000000003</v>
      </c>
      <c r="BE5" s="31">
        <f t="shared" ref="BE5:BE54" si="42">+BG5-BF5</f>
        <v>0</v>
      </c>
      <c r="BF5" s="31">
        <f t="shared" ref="BF5:BF54" si="43">+BG5*6.48%</f>
        <v>0</v>
      </c>
      <c r="BG5" s="27"/>
      <c r="BH5" s="37">
        <f t="shared" si="9"/>
        <v>-1</v>
      </c>
      <c r="BI5" s="36">
        <f>[1]PN!$L5</f>
        <v>3750</v>
      </c>
      <c r="BJ5" s="31">
        <f t="shared" ref="BJ5:BJ54" si="44">BI5-BK5</f>
        <v>3507</v>
      </c>
      <c r="BK5" s="18">
        <f t="shared" ref="BK5:BK58" si="45">+BI5*6.48%</f>
        <v>243.00000000000003</v>
      </c>
      <c r="BL5" s="31">
        <f t="shared" ref="BL5:BL54" si="46">+BN5-BM5</f>
        <v>0</v>
      </c>
      <c r="BM5" s="31">
        <f t="shared" ref="BM5:BM54" si="47">+BN5*6.48%</f>
        <v>0</v>
      </c>
      <c r="BN5" s="33"/>
      <c r="BO5" s="37">
        <f t="shared" si="10"/>
        <v>-1</v>
      </c>
      <c r="BP5" s="36">
        <f>[1]PN!$M5</f>
        <v>3750</v>
      </c>
      <c r="BQ5" s="31">
        <f t="shared" ref="BQ5:BQ54" si="48">BP5-BR5</f>
        <v>3507</v>
      </c>
      <c r="BR5" s="18">
        <f t="shared" ref="BR5:BR58" si="49">+BP5*6.48%</f>
        <v>243.00000000000003</v>
      </c>
      <c r="BS5" s="31">
        <f t="shared" ref="BS5:BS54" si="50">+BU5-BT5</f>
        <v>0</v>
      </c>
      <c r="BT5" s="31">
        <f t="shared" ref="BT5:BT54" si="51">+BU5*6.48%</f>
        <v>0</v>
      </c>
      <c r="BU5" s="33"/>
      <c r="BV5" s="37">
        <f t="shared" si="11"/>
        <v>-1</v>
      </c>
      <c r="BW5" s="36">
        <f>[1]PN!$N5</f>
        <v>3750</v>
      </c>
      <c r="BX5" s="31">
        <f t="shared" ref="BX5:BX54" si="52">BW5-BY5</f>
        <v>3507</v>
      </c>
      <c r="BY5" s="18">
        <f t="shared" ref="BY5:BY58" si="53">+BW5*6.48%</f>
        <v>243.00000000000003</v>
      </c>
      <c r="BZ5" s="31">
        <f t="shared" ref="BZ5:BZ54" si="54">+CB5-CA5</f>
        <v>0</v>
      </c>
      <c r="CA5" s="31">
        <f t="shared" ref="CA5:CA54" si="55">+CB5*6.48%</f>
        <v>0</v>
      </c>
      <c r="CB5" s="33"/>
      <c r="CC5" s="37">
        <f t="shared" si="12"/>
        <v>-1</v>
      </c>
      <c r="CD5" s="36">
        <f>[1]PN!$O5</f>
        <v>3750</v>
      </c>
      <c r="CE5" s="31">
        <f t="shared" ref="CE5:CE54" si="56">CD5-CF5</f>
        <v>3507</v>
      </c>
      <c r="CF5" s="18">
        <f t="shared" ref="CF5:CF58" si="57">+CD5*6.48%</f>
        <v>243.00000000000003</v>
      </c>
      <c r="CG5" s="31">
        <f t="shared" ref="CG5:CG54" si="58">+CI5-CH5</f>
        <v>0</v>
      </c>
      <c r="CH5" s="31">
        <f t="shared" ref="CH5:CH54" si="59">+CI5*6.48%</f>
        <v>0</v>
      </c>
      <c r="CI5" s="33"/>
      <c r="CJ5" s="37">
        <f t="shared" si="13"/>
        <v>-1</v>
      </c>
      <c r="CK5" s="36">
        <f>[1]PN!$P5</f>
        <v>3750</v>
      </c>
      <c r="CL5" s="31">
        <f t="shared" ref="CL5:CL54" si="60">CK5-CM5</f>
        <v>3507</v>
      </c>
      <c r="CM5" s="18">
        <f t="shared" ref="CM5:CM58" si="61">+CK5*6.48%</f>
        <v>243.00000000000003</v>
      </c>
      <c r="CN5" s="31">
        <f t="shared" ref="CN5:CN54" si="62">+CP5-CO5</f>
        <v>0</v>
      </c>
      <c r="CO5" s="31">
        <f t="shared" ref="CO5:CO54" si="63">+CP5*6.48%</f>
        <v>0</v>
      </c>
      <c r="CP5" s="33"/>
      <c r="CQ5" s="37">
        <f t="shared" si="14"/>
        <v>-1</v>
      </c>
    </row>
    <row r="6" spans="1:99" s="26" customFormat="1" ht="14.25" customHeight="1" thickBot="1" x14ac:dyDescent="0.25">
      <c r="A6" s="29" t="s">
        <v>30</v>
      </c>
      <c r="B6" s="30">
        <f t="shared" si="0"/>
        <v>95970.684719359982</v>
      </c>
      <c r="C6" s="31">
        <f t="shared" si="0"/>
        <v>89751.784349545487</v>
      </c>
      <c r="D6" s="32">
        <f t="shared" si="0"/>
        <v>6218.9003698145307</v>
      </c>
      <c r="E6" s="30">
        <f t="shared" si="15"/>
        <v>31014.4144256</v>
      </c>
      <c r="F6" s="33">
        <f t="shared" si="15"/>
        <v>29004.680370821119</v>
      </c>
      <c r="G6" s="34">
        <f t="shared" si="15"/>
        <v>2009.7340547788804</v>
      </c>
      <c r="H6" s="31">
        <f t="shared" si="1"/>
        <v>40967.352496</v>
      </c>
      <c r="I6" s="33">
        <f t="shared" si="1"/>
        <v>2838.627504</v>
      </c>
      <c r="J6" s="33">
        <f t="shared" si="1"/>
        <v>43805.98</v>
      </c>
      <c r="K6" s="37">
        <f t="shared" si="2"/>
        <v>0.41243937089592619</v>
      </c>
      <c r="L6" s="36">
        <f>[1]PN!$E6</f>
        <v>7753.6036064</v>
      </c>
      <c r="M6" s="31">
        <f t="shared" si="16"/>
        <v>7251.1700927052798</v>
      </c>
      <c r="N6" s="31">
        <f t="shared" si="17"/>
        <v>502.43351369472009</v>
      </c>
      <c r="O6" s="31">
        <f t="shared" si="18"/>
        <v>6999.1116160000001</v>
      </c>
      <c r="P6" s="31">
        <f t="shared" si="19"/>
        <v>484.96838400000007</v>
      </c>
      <c r="Q6" s="31">
        <v>7484.08</v>
      </c>
      <c r="R6" s="31">
        <f t="shared" si="3"/>
        <v>-3.4761076279103187E-2</v>
      </c>
      <c r="S6" s="31">
        <f>[1]PN!$F6</f>
        <v>7753.6036064</v>
      </c>
      <c r="T6" s="31">
        <f t="shared" si="20"/>
        <v>7251.1700927052798</v>
      </c>
      <c r="U6" s="31">
        <f t="shared" si="21"/>
        <v>502.43351369472009</v>
      </c>
      <c r="V6" s="31">
        <f t="shared" si="22"/>
        <v>6107.0149840000004</v>
      </c>
      <c r="W6" s="31">
        <f t="shared" si="23"/>
        <v>423.15501600000005</v>
      </c>
      <c r="X6" s="31">
        <v>6530.17</v>
      </c>
      <c r="Y6" s="31">
        <f t="shared" si="4"/>
        <v>-0.15778903184967441</v>
      </c>
      <c r="Z6" s="31">
        <f>[1]PN!$G6</f>
        <v>7753.6036064</v>
      </c>
      <c r="AA6" s="31">
        <f t="shared" si="24"/>
        <v>7251.1700927052798</v>
      </c>
      <c r="AB6" s="31">
        <f t="shared" si="25"/>
        <v>502.43351369472009</v>
      </c>
      <c r="AC6" s="31">
        <f t="shared" si="26"/>
        <v>7749.7779520000004</v>
      </c>
      <c r="AD6" s="31">
        <f t="shared" si="27"/>
        <v>536.98204800000008</v>
      </c>
      <c r="AE6" s="31">
        <v>8286.76</v>
      </c>
      <c r="AF6" s="31">
        <f t="shared" si="5"/>
        <v>6.8762400125784273E-2</v>
      </c>
      <c r="AG6" s="31">
        <f>[1]PN!$H6</f>
        <v>7753.6036064</v>
      </c>
      <c r="AH6" s="31">
        <f t="shared" si="28"/>
        <v>7251.1700927052798</v>
      </c>
      <c r="AI6" s="31">
        <f t="shared" si="29"/>
        <v>502.43351369472009</v>
      </c>
      <c r="AJ6" s="31">
        <f t="shared" si="30"/>
        <v>6954.9795279999998</v>
      </c>
      <c r="AK6" s="31">
        <f t="shared" si="31"/>
        <v>481.91047200000008</v>
      </c>
      <c r="AL6" s="31">
        <v>7436.89</v>
      </c>
      <c r="AM6" s="31">
        <f t="shared" si="6"/>
        <v>-4.0847278565875778E-2</v>
      </c>
      <c r="AN6" s="31">
        <f>[1]PN!$I6</f>
        <v>7753.6036064</v>
      </c>
      <c r="AO6" s="31">
        <f t="shared" si="32"/>
        <v>7251.1700927052798</v>
      </c>
      <c r="AP6" s="31">
        <f t="shared" si="33"/>
        <v>502.43351369472009</v>
      </c>
      <c r="AQ6" s="31">
        <f t="shared" si="34"/>
        <v>6778.3950639999994</v>
      </c>
      <c r="AR6" s="31">
        <f t="shared" si="35"/>
        <v>469.67493600000006</v>
      </c>
      <c r="AS6" s="33">
        <v>7248.07</v>
      </c>
      <c r="AT6" s="37">
        <f t="shared" si="7"/>
        <v>-6.519982605026664E-2</v>
      </c>
      <c r="AU6" s="36">
        <f>[1]PN!$J6</f>
        <v>7753.6036064</v>
      </c>
      <c r="AV6" s="31">
        <f t="shared" si="36"/>
        <v>7251.1700927052798</v>
      </c>
      <c r="AW6" s="18">
        <f t="shared" si="37"/>
        <v>502.43351369472009</v>
      </c>
      <c r="AX6" s="31">
        <f t="shared" si="38"/>
        <v>6378.0733520000003</v>
      </c>
      <c r="AY6" s="31">
        <f t="shared" si="39"/>
        <v>441.9366480000001</v>
      </c>
      <c r="AZ6" s="33">
        <v>6820.01</v>
      </c>
      <c r="BA6" s="37">
        <f t="shared" si="8"/>
        <v>-0.12040770379715959</v>
      </c>
      <c r="BB6" s="36">
        <f>[1]PN!$K6</f>
        <v>7753.6036064</v>
      </c>
      <c r="BC6" s="31">
        <f t="shared" si="40"/>
        <v>7251.1700927052798</v>
      </c>
      <c r="BD6" s="18">
        <f t="shared" si="41"/>
        <v>502.43351369472009</v>
      </c>
      <c r="BE6" s="31">
        <f t="shared" si="42"/>
        <v>0</v>
      </c>
      <c r="BF6" s="31">
        <f t="shared" si="43"/>
        <v>0</v>
      </c>
      <c r="BG6" s="27"/>
      <c r="BH6" s="37">
        <f t="shared" si="9"/>
        <v>-1</v>
      </c>
      <c r="BI6" s="36">
        <f>[1]PN!$L6</f>
        <v>8339.0918949120005</v>
      </c>
      <c r="BJ6" s="31">
        <f t="shared" si="44"/>
        <v>7798.7187401217025</v>
      </c>
      <c r="BK6" s="18">
        <f t="shared" si="45"/>
        <v>540.37315479029769</v>
      </c>
      <c r="BL6" s="31">
        <f t="shared" si="46"/>
        <v>0</v>
      </c>
      <c r="BM6" s="31">
        <f t="shared" si="47"/>
        <v>0</v>
      </c>
      <c r="BN6" s="33"/>
      <c r="BO6" s="37">
        <f t="shared" si="10"/>
        <v>-1</v>
      </c>
      <c r="BP6" s="36">
        <f>[1]PN!$M6</f>
        <v>8339.0918949120005</v>
      </c>
      <c r="BQ6" s="31">
        <f t="shared" si="48"/>
        <v>7798.7187401217025</v>
      </c>
      <c r="BR6" s="18">
        <f t="shared" si="49"/>
        <v>540.37315479029769</v>
      </c>
      <c r="BS6" s="31">
        <f t="shared" si="50"/>
        <v>0</v>
      </c>
      <c r="BT6" s="31">
        <f t="shared" si="51"/>
        <v>0</v>
      </c>
      <c r="BU6" s="33"/>
      <c r="BV6" s="37">
        <f t="shared" si="11"/>
        <v>-1</v>
      </c>
      <c r="BW6" s="36">
        <f>[1]PN!$N6</f>
        <v>8339.0918949120005</v>
      </c>
      <c r="BX6" s="31">
        <f t="shared" si="52"/>
        <v>7798.7187401217025</v>
      </c>
      <c r="BY6" s="18">
        <f t="shared" si="53"/>
        <v>540.37315479029769</v>
      </c>
      <c r="BZ6" s="31">
        <f t="shared" si="54"/>
        <v>0</v>
      </c>
      <c r="CA6" s="31">
        <f t="shared" si="55"/>
        <v>0</v>
      </c>
      <c r="CB6" s="33"/>
      <c r="CC6" s="37">
        <f t="shared" si="12"/>
        <v>-1</v>
      </c>
      <c r="CD6" s="36">
        <f>[1]PN!$O6</f>
        <v>8339.0918949120005</v>
      </c>
      <c r="CE6" s="31">
        <f t="shared" si="56"/>
        <v>7798.7187401217025</v>
      </c>
      <c r="CF6" s="18">
        <f t="shared" si="57"/>
        <v>540.37315479029769</v>
      </c>
      <c r="CG6" s="31">
        <f t="shared" si="58"/>
        <v>0</v>
      </c>
      <c r="CH6" s="31">
        <f t="shared" si="59"/>
        <v>0</v>
      </c>
      <c r="CI6" s="33"/>
      <c r="CJ6" s="37">
        <f t="shared" si="13"/>
        <v>-1</v>
      </c>
      <c r="CK6" s="36">
        <f>[1]PN!$P6</f>
        <v>8339.0918949120005</v>
      </c>
      <c r="CL6" s="31">
        <f t="shared" si="60"/>
        <v>7798.7187401217025</v>
      </c>
      <c r="CM6" s="18">
        <f t="shared" si="61"/>
        <v>540.37315479029769</v>
      </c>
      <c r="CN6" s="31">
        <f t="shared" si="62"/>
        <v>0</v>
      </c>
      <c r="CO6" s="31">
        <f t="shared" si="63"/>
        <v>0</v>
      </c>
      <c r="CP6" s="33"/>
      <c r="CQ6" s="37">
        <f t="shared" si="14"/>
        <v>-1</v>
      </c>
    </row>
    <row r="7" spans="1:99" s="26" customFormat="1" ht="14.25" customHeight="1" thickBot="1" x14ac:dyDescent="0.25">
      <c r="A7" s="29" t="s">
        <v>31</v>
      </c>
      <c r="B7" s="30">
        <f t="shared" si="0"/>
        <v>74460.014006400001</v>
      </c>
      <c r="C7" s="31">
        <f t="shared" si="0"/>
        <v>69635.005098785288</v>
      </c>
      <c r="D7" s="32">
        <f t="shared" si="0"/>
        <v>4825.0089076147206</v>
      </c>
      <c r="E7" s="30">
        <f t="shared" si="15"/>
        <v>24062.907743999996</v>
      </c>
      <c r="F7" s="33">
        <f t="shared" si="15"/>
        <v>22503.631322188798</v>
      </c>
      <c r="G7" s="34">
        <f t="shared" si="15"/>
        <v>1559.2764218112</v>
      </c>
      <c r="H7" s="31">
        <f t="shared" si="1"/>
        <v>27410.253752000004</v>
      </c>
      <c r="I7" s="33">
        <f t="shared" si="1"/>
        <v>1899.2562480000004</v>
      </c>
      <c r="J7" s="33">
        <f t="shared" si="1"/>
        <v>29309.51</v>
      </c>
      <c r="K7" s="37">
        <f t="shared" si="2"/>
        <v>0.21803691855603868</v>
      </c>
      <c r="L7" s="36">
        <f>[1]PN!$E7</f>
        <v>6015.7269359999991</v>
      </c>
      <c r="M7" s="31">
        <f t="shared" si="16"/>
        <v>5625.9078305471994</v>
      </c>
      <c r="N7" s="31">
        <f t="shared" si="17"/>
        <v>389.81910545279999</v>
      </c>
      <c r="O7" s="31">
        <f t="shared" si="18"/>
        <v>4618.5787200000004</v>
      </c>
      <c r="P7" s="31">
        <f t="shared" si="19"/>
        <v>320.02128000000005</v>
      </c>
      <c r="Q7" s="31">
        <f>4938.6</f>
        <v>4938.6000000000004</v>
      </c>
      <c r="R7" s="31">
        <f t="shared" si="3"/>
        <v>-0.17905183321306239</v>
      </c>
      <c r="S7" s="31">
        <f>[1]PN!$F7</f>
        <v>6015.7269359999991</v>
      </c>
      <c r="T7" s="31">
        <f t="shared" si="20"/>
        <v>5625.9078305471994</v>
      </c>
      <c r="U7" s="31">
        <f t="shared" si="21"/>
        <v>389.81910545279999</v>
      </c>
      <c r="V7" s="31">
        <f t="shared" si="22"/>
        <v>4199.6652319999994</v>
      </c>
      <c r="W7" s="31">
        <f t="shared" si="23"/>
        <v>290.99476800000002</v>
      </c>
      <c r="X7" s="31">
        <v>4490.66</v>
      </c>
      <c r="Y7" s="31">
        <f t="shared" si="4"/>
        <v>-0.25351332469456345</v>
      </c>
      <c r="Z7" s="31">
        <f>[1]PN!$G7</f>
        <v>6015.7269359999991</v>
      </c>
      <c r="AA7" s="31">
        <f t="shared" si="24"/>
        <v>5625.9078305471994</v>
      </c>
      <c r="AB7" s="31">
        <f t="shared" si="25"/>
        <v>389.81910545279999</v>
      </c>
      <c r="AC7" s="31">
        <f t="shared" si="26"/>
        <v>5011.5029999999997</v>
      </c>
      <c r="AD7" s="31">
        <f t="shared" si="27"/>
        <v>347.24700000000007</v>
      </c>
      <c r="AE7" s="31">
        <v>5358.75</v>
      </c>
      <c r="AF7" s="31">
        <f t="shared" si="5"/>
        <v>-0.10920989981583817</v>
      </c>
      <c r="AG7" s="31">
        <f>[1]PN!$H7</f>
        <v>6015.7269359999991</v>
      </c>
      <c r="AH7" s="31">
        <f t="shared" si="28"/>
        <v>5625.9078305471994</v>
      </c>
      <c r="AI7" s="31">
        <f t="shared" si="29"/>
        <v>389.81910545279999</v>
      </c>
      <c r="AJ7" s="31">
        <f t="shared" si="30"/>
        <v>4622.5159120000008</v>
      </c>
      <c r="AK7" s="31">
        <f t="shared" si="31"/>
        <v>320.2940880000001</v>
      </c>
      <c r="AL7" s="31">
        <v>4942.8100000000004</v>
      </c>
      <c r="AM7" s="31">
        <f t="shared" si="6"/>
        <v>-0.1783520009160201</v>
      </c>
      <c r="AN7" s="31">
        <f>[1]PN!$I7</f>
        <v>6015.7269359999991</v>
      </c>
      <c r="AO7" s="31">
        <f t="shared" si="32"/>
        <v>5625.9078305471994</v>
      </c>
      <c r="AP7" s="31">
        <f t="shared" si="33"/>
        <v>389.81910545279999</v>
      </c>
      <c r="AQ7" s="31">
        <f t="shared" si="34"/>
        <v>4525.3299280000001</v>
      </c>
      <c r="AR7" s="31">
        <f t="shared" si="35"/>
        <v>313.56007200000005</v>
      </c>
      <c r="AS7" s="33">
        <v>4838.8900000000003</v>
      </c>
      <c r="AT7" s="37">
        <f t="shared" si="7"/>
        <v>-0.19562672117935354</v>
      </c>
      <c r="AU7" s="36">
        <f>[1]PN!$J7</f>
        <v>6015.7269359999991</v>
      </c>
      <c r="AV7" s="31">
        <f t="shared" si="36"/>
        <v>5625.9078305471994</v>
      </c>
      <c r="AW7" s="18">
        <f t="shared" si="37"/>
        <v>389.81910545279999</v>
      </c>
      <c r="AX7" s="31">
        <f t="shared" si="38"/>
        <v>4432.6609600000002</v>
      </c>
      <c r="AY7" s="31">
        <f t="shared" si="39"/>
        <v>307.13904000000008</v>
      </c>
      <c r="AZ7" s="33">
        <v>4739.8</v>
      </c>
      <c r="BA7" s="37">
        <f t="shared" si="8"/>
        <v>-0.21209854595700672</v>
      </c>
      <c r="BB7" s="36">
        <f>[1]PN!$K7</f>
        <v>6015.7269359999991</v>
      </c>
      <c r="BC7" s="31">
        <f t="shared" si="40"/>
        <v>5625.9078305471994</v>
      </c>
      <c r="BD7" s="18">
        <f t="shared" si="41"/>
        <v>389.81910545279999</v>
      </c>
      <c r="BE7" s="31">
        <f t="shared" si="42"/>
        <v>0</v>
      </c>
      <c r="BF7" s="31">
        <f t="shared" si="43"/>
        <v>0</v>
      </c>
      <c r="BG7" s="27"/>
      <c r="BH7" s="37">
        <f t="shared" si="9"/>
        <v>-1</v>
      </c>
      <c r="BI7" s="36">
        <f>[1]PN!$L7</f>
        <v>6469.9850908799999</v>
      </c>
      <c r="BJ7" s="31">
        <f t="shared" si="44"/>
        <v>6050.7300569909758</v>
      </c>
      <c r="BK7" s="18">
        <f t="shared" si="45"/>
        <v>419.25503388902405</v>
      </c>
      <c r="BL7" s="31">
        <f t="shared" si="46"/>
        <v>0</v>
      </c>
      <c r="BM7" s="31">
        <f t="shared" si="47"/>
        <v>0</v>
      </c>
      <c r="BN7" s="33"/>
      <c r="BO7" s="37">
        <f t="shared" si="10"/>
        <v>-1</v>
      </c>
      <c r="BP7" s="36">
        <f>[1]PN!$M7</f>
        <v>6469.9850908799999</v>
      </c>
      <c r="BQ7" s="31">
        <f t="shared" si="48"/>
        <v>6050.7300569909758</v>
      </c>
      <c r="BR7" s="18">
        <f t="shared" si="49"/>
        <v>419.25503388902405</v>
      </c>
      <c r="BS7" s="31">
        <f t="shared" si="50"/>
        <v>0</v>
      </c>
      <c r="BT7" s="31">
        <f t="shared" si="51"/>
        <v>0</v>
      </c>
      <c r="BU7" s="33"/>
      <c r="BV7" s="37">
        <f t="shared" si="11"/>
        <v>-1</v>
      </c>
      <c r="BW7" s="36">
        <f>[1]PN!$N7</f>
        <v>6469.9850908799999</v>
      </c>
      <c r="BX7" s="31">
        <f t="shared" si="52"/>
        <v>6050.7300569909758</v>
      </c>
      <c r="BY7" s="18">
        <f t="shared" si="53"/>
        <v>419.25503388902405</v>
      </c>
      <c r="BZ7" s="31">
        <f t="shared" si="54"/>
        <v>0</v>
      </c>
      <c r="CA7" s="31">
        <f t="shared" si="55"/>
        <v>0</v>
      </c>
      <c r="CB7" s="33"/>
      <c r="CC7" s="37">
        <f t="shared" si="12"/>
        <v>-1</v>
      </c>
      <c r="CD7" s="36">
        <f>[1]PN!$O7</f>
        <v>6469.9850908799999</v>
      </c>
      <c r="CE7" s="31">
        <f t="shared" si="56"/>
        <v>6050.7300569909758</v>
      </c>
      <c r="CF7" s="18">
        <f t="shared" si="57"/>
        <v>419.25503388902405</v>
      </c>
      <c r="CG7" s="31">
        <f t="shared" si="58"/>
        <v>0</v>
      </c>
      <c r="CH7" s="31">
        <f t="shared" si="59"/>
        <v>0</v>
      </c>
      <c r="CI7" s="33"/>
      <c r="CJ7" s="37">
        <f t="shared" si="13"/>
        <v>-1</v>
      </c>
      <c r="CK7" s="36">
        <f>[1]PN!$P7</f>
        <v>6469.9850908799999</v>
      </c>
      <c r="CL7" s="31">
        <f t="shared" si="60"/>
        <v>6050.7300569909758</v>
      </c>
      <c r="CM7" s="18">
        <f t="shared" si="61"/>
        <v>419.25503388902405</v>
      </c>
      <c r="CN7" s="31">
        <f t="shared" si="62"/>
        <v>0</v>
      </c>
      <c r="CO7" s="31">
        <f t="shared" si="63"/>
        <v>0</v>
      </c>
      <c r="CP7" s="33"/>
      <c r="CQ7" s="37">
        <f t="shared" si="14"/>
        <v>-1</v>
      </c>
    </row>
    <row r="8" spans="1:99" s="26" customFormat="1" ht="14.25" customHeight="1" thickBot="1" x14ac:dyDescent="0.25">
      <c r="A8" s="38" t="s">
        <v>32</v>
      </c>
      <c r="B8" s="30">
        <f t="shared" si="0"/>
        <v>61962.011050528003</v>
      </c>
      <c r="C8" s="31">
        <f t="shared" si="0"/>
        <v>57946.872734453791</v>
      </c>
      <c r="D8" s="32">
        <f t="shared" si="0"/>
        <v>4015.1383160742153</v>
      </c>
      <c r="E8" s="30">
        <f t="shared" si="15"/>
        <v>0</v>
      </c>
      <c r="F8" s="33">
        <f t="shared" si="15"/>
        <v>0</v>
      </c>
      <c r="G8" s="34">
        <f t="shared" si="15"/>
        <v>0</v>
      </c>
      <c r="H8" s="31">
        <f t="shared" si="1"/>
        <v>935.2</v>
      </c>
      <c r="I8" s="33">
        <f t="shared" si="1"/>
        <v>64.800000000000011</v>
      </c>
      <c r="J8" s="33">
        <f t="shared" si="1"/>
        <v>1000</v>
      </c>
      <c r="K8" s="37" t="str">
        <f t="shared" si="2"/>
        <v/>
      </c>
      <c r="L8" s="36">
        <f>[1]PN!$E8</f>
        <v>0</v>
      </c>
      <c r="M8" s="31">
        <f t="shared" si="16"/>
        <v>0</v>
      </c>
      <c r="N8" s="31">
        <f t="shared" si="17"/>
        <v>0</v>
      </c>
      <c r="O8" s="31">
        <f t="shared" si="18"/>
        <v>0</v>
      </c>
      <c r="P8" s="31">
        <f t="shared" si="19"/>
        <v>0</v>
      </c>
      <c r="Q8" s="31"/>
      <c r="R8" s="31" t="str">
        <f t="shared" si="3"/>
        <v/>
      </c>
      <c r="S8" s="31">
        <f>[1]PN!$F8</f>
        <v>0</v>
      </c>
      <c r="T8" s="31">
        <f t="shared" si="20"/>
        <v>0</v>
      </c>
      <c r="U8" s="31">
        <f t="shared" si="21"/>
        <v>0</v>
      </c>
      <c r="V8" s="31">
        <f t="shared" si="22"/>
        <v>0</v>
      </c>
      <c r="W8" s="31">
        <f t="shared" si="23"/>
        <v>0</v>
      </c>
      <c r="X8" s="31"/>
      <c r="Y8" s="31" t="str">
        <f t="shared" si="4"/>
        <v/>
      </c>
      <c r="Z8" s="31">
        <f>[1]PN!$G8</f>
        <v>0</v>
      </c>
      <c r="AA8" s="31">
        <f t="shared" si="24"/>
        <v>0</v>
      </c>
      <c r="AB8" s="31">
        <f t="shared" si="25"/>
        <v>0</v>
      </c>
      <c r="AC8" s="31">
        <f t="shared" si="26"/>
        <v>0</v>
      </c>
      <c r="AD8" s="31">
        <f t="shared" si="27"/>
        <v>0</v>
      </c>
      <c r="AE8" s="31"/>
      <c r="AF8" s="31" t="str">
        <f t="shared" si="5"/>
        <v/>
      </c>
      <c r="AG8" s="31">
        <f>[1]PN!$H8</f>
        <v>0</v>
      </c>
      <c r="AH8" s="31">
        <f t="shared" si="28"/>
        <v>0</v>
      </c>
      <c r="AI8" s="31">
        <f t="shared" si="29"/>
        <v>0</v>
      </c>
      <c r="AJ8" s="31">
        <f t="shared" si="30"/>
        <v>935.2</v>
      </c>
      <c r="AK8" s="31">
        <f t="shared" si="31"/>
        <v>64.800000000000011</v>
      </c>
      <c r="AL8" s="31">
        <v>1000</v>
      </c>
      <c r="AM8" s="31" t="str">
        <f t="shared" si="6"/>
        <v/>
      </c>
      <c r="AN8" s="31">
        <f>[1]PN!$I8</f>
        <v>0</v>
      </c>
      <c r="AO8" s="31">
        <f t="shared" si="32"/>
        <v>0</v>
      </c>
      <c r="AP8" s="31">
        <f t="shared" si="33"/>
        <v>0</v>
      </c>
      <c r="AQ8" s="31">
        <f t="shared" si="34"/>
        <v>0</v>
      </c>
      <c r="AR8" s="31">
        <f t="shared" si="35"/>
        <v>0</v>
      </c>
      <c r="AS8" s="33"/>
      <c r="AT8" s="37" t="str">
        <f t="shared" si="7"/>
        <v/>
      </c>
      <c r="AU8" s="36">
        <f>[1]PN!$J8</f>
        <v>0</v>
      </c>
      <c r="AV8" s="31">
        <f t="shared" si="36"/>
        <v>0</v>
      </c>
      <c r="AW8" s="18">
        <f t="shared" si="37"/>
        <v>0</v>
      </c>
      <c r="AX8" s="31">
        <f t="shared" si="38"/>
        <v>0</v>
      </c>
      <c r="AY8" s="31">
        <f t="shared" si="39"/>
        <v>0</v>
      </c>
      <c r="AZ8" s="33"/>
      <c r="BA8" s="37" t="str">
        <f t="shared" si="8"/>
        <v/>
      </c>
      <c r="BB8" s="36">
        <f>[1]PN!$K8</f>
        <v>61962.011050528003</v>
      </c>
      <c r="BC8" s="31">
        <f t="shared" si="40"/>
        <v>57946.872734453791</v>
      </c>
      <c r="BD8" s="18">
        <f t="shared" si="41"/>
        <v>4015.1383160742153</v>
      </c>
      <c r="BE8" s="31">
        <f t="shared" si="42"/>
        <v>0</v>
      </c>
      <c r="BF8" s="31">
        <f t="shared" si="43"/>
        <v>0</v>
      </c>
      <c r="BG8" s="27"/>
      <c r="BH8" s="37">
        <f t="shared" si="9"/>
        <v>-1</v>
      </c>
      <c r="BI8" s="36">
        <f>[1]PN!$L8</f>
        <v>0</v>
      </c>
      <c r="BJ8" s="31">
        <f t="shared" si="44"/>
        <v>0</v>
      </c>
      <c r="BK8" s="18">
        <f t="shared" si="45"/>
        <v>0</v>
      </c>
      <c r="BL8" s="31">
        <f t="shared" si="46"/>
        <v>0</v>
      </c>
      <c r="BM8" s="31">
        <f t="shared" si="47"/>
        <v>0</v>
      </c>
      <c r="BN8" s="33"/>
      <c r="BO8" s="37" t="str">
        <f t="shared" si="10"/>
        <v/>
      </c>
      <c r="BP8" s="36">
        <f>[1]PN!$M8</f>
        <v>0</v>
      </c>
      <c r="BQ8" s="31">
        <f t="shared" si="48"/>
        <v>0</v>
      </c>
      <c r="BR8" s="18">
        <f t="shared" si="49"/>
        <v>0</v>
      </c>
      <c r="BS8" s="31">
        <f t="shared" si="50"/>
        <v>0</v>
      </c>
      <c r="BT8" s="31">
        <f t="shared" si="51"/>
        <v>0</v>
      </c>
      <c r="BU8" s="33"/>
      <c r="BV8" s="37" t="str">
        <f t="shared" si="11"/>
        <v/>
      </c>
      <c r="BW8" s="36">
        <f>[1]PN!$N8</f>
        <v>0</v>
      </c>
      <c r="BX8" s="31">
        <f t="shared" si="52"/>
        <v>0</v>
      </c>
      <c r="BY8" s="18">
        <f t="shared" si="53"/>
        <v>0</v>
      </c>
      <c r="BZ8" s="31">
        <f t="shared" si="54"/>
        <v>0</v>
      </c>
      <c r="CA8" s="31">
        <f t="shared" si="55"/>
        <v>0</v>
      </c>
      <c r="CB8" s="33"/>
      <c r="CC8" s="37" t="str">
        <f t="shared" si="12"/>
        <v/>
      </c>
      <c r="CD8" s="36">
        <f>[1]PN!$O8</f>
        <v>0</v>
      </c>
      <c r="CE8" s="31">
        <f t="shared" si="56"/>
        <v>0</v>
      </c>
      <c r="CF8" s="18">
        <f t="shared" si="57"/>
        <v>0</v>
      </c>
      <c r="CG8" s="31">
        <f t="shared" si="58"/>
        <v>0</v>
      </c>
      <c r="CH8" s="31">
        <f t="shared" si="59"/>
        <v>0</v>
      </c>
      <c r="CI8" s="33"/>
      <c r="CJ8" s="37" t="str">
        <f t="shared" si="13"/>
        <v/>
      </c>
      <c r="CK8" s="36">
        <f>[1]PN!$P8</f>
        <v>0</v>
      </c>
      <c r="CL8" s="31">
        <f t="shared" si="60"/>
        <v>0</v>
      </c>
      <c r="CM8" s="18">
        <f t="shared" si="61"/>
        <v>0</v>
      </c>
      <c r="CN8" s="31">
        <f t="shared" si="62"/>
        <v>0</v>
      </c>
      <c r="CO8" s="31">
        <f t="shared" si="63"/>
        <v>0</v>
      </c>
      <c r="CP8" s="33"/>
      <c r="CQ8" s="37" t="str">
        <f t="shared" si="14"/>
        <v/>
      </c>
    </row>
    <row r="9" spans="1:99" s="26" customFormat="1" ht="14.25" customHeight="1" thickBot="1" x14ac:dyDescent="0.25">
      <c r="A9" s="38" t="s">
        <v>33</v>
      </c>
      <c r="B9" s="30">
        <f t="shared" si="0"/>
        <v>55431.343760319985</v>
      </c>
      <c r="C9" s="31">
        <f t="shared" si="0"/>
        <v>51839.392684651262</v>
      </c>
      <c r="D9" s="32">
        <f t="shared" si="0"/>
        <v>3591.9510756687364</v>
      </c>
      <c r="E9" s="30">
        <f t="shared" si="15"/>
        <v>17913.4979872</v>
      </c>
      <c r="F9" s="33">
        <f t="shared" si="15"/>
        <v>16752.703317629439</v>
      </c>
      <c r="G9" s="34">
        <f t="shared" si="15"/>
        <v>1160.7946695705602</v>
      </c>
      <c r="H9" s="31">
        <f t="shared" si="1"/>
        <v>25691.103648</v>
      </c>
      <c r="I9" s="33">
        <f t="shared" si="1"/>
        <v>1780.1363520000004</v>
      </c>
      <c r="J9" s="33">
        <f t="shared" si="1"/>
        <v>27471.24</v>
      </c>
      <c r="K9" s="37">
        <f t="shared" si="2"/>
        <v>0.53354972990922467</v>
      </c>
      <c r="L9" s="36">
        <f>[1]PN!$E9</f>
        <v>4478.3744968000001</v>
      </c>
      <c r="M9" s="31">
        <f t="shared" si="16"/>
        <v>4188.1758294073597</v>
      </c>
      <c r="N9" s="31">
        <f t="shared" si="17"/>
        <v>290.19866739264006</v>
      </c>
      <c r="O9" s="31">
        <f t="shared" si="18"/>
        <v>12283.608848</v>
      </c>
      <c r="P9" s="31">
        <f t="shared" si="19"/>
        <v>851.13115200000016</v>
      </c>
      <c r="Q9" s="31">
        <v>13134.74</v>
      </c>
      <c r="R9" s="31">
        <f t="shared" si="3"/>
        <v>1.9329257768383066</v>
      </c>
      <c r="S9" s="31">
        <f>[1]PN!$F9</f>
        <v>4478.3744968000001</v>
      </c>
      <c r="T9" s="31">
        <f t="shared" si="20"/>
        <v>4188.1758294073597</v>
      </c>
      <c r="U9" s="31">
        <f t="shared" si="21"/>
        <v>290.19866739264006</v>
      </c>
      <c r="V9" s="31">
        <f t="shared" si="22"/>
        <v>412.90015199999999</v>
      </c>
      <c r="W9" s="31">
        <f t="shared" si="23"/>
        <v>28.609848000000003</v>
      </c>
      <c r="X9" s="31">
        <f>441.51</f>
        <v>441.51</v>
      </c>
      <c r="Y9" s="31">
        <f t="shared" si="4"/>
        <v>-0.90141288980734446</v>
      </c>
      <c r="Z9" s="31">
        <f>[1]PN!$G9</f>
        <v>4478.3744968000001</v>
      </c>
      <c r="AA9" s="31">
        <f t="shared" si="24"/>
        <v>4188.1758294073597</v>
      </c>
      <c r="AB9" s="31">
        <f t="shared" si="25"/>
        <v>290.19866739264006</v>
      </c>
      <c r="AC9" s="31">
        <f t="shared" si="26"/>
        <v>11357.975944</v>
      </c>
      <c r="AD9" s="31">
        <f t="shared" si="27"/>
        <v>786.99405600000011</v>
      </c>
      <c r="AE9" s="31">
        <f>12144.97</f>
        <v>12144.97</v>
      </c>
      <c r="AF9" s="31">
        <f t="shared" si="5"/>
        <v>1.7119147826243934</v>
      </c>
      <c r="AG9" s="31">
        <f>[1]PN!$H9</f>
        <v>4478.3744968000001</v>
      </c>
      <c r="AH9" s="31">
        <f t="shared" si="28"/>
        <v>4188.1758294073597</v>
      </c>
      <c r="AI9" s="31">
        <f t="shared" si="29"/>
        <v>290.19866739264006</v>
      </c>
      <c r="AJ9" s="31">
        <f t="shared" si="30"/>
        <v>1636.618704</v>
      </c>
      <c r="AK9" s="31">
        <f t="shared" si="31"/>
        <v>113.40129600000002</v>
      </c>
      <c r="AL9" s="31">
        <v>1750.02</v>
      </c>
      <c r="AM9" s="31">
        <f t="shared" si="6"/>
        <v>-0.609228750018457</v>
      </c>
      <c r="AN9" s="31">
        <f>[1]PN!$I9</f>
        <v>4478.3744968000001</v>
      </c>
      <c r="AO9" s="31">
        <f t="shared" si="32"/>
        <v>4188.1758294073597</v>
      </c>
      <c r="AP9" s="31">
        <f t="shared" si="33"/>
        <v>290.19866739264006</v>
      </c>
      <c r="AQ9" s="31">
        <f t="shared" si="34"/>
        <v>0</v>
      </c>
      <c r="AR9" s="31">
        <f t="shared" si="35"/>
        <v>0</v>
      </c>
      <c r="AS9" s="33"/>
      <c r="AT9" s="37">
        <f t="shared" si="7"/>
        <v>-1</v>
      </c>
      <c r="AU9" s="36">
        <f>[1]PN!$J9</f>
        <v>4478.3744968000001</v>
      </c>
      <c r="AV9" s="31">
        <f t="shared" si="36"/>
        <v>4188.1758294073597</v>
      </c>
      <c r="AW9" s="18">
        <f t="shared" si="37"/>
        <v>290.19866739264006</v>
      </c>
      <c r="AX9" s="31">
        <f t="shared" si="38"/>
        <v>0</v>
      </c>
      <c r="AY9" s="31">
        <f t="shared" si="39"/>
        <v>0</v>
      </c>
      <c r="AZ9" s="33"/>
      <c r="BA9" s="37">
        <f t="shared" si="8"/>
        <v>-1</v>
      </c>
      <c r="BB9" s="36">
        <f>[1]PN!$K9</f>
        <v>4478.3744968000001</v>
      </c>
      <c r="BC9" s="31">
        <f t="shared" si="40"/>
        <v>4188.1758294073597</v>
      </c>
      <c r="BD9" s="18">
        <f t="shared" si="41"/>
        <v>290.19866739264006</v>
      </c>
      <c r="BE9" s="31">
        <f t="shared" si="42"/>
        <v>0</v>
      </c>
      <c r="BF9" s="31">
        <f t="shared" si="43"/>
        <v>0</v>
      </c>
      <c r="BG9" s="27"/>
      <c r="BH9" s="37">
        <f t="shared" si="9"/>
        <v>-1</v>
      </c>
      <c r="BI9" s="36">
        <f>[1]PN!$L9</f>
        <v>4816.5444565440002</v>
      </c>
      <c r="BJ9" s="31">
        <f t="shared" si="44"/>
        <v>4504.4323757599486</v>
      </c>
      <c r="BK9" s="18">
        <f t="shared" si="45"/>
        <v>312.11208078405127</v>
      </c>
      <c r="BL9" s="31">
        <f t="shared" si="46"/>
        <v>0</v>
      </c>
      <c r="BM9" s="31">
        <f t="shared" si="47"/>
        <v>0</v>
      </c>
      <c r="BN9" s="33"/>
      <c r="BO9" s="37">
        <f t="shared" si="10"/>
        <v>-1</v>
      </c>
      <c r="BP9" s="36">
        <f>[1]PN!$M9</f>
        <v>4816.5444565440002</v>
      </c>
      <c r="BQ9" s="31">
        <f t="shared" si="48"/>
        <v>4504.4323757599486</v>
      </c>
      <c r="BR9" s="18">
        <f t="shared" si="49"/>
        <v>312.11208078405127</v>
      </c>
      <c r="BS9" s="31">
        <f t="shared" si="50"/>
        <v>0</v>
      </c>
      <c r="BT9" s="31">
        <f t="shared" si="51"/>
        <v>0</v>
      </c>
      <c r="BU9" s="33"/>
      <c r="BV9" s="37">
        <f t="shared" si="11"/>
        <v>-1</v>
      </c>
      <c r="BW9" s="36">
        <f>[1]PN!$N9</f>
        <v>4816.5444565440002</v>
      </c>
      <c r="BX9" s="31">
        <f t="shared" si="52"/>
        <v>4504.4323757599486</v>
      </c>
      <c r="BY9" s="18">
        <f t="shared" si="53"/>
        <v>312.11208078405127</v>
      </c>
      <c r="BZ9" s="31">
        <f t="shared" si="54"/>
        <v>0</v>
      </c>
      <c r="CA9" s="31">
        <f t="shared" si="55"/>
        <v>0</v>
      </c>
      <c r="CB9" s="33"/>
      <c r="CC9" s="37">
        <f t="shared" si="12"/>
        <v>-1</v>
      </c>
      <c r="CD9" s="36">
        <f>[1]PN!$O9</f>
        <v>4816.5444565440002</v>
      </c>
      <c r="CE9" s="31">
        <f t="shared" si="56"/>
        <v>4504.4323757599486</v>
      </c>
      <c r="CF9" s="18">
        <f t="shared" si="57"/>
        <v>312.11208078405127</v>
      </c>
      <c r="CG9" s="31">
        <f t="shared" si="58"/>
        <v>0</v>
      </c>
      <c r="CH9" s="31">
        <f t="shared" si="59"/>
        <v>0</v>
      </c>
      <c r="CI9" s="33"/>
      <c r="CJ9" s="37">
        <f t="shared" si="13"/>
        <v>-1</v>
      </c>
      <c r="CK9" s="36">
        <f>[1]PN!$P9</f>
        <v>4816.5444565440002</v>
      </c>
      <c r="CL9" s="31">
        <f t="shared" si="60"/>
        <v>4504.4323757599486</v>
      </c>
      <c r="CM9" s="18">
        <f t="shared" si="61"/>
        <v>312.11208078405127</v>
      </c>
      <c r="CN9" s="31">
        <f t="shared" si="62"/>
        <v>0</v>
      </c>
      <c r="CO9" s="31">
        <f t="shared" si="63"/>
        <v>0</v>
      </c>
      <c r="CP9" s="33"/>
      <c r="CQ9" s="37">
        <f t="shared" si="14"/>
        <v>-1</v>
      </c>
    </row>
    <row r="10" spans="1:99" s="26" customFormat="1" ht="14.25" customHeight="1" thickBot="1" x14ac:dyDescent="0.25">
      <c r="A10" s="38" t="s">
        <v>34</v>
      </c>
      <c r="B10" s="30">
        <f t="shared" si="0"/>
        <v>63600</v>
      </c>
      <c r="C10" s="31">
        <f t="shared" si="0"/>
        <v>59478.719999999979</v>
      </c>
      <c r="D10" s="32">
        <f t="shared" si="0"/>
        <v>4121.2800000000007</v>
      </c>
      <c r="E10" s="30">
        <f t="shared" si="15"/>
        <v>21200</v>
      </c>
      <c r="F10" s="33">
        <f t="shared" si="15"/>
        <v>19826.239999999998</v>
      </c>
      <c r="G10" s="34">
        <f t="shared" si="15"/>
        <v>1373.7600000000002</v>
      </c>
      <c r="H10" s="31">
        <f t="shared" si="1"/>
        <v>28229.900439999998</v>
      </c>
      <c r="I10" s="33">
        <f t="shared" si="1"/>
        <v>1956.0495600000004</v>
      </c>
      <c r="J10" s="33">
        <f t="shared" si="1"/>
        <v>30185.95</v>
      </c>
      <c r="K10" s="37">
        <f t="shared" si="2"/>
        <v>0.42386556603773595</v>
      </c>
      <c r="L10" s="36">
        <f>[1]PN!$E10</f>
        <v>5300</v>
      </c>
      <c r="M10" s="31">
        <f t="shared" si="16"/>
        <v>4956.5599999999995</v>
      </c>
      <c r="N10" s="31">
        <f t="shared" si="17"/>
        <v>343.44000000000005</v>
      </c>
      <c r="O10" s="31">
        <f t="shared" si="18"/>
        <v>4455.966144</v>
      </c>
      <c r="P10" s="31">
        <f t="shared" si="19"/>
        <v>308.75385600000004</v>
      </c>
      <c r="Q10" s="31">
        <f>3450+1314.72</f>
        <v>4764.72</v>
      </c>
      <c r="R10" s="31">
        <f t="shared" si="3"/>
        <v>-0.10099622641509431</v>
      </c>
      <c r="S10" s="31">
        <f>[1]PN!$F10</f>
        <v>5300</v>
      </c>
      <c r="T10" s="31">
        <f t="shared" si="20"/>
        <v>4956.5599999999995</v>
      </c>
      <c r="U10" s="31">
        <f t="shared" si="21"/>
        <v>343.44000000000005</v>
      </c>
      <c r="V10" s="31">
        <f t="shared" si="22"/>
        <v>1991.0875600000002</v>
      </c>
      <c r="W10" s="31">
        <f t="shared" si="23"/>
        <v>137.96244000000004</v>
      </c>
      <c r="X10" s="31">
        <f>2129.05</f>
        <v>2129.0500000000002</v>
      </c>
      <c r="Y10" s="31">
        <f t="shared" si="4"/>
        <v>-0.59829245283018873</v>
      </c>
      <c r="Z10" s="31">
        <f>[1]PN!$G10</f>
        <v>5300</v>
      </c>
      <c r="AA10" s="31">
        <f t="shared" si="24"/>
        <v>4956.5599999999995</v>
      </c>
      <c r="AB10" s="31">
        <f t="shared" si="25"/>
        <v>343.44000000000005</v>
      </c>
      <c r="AC10" s="31">
        <f t="shared" si="26"/>
        <v>5654.2285520000005</v>
      </c>
      <c r="AD10" s="31">
        <f t="shared" si="27"/>
        <v>391.78144800000007</v>
      </c>
      <c r="AE10" s="31">
        <f>3770+2276.01</f>
        <v>6046.01</v>
      </c>
      <c r="AF10" s="31">
        <f t="shared" si="5"/>
        <v>0.14075660377358501</v>
      </c>
      <c r="AG10" s="31">
        <f>[1]PN!$H10</f>
        <v>5300</v>
      </c>
      <c r="AH10" s="31">
        <f t="shared" si="28"/>
        <v>4956.5599999999995</v>
      </c>
      <c r="AI10" s="31">
        <f t="shared" si="29"/>
        <v>343.44000000000005</v>
      </c>
      <c r="AJ10" s="31">
        <f t="shared" si="30"/>
        <v>4351.5791200000003</v>
      </c>
      <c r="AK10" s="31">
        <f t="shared" si="31"/>
        <v>301.52088000000009</v>
      </c>
      <c r="AL10" s="31">
        <f>3370+1283.1</f>
        <v>4653.1000000000004</v>
      </c>
      <c r="AM10" s="31">
        <f t="shared" si="6"/>
        <v>-0.12205660377358485</v>
      </c>
      <c r="AN10" s="31">
        <f>[1]PN!$I10</f>
        <v>5300</v>
      </c>
      <c r="AO10" s="31">
        <f t="shared" si="32"/>
        <v>4956.5599999999995</v>
      </c>
      <c r="AP10" s="31">
        <f t="shared" si="33"/>
        <v>343.44000000000005</v>
      </c>
      <c r="AQ10" s="31">
        <f t="shared" si="34"/>
        <v>6341.8062959999997</v>
      </c>
      <c r="AR10" s="31">
        <f t="shared" si="35"/>
        <v>439.42370400000004</v>
      </c>
      <c r="AS10" s="33">
        <v>6781.23</v>
      </c>
      <c r="AT10" s="37">
        <f t="shared" si="7"/>
        <v>0.27947735849056587</v>
      </c>
      <c r="AU10" s="36">
        <f>[1]PN!$J10</f>
        <v>5300</v>
      </c>
      <c r="AV10" s="31">
        <f t="shared" si="36"/>
        <v>4956.5599999999995</v>
      </c>
      <c r="AW10" s="18">
        <f t="shared" si="37"/>
        <v>343.44000000000005</v>
      </c>
      <c r="AX10" s="31">
        <f t="shared" si="38"/>
        <v>5435.2327679999999</v>
      </c>
      <c r="AY10" s="31">
        <f t="shared" si="39"/>
        <v>376.60723200000007</v>
      </c>
      <c r="AZ10" s="33">
        <v>5811.84</v>
      </c>
      <c r="BA10" s="37">
        <f t="shared" si="8"/>
        <v>9.657358490566037E-2</v>
      </c>
      <c r="BB10" s="36">
        <f>[1]PN!$K10</f>
        <v>5300</v>
      </c>
      <c r="BC10" s="31">
        <f t="shared" si="40"/>
        <v>4956.5599999999995</v>
      </c>
      <c r="BD10" s="18">
        <f t="shared" si="41"/>
        <v>343.44000000000005</v>
      </c>
      <c r="BE10" s="31">
        <f t="shared" si="42"/>
        <v>0</v>
      </c>
      <c r="BF10" s="31">
        <f t="shared" si="43"/>
        <v>0</v>
      </c>
      <c r="BG10" s="27"/>
      <c r="BH10" s="37">
        <f t="shared" si="9"/>
        <v>-1</v>
      </c>
      <c r="BI10" s="36">
        <f>[1]PN!$L10</f>
        <v>5300</v>
      </c>
      <c r="BJ10" s="31">
        <f t="shared" si="44"/>
        <v>4956.5599999999995</v>
      </c>
      <c r="BK10" s="18">
        <f t="shared" si="45"/>
        <v>343.44000000000005</v>
      </c>
      <c r="BL10" s="31">
        <f t="shared" si="46"/>
        <v>0</v>
      </c>
      <c r="BM10" s="31">
        <f t="shared" si="47"/>
        <v>0</v>
      </c>
      <c r="BN10" s="33"/>
      <c r="BO10" s="37">
        <f t="shared" si="10"/>
        <v>-1</v>
      </c>
      <c r="BP10" s="36">
        <f>[1]PN!$M10</f>
        <v>5300</v>
      </c>
      <c r="BQ10" s="31">
        <f t="shared" si="48"/>
        <v>4956.5599999999995</v>
      </c>
      <c r="BR10" s="18">
        <f t="shared" si="49"/>
        <v>343.44000000000005</v>
      </c>
      <c r="BS10" s="31">
        <f t="shared" si="50"/>
        <v>0</v>
      </c>
      <c r="BT10" s="31">
        <f t="shared" si="51"/>
        <v>0</v>
      </c>
      <c r="BU10" s="33"/>
      <c r="BV10" s="37">
        <f t="shared" si="11"/>
        <v>-1</v>
      </c>
      <c r="BW10" s="36">
        <f>[1]PN!$N10</f>
        <v>5300</v>
      </c>
      <c r="BX10" s="31">
        <f t="shared" si="52"/>
        <v>4956.5599999999995</v>
      </c>
      <c r="BY10" s="18">
        <f t="shared" si="53"/>
        <v>343.44000000000005</v>
      </c>
      <c r="BZ10" s="31">
        <f t="shared" si="54"/>
        <v>0</v>
      </c>
      <c r="CA10" s="31">
        <f t="shared" si="55"/>
        <v>0</v>
      </c>
      <c r="CB10" s="33"/>
      <c r="CC10" s="37">
        <f t="shared" si="12"/>
        <v>-1</v>
      </c>
      <c r="CD10" s="36">
        <f>[1]PN!$O10</f>
        <v>5300</v>
      </c>
      <c r="CE10" s="31">
        <f t="shared" si="56"/>
        <v>4956.5599999999995</v>
      </c>
      <c r="CF10" s="18">
        <f t="shared" si="57"/>
        <v>343.44000000000005</v>
      </c>
      <c r="CG10" s="31">
        <f t="shared" si="58"/>
        <v>0</v>
      </c>
      <c r="CH10" s="31">
        <f t="shared" si="59"/>
        <v>0</v>
      </c>
      <c r="CI10" s="33"/>
      <c r="CJ10" s="37">
        <f t="shared" si="13"/>
        <v>-1</v>
      </c>
      <c r="CK10" s="36">
        <f>[1]PN!$P10</f>
        <v>5300</v>
      </c>
      <c r="CL10" s="31">
        <f t="shared" si="60"/>
        <v>4956.5599999999995</v>
      </c>
      <c r="CM10" s="18">
        <f t="shared" si="61"/>
        <v>343.44000000000005</v>
      </c>
      <c r="CN10" s="31">
        <f t="shared" si="62"/>
        <v>0</v>
      </c>
      <c r="CO10" s="31">
        <f t="shared" si="63"/>
        <v>0</v>
      </c>
      <c r="CP10" s="33"/>
      <c r="CQ10" s="37">
        <f t="shared" si="14"/>
        <v>-1</v>
      </c>
    </row>
    <row r="11" spans="1:99" s="26" customFormat="1" ht="14.25" customHeight="1" thickBot="1" x14ac:dyDescent="0.25">
      <c r="A11" s="38" t="s">
        <v>35</v>
      </c>
      <c r="B11" s="30">
        <f t="shared" si="0"/>
        <v>0</v>
      </c>
      <c r="C11" s="31">
        <f t="shared" si="0"/>
        <v>0</v>
      </c>
      <c r="D11" s="32">
        <f t="shared" si="0"/>
        <v>0</v>
      </c>
      <c r="E11" s="30">
        <f t="shared" si="15"/>
        <v>0</v>
      </c>
      <c r="F11" s="33">
        <f t="shared" si="15"/>
        <v>0</v>
      </c>
      <c r="G11" s="34">
        <f t="shared" si="15"/>
        <v>0</v>
      </c>
      <c r="H11" s="31">
        <f t="shared" si="1"/>
        <v>0</v>
      </c>
      <c r="I11" s="33">
        <f t="shared" si="1"/>
        <v>0</v>
      </c>
      <c r="J11" s="33">
        <f t="shared" si="1"/>
        <v>0</v>
      </c>
      <c r="K11" s="37" t="str">
        <f t="shared" si="2"/>
        <v/>
      </c>
      <c r="L11" s="36">
        <f>[1]PN!$E11</f>
        <v>0</v>
      </c>
      <c r="M11" s="31">
        <f t="shared" si="16"/>
        <v>0</v>
      </c>
      <c r="N11" s="31">
        <f t="shared" si="17"/>
        <v>0</v>
      </c>
      <c r="O11" s="31">
        <f t="shared" si="18"/>
        <v>0</v>
      </c>
      <c r="P11" s="31">
        <f t="shared" si="19"/>
        <v>0</v>
      </c>
      <c r="Q11" s="31"/>
      <c r="R11" s="31" t="str">
        <f t="shared" si="3"/>
        <v/>
      </c>
      <c r="S11" s="31">
        <f>[1]PN!$F11</f>
        <v>0</v>
      </c>
      <c r="T11" s="31">
        <f t="shared" si="20"/>
        <v>0</v>
      </c>
      <c r="U11" s="31">
        <f t="shared" si="21"/>
        <v>0</v>
      </c>
      <c r="V11" s="31">
        <f t="shared" si="22"/>
        <v>0</v>
      </c>
      <c r="W11" s="31">
        <f t="shared" si="23"/>
        <v>0</v>
      </c>
      <c r="X11" s="31"/>
      <c r="Y11" s="31" t="str">
        <f t="shared" si="4"/>
        <v/>
      </c>
      <c r="Z11" s="31">
        <f>[1]PN!$G11</f>
        <v>0</v>
      </c>
      <c r="AA11" s="31">
        <f t="shared" si="24"/>
        <v>0</v>
      </c>
      <c r="AB11" s="31">
        <f t="shared" si="25"/>
        <v>0</v>
      </c>
      <c r="AC11" s="31">
        <f t="shared" si="26"/>
        <v>0</v>
      </c>
      <c r="AD11" s="31">
        <f t="shared" si="27"/>
        <v>0</v>
      </c>
      <c r="AE11" s="31"/>
      <c r="AF11" s="31" t="str">
        <f t="shared" si="5"/>
        <v/>
      </c>
      <c r="AG11" s="31">
        <f>[1]PN!$H11</f>
        <v>0</v>
      </c>
      <c r="AH11" s="31">
        <f t="shared" si="28"/>
        <v>0</v>
      </c>
      <c r="AI11" s="31">
        <f t="shared" si="29"/>
        <v>0</v>
      </c>
      <c r="AJ11" s="31">
        <f t="shared" si="30"/>
        <v>0</v>
      </c>
      <c r="AK11" s="31">
        <f t="shared" si="31"/>
        <v>0</v>
      </c>
      <c r="AL11" s="31"/>
      <c r="AM11" s="31" t="str">
        <f t="shared" si="6"/>
        <v/>
      </c>
      <c r="AN11" s="31">
        <f>[1]PN!$I11</f>
        <v>0</v>
      </c>
      <c r="AO11" s="31">
        <f t="shared" si="32"/>
        <v>0</v>
      </c>
      <c r="AP11" s="31">
        <f t="shared" si="33"/>
        <v>0</v>
      </c>
      <c r="AQ11" s="31">
        <f t="shared" si="34"/>
        <v>0</v>
      </c>
      <c r="AR11" s="31">
        <f t="shared" si="35"/>
        <v>0</v>
      </c>
      <c r="AS11" s="33"/>
      <c r="AT11" s="37" t="str">
        <f t="shared" si="7"/>
        <v/>
      </c>
      <c r="AU11" s="36">
        <f>[1]PN!$J11</f>
        <v>0</v>
      </c>
      <c r="AV11" s="31">
        <f t="shared" si="36"/>
        <v>0</v>
      </c>
      <c r="AW11" s="18">
        <f t="shared" si="37"/>
        <v>0</v>
      </c>
      <c r="AX11" s="31">
        <f t="shared" si="38"/>
        <v>0</v>
      </c>
      <c r="AY11" s="31">
        <f t="shared" si="39"/>
        <v>0</v>
      </c>
      <c r="AZ11" s="33"/>
      <c r="BA11" s="37" t="str">
        <f t="shared" si="8"/>
        <v/>
      </c>
      <c r="BB11" s="36">
        <f>[1]PN!$K11</f>
        <v>0</v>
      </c>
      <c r="BC11" s="31">
        <f t="shared" si="40"/>
        <v>0</v>
      </c>
      <c r="BD11" s="18">
        <f t="shared" si="41"/>
        <v>0</v>
      </c>
      <c r="BE11" s="31">
        <f t="shared" si="42"/>
        <v>0</v>
      </c>
      <c r="BF11" s="31">
        <f t="shared" si="43"/>
        <v>0</v>
      </c>
      <c r="BG11" s="27"/>
      <c r="BH11" s="37" t="str">
        <f t="shared" si="9"/>
        <v/>
      </c>
      <c r="BI11" s="36">
        <f>[1]PN!$L11</f>
        <v>0</v>
      </c>
      <c r="BJ11" s="31">
        <f t="shared" si="44"/>
        <v>0</v>
      </c>
      <c r="BK11" s="18">
        <f t="shared" si="45"/>
        <v>0</v>
      </c>
      <c r="BL11" s="31">
        <f t="shared" si="46"/>
        <v>0</v>
      </c>
      <c r="BM11" s="31">
        <f t="shared" si="47"/>
        <v>0</v>
      </c>
      <c r="BN11" s="33"/>
      <c r="BO11" s="37" t="str">
        <f t="shared" si="10"/>
        <v/>
      </c>
      <c r="BP11" s="36">
        <f>[1]PN!$M11</f>
        <v>0</v>
      </c>
      <c r="BQ11" s="31">
        <f t="shared" si="48"/>
        <v>0</v>
      </c>
      <c r="BR11" s="18">
        <f t="shared" si="49"/>
        <v>0</v>
      </c>
      <c r="BS11" s="31">
        <f t="shared" si="50"/>
        <v>0</v>
      </c>
      <c r="BT11" s="31">
        <f t="shared" si="51"/>
        <v>0</v>
      </c>
      <c r="BU11" s="33"/>
      <c r="BV11" s="37" t="str">
        <f t="shared" si="11"/>
        <v/>
      </c>
      <c r="BW11" s="36">
        <f>[1]PN!$N11</f>
        <v>0</v>
      </c>
      <c r="BX11" s="31">
        <f t="shared" si="52"/>
        <v>0</v>
      </c>
      <c r="BY11" s="18">
        <f t="shared" si="53"/>
        <v>0</v>
      </c>
      <c r="BZ11" s="31">
        <f t="shared" si="54"/>
        <v>0</v>
      </c>
      <c r="CA11" s="31">
        <f t="shared" si="55"/>
        <v>0</v>
      </c>
      <c r="CB11" s="33"/>
      <c r="CC11" s="37" t="str">
        <f t="shared" si="12"/>
        <v/>
      </c>
      <c r="CD11" s="36">
        <f>[1]PN!$O11</f>
        <v>0</v>
      </c>
      <c r="CE11" s="31">
        <f t="shared" si="56"/>
        <v>0</v>
      </c>
      <c r="CF11" s="18">
        <f t="shared" si="57"/>
        <v>0</v>
      </c>
      <c r="CG11" s="31">
        <f t="shared" si="58"/>
        <v>0</v>
      </c>
      <c r="CH11" s="31">
        <f t="shared" si="59"/>
        <v>0</v>
      </c>
      <c r="CI11" s="33"/>
      <c r="CJ11" s="37" t="str">
        <f t="shared" si="13"/>
        <v/>
      </c>
      <c r="CK11" s="36">
        <f>[1]PN!$P11</f>
        <v>0</v>
      </c>
      <c r="CL11" s="31">
        <f t="shared" si="60"/>
        <v>0</v>
      </c>
      <c r="CM11" s="18">
        <f t="shared" si="61"/>
        <v>0</v>
      </c>
      <c r="CN11" s="31">
        <f t="shared" si="62"/>
        <v>0</v>
      </c>
      <c r="CO11" s="31">
        <f t="shared" si="63"/>
        <v>0</v>
      </c>
      <c r="CP11" s="33"/>
      <c r="CQ11" s="37" t="str">
        <f t="shared" si="14"/>
        <v/>
      </c>
    </row>
    <row r="12" spans="1:99" s="26" customFormat="1" ht="14.25" customHeight="1" thickBot="1" x14ac:dyDescent="0.25">
      <c r="A12" s="29" t="s">
        <v>36</v>
      </c>
      <c r="B12" s="30">
        <f t="shared" si="0"/>
        <v>37260</v>
      </c>
      <c r="C12" s="31">
        <f t="shared" si="0"/>
        <v>34845.551999999989</v>
      </c>
      <c r="D12" s="32">
        <f t="shared" si="0"/>
        <v>2414.4480000000003</v>
      </c>
      <c r="E12" s="30">
        <f t="shared" si="15"/>
        <v>12420</v>
      </c>
      <c r="F12" s="33">
        <f t="shared" si="15"/>
        <v>11615.183999999999</v>
      </c>
      <c r="G12" s="34">
        <f t="shared" si="15"/>
        <v>804.81600000000014</v>
      </c>
      <c r="H12" s="31">
        <f t="shared" si="1"/>
        <v>19973.936136000004</v>
      </c>
      <c r="I12" s="33">
        <f t="shared" si="1"/>
        <v>1383.9938640000003</v>
      </c>
      <c r="J12" s="33">
        <f t="shared" si="1"/>
        <v>21357.93</v>
      </c>
      <c r="K12" s="37">
        <f t="shared" si="2"/>
        <v>0.71964009661835759</v>
      </c>
      <c r="L12" s="36">
        <f>[1]PN!$E12</f>
        <v>3105</v>
      </c>
      <c r="M12" s="31">
        <f t="shared" si="16"/>
        <v>2903.7959999999998</v>
      </c>
      <c r="N12" s="31">
        <f t="shared" si="17"/>
        <v>201.20400000000004</v>
      </c>
      <c r="O12" s="31">
        <f t="shared" si="18"/>
        <v>2707.3104800000001</v>
      </c>
      <c r="P12" s="31">
        <f t="shared" si="19"/>
        <v>187.58952000000005</v>
      </c>
      <c r="Q12" s="31">
        <f>2894.9</f>
        <v>2894.9</v>
      </c>
      <c r="R12" s="31">
        <f t="shared" si="3"/>
        <v>-6.766505636070852E-2</v>
      </c>
      <c r="S12" s="31">
        <f>[1]PN!$F12</f>
        <v>3105</v>
      </c>
      <c r="T12" s="31">
        <f t="shared" si="20"/>
        <v>2903.7959999999998</v>
      </c>
      <c r="U12" s="31">
        <f t="shared" si="21"/>
        <v>201.20400000000004</v>
      </c>
      <c r="V12" s="31">
        <f t="shared" si="22"/>
        <v>5659.8584560000008</v>
      </c>
      <c r="W12" s="31">
        <f t="shared" si="23"/>
        <v>392.1715440000001</v>
      </c>
      <c r="X12" s="31">
        <f>2639+3413.03</f>
        <v>6052.0300000000007</v>
      </c>
      <c r="Y12" s="31">
        <f t="shared" si="4"/>
        <v>0.9491239935587763</v>
      </c>
      <c r="Z12" s="31">
        <f>[1]PN!$G12</f>
        <v>3105</v>
      </c>
      <c r="AA12" s="31">
        <f t="shared" si="24"/>
        <v>2903.7959999999998</v>
      </c>
      <c r="AB12" s="31">
        <f t="shared" si="25"/>
        <v>201.20400000000004</v>
      </c>
      <c r="AC12" s="31">
        <f t="shared" si="26"/>
        <v>2901.6918000000001</v>
      </c>
      <c r="AD12" s="31">
        <f t="shared" si="27"/>
        <v>201.05820000000003</v>
      </c>
      <c r="AE12" s="31">
        <f>3102.75</f>
        <v>3102.75</v>
      </c>
      <c r="AF12" s="31">
        <f t="shared" si="5"/>
        <v>-7.246376811593791E-4</v>
      </c>
      <c r="AG12" s="31">
        <f>[1]PN!$H12</f>
        <v>3105</v>
      </c>
      <c r="AH12" s="31">
        <f t="shared" si="28"/>
        <v>2903.7959999999998</v>
      </c>
      <c r="AI12" s="31">
        <f t="shared" si="29"/>
        <v>201.20400000000004</v>
      </c>
      <c r="AJ12" s="31">
        <f t="shared" si="30"/>
        <v>2901.6918000000001</v>
      </c>
      <c r="AK12" s="31">
        <f t="shared" si="31"/>
        <v>201.05820000000003</v>
      </c>
      <c r="AL12" s="31">
        <f>3102.75</f>
        <v>3102.75</v>
      </c>
      <c r="AM12" s="31">
        <f t="shared" si="6"/>
        <v>-7.246376811593791E-4</v>
      </c>
      <c r="AN12" s="31">
        <f>[1]PN!$I12</f>
        <v>3105</v>
      </c>
      <c r="AO12" s="31">
        <f t="shared" si="32"/>
        <v>2903.7959999999998</v>
      </c>
      <c r="AP12" s="31">
        <f t="shared" si="33"/>
        <v>201.20400000000004</v>
      </c>
      <c r="AQ12" s="31">
        <f t="shared" si="34"/>
        <v>2901.6918000000001</v>
      </c>
      <c r="AR12" s="31">
        <f t="shared" si="35"/>
        <v>201.05820000000003</v>
      </c>
      <c r="AS12" s="33">
        <v>3102.75</v>
      </c>
      <c r="AT12" s="37">
        <f t="shared" si="7"/>
        <v>-7.246376811593791E-4</v>
      </c>
      <c r="AU12" s="36">
        <f>[1]PN!$J12</f>
        <v>3105</v>
      </c>
      <c r="AV12" s="31">
        <f t="shared" si="36"/>
        <v>2903.7959999999998</v>
      </c>
      <c r="AW12" s="18">
        <f t="shared" si="37"/>
        <v>201.20400000000004</v>
      </c>
      <c r="AX12" s="31">
        <f t="shared" si="38"/>
        <v>2901.6918000000001</v>
      </c>
      <c r="AY12" s="31">
        <f t="shared" si="39"/>
        <v>201.05820000000003</v>
      </c>
      <c r="AZ12" s="33">
        <v>3102.75</v>
      </c>
      <c r="BA12" s="37">
        <f t="shared" si="8"/>
        <v>-7.246376811593791E-4</v>
      </c>
      <c r="BB12" s="36">
        <f>[1]PN!$K12</f>
        <v>3105</v>
      </c>
      <c r="BC12" s="31">
        <f t="shared" si="40"/>
        <v>2903.7959999999998</v>
      </c>
      <c r="BD12" s="18">
        <f t="shared" si="41"/>
        <v>201.20400000000004</v>
      </c>
      <c r="BE12" s="31">
        <f t="shared" si="42"/>
        <v>0</v>
      </c>
      <c r="BF12" s="31">
        <f t="shared" si="43"/>
        <v>0</v>
      </c>
      <c r="BG12" s="27"/>
      <c r="BH12" s="37">
        <f t="shared" si="9"/>
        <v>-1</v>
      </c>
      <c r="BI12" s="36">
        <f>[1]PN!$L12</f>
        <v>3105</v>
      </c>
      <c r="BJ12" s="31">
        <f t="shared" si="44"/>
        <v>2903.7959999999998</v>
      </c>
      <c r="BK12" s="18">
        <f t="shared" si="45"/>
        <v>201.20400000000004</v>
      </c>
      <c r="BL12" s="31">
        <f t="shared" si="46"/>
        <v>0</v>
      </c>
      <c r="BM12" s="31">
        <f t="shared" si="47"/>
        <v>0</v>
      </c>
      <c r="BN12" s="33"/>
      <c r="BO12" s="37">
        <f t="shared" si="10"/>
        <v>-1</v>
      </c>
      <c r="BP12" s="36">
        <f>[1]PN!$M12</f>
        <v>3105</v>
      </c>
      <c r="BQ12" s="31">
        <f t="shared" si="48"/>
        <v>2903.7959999999998</v>
      </c>
      <c r="BR12" s="18">
        <f t="shared" si="49"/>
        <v>201.20400000000004</v>
      </c>
      <c r="BS12" s="31">
        <f t="shared" si="50"/>
        <v>0</v>
      </c>
      <c r="BT12" s="31">
        <f t="shared" si="51"/>
        <v>0</v>
      </c>
      <c r="BU12" s="33"/>
      <c r="BV12" s="37">
        <f t="shared" si="11"/>
        <v>-1</v>
      </c>
      <c r="BW12" s="36">
        <f>[1]PN!$N12</f>
        <v>3105</v>
      </c>
      <c r="BX12" s="31">
        <f t="shared" si="52"/>
        <v>2903.7959999999998</v>
      </c>
      <c r="BY12" s="18">
        <f t="shared" si="53"/>
        <v>201.20400000000004</v>
      </c>
      <c r="BZ12" s="31">
        <f t="shared" si="54"/>
        <v>0</v>
      </c>
      <c r="CA12" s="31">
        <f t="shared" si="55"/>
        <v>0</v>
      </c>
      <c r="CB12" s="33"/>
      <c r="CC12" s="37">
        <f t="shared" si="12"/>
        <v>-1</v>
      </c>
      <c r="CD12" s="36">
        <f>[1]PN!$O12</f>
        <v>3105</v>
      </c>
      <c r="CE12" s="31">
        <f t="shared" si="56"/>
        <v>2903.7959999999998</v>
      </c>
      <c r="CF12" s="18">
        <f t="shared" si="57"/>
        <v>201.20400000000004</v>
      </c>
      <c r="CG12" s="31">
        <f t="shared" si="58"/>
        <v>0</v>
      </c>
      <c r="CH12" s="31">
        <f t="shared" si="59"/>
        <v>0</v>
      </c>
      <c r="CI12" s="33"/>
      <c r="CJ12" s="37">
        <f t="shared" si="13"/>
        <v>-1</v>
      </c>
      <c r="CK12" s="36">
        <f>[1]PN!$P12</f>
        <v>3105</v>
      </c>
      <c r="CL12" s="31">
        <f t="shared" si="60"/>
        <v>2903.7959999999998</v>
      </c>
      <c r="CM12" s="18">
        <f t="shared" si="61"/>
        <v>201.20400000000004</v>
      </c>
      <c r="CN12" s="31">
        <f t="shared" si="62"/>
        <v>0</v>
      </c>
      <c r="CO12" s="31">
        <f t="shared" si="63"/>
        <v>0</v>
      </c>
      <c r="CP12" s="33"/>
      <c r="CQ12" s="37">
        <f t="shared" si="14"/>
        <v>-1</v>
      </c>
    </row>
    <row r="13" spans="1:99" s="26" customFormat="1" ht="16" customHeight="1" thickBot="1" x14ac:dyDescent="0.25">
      <c r="A13" s="38" t="s">
        <v>37</v>
      </c>
      <c r="B13" s="30">
        <f t="shared" si="0"/>
        <v>4800</v>
      </c>
      <c r="C13" s="31">
        <f t="shared" si="0"/>
        <v>4488.96</v>
      </c>
      <c r="D13" s="32">
        <f t="shared" si="0"/>
        <v>311.04000000000013</v>
      </c>
      <c r="E13" s="30">
        <f t="shared" si="15"/>
        <v>1600</v>
      </c>
      <c r="F13" s="33">
        <f t="shared" si="15"/>
        <v>1496.32</v>
      </c>
      <c r="G13" s="34">
        <f t="shared" si="15"/>
        <v>103.68000000000002</v>
      </c>
      <c r="H13" s="31">
        <f t="shared" si="1"/>
        <v>0</v>
      </c>
      <c r="I13" s="33">
        <f t="shared" si="1"/>
        <v>0</v>
      </c>
      <c r="J13" s="33">
        <f t="shared" si="1"/>
        <v>0</v>
      </c>
      <c r="K13" s="37">
        <f t="shared" si="2"/>
        <v>-1</v>
      </c>
      <c r="L13" s="36">
        <f>[1]PN!$E13</f>
        <v>400</v>
      </c>
      <c r="M13" s="31">
        <f t="shared" si="16"/>
        <v>374.08</v>
      </c>
      <c r="N13" s="31">
        <f t="shared" si="17"/>
        <v>25.920000000000005</v>
      </c>
      <c r="O13" s="31">
        <f t="shared" si="18"/>
        <v>0</v>
      </c>
      <c r="P13" s="31">
        <f t="shared" si="19"/>
        <v>0</v>
      </c>
      <c r="Q13" s="31"/>
      <c r="R13" s="31">
        <f t="shared" si="3"/>
        <v>-1</v>
      </c>
      <c r="S13" s="31">
        <f>[1]PN!$F13</f>
        <v>400</v>
      </c>
      <c r="T13" s="31">
        <f t="shared" si="20"/>
        <v>374.08</v>
      </c>
      <c r="U13" s="31">
        <f t="shared" si="21"/>
        <v>25.920000000000005</v>
      </c>
      <c r="V13" s="31">
        <f t="shared" si="22"/>
        <v>0</v>
      </c>
      <c r="W13" s="31">
        <f t="shared" si="23"/>
        <v>0</v>
      </c>
      <c r="X13" s="31"/>
      <c r="Y13" s="31">
        <f t="shared" si="4"/>
        <v>-1</v>
      </c>
      <c r="Z13" s="31">
        <f>[1]PN!$G13</f>
        <v>400</v>
      </c>
      <c r="AA13" s="31">
        <f t="shared" si="24"/>
        <v>374.08</v>
      </c>
      <c r="AB13" s="31">
        <f t="shared" si="25"/>
        <v>25.920000000000005</v>
      </c>
      <c r="AC13" s="31">
        <f t="shared" si="26"/>
        <v>0</v>
      </c>
      <c r="AD13" s="31">
        <f t="shared" si="27"/>
        <v>0</v>
      </c>
      <c r="AE13" s="31"/>
      <c r="AF13" s="31">
        <f t="shared" si="5"/>
        <v>-1</v>
      </c>
      <c r="AG13" s="31">
        <f>[1]PN!$H13</f>
        <v>400</v>
      </c>
      <c r="AH13" s="31">
        <f t="shared" si="28"/>
        <v>374.08</v>
      </c>
      <c r="AI13" s="31">
        <f t="shared" si="29"/>
        <v>25.920000000000005</v>
      </c>
      <c r="AJ13" s="31">
        <f t="shared" si="30"/>
        <v>0</v>
      </c>
      <c r="AK13" s="31">
        <f t="shared" si="31"/>
        <v>0</v>
      </c>
      <c r="AL13" s="31"/>
      <c r="AM13" s="31">
        <f t="shared" si="6"/>
        <v>-1</v>
      </c>
      <c r="AN13" s="31">
        <f>[1]PN!$I13</f>
        <v>400</v>
      </c>
      <c r="AO13" s="31">
        <f t="shared" si="32"/>
        <v>374.08</v>
      </c>
      <c r="AP13" s="31">
        <f t="shared" si="33"/>
        <v>25.920000000000005</v>
      </c>
      <c r="AQ13" s="31">
        <f t="shared" si="34"/>
        <v>0</v>
      </c>
      <c r="AR13" s="31">
        <f t="shared" si="35"/>
        <v>0</v>
      </c>
      <c r="AS13" s="33"/>
      <c r="AT13" s="37">
        <f t="shared" si="7"/>
        <v>-1</v>
      </c>
      <c r="AU13" s="36">
        <f>[1]PN!$J13</f>
        <v>400</v>
      </c>
      <c r="AV13" s="31">
        <f t="shared" si="36"/>
        <v>374.08</v>
      </c>
      <c r="AW13" s="18">
        <f t="shared" si="37"/>
        <v>25.920000000000005</v>
      </c>
      <c r="AX13" s="31">
        <f t="shared" si="38"/>
        <v>0</v>
      </c>
      <c r="AY13" s="31">
        <f t="shared" si="39"/>
        <v>0</v>
      </c>
      <c r="AZ13" s="33"/>
      <c r="BA13" s="37">
        <f t="shared" si="8"/>
        <v>-1</v>
      </c>
      <c r="BB13" s="36">
        <f>[1]PN!$K13</f>
        <v>400</v>
      </c>
      <c r="BC13" s="31">
        <f t="shared" si="40"/>
        <v>374.08</v>
      </c>
      <c r="BD13" s="18">
        <f t="shared" si="41"/>
        <v>25.920000000000005</v>
      </c>
      <c r="BE13" s="31">
        <f t="shared" si="42"/>
        <v>0</v>
      </c>
      <c r="BF13" s="31">
        <f t="shared" si="43"/>
        <v>0</v>
      </c>
      <c r="BG13" s="27"/>
      <c r="BH13" s="37">
        <f t="shared" si="9"/>
        <v>-1</v>
      </c>
      <c r="BI13" s="36">
        <f>[1]PN!$L13</f>
        <v>400</v>
      </c>
      <c r="BJ13" s="31">
        <f t="shared" si="44"/>
        <v>374.08</v>
      </c>
      <c r="BK13" s="18">
        <f t="shared" si="45"/>
        <v>25.920000000000005</v>
      </c>
      <c r="BL13" s="31">
        <f t="shared" si="46"/>
        <v>0</v>
      </c>
      <c r="BM13" s="31">
        <f t="shared" si="47"/>
        <v>0</v>
      </c>
      <c r="BN13" s="33"/>
      <c r="BO13" s="37">
        <f t="shared" si="10"/>
        <v>-1</v>
      </c>
      <c r="BP13" s="36">
        <f>[1]PN!$M13</f>
        <v>400</v>
      </c>
      <c r="BQ13" s="31">
        <f t="shared" si="48"/>
        <v>374.08</v>
      </c>
      <c r="BR13" s="18">
        <f t="shared" si="49"/>
        <v>25.920000000000005</v>
      </c>
      <c r="BS13" s="31">
        <f t="shared" si="50"/>
        <v>0</v>
      </c>
      <c r="BT13" s="31">
        <f t="shared" si="51"/>
        <v>0</v>
      </c>
      <c r="BU13" s="33"/>
      <c r="BV13" s="37">
        <f t="shared" si="11"/>
        <v>-1</v>
      </c>
      <c r="BW13" s="36">
        <f>[1]PN!$N13</f>
        <v>400</v>
      </c>
      <c r="BX13" s="31">
        <f t="shared" si="52"/>
        <v>374.08</v>
      </c>
      <c r="BY13" s="18">
        <f t="shared" si="53"/>
        <v>25.920000000000005</v>
      </c>
      <c r="BZ13" s="31">
        <f t="shared" si="54"/>
        <v>0</v>
      </c>
      <c r="CA13" s="31">
        <f t="shared" si="55"/>
        <v>0</v>
      </c>
      <c r="CB13" s="33"/>
      <c r="CC13" s="37">
        <f t="shared" si="12"/>
        <v>-1</v>
      </c>
      <c r="CD13" s="36">
        <f>[1]PN!$O13</f>
        <v>400</v>
      </c>
      <c r="CE13" s="31">
        <f t="shared" si="56"/>
        <v>374.08</v>
      </c>
      <c r="CF13" s="18">
        <f t="shared" si="57"/>
        <v>25.920000000000005</v>
      </c>
      <c r="CG13" s="31">
        <f t="shared" si="58"/>
        <v>0</v>
      </c>
      <c r="CH13" s="31">
        <f t="shared" si="59"/>
        <v>0</v>
      </c>
      <c r="CI13" s="33"/>
      <c r="CJ13" s="37">
        <f t="shared" si="13"/>
        <v>-1</v>
      </c>
      <c r="CK13" s="36">
        <f>[1]PN!$P13</f>
        <v>400</v>
      </c>
      <c r="CL13" s="31">
        <f t="shared" si="60"/>
        <v>374.08</v>
      </c>
      <c r="CM13" s="18">
        <f t="shared" si="61"/>
        <v>25.920000000000005</v>
      </c>
      <c r="CN13" s="31">
        <f t="shared" si="62"/>
        <v>0</v>
      </c>
      <c r="CO13" s="31">
        <f t="shared" si="63"/>
        <v>0</v>
      </c>
      <c r="CP13" s="33"/>
      <c r="CQ13" s="37">
        <f t="shared" si="14"/>
        <v>-1</v>
      </c>
    </row>
    <row r="14" spans="1:99" s="26" customFormat="1" ht="16" customHeight="1" thickBot="1" x14ac:dyDescent="0.25">
      <c r="A14" s="39" t="s">
        <v>38</v>
      </c>
      <c r="B14" s="30">
        <f t="shared" si="0"/>
        <v>30970.92</v>
      </c>
      <c r="C14" s="31">
        <f t="shared" si="0"/>
        <v>28964.004384000003</v>
      </c>
      <c r="D14" s="32">
        <f t="shared" si="0"/>
        <v>2006.9156160000002</v>
      </c>
      <c r="E14" s="30">
        <f t="shared" si="15"/>
        <v>10323.64</v>
      </c>
      <c r="F14" s="33">
        <f t="shared" si="15"/>
        <v>9654.6681279999993</v>
      </c>
      <c r="G14" s="34">
        <f t="shared" si="15"/>
        <v>668.97187200000008</v>
      </c>
      <c r="H14" s="31">
        <f t="shared" si="1"/>
        <v>17549.738751999997</v>
      </c>
      <c r="I14" s="33">
        <f t="shared" si="1"/>
        <v>1216.021248</v>
      </c>
      <c r="J14" s="33">
        <f t="shared" si="1"/>
        <v>18765.760000000002</v>
      </c>
      <c r="K14" s="37">
        <f t="shared" si="2"/>
        <v>0.81774645377018218</v>
      </c>
      <c r="L14" s="36">
        <f>[1]PN!$E14</f>
        <v>2580.91</v>
      </c>
      <c r="M14" s="31">
        <f t="shared" si="16"/>
        <v>2413.6670319999998</v>
      </c>
      <c r="N14" s="31">
        <f t="shared" si="17"/>
        <v>167.24296800000002</v>
      </c>
      <c r="O14" s="31">
        <f t="shared" si="18"/>
        <v>2376.1842160000001</v>
      </c>
      <c r="P14" s="31">
        <f t="shared" si="19"/>
        <v>164.64578400000002</v>
      </c>
      <c r="Q14" s="31">
        <f>2540.83</f>
        <v>2540.83</v>
      </c>
      <c r="R14" s="31">
        <f t="shared" si="3"/>
        <v>-1.5529406294679027E-2</v>
      </c>
      <c r="S14" s="31">
        <f>[1]PN!$F14</f>
        <v>2580.91</v>
      </c>
      <c r="T14" s="31">
        <f t="shared" si="20"/>
        <v>2413.6670319999998</v>
      </c>
      <c r="U14" s="31">
        <f t="shared" si="21"/>
        <v>167.24296800000002</v>
      </c>
      <c r="V14" s="31">
        <f t="shared" si="22"/>
        <v>7217.3966479999999</v>
      </c>
      <c r="W14" s="31">
        <f t="shared" si="23"/>
        <v>500.09335200000004</v>
      </c>
      <c r="X14" s="31">
        <f>7717.49</f>
        <v>7717.49</v>
      </c>
      <c r="Y14" s="31">
        <f t="shared" si="4"/>
        <v>1.990220503620816</v>
      </c>
      <c r="Z14" s="31">
        <f>[1]PN!$G14</f>
        <v>2580.91</v>
      </c>
      <c r="AA14" s="31">
        <f t="shared" si="24"/>
        <v>2413.6670319999998</v>
      </c>
      <c r="AB14" s="31">
        <f t="shared" si="25"/>
        <v>167.24296800000002</v>
      </c>
      <c r="AC14" s="31">
        <f t="shared" si="26"/>
        <v>1866.0606719999998</v>
      </c>
      <c r="AD14" s="31">
        <f t="shared" si="27"/>
        <v>129.299328</v>
      </c>
      <c r="AE14" s="31">
        <f>1995.36</f>
        <v>1995.36</v>
      </c>
      <c r="AF14" s="31">
        <f t="shared" si="5"/>
        <v>-0.22687734171280671</v>
      </c>
      <c r="AG14" s="31">
        <f>[1]PN!$H14</f>
        <v>2580.91</v>
      </c>
      <c r="AH14" s="31">
        <f t="shared" si="28"/>
        <v>2413.6670319999998</v>
      </c>
      <c r="AI14" s="31">
        <f t="shared" si="29"/>
        <v>167.24296800000002</v>
      </c>
      <c r="AJ14" s="31">
        <f t="shared" si="30"/>
        <v>1852.9678719999999</v>
      </c>
      <c r="AK14" s="31">
        <f t="shared" si="31"/>
        <v>128.39212800000001</v>
      </c>
      <c r="AL14" s="31">
        <v>1981.36</v>
      </c>
      <c r="AM14" s="31">
        <f t="shared" si="6"/>
        <v>-0.23230178502931131</v>
      </c>
      <c r="AN14" s="31">
        <f>[1]PN!$I14</f>
        <v>2580.91</v>
      </c>
      <c r="AO14" s="31">
        <f t="shared" si="32"/>
        <v>2413.6670319999998</v>
      </c>
      <c r="AP14" s="31">
        <f t="shared" si="33"/>
        <v>167.24296800000002</v>
      </c>
      <c r="AQ14" s="31">
        <f t="shared" si="34"/>
        <v>2118.564672</v>
      </c>
      <c r="AR14" s="31">
        <f t="shared" si="35"/>
        <v>146.79532800000004</v>
      </c>
      <c r="AS14" s="33">
        <v>2265.36</v>
      </c>
      <c r="AT14" s="37">
        <f t="shared" si="7"/>
        <v>-0.12226307775164569</v>
      </c>
      <c r="AU14" s="36">
        <f>[1]PN!$J14</f>
        <v>2580.91</v>
      </c>
      <c r="AV14" s="31">
        <f t="shared" si="36"/>
        <v>2413.6670319999998</v>
      </c>
      <c r="AW14" s="18">
        <f t="shared" si="37"/>
        <v>167.24296800000002</v>
      </c>
      <c r="AX14" s="31">
        <f t="shared" si="38"/>
        <v>2118.564672</v>
      </c>
      <c r="AY14" s="31">
        <f t="shared" si="39"/>
        <v>146.79532800000004</v>
      </c>
      <c r="AZ14" s="33">
        <v>2265.36</v>
      </c>
      <c r="BA14" s="37">
        <f t="shared" si="8"/>
        <v>-0.12226307775164569</v>
      </c>
      <c r="BB14" s="36">
        <f>[1]PN!$K14</f>
        <v>2580.91</v>
      </c>
      <c r="BC14" s="31">
        <f t="shared" si="40"/>
        <v>2413.6670319999998</v>
      </c>
      <c r="BD14" s="18">
        <f t="shared" si="41"/>
        <v>167.24296800000002</v>
      </c>
      <c r="BE14" s="31">
        <f t="shared" si="42"/>
        <v>0</v>
      </c>
      <c r="BF14" s="31">
        <f t="shared" si="43"/>
        <v>0</v>
      </c>
      <c r="BG14" s="27"/>
      <c r="BH14" s="37">
        <f t="shared" si="9"/>
        <v>-1</v>
      </c>
      <c r="BI14" s="36">
        <f>[1]PN!$L14</f>
        <v>2580.91</v>
      </c>
      <c r="BJ14" s="31">
        <f t="shared" si="44"/>
        <v>2413.6670319999998</v>
      </c>
      <c r="BK14" s="18">
        <f t="shared" si="45"/>
        <v>167.24296800000002</v>
      </c>
      <c r="BL14" s="31">
        <f t="shared" si="46"/>
        <v>0</v>
      </c>
      <c r="BM14" s="31">
        <f t="shared" si="47"/>
        <v>0</v>
      </c>
      <c r="BN14" s="33"/>
      <c r="BO14" s="37">
        <f t="shared" si="10"/>
        <v>-1</v>
      </c>
      <c r="BP14" s="36">
        <f>[1]PN!$M14</f>
        <v>2580.91</v>
      </c>
      <c r="BQ14" s="31">
        <f t="shared" si="48"/>
        <v>2413.6670319999998</v>
      </c>
      <c r="BR14" s="18">
        <f t="shared" si="49"/>
        <v>167.24296800000002</v>
      </c>
      <c r="BS14" s="31">
        <f t="shared" si="50"/>
        <v>0</v>
      </c>
      <c r="BT14" s="31">
        <f t="shared" si="51"/>
        <v>0</v>
      </c>
      <c r="BU14" s="33"/>
      <c r="BV14" s="37">
        <f t="shared" si="11"/>
        <v>-1</v>
      </c>
      <c r="BW14" s="36">
        <f>[1]PN!$N14</f>
        <v>2580.91</v>
      </c>
      <c r="BX14" s="31">
        <f t="shared" si="52"/>
        <v>2413.6670319999998</v>
      </c>
      <c r="BY14" s="18">
        <f t="shared" si="53"/>
        <v>167.24296800000002</v>
      </c>
      <c r="BZ14" s="31">
        <f t="shared" si="54"/>
        <v>0</v>
      </c>
      <c r="CA14" s="31">
        <f t="shared" si="55"/>
        <v>0</v>
      </c>
      <c r="CB14" s="33"/>
      <c r="CC14" s="37">
        <f t="shared" si="12"/>
        <v>-1</v>
      </c>
      <c r="CD14" s="36">
        <f>[1]PN!$O14</f>
        <v>2580.91</v>
      </c>
      <c r="CE14" s="31">
        <f t="shared" si="56"/>
        <v>2413.6670319999998</v>
      </c>
      <c r="CF14" s="18">
        <f t="shared" si="57"/>
        <v>167.24296800000002</v>
      </c>
      <c r="CG14" s="31">
        <f t="shared" si="58"/>
        <v>0</v>
      </c>
      <c r="CH14" s="31">
        <f t="shared" si="59"/>
        <v>0</v>
      </c>
      <c r="CI14" s="33"/>
      <c r="CJ14" s="37">
        <f t="shared" si="13"/>
        <v>-1</v>
      </c>
      <c r="CK14" s="36">
        <f>[1]PN!$P14</f>
        <v>2580.91</v>
      </c>
      <c r="CL14" s="31">
        <f t="shared" si="60"/>
        <v>2413.6670319999998</v>
      </c>
      <c r="CM14" s="18">
        <f t="shared" si="61"/>
        <v>167.24296800000002</v>
      </c>
      <c r="CN14" s="31">
        <f t="shared" si="62"/>
        <v>0</v>
      </c>
      <c r="CO14" s="31">
        <f t="shared" si="63"/>
        <v>0</v>
      </c>
      <c r="CP14" s="33"/>
      <c r="CQ14" s="37">
        <f t="shared" si="14"/>
        <v>-1</v>
      </c>
    </row>
    <row r="15" spans="1:99" s="26" customFormat="1" ht="16" customHeight="1" thickBot="1" x14ac:dyDescent="0.25">
      <c r="A15" s="38" t="s">
        <v>39</v>
      </c>
      <c r="B15" s="30">
        <f t="shared" si="0"/>
        <v>67268.5</v>
      </c>
      <c r="C15" s="31">
        <f t="shared" si="0"/>
        <v>62909.501200000021</v>
      </c>
      <c r="D15" s="32">
        <f t="shared" si="0"/>
        <v>4358.9988000000003</v>
      </c>
      <c r="E15" s="30">
        <f t="shared" si="15"/>
        <v>22278</v>
      </c>
      <c r="F15" s="33">
        <f t="shared" si="15"/>
        <v>20834.385600000001</v>
      </c>
      <c r="G15" s="34">
        <f t="shared" si="15"/>
        <v>1443.6144000000002</v>
      </c>
      <c r="H15" s="31">
        <f t="shared" si="1"/>
        <v>36672.932800000002</v>
      </c>
      <c r="I15" s="33">
        <f t="shared" si="1"/>
        <v>2541.0672000000004</v>
      </c>
      <c r="J15" s="33">
        <f t="shared" si="1"/>
        <v>39214</v>
      </c>
      <c r="K15" s="37">
        <f t="shared" si="2"/>
        <v>0.76021186821079101</v>
      </c>
      <c r="L15" s="36">
        <f>[1]PN!$E15</f>
        <v>5569.5</v>
      </c>
      <c r="M15" s="40">
        <f t="shared" si="16"/>
        <v>5208.5964000000004</v>
      </c>
      <c r="N15" s="40">
        <f t="shared" si="17"/>
        <v>360.90360000000004</v>
      </c>
      <c r="O15" s="40">
        <f t="shared" si="18"/>
        <v>4669.9305519999998</v>
      </c>
      <c r="P15" s="40">
        <f t="shared" si="19"/>
        <v>323.57944800000007</v>
      </c>
      <c r="Q15" s="40">
        <f>382.75+8242.32-(5.88+3625.68)</f>
        <v>4993.51</v>
      </c>
      <c r="R15" s="40">
        <f t="shared" si="3"/>
        <v>-0.10341861926564322</v>
      </c>
      <c r="S15" s="40">
        <f>[1]PN!$F15</f>
        <v>5569.5</v>
      </c>
      <c r="T15" s="40">
        <f t="shared" si="20"/>
        <v>5208.5964000000004</v>
      </c>
      <c r="U15" s="40">
        <f t="shared" si="21"/>
        <v>360.90360000000004</v>
      </c>
      <c r="V15" s="40">
        <f t="shared" si="22"/>
        <v>4652.5264800000014</v>
      </c>
      <c r="W15" s="40">
        <f t="shared" si="23"/>
        <v>322.37352000000016</v>
      </c>
      <c r="X15" s="40">
        <f>387.19+48624.94-(13185.58+30851.65)</f>
        <v>4974.9000000000015</v>
      </c>
      <c r="Y15" s="40">
        <f t="shared" si="4"/>
        <v>-0.10676003231887932</v>
      </c>
      <c r="Z15" s="40">
        <f>[1]PN!$G15</f>
        <v>5569.5</v>
      </c>
      <c r="AA15" s="40">
        <f t="shared" si="24"/>
        <v>5208.5964000000004</v>
      </c>
      <c r="AB15" s="40">
        <f t="shared" si="25"/>
        <v>360.90360000000004</v>
      </c>
      <c r="AC15" s="40">
        <f t="shared" si="26"/>
        <v>6970.1671759999999</v>
      </c>
      <c r="AD15" s="40">
        <f t="shared" si="27"/>
        <v>482.96282400000007</v>
      </c>
      <c r="AE15" s="40">
        <f>382.75+7070.38</f>
        <v>7453.13</v>
      </c>
      <c r="AF15" s="40">
        <f t="shared" si="5"/>
        <v>0.33820450668821267</v>
      </c>
      <c r="AG15" s="40">
        <f>[1]PN!$H15</f>
        <v>5569.5</v>
      </c>
      <c r="AH15" s="40">
        <f t="shared" si="28"/>
        <v>5208.5964000000004</v>
      </c>
      <c r="AI15" s="40">
        <f t="shared" si="29"/>
        <v>360.90360000000004</v>
      </c>
      <c r="AJ15" s="40">
        <f t="shared" si="30"/>
        <v>8225.2242800000004</v>
      </c>
      <c r="AK15" s="40">
        <f t="shared" si="31"/>
        <v>569.92572000000007</v>
      </c>
      <c r="AL15" s="40">
        <f>385.58+8409.57</f>
        <v>8795.15</v>
      </c>
      <c r="AM15" s="40">
        <f t="shared" si="6"/>
        <v>0.57916330011670691</v>
      </c>
      <c r="AN15" s="40">
        <f>[1]PN!$I15</f>
        <v>5569.5</v>
      </c>
      <c r="AO15" s="40">
        <f t="shared" si="32"/>
        <v>5208.5964000000004</v>
      </c>
      <c r="AP15" s="40">
        <f t="shared" si="33"/>
        <v>360.90360000000004</v>
      </c>
      <c r="AQ15" s="40">
        <f t="shared" si="34"/>
        <v>6602.568111999999</v>
      </c>
      <c r="AR15" s="40">
        <f t="shared" si="35"/>
        <v>457.49188800000002</v>
      </c>
      <c r="AS15" s="115">
        <v>7060.0599999999995</v>
      </c>
      <c r="AT15" s="37">
        <f t="shared" si="7"/>
        <v>0.2676290510817847</v>
      </c>
      <c r="AU15" s="36">
        <f>[1]PN!$J15</f>
        <v>5569.5</v>
      </c>
      <c r="AV15" s="40">
        <f t="shared" si="36"/>
        <v>5208.5964000000004</v>
      </c>
      <c r="AW15" s="18">
        <f t="shared" si="37"/>
        <v>360.90360000000004</v>
      </c>
      <c r="AX15" s="40">
        <f t="shared" si="38"/>
        <v>5552.5162</v>
      </c>
      <c r="AY15" s="40">
        <f t="shared" si="39"/>
        <v>384.73380000000009</v>
      </c>
      <c r="AZ15" s="115">
        <v>5937.25</v>
      </c>
      <c r="BA15" s="37">
        <f t="shared" si="8"/>
        <v>6.6029266540982068E-2</v>
      </c>
      <c r="BB15" s="36">
        <f>[1]PN!$K15</f>
        <v>6004</v>
      </c>
      <c r="BC15" s="40">
        <f t="shared" si="40"/>
        <v>5614.9408000000003</v>
      </c>
      <c r="BD15" s="18">
        <f t="shared" si="41"/>
        <v>389.05920000000009</v>
      </c>
      <c r="BE15" s="40">
        <f t="shared" si="42"/>
        <v>0</v>
      </c>
      <c r="BF15" s="40">
        <f t="shared" si="43"/>
        <v>0</v>
      </c>
      <c r="BG15" s="116"/>
      <c r="BH15" s="37">
        <f t="shared" si="9"/>
        <v>-1</v>
      </c>
      <c r="BI15" s="36">
        <f>[1]PN!$L15</f>
        <v>5569.5</v>
      </c>
      <c r="BJ15" s="40">
        <f t="shared" si="44"/>
        <v>5208.5964000000004</v>
      </c>
      <c r="BK15" s="18">
        <f t="shared" si="45"/>
        <v>360.90360000000004</v>
      </c>
      <c r="BL15" s="40">
        <f t="shared" si="46"/>
        <v>0</v>
      </c>
      <c r="BM15" s="40">
        <f t="shared" si="47"/>
        <v>0</v>
      </c>
      <c r="BN15" s="115"/>
      <c r="BO15" s="37">
        <f t="shared" si="10"/>
        <v>-1</v>
      </c>
      <c r="BP15" s="36">
        <f>[1]PN!$M15</f>
        <v>5569.5</v>
      </c>
      <c r="BQ15" s="40">
        <f t="shared" si="48"/>
        <v>5208.5964000000004</v>
      </c>
      <c r="BR15" s="18">
        <f t="shared" si="49"/>
        <v>360.90360000000004</v>
      </c>
      <c r="BS15" s="40">
        <f t="shared" si="50"/>
        <v>0</v>
      </c>
      <c r="BT15" s="40">
        <f t="shared" si="51"/>
        <v>0</v>
      </c>
      <c r="BU15" s="115"/>
      <c r="BV15" s="37">
        <f t="shared" si="11"/>
        <v>-1</v>
      </c>
      <c r="BW15" s="36">
        <f>[1]PN!$N15</f>
        <v>5569.5</v>
      </c>
      <c r="BX15" s="40">
        <f t="shared" si="52"/>
        <v>5208.5964000000004</v>
      </c>
      <c r="BY15" s="18">
        <f t="shared" si="53"/>
        <v>360.90360000000004</v>
      </c>
      <c r="BZ15" s="40">
        <f t="shared" si="54"/>
        <v>0</v>
      </c>
      <c r="CA15" s="40">
        <f t="shared" si="55"/>
        <v>0</v>
      </c>
      <c r="CB15" s="115"/>
      <c r="CC15" s="37">
        <f t="shared" si="12"/>
        <v>-1</v>
      </c>
      <c r="CD15" s="36">
        <f>[1]PN!$O15</f>
        <v>5569.5</v>
      </c>
      <c r="CE15" s="40">
        <f t="shared" si="56"/>
        <v>5208.5964000000004</v>
      </c>
      <c r="CF15" s="18">
        <f t="shared" si="57"/>
        <v>360.90360000000004</v>
      </c>
      <c r="CG15" s="40">
        <f t="shared" si="58"/>
        <v>0</v>
      </c>
      <c r="CH15" s="40">
        <f t="shared" si="59"/>
        <v>0</v>
      </c>
      <c r="CI15" s="115"/>
      <c r="CJ15" s="37">
        <f t="shared" si="13"/>
        <v>-1</v>
      </c>
      <c r="CK15" s="36">
        <f>[1]PN!$P15</f>
        <v>5569.5</v>
      </c>
      <c r="CL15" s="40">
        <f t="shared" si="60"/>
        <v>5208.5964000000004</v>
      </c>
      <c r="CM15" s="18">
        <f t="shared" si="61"/>
        <v>360.90360000000004</v>
      </c>
      <c r="CN15" s="40">
        <f t="shared" si="62"/>
        <v>0</v>
      </c>
      <c r="CO15" s="40">
        <f t="shared" si="63"/>
        <v>0</v>
      </c>
      <c r="CP15" s="115"/>
      <c r="CQ15" s="37">
        <f t="shared" si="14"/>
        <v>-1</v>
      </c>
    </row>
    <row r="16" spans="1:99" s="26" customFormat="1" ht="16" customHeight="1" thickBot="1" x14ac:dyDescent="0.25">
      <c r="A16" s="29" t="s">
        <v>40</v>
      </c>
      <c r="B16" s="30">
        <f t="shared" si="0"/>
        <v>49999.999999999993</v>
      </c>
      <c r="C16" s="31">
        <f t="shared" si="0"/>
        <v>46760</v>
      </c>
      <c r="D16" s="32">
        <f t="shared" si="0"/>
        <v>3240.0000000000005</v>
      </c>
      <c r="E16" s="30">
        <f t="shared" si="15"/>
        <v>16666.666666666668</v>
      </c>
      <c r="F16" s="33">
        <f t="shared" si="15"/>
        <v>15586.666666666668</v>
      </c>
      <c r="G16" s="34">
        <f t="shared" si="15"/>
        <v>1080.0000000000002</v>
      </c>
      <c r="H16" s="31">
        <f t="shared" si="1"/>
        <v>24954.203456000003</v>
      </c>
      <c r="I16" s="33">
        <f t="shared" si="1"/>
        <v>1729.0765440000002</v>
      </c>
      <c r="J16" s="33">
        <f t="shared" si="1"/>
        <v>26683.280000000002</v>
      </c>
      <c r="K16" s="37">
        <f t="shared" si="2"/>
        <v>0.60099680000000011</v>
      </c>
      <c r="L16" s="36">
        <f>[1]PN!$E16</f>
        <v>4166.666666666667</v>
      </c>
      <c r="M16" s="31">
        <f t="shared" si="16"/>
        <v>3896.666666666667</v>
      </c>
      <c r="N16" s="31">
        <f t="shared" si="17"/>
        <v>270.00000000000006</v>
      </c>
      <c r="O16" s="31">
        <f t="shared" si="18"/>
        <v>4052.146784</v>
      </c>
      <c r="P16" s="31">
        <f t="shared" si="19"/>
        <v>280.77321600000005</v>
      </c>
      <c r="Q16" s="31">
        <f>4332.92</f>
        <v>4332.92</v>
      </c>
      <c r="R16" s="31">
        <f t="shared" si="3"/>
        <v>3.9900799999999848E-2</v>
      </c>
      <c r="S16" s="31">
        <f>[1]PN!$F16</f>
        <v>4166.666666666667</v>
      </c>
      <c r="T16" s="31">
        <f t="shared" si="20"/>
        <v>3896.666666666667</v>
      </c>
      <c r="U16" s="31">
        <f t="shared" si="21"/>
        <v>270.00000000000006</v>
      </c>
      <c r="V16" s="31">
        <f t="shared" si="22"/>
        <v>4039.016576</v>
      </c>
      <c r="W16" s="31">
        <f t="shared" si="23"/>
        <v>279.86342400000007</v>
      </c>
      <c r="X16" s="31">
        <f>4318.88</f>
        <v>4318.88</v>
      </c>
      <c r="Y16" s="31">
        <f t="shared" si="4"/>
        <v>3.6531199999999986E-2</v>
      </c>
      <c r="Z16" s="31">
        <f>[1]PN!$G16</f>
        <v>4166.666666666667</v>
      </c>
      <c r="AA16" s="31">
        <f t="shared" si="24"/>
        <v>3896.666666666667</v>
      </c>
      <c r="AB16" s="31">
        <f t="shared" si="25"/>
        <v>270.00000000000006</v>
      </c>
      <c r="AC16" s="31">
        <f t="shared" si="26"/>
        <v>3684.78152</v>
      </c>
      <c r="AD16" s="31">
        <f t="shared" si="27"/>
        <v>255.31848000000002</v>
      </c>
      <c r="AE16" s="31">
        <f>3940.1</f>
        <v>3940.1</v>
      </c>
      <c r="AF16" s="31">
        <f t="shared" si="5"/>
        <v>-5.4376000000000091E-2</v>
      </c>
      <c r="AG16" s="31">
        <f>[1]PN!$H16</f>
        <v>4166.666666666667</v>
      </c>
      <c r="AH16" s="31">
        <f t="shared" si="28"/>
        <v>3896.666666666667</v>
      </c>
      <c r="AI16" s="31">
        <f t="shared" si="29"/>
        <v>270.00000000000006</v>
      </c>
      <c r="AJ16" s="31">
        <f t="shared" si="30"/>
        <v>4280.3542879999995</v>
      </c>
      <c r="AK16" s="31">
        <f t="shared" si="31"/>
        <v>296.585712</v>
      </c>
      <c r="AL16" s="31">
        <f>4576.94</f>
        <v>4576.9399999999996</v>
      </c>
      <c r="AM16" s="31">
        <f t="shared" si="6"/>
        <v>9.8465599999999931E-2</v>
      </c>
      <c r="AN16" s="31">
        <f>[1]PN!$I16</f>
        <v>4166.666666666667</v>
      </c>
      <c r="AO16" s="31">
        <f t="shared" si="32"/>
        <v>3896.666666666667</v>
      </c>
      <c r="AP16" s="31">
        <f t="shared" si="33"/>
        <v>270.00000000000006</v>
      </c>
      <c r="AQ16" s="31">
        <f t="shared" si="34"/>
        <v>4357.2183759999998</v>
      </c>
      <c r="AR16" s="31">
        <f t="shared" si="35"/>
        <v>301.91162400000007</v>
      </c>
      <c r="AS16" s="33">
        <v>4659.13</v>
      </c>
      <c r="AT16" s="37">
        <f t="shared" si="7"/>
        <v>0.11819120000000005</v>
      </c>
      <c r="AU16" s="36">
        <f>[1]PN!$J16</f>
        <v>4166.666666666667</v>
      </c>
      <c r="AV16" s="31">
        <f t="shared" si="36"/>
        <v>3896.666666666667</v>
      </c>
      <c r="AW16" s="18">
        <f t="shared" si="37"/>
        <v>270.00000000000006</v>
      </c>
      <c r="AX16" s="31">
        <f t="shared" si="38"/>
        <v>4540.6859119999999</v>
      </c>
      <c r="AY16" s="31">
        <f t="shared" si="39"/>
        <v>314.62408800000009</v>
      </c>
      <c r="AZ16" s="33">
        <v>4855.3100000000004</v>
      </c>
      <c r="BA16" s="37">
        <f t="shared" si="8"/>
        <v>0.16527439999999993</v>
      </c>
      <c r="BB16" s="36">
        <f>[1]PN!$K16</f>
        <v>4166.666666666667</v>
      </c>
      <c r="BC16" s="31">
        <f t="shared" si="40"/>
        <v>3896.666666666667</v>
      </c>
      <c r="BD16" s="18">
        <f t="shared" si="41"/>
        <v>270.00000000000006</v>
      </c>
      <c r="BE16" s="31">
        <f t="shared" si="42"/>
        <v>0</v>
      </c>
      <c r="BF16" s="31">
        <f t="shared" si="43"/>
        <v>0</v>
      </c>
      <c r="BG16" s="27"/>
      <c r="BH16" s="37">
        <f t="shared" si="9"/>
        <v>-1</v>
      </c>
      <c r="BI16" s="36">
        <f>[1]PN!$L16</f>
        <v>4166.666666666667</v>
      </c>
      <c r="BJ16" s="31">
        <f t="shared" si="44"/>
        <v>3896.666666666667</v>
      </c>
      <c r="BK16" s="18">
        <f t="shared" si="45"/>
        <v>270.00000000000006</v>
      </c>
      <c r="BL16" s="31">
        <f t="shared" si="46"/>
        <v>0</v>
      </c>
      <c r="BM16" s="31">
        <f t="shared" si="47"/>
        <v>0</v>
      </c>
      <c r="BN16" s="33"/>
      <c r="BO16" s="37">
        <f t="shared" si="10"/>
        <v>-1</v>
      </c>
      <c r="BP16" s="36">
        <f>[1]PN!$M16</f>
        <v>4166.666666666667</v>
      </c>
      <c r="BQ16" s="31">
        <f t="shared" si="48"/>
        <v>3896.666666666667</v>
      </c>
      <c r="BR16" s="18">
        <f t="shared" si="49"/>
        <v>270.00000000000006</v>
      </c>
      <c r="BS16" s="31">
        <f t="shared" si="50"/>
        <v>0</v>
      </c>
      <c r="BT16" s="31">
        <f t="shared" si="51"/>
        <v>0</v>
      </c>
      <c r="BU16" s="33"/>
      <c r="BV16" s="37">
        <f t="shared" si="11"/>
        <v>-1</v>
      </c>
      <c r="BW16" s="36">
        <f>[1]PN!$N16</f>
        <v>4166.666666666667</v>
      </c>
      <c r="BX16" s="31">
        <f t="shared" si="52"/>
        <v>3896.666666666667</v>
      </c>
      <c r="BY16" s="18">
        <f t="shared" si="53"/>
        <v>270.00000000000006</v>
      </c>
      <c r="BZ16" s="31">
        <f t="shared" si="54"/>
        <v>0</v>
      </c>
      <c r="CA16" s="31">
        <f t="shared" si="55"/>
        <v>0</v>
      </c>
      <c r="CB16" s="33"/>
      <c r="CC16" s="37">
        <f t="shared" si="12"/>
        <v>-1</v>
      </c>
      <c r="CD16" s="36">
        <f>[1]PN!$O16</f>
        <v>4166.666666666667</v>
      </c>
      <c r="CE16" s="31">
        <f t="shared" si="56"/>
        <v>3896.666666666667</v>
      </c>
      <c r="CF16" s="18">
        <f t="shared" si="57"/>
        <v>270.00000000000006</v>
      </c>
      <c r="CG16" s="31">
        <f t="shared" si="58"/>
        <v>0</v>
      </c>
      <c r="CH16" s="31">
        <f t="shared" si="59"/>
        <v>0</v>
      </c>
      <c r="CI16" s="33"/>
      <c r="CJ16" s="37">
        <f t="shared" si="13"/>
        <v>-1</v>
      </c>
      <c r="CK16" s="36">
        <f>[1]PN!$P16</f>
        <v>4166.666666666667</v>
      </c>
      <c r="CL16" s="31">
        <f t="shared" si="60"/>
        <v>3896.666666666667</v>
      </c>
      <c r="CM16" s="18">
        <f t="shared" si="61"/>
        <v>270.00000000000006</v>
      </c>
      <c r="CN16" s="31">
        <f t="shared" si="62"/>
        <v>0</v>
      </c>
      <c r="CO16" s="31">
        <f t="shared" si="63"/>
        <v>0</v>
      </c>
      <c r="CP16" s="33"/>
      <c r="CQ16" s="37">
        <f t="shared" si="14"/>
        <v>-1</v>
      </c>
    </row>
    <row r="17" spans="1:95" s="26" customFormat="1" ht="16" customHeight="1" thickBot="1" x14ac:dyDescent="0.25">
      <c r="A17" s="38" t="s">
        <v>41</v>
      </c>
      <c r="B17" s="30">
        <f t="shared" si="0"/>
        <v>350308.80000000005</v>
      </c>
      <c r="C17" s="31">
        <f t="shared" si="0"/>
        <v>327608.78976000001</v>
      </c>
      <c r="D17" s="32">
        <f t="shared" si="0"/>
        <v>22700.01024</v>
      </c>
      <c r="E17" s="30">
        <f t="shared" si="15"/>
        <v>116769.59999999999</v>
      </c>
      <c r="F17" s="33">
        <f t="shared" si="15"/>
        <v>109202.92992</v>
      </c>
      <c r="G17" s="34">
        <f t="shared" si="15"/>
        <v>7566.6700800000008</v>
      </c>
      <c r="H17" s="31">
        <f t="shared" si="1"/>
        <v>229614.92388800002</v>
      </c>
      <c r="I17" s="33">
        <f t="shared" si="1"/>
        <v>15910.016112000003</v>
      </c>
      <c r="J17" s="33">
        <f t="shared" si="1"/>
        <v>245524.94</v>
      </c>
      <c r="K17" s="37">
        <f t="shared" si="2"/>
        <v>1.1026443526397283</v>
      </c>
      <c r="L17" s="36">
        <f>[1]PN!$E17</f>
        <v>29192.399999999998</v>
      </c>
      <c r="M17" s="31">
        <f t="shared" si="16"/>
        <v>27300.732479999999</v>
      </c>
      <c r="N17" s="31">
        <f t="shared" si="17"/>
        <v>1891.6675200000002</v>
      </c>
      <c r="O17" s="31">
        <f t="shared" si="18"/>
        <v>29205.117647999999</v>
      </c>
      <c r="P17" s="31">
        <f t="shared" si="19"/>
        <v>2023.6223520000003</v>
      </c>
      <c r="Q17" s="31">
        <v>31228.74</v>
      </c>
      <c r="R17" s="31">
        <f t="shared" si="3"/>
        <v>6.9755826859045689E-2</v>
      </c>
      <c r="S17" s="31">
        <f>[1]PN!$F17</f>
        <v>29192.399999999998</v>
      </c>
      <c r="T17" s="31">
        <f t="shared" si="20"/>
        <v>27300.732479999999</v>
      </c>
      <c r="U17" s="31">
        <f t="shared" si="21"/>
        <v>1891.6675200000002</v>
      </c>
      <c r="V17" s="31">
        <f t="shared" si="22"/>
        <v>36345.107791999995</v>
      </c>
      <c r="W17" s="31">
        <f t="shared" si="23"/>
        <v>2518.3522080000002</v>
      </c>
      <c r="X17" s="31">
        <v>38863.46</v>
      </c>
      <c r="Y17" s="31">
        <f t="shared" si="4"/>
        <v>0.33128691029171975</v>
      </c>
      <c r="Z17" s="31">
        <f>[1]PN!$G17</f>
        <v>29192.399999999998</v>
      </c>
      <c r="AA17" s="31">
        <f t="shared" si="24"/>
        <v>27300.732479999999</v>
      </c>
      <c r="AB17" s="31">
        <f t="shared" si="25"/>
        <v>1891.6675200000002</v>
      </c>
      <c r="AC17" s="31">
        <f t="shared" si="26"/>
        <v>43354.067064000003</v>
      </c>
      <c r="AD17" s="31">
        <f t="shared" si="27"/>
        <v>3004.0029360000003</v>
      </c>
      <c r="AE17" s="31">
        <v>46358.07</v>
      </c>
      <c r="AF17" s="31">
        <f t="shared" si="5"/>
        <v>0.58801845685863463</v>
      </c>
      <c r="AG17" s="31">
        <f>[1]PN!$H17</f>
        <v>29192.399999999998</v>
      </c>
      <c r="AH17" s="31">
        <f t="shared" si="28"/>
        <v>27300.732479999999</v>
      </c>
      <c r="AI17" s="31">
        <f t="shared" si="29"/>
        <v>1891.6675200000002</v>
      </c>
      <c r="AJ17" s="31">
        <f t="shared" si="30"/>
        <v>45293.634456</v>
      </c>
      <c r="AK17" s="31">
        <f t="shared" si="31"/>
        <v>3138.3955440000004</v>
      </c>
      <c r="AL17" s="31">
        <f>48432.03</f>
        <v>48432.03</v>
      </c>
      <c r="AM17" s="31">
        <f t="shared" si="6"/>
        <v>0.65906297529493996</v>
      </c>
      <c r="AN17" s="31">
        <f>[1]PN!$I17</f>
        <v>29192.399999999998</v>
      </c>
      <c r="AO17" s="31">
        <f t="shared" si="32"/>
        <v>27300.732479999999</v>
      </c>
      <c r="AP17" s="31">
        <f t="shared" si="33"/>
        <v>1891.6675200000002</v>
      </c>
      <c r="AQ17" s="31">
        <f t="shared" si="34"/>
        <v>35240.356032000003</v>
      </c>
      <c r="AR17" s="31">
        <f t="shared" si="35"/>
        <v>2441.8039680000006</v>
      </c>
      <c r="AS17" s="33">
        <v>37682.160000000003</v>
      </c>
      <c r="AT17" s="37">
        <f t="shared" si="7"/>
        <v>0.29082089859004423</v>
      </c>
      <c r="AU17" s="36">
        <f>[1]PN!$J17</f>
        <v>29192.399999999998</v>
      </c>
      <c r="AV17" s="31">
        <f t="shared" si="36"/>
        <v>27300.732479999999</v>
      </c>
      <c r="AW17" s="18">
        <f t="shared" si="37"/>
        <v>1891.6675200000002</v>
      </c>
      <c r="AX17" s="31">
        <f t="shared" si="38"/>
        <v>40176.640896000004</v>
      </c>
      <c r="AY17" s="31">
        <f t="shared" si="39"/>
        <v>2783.8391040000006</v>
      </c>
      <c r="AZ17" s="33">
        <v>42960.480000000003</v>
      </c>
      <c r="BA17" s="37">
        <f t="shared" si="8"/>
        <v>0.47163234266452925</v>
      </c>
      <c r="BB17" s="36">
        <f>[1]PN!$K17</f>
        <v>29192.399999999998</v>
      </c>
      <c r="BC17" s="31">
        <f t="shared" si="40"/>
        <v>27300.732479999999</v>
      </c>
      <c r="BD17" s="18">
        <f t="shared" si="41"/>
        <v>1891.6675200000002</v>
      </c>
      <c r="BE17" s="31">
        <f t="shared" si="42"/>
        <v>0</v>
      </c>
      <c r="BF17" s="31">
        <f t="shared" si="43"/>
        <v>0</v>
      </c>
      <c r="BG17" s="27"/>
      <c r="BH17" s="37">
        <f t="shared" si="9"/>
        <v>-1</v>
      </c>
      <c r="BI17" s="36">
        <f>[1]PN!$L17</f>
        <v>29192.399999999998</v>
      </c>
      <c r="BJ17" s="31">
        <f t="shared" si="44"/>
        <v>27300.732479999999</v>
      </c>
      <c r="BK17" s="18">
        <f t="shared" si="45"/>
        <v>1891.6675200000002</v>
      </c>
      <c r="BL17" s="31">
        <f t="shared" si="46"/>
        <v>0</v>
      </c>
      <c r="BM17" s="31">
        <f t="shared" si="47"/>
        <v>0</v>
      </c>
      <c r="BN17" s="33"/>
      <c r="BO17" s="37">
        <f t="shared" si="10"/>
        <v>-1</v>
      </c>
      <c r="BP17" s="36">
        <f>[1]PN!$M17</f>
        <v>29192.399999999998</v>
      </c>
      <c r="BQ17" s="31">
        <f t="shared" si="48"/>
        <v>27300.732479999999</v>
      </c>
      <c r="BR17" s="18">
        <f t="shared" si="49"/>
        <v>1891.6675200000002</v>
      </c>
      <c r="BS17" s="31">
        <f t="shared" si="50"/>
        <v>0</v>
      </c>
      <c r="BT17" s="31">
        <f t="shared" si="51"/>
        <v>0</v>
      </c>
      <c r="BU17" s="33"/>
      <c r="BV17" s="37">
        <f t="shared" si="11"/>
        <v>-1</v>
      </c>
      <c r="BW17" s="36">
        <f>[1]PN!$N17</f>
        <v>29192.399999999998</v>
      </c>
      <c r="BX17" s="31">
        <f t="shared" si="52"/>
        <v>27300.732479999999</v>
      </c>
      <c r="BY17" s="18">
        <f t="shared" si="53"/>
        <v>1891.6675200000002</v>
      </c>
      <c r="BZ17" s="31">
        <f t="shared" si="54"/>
        <v>0</v>
      </c>
      <c r="CA17" s="31">
        <f t="shared" si="55"/>
        <v>0</v>
      </c>
      <c r="CB17" s="33"/>
      <c r="CC17" s="37">
        <f t="shared" si="12"/>
        <v>-1</v>
      </c>
      <c r="CD17" s="36">
        <f>[1]PN!$O17</f>
        <v>29192.399999999998</v>
      </c>
      <c r="CE17" s="31">
        <f t="shared" si="56"/>
        <v>27300.732479999999</v>
      </c>
      <c r="CF17" s="18">
        <f t="shared" si="57"/>
        <v>1891.6675200000002</v>
      </c>
      <c r="CG17" s="31">
        <f t="shared" si="58"/>
        <v>0</v>
      </c>
      <c r="CH17" s="31">
        <f t="shared" si="59"/>
        <v>0</v>
      </c>
      <c r="CI17" s="33"/>
      <c r="CJ17" s="37">
        <f t="shared" si="13"/>
        <v>-1</v>
      </c>
      <c r="CK17" s="36">
        <f>[1]PN!$P17</f>
        <v>29192.399999999998</v>
      </c>
      <c r="CL17" s="31">
        <f t="shared" si="60"/>
        <v>27300.732479999999</v>
      </c>
      <c r="CM17" s="18">
        <f t="shared" si="61"/>
        <v>1891.6675200000002</v>
      </c>
      <c r="CN17" s="31">
        <f t="shared" si="62"/>
        <v>0</v>
      </c>
      <c r="CO17" s="31">
        <f t="shared" si="63"/>
        <v>0</v>
      </c>
      <c r="CP17" s="33"/>
      <c r="CQ17" s="37">
        <f t="shared" si="14"/>
        <v>-1</v>
      </c>
    </row>
    <row r="18" spans="1:95" s="26" customFormat="1" ht="16" customHeight="1" thickBot="1" x14ac:dyDescent="0.25">
      <c r="A18" s="38" t="s">
        <v>42</v>
      </c>
      <c r="B18" s="30">
        <f t="shared" si="0"/>
        <v>87773.39999999998</v>
      </c>
      <c r="C18" s="31">
        <f t="shared" si="0"/>
        <v>82085.683679999973</v>
      </c>
      <c r="D18" s="32">
        <f t="shared" si="0"/>
        <v>5687.7163199999995</v>
      </c>
      <c r="E18" s="30">
        <f t="shared" si="15"/>
        <v>29257.8</v>
      </c>
      <c r="F18" s="33">
        <f t="shared" si="15"/>
        <v>27361.894560000001</v>
      </c>
      <c r="G18" s="34">
        <f t="shared" si="15"/>
        <v>1895.9054400000002</v>
      </c>
      <c r="H18" s="31">
        <f t="shared" si="1"/>
        <v>57111.214440000003</v>
      </c>
      <c r="I18" s="33">
        <f t="shared" si="1"/>
        <v>3957.235560000001</v>
      </c>
      <c r="J18" s="33">
        <f t="shared" si="1"/>
        <v>61068.450000000004</v>
      </c>
      <c r="K18" s="37">
        <f t="shared" si="2"/>
        <v>1.0872536554354739</v>
      </c>
      <c r="L18" s="36">
        <f>[1]PN!$E18</f>
        <v>7314.45</v>
      </c>
      <c r="M18" s="31">
        <f t="shared" si="16"/>
        <v>6840.4736400000002</v>
      </c>
      <c r="N18" s="31">
        <f t="shared" si="17"/>
        <v>473.97636000000006</v>
      </c>
      <c r="O18" s="31">
        <f t="shared" si="18"/>
        <v>8533.5316640000001</v>
      </c>
      <c r="P18" s="31">
        <f t="shared" si="19"/>
        <v>591.28833600000007</v>
      </c>
      <c r="Q18" s="31">
        <v>9124.82</v>
      </c>
      <c r="R18" s="31">
        <f t="shared" si="3"/>
        <v>0.24750596422150672</v>
      </c>
      <c r="S18" s="31">
        <f>[1]PN!$F18</f>
        <v>7314.45</v>
      </c>
      <c r="T18" s="31">
        <f t="shared" si="20"/>
        <v>6840.4736400000002</v>
      </c>
      <c r="U18" s="31">
        <f t="shared" si="21"/>
        <v>473.97636000000006</v>
      </c>
      <c r="V18" s="31">
        <f t="shared" si="22"/>
        <v>0</v>
      </c>
      <c r="W18" s="31">
        <f t="shared" si="23"/>
        <v>0</v>
      </c>
      <c r="X18" s="31"/>
      <c r="Y18" s="31">
        <f t="shared" si="4"/>
        <v>-1</v>
      </c>
      <c r="Z18" s="31">
        <f>[1]PN!$G18</f>
        <v>7314.45</v>
      </c>
      <c r="AA18" s="31">
        <f t="shared" si="24"/>
        <v>6840.4736400000002</v>
      </c>
      <c r="AB18" s="31">
        <f t="shared" si="25"/>
        <v>473.97636000000006</v>
      </c>
      <c r="AC18" s="31">
        <f t="shared" si="26"/>
        <v>24756.932368000002</v>
      </c>
      <c r="AD18" s="31">
        <f t="shared" si="27"/>
        <v>1715.4076320000004</v>
      </c>
      <c r="AE18" s="31">
        <v>26472.34</v>
      </c>
      <c r="AF18" s="31">
        <f t="shared" si="5"/>
        <v>2.6191839441106306</v>
      </c>
      <c r="AG18" s="31">
        <f>[1]PN!$H18</f>
        <v>7314.45</v>
      </c>
      <c r="AH18" s="31">
        <f t="shared" si="28"/>
        <v>6840.4736400000002</v>
      </c>
      <c r="AI18" s="31">
        <f t="shared" si="29"/>
        <v>473.97636000000006</v>
      </c>
      <c r="AJ18" s="31">
        <f t="shared" si="30"/>
        <v>0</v>
      </c>
      <c r="AK18" s="31">
        <f t="shared" si="31"/>
        <v>0</v>
      </c>
      <c r="AL18" s="31"/>
      <c r="AM18" s="31">
        <f t="shared" si="6"/>
        <v>-1</v>
      </c>
      <c r="AN18" s="31">
        <f>[1]PN!$I18</f>
        <v>7314.45</v>
      </c>
      <c r="AO18" s="31">
        <f t="shared" si="32"/>
        <v>6840.4736400000002</v>
      </c>
      <c r="AP18" s="31">
        <f t="shared" si="33"/>
        <v>473.97636000000006</v>
      </c>
      <c r="AQ18" s="31">
        <f t="shared" si="34"/>
        <v>23820.750408</v>
      </c>
      <c r="AR18" s="31">
        <f t="shared" si="35"/>
        <v>1650.5395920000003</v>
      </c>
      <c r="AS18" s="33">
        <v>25471.29</v>
      </c>
      <c r="AT18" s="37">
        <f t="shared" si="7"/>
        <v>2.4823247134097577</v>
      </c>
      <c r="AU18" s="36">
        <f>[1]PN!$J18</f>
        <v>7314.45</v>
      </c>
      <c r="AV18" s="31">
        <f t="shared" si="36"/>
        <v>6840.4736400000002</v>
      </c>
      <c r="AW18" s="18">
        <f t="shared" si="37"/>
        <v>473.97636000000006</v>
      </c>
      <c r="AX18" s="31">
        <f t="shared" si="38"/>
        <v>0</v>
      </c>
      <c r="AY18" s="31">
        <f t="shared" si="39"/>
        <v>0</v>
      </c>
      <c r="AZ18" s="33"/>
      <c r="BA18" s="37">
        <f t="shared" si="8"/>
        <v>-1</v>
      </c>
      <c r="BB18" s="36">
        <f>[1]PN!$K18</f>
        <v>7314.45</v>
      </c>
      <c r="BC18" s="31">
        <f t="shared" si="40"/>
        <v>6840.4736400000002</v>
      </c>
      <c r="BD18" s="18">
        <f t="shared" si="41"/>
        <v>473.97636000000006</v>
      </c>
      <c r="BE18" s="31">
        <f t="shared" si="42"/>
        <v>0</v>
      </c>
      <c r="BF18" s="31">
        <f t="shared" si="43"/>
        <v>0</v>
      </c>
      <c r="BG18" s="27"/>
      <c r="BH18" s="37">
        <f t="shared" si="9"/>
        <v>-1</v>
      </c>
      <c r="BI18" s="36">
        <f>[1]PN!$L18</f>
        <v>7314.45</v>
      </c>
      <c r="BJ18" s="31">
        <f t="shared" si="44"/>
        <v>6840.4736400000002</v>
      </c>
      <c r="BK18" s="18">
        <f t="shared" si="45"/>
        <v>473.97636000000006</v>
      </c>
      <c r="BL18" s="31">
        <f t="shared" si="46"/>
        <v>0</v>
      </c>
      <c r="BM18" s="31">
        <f t="shared" si="47"/>
        <v>0</v>
      </c>
      <c r="BN18" s="33"/>
      <c r="BO18" s="37">
        <f t="shared" si="10"/>
        <v>-1</v>
      </c>
      <c r="BP18" s="36">
        <f>[1]PN!$M18</f>
        <v>7314.45</v>
      </c>
      <c r="BQ18" s="31">
        <f t="shared" si="48"/>
        <v>6840.4736400000002</v>
      </c>
      <c r="BR18" s="18">
        <f t="shared" si="49"/>
        <v>473.97636000000006</v>
      </c>
      <c r="BS18" s="31">
        <f t="shared" si="50"/>
        <v>0</v>
      </c>
      <c r="BT18" s="31">
        <f t="shared" si="51"/>
        <v>0</v>
      </c>
      <c r="BU18" s="33"/>
      <c r="BV18" s="37">
        <f t="shared" si="11"/>
        <v>-1</v>
      </c>
      <c r="BW18" s="36">
        <f>[1]PN!$N18</f>
        <v>7314.45</v>
      </c>
      <c r="BX18" s="31">
        <f t="shared" si="52"/>
        <v>6840.4736400000002</v>
      </c>
      <c r="BY18" s="18">
        <f t="shared" si="53"/>
        <v>473.97636000000006</v>
      </c>
      <c r="BZ18" s="31">
        <f t="shared" si="54"/>
        <v>0</v>
      </c>
      <c r="CA18" s="31">
        <f t="shared" si="55"/>
        <v>0</v>
      </c>
      <c r="CB18" s="33"/>
      <c r="CC18" s="37">
        <f t="shared" si="12"/>
        <v>-1</v>
      </c>
      <c r="CD18" s="36">
        <f>[1]PN!$O18</f>
        <v>7314.45</v>
      </c>
      <c r="CE18" s="31">
        <f t="shared" si="56"/>
        <v>6840.4736400000002</v>
      </c>
      <c r="CF18" s="18">
        <f t="shared" si="57"/>
        <v>473.97636000000006</v>
      </c>
      <c r="CG18" s="31">
        <f t="shared" si="58"/>
        <v>0</v>
      </c>
      <c r="CH18" s="31">
        <f t="shared" si="59"/>
        <v>0</v>
      </c>
      <c r="CI18" s="33"/>
      <c r="CJ18" s="37">
        <f t="shared" si="13"/>
        <v>-1</v>
      </c>
      <c r="CK18" s="36">
        <f>[1]PN!$P18</f>
        <v>7314.45</v>
      </c>
      <c r="CL18" s="31">
        <f t="shared" si="60"/>
        <v>6840.4736400000002</v>
      </c>
      <c r="CM18" s="18">
        <f t="shared" si="61"/>
        <v>473.97636000000006</v>
      </c>
      <c r="CN18" s="31">
        <f t="shared" si="62"/>
        <v>0</v>
      </c>
      <c r="CO18" s="31">
        <f t="shared" si="63"/>
        <v>0</v>
      </c>
      <c r="CP18" s="33"/>
      <c r="CQ18" s="37">
        <f t="shared" si="14"/>
        <v>-1</v>
      </c>
    </row>
    <row r="19" spans="1:95" s="26" customFormat="1" ht="16" customHeight="1" thickBot="1" x14ac:dyDescent="0.25">
      <c r="A19" s="38" t="s">
        <v>43</v>
      </c>
      <c r="B19" s="30">
        <f t="shared" si="0"/>
        <v>40000</v>
      </c>
      <c r="C19" s="31">
        <f t="shared" si="0"/>
        <v>37408</v>
      </c>
      <c r="D19" s="32">
        <f t="shared" si="0"/>
        <v>2592.0000000000005</v>
      </c>
      <c r="E19" s="30">
        <f t="shared" si="15"/>
        <v>13333.333333333334</v>
      </c>
      <c r="F19" s="33">
        <f t="shared" si="15"/>
        <v>12469.333333333334</v>
      </c>
      <c r="G19" s="34">
        <f t="shared" si="15"/>
        <v>864.00000000000023</v>
      </c>
      <c r="H19" s="31">
        <f t="shared" si="1"/>
        <v>19072.37528</v>
      </c>
      <c r="I19" s="33">
        <f t="shared" si="1"/>
        <v>1321.5247200000001</v>
      </c>
      <c r="J19" s="33">
        <f t="shared" si="1"/>
        <v>20393.899999999998</v>
      </c>
      <c r="K19" s="37">
        <f t="shared" si="2"/>
        <v>0.52954249999999981</v>
      </c>
      <c r="L19" s="36">
        <f>[1]PN!$E19</f>
        <v>3333.3333333333335</v>
      </c>
      <c r="M19" s="31">
        <f t="shared" si="16"/>
        <v>3117.3333333333335</v>
      </c>
      <c r="N19" s="31">
        <f t="shared" si="17"/>
        <v>216.00000000000006</v>
      </c>
      <c r="O19" s="31">
        <f t="shared" si="18"/>
        <v>3101.7684880000002</v>
      </c>
      <c r="P19" s="31">
        <f t="shared" si="19"/>
        <v>214.92151200000004</v>
      </c>
      <c r="Q19" s="31">
        <v>3316.69</v>
      </c>
      <c r="R19" s="31">
        <f t="shared" si="3"/>
        <v>-4.9930000000000252E-3</v>
      </c>
      <c r="S19" s="31">
        <f>[1]PN!$F19</f>
        <v>3333.3333333333335</v>
      </c>
      <c r="T19" s="31">
        <f t="shared" si="20"/>
        <v>3117.3333333333335</v>
      </c>
      <c r="U19" s="31">
        <f t="shared" si="21"/>
        <v>216.00000000000006</v>
      </c>
      <c r="V19" s="31">
        <f t="shared" si="22"/>
        <v>2719.7673439999999</v>
      </c>
      <c r="W19" s="31">
        <f t="shared" si="23"/>
        <v>188.45265600000002</v>
      </c>
      <c r="X19" s="31">
        <f>733+2175.22</f>
        <v>2908.22</v>
      </c>
      <c r="Y19" s="31">
        <f t="shared" si="4"/>
        <v>-0.12753400000000015</v>
      </c>
      <c r="Z19" s="31">
        <f>[1]PN!$G19</f>
        <v>3333.3333333333335</v>
      </c>
      <c r="AA19" s="31">
        <f t="shared" si="24"/>
        <v>3117.3333333333335</v>
      </c>
      <c r="AB19" s="31">
        <f t="shared" si="25"/>
        <v>216.00000000000006</v>
      </c>
      <c r="AC19" s="31">
        <f t="shared" si="26"/>
        <v>141.009456</v>
      </c>
      <c r="AD19" s="31">
        <f t="shared" si="27"/>
        <v>9.770544000000001</v>
      </c>
      <c r="AE19" s="31">
        <v>150.78</v>
      </c>
      <c r="AF19" s="31">
        <f t="shared" si="5"/>
        <v>-0.954766</v>
      </c>
      <c r="AG19" s="31">
        <f>[1]PN!$H19</f>
        <v>3333.3333333333335</v>
      </c>
      <c r="AH19" s="31">
        <f t="shared" si="28"/>
        <v>3117.3333333333335</v>
      </c>
      <c r="AI19" s="31">
        <f t="shared" si="29"/>
        <v>216.00000000000006</v>
      </c>
      <c r="AJ19" s="31">
        <f t="shared" si="30"/>
        <v>4540.1528479999997</v>
      </c>
      <c r="AK19" s="31">
        <f t="shared" si="31"/>
        <v>314.58715200000006</v>
      </c>
      <c r="AL19" s="31">
        <v>4854.74</v>
      </c>
      <c r="AM19" s="31">
        <f t="shared" si="6"/>
        <v>0.45642199999999988</v>
      </c>
      <c r="AN19" s="31">
        <f>[1]PN!$I19</f>
        <v>3333.3333333333335</v>
      </c>
      <c r="AO19" s="31">
        <f t="shared" si="32"/>
        <v>3117.3333333333335</v>
      </c>
      <c r="AP19" s="31">
        <f t="shared" si="33"/>
        <v>216.00000000000006</v>
      </c>
      <c r="AQ19" s="31">
        <f t="shared" si="34"/>
        <v>4986.1964879999996</v>
      </c>
      <c r="AR19" s="31">
        <f t="shared" si="35"/>
        <v>345.49351200000001</v>
      </c>
      <c r="AS19" s="33">
        <v>5331.69</v>
      </c>
      <c r="AT19" s="37">
        <f t="shared" si="7"/>
        <v>0.59950699999999979</v>
      </c>
      <c r="AU19" s="36">
        <f>[1]PN!$J19</f>
        <v>3333.3333333333335</v>
      </c>
      <c r="AV19" s="31">
        <f t="shared" si="36"/>
        <v>3117.3333333333335</v>
      </c>
      <c r="AW19" s="18">
        <f t="shared" si="37"/>
        <v>216.00000000000006</v>
      </c>
      <c r="AX19" s="31">
        <f t="shared" si="38"/>
        <v>3583.4806560000002</v>
      </c>
      <c r="AY19" s="31">
        <f t="shared" si="39"/>
        <v>248.29934400000005</v>
      </c>
      <c r="AZ19" s="33">
        <v>3831.78</v>
      </c>
      <c r="BA19" s="37">
        <f t="shared" si="8"/>
        <v>0.14953400000000006</v>
      </c>
      <c r="BB19" s="36">
        <f>[1]PN!$K19</f>
        <v>3333.3333333333335</v>
      </c>
      <c r="BC19" s="31">
        <f t="shared" si="40"/>
        <v>3117.3333333333335</v>
      </c>
      <c r="BD19" s="18">
        <f t="shared" si="41"/>
        <v>216.00000000000006</v>
      </c>
      <c r="BE19" s="31">
        <f t="shared" si="42"/>
        <v>0</v>
      </c>
      <c r="BF19" s="31">
        <f t="shared" si="43"/>
        <v>0</v>
      </c>
      <c r="BG19" s="27"/>
      <c r="BH19" s="37">
        <f t="shared" si="9"/>
        <v>-1</v>
      </c>
      <c r="BI19" s="36">
        <f>[1]PN!$L19</f>
        <v>3333.3333333333335</v>
      </c>
      <c r="BJ19" s="31">
        <f t="shared" si="44"/>
        <v>3117.3333333333335</v>
      </c>
      <c r="BK19" s="18">
        <f t="shared" si="45"/>
        <v>216.00000000000006</v>
      </c>
      <c r="BL19" s="31">
        <f t="shared" si="46"/>
        <v>0</v>
      </c>
      <c r="BM19" s="31">
        <f t="shared" si="47"/>
        <v>0</v>
      </c>
      <c r="BN19" s="33"/>
      <c r="BO19" s="37">
        <f t="shared" si="10"/>
        <v>-1</v>
      </c>
      <c r="BP19" s="36">
        <f>[1]PN!$M19</f>
        <v>3333.3333333333335</v>
      </c>
      <c r="BQ19" s="31">
        <f t="shared" si="48"/>
        <v>3117.3333333333335</v>
      </c>
      <c r="BR19" s="18">
        <f t="shared" si="49"/>
        <v>216.00000000000006</v>
      </c>
      <c r="BS19" s="31">
        <f t="shared" si="50"/>
        <v>0</v>
      </c>
      <c r="BT19" s="31">
        <f t="shared" si="51"/>
        <v>0</v>
      </c>
      <c r="BU19" s="33"/>
      <c r="BV19" s="37">
        <f t="shared" si="11"/>
        <v>-1</v>
      </c>
      <c r="BW19" s="36">
        <f>[1]PN!$N19</f>
        <v>3333.3333333333335</v>
      </c>
      <c r="BX19" s="31">
        <f t="shared" si="52"/>
        <v>3117.3333333333335</v>
      </c>
      <c r="BY19" s="18">
        <f t="shared" si="53"/>
        <v>216.00000000000006</v>
      </c>
      <c r="BZ19" s="31">
        <f t="shared" si="54"/>
        <v>0</v>
      </c>
      <c r="CA19" s="31">
        <f t="shared" si="55"/>
        <v>0</v>
      </c>
      <c r="CB19" s="33"/>
      <c r="CC19" s="37">
        <f t="shared" si="12"/>
        <v>-1</v>
      </c>
      <c r="CD19" s="36">
        <f>[1]PN!$O19</f>
        <v>3333.3333333333335</v>
      </c>
      <c r="CE19" s="31">
        <f t="shared" si="56"/>
        <v>3117.3333333333335</v>
      </c>
      <c r="CF19" s="18">
        <f t="shared" si="57"/>
        <v>216.00000000000006</v>
      </c>
      <c r="CG19" s="31">
        <f t="shared" si="58"/>
        <v>0</v>
      </c>
      <c r="CH19" s="31">
        <f t="shared" si="59"/>
        <v>0</v>
      </c>
      <c r="CI19" s="33"/>
      <c r="CJ19" s="37">
        <f t="shared" si="13"/>
        <v>-1</v>
      </c>
      <c r="CK19" s="36">
        <f>[1]PN!$P19</f>
        <v>3333.3333333333335</v>
      </c>
      <c r="CL19" s="31">
        <f t="shared" si="60"/>
        <v>3117.3333333333335</v>
      </c>
      <c r="CM19" s="18">
        <f t="shared" si="61"/>
        <v>216.00000000000006</v>
      </c>
      <c r="CN19" s="31">
        <f t="shared" si="62"/>
        <v>0</v>
      </c>
      <c r="CO19" s="31">
        <f t="shared" si="63"/>
        <v>0</v>
      </c>
      <c r="CP19" s="33"/>
      <c r="CQ19" s="37">
        <f t="shared" si="14"/>
        <v>-1</v>
      </c>
    </row>
    <row r="20" spans="1:95" s="26" customFormat="1" ht="16" customHeight="1" thickBot="1" x14ac:dyDescent="0.25">
      <c r="A20" s="29" t="s">
        <v>44</v>
      </c>
      <c r="B20" s="30">
        <f t="shared" si="0"/>
        <v>498024.0397714281</v>
      </c>
      <c r="C20" s="31">
        <f t="shared" si="0"/>
        <v>465752.08199423965</v>
      </c>
      <c r="D20" s="32">
        <f t="shared" si="0"/>
        <v>32271.957777188545</v>
      </c>
      <c r="E20" s="30">
        <f t="shared" si="15"/>
        <v>236515.84628571401</v>
      </c>
      <c r="F20" s="33">
        <f t="shared" si="15"/>
        <v>221189.61944639974</v>
      </c>
      <c r="G20" s="34">
        <f t="shared" si="15"/>
        <v>15326.226839314271</v>
      </c>
      <c r="H20" s="31">
        <f t="shared" si="1"/>
        <v>162405.793928</v>
      </c>
      <c r="I20" s="33">
        <f t="shared" si="1"/>
        <v>11253.096072</v>
      </c>
      <c r="J20" s="33">
        <f t="shared" si="1"/>
        <v>173658.88999999998</v>
      </c>
      <c r="K20" s="37">
        <f t="shared" si="2"/>
        <v>-0.26576213506549606</v>
      </c>
      <c r="L20" s="36">
        <f>[1]PN!$E20</f>
        <v>0</v>
      </c>
      <c r="M20" s="31">
        <f t="shared" si="16"/>
        <v>0</v>
      </c>
      <c r="N20" s="31">
        <f t="shared" si="17"/>
        <v>0</v>
      </c>
      <c r="O20" s="31">
        <f t="shared" si="18"/>
        <v>0</v>
      </c>
      <c r="P20" s="31">
        <f t="shared" si="19"/>
        <v>0</v>
      </c>
      <c r="Q20" s="31"/>
      <c r="R20" s="31" t="str">
        <f t="shared" si="3"/>
        <v/>
      </c>
      <c r="S20" s="31">
        <f>[1]PN!$F20</f>
        <v>0</v>
      </c>
      <c r="T20" s="31">
        <f t="shared" si="20"/>
        <v>0</v>
      </c>
      <c r="U20" s="31">
        <f t="shared" si="21"/>
        <v>0</v>
      </c>
      <c r="V20" s="31">
        <f t="shared" si="22"/>
        <v>0</v>
      </c>
      <c r="W20" s="31">
        <f t="shared" si="23"/>
        <v>0</v>
      </c>
      <c r="X20" s="31"/>
      <c r="Y20" s="31" t="str">
        <f t="shared" si="4"/>
        <v/>
      </c>
      <c r="Z20" s="31">
        <f>[1]PN!$G20</f>
        <v>236515.84628571401</v>
      </c>
      <c r="AA20" s="31">
        <f t="shared" si="24"/>
        <v>221189.61944639974</v>
      </c>
      <c r="AB20" s="31">
        <f t="shared" si="25"/>
        <v>15326.226839314271</v>
      </c>
      <c r="AC20" s="31">
        <f t="shared" si="26"/>
        <v>55390.380976</v>
      </c>
      <c r="AD20" s="31">
        <f t="shared" si="27"/>
        <v>3837.9990240000006</v>
      </c>
      <c r="AE20" s="31">
        <v>59228.38</v>
      </c>
      <c r="AF20" s="31">
        <f t="shared" si="5"/>
        <v>-0.74957965425939621</v>
      </c>
      <c r="AG20" s="31">
        <f>[1]PN!$H20</f>
        <v>0</v>
      </c>
      <c r="AH20" s="31">
        <f t="shared" si="28"/>
        <v>0</v>
      </c>
      <c r="AI20" s="31">
        <f t="shared" si="29"/>
        <v>0</v>
      </c>
      <c r="AJ20" s="31">
        <f t="shared" si="30"/>
        <v>38236.942575999994</v>
      </c>
      <c r="AK20" s="31">
        <f t="shared" si="31"/>
        <v>2649.4374240000002</v>
      </c>
      <c r="AL20" s="31">
        <v>40886.379999999997</v>
      </c>
      <c r="AM20" s="31" t="str">
        <f t="shared" si="6"/>
        <v/>
      </c>
      <c r="AN20" s="31">
        <f>[1]PN!$I20</f>
        <v>5487.6683999999896</v>
      </c>
      <c r="AO20" s="31">
        <f t="shared" si="32"/>
        <v>5132.0674876799903</v>
      </c>
      <c r="AP20" s="31">
        <f t="shared" si="33"/>
        <v>355.6009123199994</v>
      </c>
      <c r="AQ20" s="31">
        <f t="shared" si="34"/>
        <v>41695.517919999998</v>
      </c>
      <c r="AR20" s="31">
        <f t="shared" si="35"/>
        <v>2889.0820800000006</v>
      </c>
      <c r="AS20" s="33">
        <v>44584.6</v>
      </c>
      <c r="AT20" s="37">
        <f t="shared" si="7"/>
        <v>7.1245069399601633</v>
      </c>
      <c r="AU20" s="36">
        <f>[1]PN!$J20</f>
        <v>5487.6683999999896</v>
      </c>
      <c r="AV20" s="31">
        <f t="shared" si="36"/>
        <v>5132.0674876799903</v>
      </c>
      <c r="AW20" s="18">
        <f t="shared" si="37"/>
        <v>355.6009123199994</v>
      </c>
      <c r="AX20" s="31">
        <f t="shared" si="38"/>
        <v>27082.952455999999</v>
      </c>
      <c r="AY20" s="31">
        <f t="shared" si="39"/>
        <v>1876.5775440000002</v>
      </c>
      <c r="AZ20" s="33">
        <v>28959.53</v>
      </c>
      <c r="BA20" s="37">
        <f t="shared" si="8"/>
        <v>4.2772011515856265</v>
      </c>
      <c r="BB20" s="36">
        <f>[1]PN!$K20</f>
        <v>109470.6684</v>
      </c>
      <c r="BC20" s="31">
        <f t="shared" si="40"/>
        <v>102376.96908767999</v>
      </c>
      <c r="BD20" s="18">
        <f t="shared" si="41"/>
        <v>7093.6993123200009</v>
      </c>
      <c r="BE20" s="31">
        <f t="shared" si="42"/>
        <v>0</v>
      </c>
      <c r="BF20" s="31">
        <f t="shared" si="43"/>
        <v>0</v>
      </c>
      <c r="BG20" s="27"/>
      <c r="BH20" s="37">
        <f t="shared" si="9"/>
        <v>-1</v>
      </c>
      <c r="BI20" s="36">
        <f>[1]PN!$L20</f>
        <v>15128.514685714201</v>
      </c>
      <c r="BJ20" s="31">
        <f t="shared" si="44"/>
        <v>14148.18693407992</v>
      </c>
      <c r="BK20" s="18">
        <f t="shared" si="45"/>
        <v>980.32775163428039</v>
      </c>
      <c r="BL20" s="31">
        <f t="shared" si="46"/>
        <v>0</v>
      </c>
      <c r="BM20" s="31">
        <f t="shared" si="47"/>
        <v>0</v>
      </c>
      <c r="BN20" s="33"/>
      <c r="BO20" s="37">
        <f t="shared" si="10"/>
        <v>-1</v>
      </c>
      <c r="BP20" s="36">
        <f>[1]PN!$M20</f>
        <v>109470.6684</v>
      </c>
      <c r="BQ20" s="31">
        <f t="shared" si="48"/>
        <v>102376.96908767999</v>
      </c>
      <c r="BR20" s="18">
        <f t="shared" si="49"/>
        <v>7093.6993123200009</v>
      </c>
      <c r="BS20" s="31">
        <f t="shared" si="50"/>
        <v>0</v>
      </c>
      <c r="BT20" s="31">
        <f t="shared" si="51"/>
        <v>0</v>
      </c>
      <c r="BU20" s="33"/>
      <c r="BV20" s="37">
        <f t="shared" si="11"/>
        <v>-1</v>
      </c>
      <c r="BW20" s="36">
        <f>[1]PN!$N20</f>
        <v>5487.6683999999896</v>
      </c>
      <c r="BX20" s="31">
        <f t="shared" si="52"/>
        <v>5132.0674876799903</v>
      </c>
      <c r="BY20" s="18">
        <f t="shared" si="53"/>
        <v>355.6009123199994</v>
      </c>
      <c r="BZ20" s="31">
        <f t="shared" si="54"/>
        <v>0</v>
      </c>
      <c r="CA20" s="31">
        <f t="shared" si="55"/>
        <v>0</v>
      </c>
      <c r="CB20" s="33"/>
      <c r="CC20" s="37">
        <f t="shared" si="12"/>
        <v>-1</v>
      </c>
      <c r="CD20" s="36">
        <f>[1]PN!$O20</f>
        <v>5487.6683999999896</v>
      </c>
      <c r="CE20" s="31">
        <f t="shared" si="56"/>
        <v>5132.0674876799903</v>
      </c>
      <c r="CF20" s="18">
        <f t="shared" si="57"/>
        <v>355.6009123199994</v>
      </c>
      <c r="CG20" s="31">
        <f t="shared" si="58"/>
        <v>0</v>
      </c>
      <c r="CH20" s="31">
        <f t="shared" si="59"/>
        <v>0</v>
      </c>
      <c r="CI20" s="33"/>
      <c r="CJ20" s="37">
        <f t="shared" si="13"/>
        <v>-1</v>
      </c>
      <c r="CK20" s="36">
        <f>[1]PN!$P20</f>
        <v>5487.6683999999896</v>
      </c>
      <c r="CL20" s="31">
        <f t="shared" si="60"/>
        <v>5132.0674876799903</v>
      </c>
      <c r="CM20" s="18">
        <f t="shared" si="61"/>
        <v>355.6009123199994</v>
      </c>
      <c r="CN20" s="31">
        <f t="shared" si="62"/>
        <v>0</v>
      </c>
      <c r="CO20" s="31">
        <f t="shared" si="63"/>
        <v>0</v>
      </c>
      <c r="CP20" s="33"/>
      <c r="CQ20" s="37">
        <f t="shared" si="14"/>
        <v>-1</v>
      </c>
    </row>
    <row r="21" spans="1:95" s="26" customFormat="1" ht="16" customHeight="1" thickBot="1" x14ac:dyDescent="0.25">
      <c r="A21" s="38" t="s">
        <v>45</v>
      </c>
      <c r="B21" s="30">
        <f t="shared" si="0"/>
        <v>139380.42720000001</v>
      </c>
      <c r="C21" s="31">
        <f t="shared" si="0"/>
        <v>130348.57551744001</v>
      </c>
      <c r="D21" s="32">
        <f t="shared" si="0"/>
        <v>9031.8516825600018</v>
      </c>
      <c r="E21" s="30">
        <f t="shared" si="15"/>
        <v>139380.42720000001</v>
      </c>
      <c r="F21" s="33">
        <f t="shared" si="15"/>
        <v>130348.57551744001</v>
      </c>
      <c r="G21" s="34">
        <f t="shared" si="15"/>
        <v>9031.8516825600018</v>
      </c>
      <c r="H21" s="31">
        <f t="shared" si="1"/>
        <v>66647.028000000006</v>
      </c>
      <c r="I21" s="33">
        <f t="shared" si="1"/>
        <v>4617.9720000000007</v>
      </c>
      <c r="J21" s="33">
        <f t="shared" si="1"/>
        <v>71265</v>
      </c>
      <c r="K21" s="37">
        <f t="shared" si="2"/>
        <v>-0.48870152408314615</v>
      </c>
      <c r="L21" s="36">
        <f>[1]PN!$E21</f>
        <v>139380.42720000001</v>
      </c>
      <c r="M21" s="31">
        <f t="shared" si="16"/>
        <v>130348.57551744001</v>
      </c>
      <c r="N21" s="31">
        <f t="shared" si="17"/>
        <v>9031.8516825600018</v>
      </c>
      <c r="O21" s="31">
        <f t="shared" si="18"/>
        <v>12162.276</v>
      </c>
      <c r="P21" s="31">
        <f t="shared" si="19"/>
        <v>842.72400000000016</v>
      </c>
      <c r="Q21" s="31">
        <f>13005</f>
        <v>13005</v>
      </c>
      <c r="R21" s="31">
        <f t="shared" si="3"/>
        <v>-0.90669421624501956</v>
      </c>
      <c r="S21" s="31">
        <f>[1]PN!$F21</f>
        <v>0</v>
      </c>
      <c r="T21" s="31">
        <f t="shared" si="20"/>
        <v>0</v>
      </c>
      <c r="U21" s="31">
        <f t="shared" si="21"/>
        <v>0</v>
      </c>
      <c r="V21" s="31">
        <f t="shared" si="22"/>
        <v>54484.752</v>
      </c>
      <c r="W21" s="31">
        <f t="shared" si="23"/>
        <v>3775.2480000000005</v>
      </c>
      <c r="X21" s="31">
        <v>58260</v>
      </c>
      <c r="Y21" s="31" t="str">
        <f t="shared" si="4"/>
        <v/>
      </c>
      <c r="Z21" s="31">
        <f>[1]PN!$G21</f>
        <v>0</v>
      </c>
      <c r="AA21" s="31">
        <f t="shared" si="24"/>
        <v>0</v>
      </c>
      <c r="AB21" s="31">
        <f t="shared" si="25"/>
        <v>0</v>
      </c>
      <c r="AC21" s="31">
        <f t="shared" si="26"/>
        <v>0</v>
      </c>
      <c r="AD21" s="31">
        <f t="shared" si="27"/>
        <v>0</v>
      </c>
      <c r="AE21" s="31"/>
      <c r="AF21" s="31" t="str">
        <f t="shared" si="5"/>
        <v/>
      </c>
      <c r="AG21" s="31">
        <f>[1]PN!$H21</f>
        <v>0</v>
      </c>
      <c r="AH21" s="31">
        <f t="shared" si="28"/>
        <v>0</v>
      </c>
      <c r="AI21" s="31">
        <f t="shared" si="29"/>
        <v>0</v>
      </c>
      <c r="AJ21" s="31">
        <f t="shared" si="30"/>
        <v>0</v>
      </c>
      <c r="AK21" s="31">
        <f t="shared" si="31"/>
        <v>0</v>
      </c>
      <c r="AL21" s="31"/>
      <c r="AM21" s="31" t="str">
        <f t="shared" si="6"/>
        <v/>
      </c>
      <c r="AN21" s="31">
        <f>[1]PN!$I21</f>
        <v>0</v>
      </c>
      <c r="AO21" s="31">
        <f t="shared" si="32"/>
        <v>0</v>
      </c>
      <c r="AP21" s="31">
        <f t="shared" si="33"/>
        <v>0</v>
      </c>
      <c r="AQ21" s="31">
        <f t="shared" si="34"/>
        <v>0</v>
      </c>
      <c r="AR21" s="31">
        <f t="shared" si="35"/>
        <v>0</v>
      </c>
      <c r="AS21" s="33"/>
      <c r="AT21" s="37" t="str">
        <f t="shared" si="7"/>
        <v/>
      </c>
      <c r="AU21" s="36">
        <f>[1]PN!$J21</f>
        <v>0</v>
      </c>
      <c r="AV21" s="31">
        <f t="shared" si="36"/>
        <v>0</v>
      </c>
      <c r="AW21" s="18">
        <f t="shared" si="37"/>
        <v>0</v>
      </c>
      <c r="AX21" s="31">
        <f t="shared" si="38"/>
        <v>0</v>
      </c>
      <c r="AY21" s="31">
        <f t="shared" si="39"/>
        <v>0</v>
      </c>
      <c r="AZ21" s="33"/>
      <c r="BA21" s="37" t="str">
        <f t="shared" si="8"/>
        <v/>
      </c>
      <c r="BB21" s="36">
        <f>[1]PN!$K21</f>
        <v>0</v>
      </c>
      <c r="BC21" s="31">
        <f t="shared" si="40"/>
        <v>0</v>
      </c>
      <c r="BD21" s="18">
        <f t="shared" si="41"/>
        <v>0</v>
      </c>
      <c r="BE21" s="31">
        <f t="shared" si="42"/>
        <v>0</v>
      </c>
      <c r="BF21" s="31">
        <f t="shared" si="43"/>
        <v>0</v>
      </c>
      <c r="BG21" s="27"/>
      <c r="BH21" s="37" t="str">
        <f t="shared" si="9"/>
        <v/>
      </c>
      <c r="BI21" s="36">
        <f>[1]PN!$L21</f>
        <v>0</v>
      </c>
      <c r="BJ21" s="31">
        <f t="shared" si="44"/>
        <v>0</v>
      </c>
      <c r="BK21" s="18">
        <f t="shared" si="45"/>
        <v>0</v>
      </c>
      <c r="BL21" s="31">
        <f t="shared" si="46"/>
        <v>0</v>
      </c>
      <c r="BM21" s="31">
        <f t="shared" si="47"/>
        <v>0</v>
      </c>
      <c r="BN21" s="33"/>
      <c r="BO21" s="37" t="str">
        <f t="shared" si="10"/>
        <v/>
      </c>
      <c r="BP21" s="36">
        <f>[1]PN!$M21</f>
        <v>0</v>
      </c>
      <c r="BQ21" s="31">
        <f t="shared" si="48"/>
        <v>0</v>
      </c>
      <c r="BR21" s="18">
        <f t="shared" si="49"/>
        <v>0</v>
      </c>
      <c r="BS21" s="31">
        <f t="shared" si="50"/>
        <v>0</v>
      </c>
      <c r="BT21" s="31">
        <f t="shared" si="51"/>
        <v>0</v>
      </c>
      <c r="BU21" s="33"/>
      <c r="BV21" s="37" t="str">
        <f t="shared" si="11"/>
        <v/>
      </c>
      <c r="BW21" s="36">
        <f>[1]PN!$N21</f>
        <v>0</v>
      </c>
      <c r="BX21" s="31">
        <f t="shared" si="52"/>
        <v>0</v>
      </c>
      <c r="BY21" s="18">
        <f t="shared" si="53"/>
        <v>0</v>
      </c>
      <c r="BZ21" s="31">
        <f t="shared" si="54"/>
        <v>0</v>
      </c>
      <c r="CA21" s="31">
        <f t="shared" si="55"/>
        <v>0</v>
      </c>
      <c r="CB21" s="33"/>
      <c r="CC21" s="37" t="str">
        <f t="shared" si="12"/>
        <v/>
      </c>
      <c r="CD21" s="36">
        <f>[1]PN!$O21</f>
        <v>0</v>
      </c>
      <c r="CE21" s="31">
        <f t="shared" si="56"/>
        <v>0</v>
      </c>
      <c r="CF21" s="18">
        <f t="shared" si="57"/>
        <v>0</v>
      </c>
      <c r="CG21" s="31">
        <f t="shared" si="58"/>
        <v>0</v>
      </c>
      <c r="CH21" s="31">
        <f t="shared" si="59"/>
        <v>0</v>
      </c>
      <c r="CI21" s="33"/>
      <c r="CJ21" s="37" t="str">
        <f t="shared" si="13"/>
        <v/>
      </c>
      <c r="CK21" s="36">
        <f>[1]PN!$P21</f>
        <v>0</v>
      </c>
      <c r="CL21" s="31">
        <f t="shared" si="60"/>
        <v>0</v>
      </c>
      <c r="CM21" s="18">
        <f t="shared" si="61"/>
        <v>0</v>
      </c>
      <c r="CN21" s="31">
        <f t="shared" si="62"/>
        <v>0</v>
      </c>
      <c r="CO21" s="31">
        <f t="shared" si="63"/>
        <v>0</v>
      </c>
      <c r="CP21" s="33"/>
      <c r="CQ21" s="37" t="str">
        <f t="shared" si="14"/>
        <v/>
      </c>
    </row>
    <row r="22" spans="1:95" s="26" customFormat="1" ht="16" customHeight="1" thickBot="1" x14ac:dyDescent="0.25">
      <c r="A22" s="38" t="s">
        <v>46</v>
      </c>
      <c r="B22" s="30">
        <f t="shared" si="0"/>
        <v>138974.43999999881</v>
      </c>
      <c r="C22" s="31">
        <f t="shared" si="0"/>
        <v>129968.89628799893</v>
      </c>
      <c r="D22" s="32">
        <f t="shared" si="0"/>
        <v>9005.5437119999224</v>
      </c>
      <c r="E22" s="30">
        <f t="shared" si="15"/>
        <v>46324.813333332939</v>
      </c>
      <c r="F22" s="33">
        <f t="shared" si="15"/>
        <v>43322.965429332966</v>
      </c>
      <c r="G22" s="34">
        <f t="shared" si="15"/>
        <v>3001.8479039999747</v>
      </c>
      <c r="H22" s="31">
        <f t="shared" si="1"/>
        <v>159580.367688</v>
      </c>
      <c r="I22" s="33">
        <f t="shared" si="1"/>
        <v>11057.322312000002</v>
      </c>
      <c r="J22" s="33">
        <f t="shared" si="1"/>
        <v>170637.69</v>
      </c>
      <c r="K22" s="37">
        <f t="shared" si="2"/>
        <v>2.6835051826796668</v>
      </c>
      <c r="L22" s="36">
        <f>[1]PN!$E22</f>
        <v>11581.203333333235</v>
      </c>
      <c r="M22" s="31">
        <f t="shared" si="16"/>
        <v>10830.741357333241</v>
      </c>
      <c r="N22" s="31">
        <f t="shared" si="17"/>
        <v>750.46197599999368</v>
      </c>
      <c r="O22" s="31">
        <f t="shared" si="18"/>
        <v>9849.4048240000011</v>
      </c>
      <c r="P22" s="31">
        <f t="shared" si="19"/>
        <v>682.46517600000016</v>
      </c>
      <c r="Q22" s="31">
        <f>10531.87</f>
        <v>10531.87</v>
      </c>
      <c r="R22" s="31">
        <f t="shared" si="3"/>
        <v>-9.0606589240430968E-2</v>
      </c>
      <c r="S22" s="31">
        <f>[1]PN!$F22</f>
        <v>11581.203333333235</v>
      </c>
      <c r="T22" s="31">
        <f t="shared" si="20"/>
        <v>10830.741357333241</v>
      </c>
      <c r="U22" s="31">
        <f t="shared" si="21"/>
        <v>750.46197599999368</v>
      </c>
      <c r="V22" s="31">
        <f t="shared" si="22"/>
        <v>12334.240575999998</v>
      </c>
      <c r="W22" s="31">
        <f t="shared" si="23"/>
        <v>854.63942400000008</v>
      </c>
      <c r="X22" s="31">
        <v>13188.88</v>
      </c>
      <c r="Y22" s="31">
        <f t="shared" si="4"/>
        <v>0.13881775670404806</v>
      </c>
      <c r="Z22" s="31">
        <f>[1]PN!$G22</f>
        <v>11581.203333333235</v>
      </c>
      <c r="AA22" s="31">
        <f t="shared" si="24"/>
        <v>10830.741357333241</v>
      </c>
      <c r="AB22" s="31">
        <f t="shared" si="25"/>
        <v>750.46197599999368</v>
      </c>
      <c r="AC22" s="31">
        <f t="shared" si="26"/>
        <v>4818.1410479999995</v>
      </c>
      <c r="AD22" s="31">
        <f t="shared" si="27"/>
        <v>333.84895200000005</v>
      </c>
      <c r="AE22" s="31">
        <v>5151.99</v>
      </c>
      <c r="AF22" s="31">
        <f t="shared" si="5"/>
        <v>-0.55514208224188188</v>
      </c>
      <c r="AG22" s="31">
        <f>[1]PN!$H22</f>
        <v>11581.203333333235</v>
      </c>
      <c r="AH22" s="31">
        <f t="shared" si="28"/>
        <v>10830.741357333241</v>
      </c>
      <c r="AI22" s="31">
        <f t="shared" si="29"/>
        <v>750.46197599999368</v>
      </c>
      <c r="AJ22" s="31">
        <f t="shared" si="30"/>
        <v>3302.2192560000003</v>
      </c>
      <c r="AK22" s="31">
        <f t="shared" si="31"/>
        <v>228.81074400000006</v>
      </c>
      <c r="AL22" s="31">
        <f>3531.03</f>
        <v>3531.03</v>
      </c>
      <c r="AM22" s="31">
        <f t="shared" si="6"/>
        <v>-0.69510681244694805</v>
      </c>
      <c r="AN22" s="31">
        <f>[1]PN!$I22</f>
        <v>11581.203333333235</v>
      </c>
      <c r="AO22" s="31">
        <f t="shared" si="32"/>
        <v>10830.741357333241</v>
      </c>
      <c r="AP22" s="31">
        <f t="shared" si="33"/>
        <v>750.46197599999368</v>
      </c>
      <c r="AQ22" s="31">
        <f t="shared" si="34"/>
        <v>52027.682335999998</v>
      </c>
      <c r="AR22" s="31">
        <f t="shared" si="35"/>
        <v>3604.9976640000004</v>
      </c>
      <c r="AS22" s="33">
        <v>55632.68</v>
      </c>
      <c r="AT22" s="37">
        <f t="shared" si="7"/>
        <v>3.8037046236704075</v>
      </c>
      <c r="AU22" s="36">
        <f>[1]PN!$J22</f>
        <v>11581.203333333235</v>
      </c>
      <c r="AV22" s="31">
        <f t="shared" si="36"/>
        <v>10830.741357333241</v>
      </c>
      <c r="AW22" s="18">
        <f t="shared" si="37"/>
        <v>750.46197599999368</v>
      </c>
      <c r="AX22" s="31">
        <f t="shared" si="38"/>
        <v>77248.679648000005</v>
      </c>
      <c r="AY22" s="31">
        <f t="shared" si="39"/>
        <v>5352.5603520000013</v>
      </c>
      <c r="AZ22" s="33">
        <v>82601.240000000005</v>
      </c>
      <c r="BA22" s="37">
        <f t="shared" si="8"/>
        <v>6.1323538342734718</v>
      </c>
      <c r="BB22" s="36">
        <f>[1]PN!$K22</f>
        <v>11581.203333333235</v>
      </c>
      <c r="BC22" s="31">
        <f t="shared" si="40"/>
        <v>10830.741357333241</v>
      </c>
      <c r="BD22" s="18">
        <f t="shared" si="41"/>
        <v>750.46197599999368</v>
      </c>
      <c r="BE22" s="31">
        <f t="shared" si="42"/>
        <v>0</v>
      </c>
      <c r="BF22" s="31">
        <f t="shared" si="43"/>
        <v>0</v>
      </c>
      <c r="BG22" s="27"/>
      <c r="BH22" s="37">
        <f t="shared" si="9"/>
        <v>-1</v>
      </c>
      <c r="BI22" s="36">
        <f>[1]PN!$L22</f>
        <v>11581.203333333235</v>
      </c>
      <c r="BJ22" s="31">
        <f t="shared" si="44"/>
        <v>10830.741357333241</v>
      </c>
      <c r="BK22" s="18">
        <f t="shared" si="45"/>
        <v>750.46197599999368</v>
      </c>
      <c r="BL22" s="31">
        <f t="shared" si="46"/>
        <v>0</v>
      </c>
      <c r="BM22" s="31">
        <f t="shared" si="47"/>
        <v>0</v>
      </c>
      <c r="BN22" s="33"/>
      <c r="BO22" s="37">
        <f t="shared" si="10"/>
        <v>-1</v>
      </c>
      <c r="BP22" s="36">
        <f>[1]PN!$M22</f>
        <v>11581.203333333235</v>
      </c>
      <c r="BQ22" s="31">
        <f t="shared" si="48"/>
        <v>10830.741357333241</v>
      </c>
      <c r="BR22" s="18">
        <f t="shared" si="49"/>
        <v>750.46197599999368</v>
      </c>
      <c r="BS22" s="31">
        <f t="shared" si="50"/>
        <v>0</v>
      </c>
      <c r="BT22" s="31">
        <f t="shared" si="51"/>
        <v>0</v>
      </c>
      <c r="BU22" s="33"/>
      <c r="BV22" s="37">
        <f t="shared" si="11"/>
        <v>-1</v>
      </c>
      <c r="BW22" s="36">
        <f>[1]PN!$N22</f>
        <v>11581.203333333235</v>
      </c>
      <c r="BX22" s="31">
        <f t="shared" si="52"/>
        <v>10830.741357333241</v>
      </c>
      <c r="BY22" s="18">
        <f t="shared" si="53"/>
        <v>750.46197599999368</v>
      </c>
      <c r="BZ22" s="31">
        <f t="shared" si="54"/>
        <v>0</v>
      </c>
      <c r="CA22" s="31">
        <f t="shared" si="55"/>
        <v>0</v>
      </c>
      <c r="CB22" s="33"/>
      <c r="CC22" s="37">
        <f t="shared" si="12"/>
        <v>-1</v>
      </c>
      <c r="CD22" s="36">
        <f>[1]PN!$O22</f>
        <v>11581.203333333235</v>
      </c>
      <c r="CE22" s="31">
        <f t="shared" si="56"/>
        <v>10830.741357333241</v>
      </c>
      <c r="CF22" s="18">
        <f t="shared" si="57"/>
        <v>750.46197599999368</v>
      </c>
      <c r="CG22" s="31">
        <f t="shared" si="58"/>
        <v>0</v>
      </c>
      <c r="CH22" s="31">
        <f t="shared" si="59"/>
        <v>0</v>
      </c>
      <c r="CI22" s="33"/>
      <c r="CJ22" s="37">
        <f t="shared" si="13"/>
        <v>-1</v>
      </c>
      <c r="CK22" s="36">
        <f>[1]PN!$P22</f>
        <v>11581.203333333235</v>
      </c>
      <c r="CL22" s="31">
        <f t="shared" si="60"/>
        <v>10830.741357333241</v>
      </c>
      <c r="CM22" s="18">
        <f t="shared" si="61"/>
        <v>750.46197599999368</v>
      </c>
      <c r="CN22" s="31">
        <f t="shared" si="62"/>
        <v>0</v>
      </c>
      <c r="CO22" s="31">
        <f t="shared" si="63"/>
        <v>0</v>
      </c>
      <c r="CP22" s="33"/>
      <c r="CQ22" s="37">
        <f t="shared" si="14"/>
        <v>-1</v>
      </c>
    </row>
    <row r="23" spans="1:95" s="26" customFormat="1" ht="16" customHeight="1" thickBot="1" x14ac:dyDescent="0.25">
      <c r="A23" s="29" t="s">
        <v>47</v>
      </c>
      <c r="B23" s="30">
        <f t="shared" si="0"/>
        <v>0</v>
      </c>
      <c r="C23" s="31">
        <f t="shared" si="0"/>
        <v>0</v>
      </c>
      <c r="D23" s="32">
        <f t="shared" si="0"/>
        <v>0</v>
      </c>
      <c r="E23" s="30">
        <f t="shared" si="15"/>
        <v>0</v>
      </c>
      <c r="F23" s="33">
        <f t="shared" si="15"/>
        <v>0</v>
      </c>
      <c r="G23" s="34">
        <f t="shared" si="15"/>
        <v>0</v>
      </c>
      <c r="H23" s="31">
        <f t="shared" si="1"/>
        <v>0</v>
      </c>
      <c r="I23" s="33">
        <f t="shared" si="1"/>
        <v>0</v>
      </c>
      <c r="J23" s="33">
        <f t="shared" si="1"/>
        <v>0</v>
      </c>
      <c r="K23" s="37" t="str">
        <f t="shared" si="2"/>
        <v/>
      </c>
      <c r="L23" s="36">
        <f>[1]PN!$E23</f>
        <v>0</v>
      </c>
      <c r="M23" s="31">
        <f t="shared" si="16"/>
        <v>0</v>
      </c>
      <c r="N23" s="31">
        <f t="shared" si="17"/>
        <v>0</v>
      </c>
      <c r="O23" s="31">
        <f t="shared" si="18"/>
        <v>0</v>
      </c>
      <c r="P23" s="31">
        <f t="shared" si="19"/>
        <v>0</v>
      </c>
      <c r="Q23" s="31"/>
      <c r="R23" s="31" t="str">
        <f t="shared" si="3"/>
        <v/>
      </c>
      <c r="S23" s="31">
        <f>[1]PN!$F23</f>
        <v>0</v>
      </c>
      <c r="T23" s="31">
        <f t="shared" si="20"/>
        <v>0</v>
      </c>
      <c r="U23" s="31">
        <f t="shared" si="21"/>
        <v>0</v>
      </c>
      <c r="V23" s="31">
        <f t="shared" si="22"/>
        <v>0</v>
      </c>
      <c r="W23" s="31">
        <f t="shared" si="23"/>
        <v>0</v>
      </c>
      <c r="X23" s="31"/>
      <c r="Y23" s="31" t="str">
        <f t="shared" si="4"/>
        <v/>
      </c>
      <c r="Z23" s="31">
        <f>[1]PN!$G23</f>
        <v>0</v>
      </c>
      <c r="AA23" s="31">
        <f t="shared" si="24"/>
        <v>0</v>
      </c>
      <c r="AB23" s="31">
        <f t="shared" si="25"/>
        <v>0</v>
      </c>
      <c r="AC23" s="31">
        <f t="shared" si="26"/>
        <v>0</v>
      </c>
      <c r="AD23" s="31">
        <f t="shared" si="27"/>
        <v>0</v>
      </c>
      <c r="AE23" s="31"/>
      <c r="AF23" s="31" t="str">
        <f t="shared" si="5"/>
        <v/>
      </c>
      <c r="AG23" s="31">
        <f>[1]PN!$H23</f>
        <v>0</v>
      </c>
      <c r="AH23" s="31">
        <f t="shared" si="28"/>
        <v>0</v>
      </c>
      <c r="AI23" s="31">
        <f t="shared" si="29"/>
        <v>0</v>
      </c>
      <c r="AJ23" s="31">
        <f t="shared" si="30"/>
        <v>0</v>
      </c>
      <c r="AK23" s="31">
        <f t="shared" si="31"/>
        <v>0</v>
      </c>
      <c r="AL23" s="31"/>
      <c r="AM23" s="31" t="str">
        <f t="shared" si="6"/>
        <v/>
      </c>
      <c r="AN23" s="31">
        <f>[1]PN!$I23</f>
        <v>0</v>
      </c>
      <c r="AO23" s="31">
        <f t="shared" si="32"/>
        <v>0</v>
      </c>
      <c r="AP23" s="31">
        <f t="shared" si="33"/>
        <v>0</v>
      </c>
      <c r="AQ23" s="31">
        <f t="shared" si="34"/>
        <v>0</v>
      </c>
      <c r="AR23" s="31">
        <f t="shared" si="35"/>
        <v>0</v>
      </c>
      <c r="AS23" s="33"/>
      <c r="AT23" s="37" t="str">
        <f t="shared" si="7"/>
        <v/>
      </c>
      <c r="AU23" s="36">
        <f>[1]PN!$J23</f>
        <v>0</v>
      </c>
      <c r="AV23" s="31">
        <f t="shared" si="36"/>
        <v>0</v>
      </c>
      <c r="AW23" s="18">
        <f t="shared" si="37"/>
        <v>0</v>
      </c>
      <c r="AX23" s="31">
        <f t="shared" si="38"/>
        <v>0</v>
      </c>
      <c r="AY23" s="31">
        <f t="shared" si="39"/>
        <v>0</v>
      </c>
      <c r="AZ23" s="33"/>
      <c r="BA23" s="37" t="str">
        <f t="shared" si="8"/>
        <v/>
      </c>
      <c r="BB23" s="36">
        <f>[1]PN!$K23</f>
        <v>0</v>
      </c>
      <c r="BC23" s="31">
        <f t="shared" si="40"/>
        <v>0</v>
      </c>
      <c r="BD23" s="18">
        <f t="shared" si="41"/>
        <v>0</v>
      </c>
      <c r="BE23" s="31">
        <f t="shared" si="42"/>
        <v>0</v>
      </c>
      <c r="BF23" s="31">
        <f t="shared" si="43"/>
        <v>0</v>
      </c>
      <c r="BG23" s="27"/>
      <c r="BH23" s="37" t="str">
        <f t="shared" si="9"/>
        <v/>
      </c>
      <c r="BI23" s="36">
        <f>[1]PN!$L23</f>
        <v>0</v>
      </c>
      <c r="BJ23" s="31">
        <f t="shared" si="44"/>
        <v>0</v>
      </c>
      <c r="BK23" s="18">
        <f t="shared" si="45"/>
        <v>0</v>
      </c>
      <c r="BL23" s="31">
        <f t="shared" si="46"/>
        <v>0</v>
      </c>
      <c r="BM23" s="31">
        <f t="shared" si="47"/>
        <v>0</v>
      </c>
      <c r="BN23" s="33"/>
      <c r="BO23" s="37" t="str">
        <f t="shared" si="10"/>
        <v/>
      </c>
      <c r="BP23" s="36">
        <f>[1]PN!$M23</f>
        <v>0</v>
      </c>
      <c r="BQ23" s="31">
        <f t="shared" si="48"/>
        <v>0</v>
      </c>
      <c r="BR23" s="18">
        <f t="shared" si="49"/>
        <v>0</v>
      </c>
      <c r="BS23" s="31">
        <f t="shared" si="50"/>
        <v>0</v>
      </c>
      <c r="BT23" s="31">
        <f t="shared" si="51"/>
        <v>0</v>
      </c>
      <c r="BU23" s="33"/>
      <c r="BV23" s="37" t="str">
        <f t="shared" si="11"/>
        <v/>
      </c>
      <c r="BW23" s="36">
        <f>[1]PN!$N23</f>
        <v>0</v>
      </c>
      <c r="BX23" s="31">
        <f t="shared" si="52"/>
        <v>0</v>
      </c>
      <c r="BY23" s="18">
        <f t="shared" si="53"/>
        <v>0</v>
      </c>
      <c r="BZ23" s="31">
        <f t="shared" si="54"/>
        <v>0</v>
      </c>
      <c r="CA23" s="31">
        <f t="shared" si="55"/>
        <v>0</v>
      </c>
      <c r="CB23" s="33"/>
      <c r="CC23" s="37" t="str">
        <f t="shared" si="12"/>
        <v/>
      </c>
      <c r="CD23" s="36">
        <f>[1]PN!$O23</f>
        <v>0</v>
      </c>
      <c r="CE23" s="31">
        <f t="shared" si="56"/>
        <v>0</v>
      </c>
      <c r="CF23" s="18">
        <f t="shared" si="57"/>
        <v>0</v>
      </c>
      <c r="CG23" s="31">
        <f t="shared" si="58"/>
        <v>0</v>
      </c>
      <c r="CH23" s="31">
        <f t="shared" si="59"/>
        <v>0</v>
      </c>
      <c r="CI23" s="33"/>
      <c r="CJ23" s="37" t="str">
        <f t="shared" si="13"/>
        <v/>
      </c>
      <c r="CK23" s="36">
        <f>[1]PN!$P23</f>
        <v>0</v>
      </c>
      <c r="CL23" s="31">
        <f t="shared" si="60"/>
        <v>0</v>
      </c>
      <c r="CM23" s="18">
        <f t="shared" si="61"/>
        <v>0</v>
      </c>
      <c r="CN23" s="31">
        <f t="shared" si="62"/>
        <v>0</v>
      </c>
      <c r="CO23" s="31">
        <f t="shared" si="63"/>
        <v>0</v>
      </c>
      <c r="CP23" s="33"/>
      <c r="CQ23" s="37" t="str">
        <f t="shared" si="14"/>
        <v/>
      </c>
    </row>
    <row r="24" spans="1:95" s="26" customFormat="1" ht="16" customHeight="1" thickBot="1" x14ac:dyDescent="0.25">
      <c r="A24" s="29" t="s">
        <v>48</v>
      </c>
      <c r="B24" s="30">
        <f t="shared" si="0"/>
        <v>129095.84777868644</v>
      </c>
      <c r="C24" s="31">
        <f t="shared" si="0"/>
        <v>120730.43684262756</v>
      </c>
      <c r="D24" s="32">
        <f t="shared" si="0"/>
        <v>8365.4109360588809</v>
      </c>
      <c r="E24" s="30">
        <f t="shared" si="15"/>
        <v>43664.149003562139</v>
      </c>
      <c r="F24" s="33">
        <f t="shared" si="15"/>
        <v>40834.712148131315</v>
      </c>
      <c r="G24" s="34">
        <f t="shared" si="15"/>
        <v>2829.4368554308271</v>
      </c>
      <c r="H24" s="31">
        <f t="shared" si="1"/>
        <v>13098.916208000001</v>
      </c>
      <c r="I24" s="33">
        <f t="shared" si="1"/>
        <v>907.62379200000009</v>
      </c>
      <c r="J24" s="33">
        <f t="shared" si="1"/>
        <v>14006.54</v>
      </c>
      <c r="K24" s="37">
        <f t="shared" si="2"/>
        <v>-0.67922104702287123</v>
      </c>
      <c r="L24" s="36">
        <f>[1]PN!$E24</f>
        <v>10916.037250890535</v>
      </c>
      <c r="M24" s="31">
        <f t="shared" si="16"/>
        <v>10208.678037032829</v>
      </c>
      <c r="N24" s="31">
        <f t="shared" si="17"/>
        <v>707.35921385770678</v>
      </c>
      <c r="O24" s="31">
        <f t="shared" si="18"/>
        <v>0</v>
      </c>
      <c r="P24" s="31">
        <f t="shared" si="19"/>
        <v>0</v>
      </c>
      <c r="Q24" s="31"/>
      <c r="R24" s="31">
        <f t="shared" si="3"/>
        <v>-1</v>
      </c>
      <c r="S24" s="31">
        <f>[1]PN!$F24</f>
        <v>10916.037250890535</v>
      </c>
      <c r="T24" s="31">
        <f t="shared" si="20"/>
        <v>10208.678037032829</v>
      </c>
      <c r="U24" s="31">
        <f t="shared" si="21"/>
        <v>707.35921385770678</v>
      </c>
      <c r="V24" s="31">
        <f t="shared" si="22"/>
        <v>0</v>
      </c>
      <c r="W24" s="31">
        <f t="shared" si="23"/>
        <v>0</v>
      </c>
      <c r="X24" s="31"/>
      <c r="Y24" s="31">
        <f t="shared" si="4"/>
        <v>-1</v>
      </c>
      <c r="Z24" s="31">
        <f>[1]PN!$G24</f>
        <v>10916.037250890535</v>
      </c>
      <c r="AA24" s="31">
        <f t="shared" si="24"/>
        <v>10208.678037032829</v>
      </c>
      <c r="AB24" s="31">
        <f t="shared" si="25"/>
        <v>707.35921385770678</v>
      </c>
      <c r="AC24" s="31">
        <f t="shared" si="26"/>
        <v>0</v>
      </c>
      <c r="AD24" s="31">
        <f t="shared" si="27"/>
        <v>0</v>
      </c>
      <c r="AE24" s="31"/>
      <c r="AF24" s="31">
        <f t="shared" si="5"/>
        <v>-1</v>
      </c>
      <c r="AG24" s="31">
        <f>[1]PN!$H24</f>
        <v>10916.037250890535</v>
      </c>
      <c r="AH24" s="31">
        <f t="shared" si="28"/>
        <v>10208.678037032829</v>
      </c>
      <c r="AI24" s="31">
        <f t="shared" si="29"/>
        <v>707.35921385770678</v>
      </c>
      <c r="AJ24" s="31">
        <f t="shared" si="30"/>
        <v>0</v>
      </c>
      <c r="AK24" s="31">
        <f t="shared" si="31"/>
        <v>0</v>
      </c>
      <c r="AL24" s="31"/>
      <c r="AM24" s="31">
        <f t="shared" si="6"/>
        <v>-1</v>
      </c>
      <c r="AN24" s="31">
        <f>[1]PN!$I24</f>
        <v>10916.037250890535</v>
      </c>
      <c r="AO24" s="31">
        <f t="shared" si="32"/>
        <v>10208.678037032829</v>
      </c>
      <c r="AP24" s="31">
        <f t="shared" si="33"/>
        <v>707.35921385770678</v>
      </c>
      <c r="AQ24" s="31">
        <f t="shared" si="34"/>
        <v>143.64671999999999</v>
      </c>
      <c r="AR24" s="31">
        <f t="shared" si="35"/>
        <v>9.9532800000000012</v>
      </c>
      <c r="AS24" s="33">
        <v>153.6</v>
      </c>
      <c r="AT24" s="37">
        <f t="shared" si="7"/>
        <v>-0.98592895970674077</v>
      </c>
      <c r="AU24" s="36">
        <f>[1]PN!$J24</f>
        <v>10916.037250890535</v>
      </c>
      <c r="AV24" s="31">
        <f t="shared" si="36"/>
        <v>10208.678037032829</v>
      </c>
      <c r="AW24" s="18">
        <f t="shared" si="37"/>
        <v>707.35921385770678</v>
      </c>
      <c r="AX24" s="31">
        <f t="shared" si="38"/>
        <v>12955.269488</v>
      </c>
      <c r="AY24" s="31">
        <f t="shared" si="39"/>
        <v>897.67051200000014</v>
      </c>
      <c r="AZ24" s="33">
        <v>13852.94</v>
      </c>
      <c r="BA24" s="37">
        <f t="shared" si="8"/>
        <v>0.26904477161525553</v>
      </c>
      <c r="BB24" s="36">
        <f>[1]PN!$K24</f>
        <v>9019.4380188905343</v>
      </c>
      <c r="BC24" s="31">
        <f t="shared" si="40"/>
        <v>8434.9784352664283</v>
      </c>
      <c r="BD24" s="18">
        <f t="shared" si="41"/>
        <v>584.4595836241067</v>
      </c>
      <c r="BE24" s="31">
        <f t="shared" si="42"/>
        <v>0</v>
      </c>
      <c r="BF24" s="31">
        <f t="shared" si="43"/>
        <v>0</v>
      </c>
      <c r="BG24" s="27"/>
      <c r="BH24" s="37">
        <f t="shared" si="9"/>
        <v>-1</v>
      </c>
      <c r="BI24" s="36">
        <f>[1]PN!$L24</f>
        <v>10916.037250890535</v>
      </c>
      <c r="BJ24" s="31">
        <f t="shared" si="44"/>
        <v>10208.678037032829</v>
      </c>
      <c r="BK24" s="18">
        <f t="shared" si="45"/>
        <v>707.35921385770678</v>
      </c>
      <c r="BL24" s="31">
        <f t="shared" si="46"/>
        <v>0</v>
      </c>
      <c r="BM24" s="31">
        <f t="shared" si="47"/>
        <v>0</v>
      </c>
      <c r="BN24" s="33"/>
      <c r="BO24" s="37">
        <f t="shared" si="10"/>
        <v>-1</v>
      </c>
      <c r="BP24" s="36">
        <f>[1]PN!$M24</f>
        <v>10916.037250890535</v>
      </c>
      <c r="BQ24" s="31">
        <f t="shared" si="48"/>
        <v>10208.678037032829</v>
      </c>
      <c r="BR24" s="18">
        <f t="shared" si="49"/>
        <v>707.35921385770678</v>
      </c>
      <c r="BS24" s="31">
        <f t="shared" si="50"/>
        <v>0</v>
      </c>
      <c r="BT24" s="31">
        <f t="shared" si="51"/>
        <v>0</v>
      </c>
      <c r="BU24" s="33"/>
      <c r="BV24" s="37">
        <f t="shared" si="11"/>
        <v>-1</v>
      </c>
      <c r="BW24" s="36">
        <f>[1]PN!$N24</f>
        <v>10916.037250890535</v>
      </c>
      <c r="BX24" s="31">
        <f t="shared" si="52"/>
        <v>10208.678037032829</v>
      </c>
      <c r="BY24" s="18">
        <f t="shared" si="53"/>
        <v>707.35921385770678</v>
      </c>
      <c r="BZ24" s="31">
        <f t="shared" si="54"/>
        <v>0</v>
      </c>
      <c r="CA24" s="31">
        <f t="shared" si="55"/>
        <v>0</v>
      </c>
      <c r="CB24" s="33"/>
      <c r="CC24" s="37">
        <f t="shared" si="12"/>
        <v>-1</v>
      </c>
      <c r="CD24" s="36">
        <f>[1]PN!$O24</f>
        <v>10916.037250890535</v>
      </c>
      <c r="CE24" s="31">
        <f t="shared" si="56"/>
        <v>10208.678037032829</v>
      </c>
      <c r="CF24" s="18">
        <f t="shared" si="57"/>
        <v>707.35921385770678</v>
      </c>
      <c r="CG24" s="31">
        <f t="shared" si="58"/>
        <v>0</v>
      </c>
      <c r="CH24" s="31">
        <f t="shared" si="59"/>
        <v>0</v>
      </c>
      <c r="CI24" s="33"/>
      <c r="CJ24" s="37">
        <f t="shared" si="13"/>
        <v>-1</v>
      </c>
      <c r="CK24" s="36">
        <f>[1]PN!$P24</f>
        <v>10916.037250890535</v>
      </c>
      <c r="CL24" s="31">
        <f t="shared" si="60"/>
        <v>10208.678037032829</v>
      </c>
      <c r="CM24" s="18">
        <f t="shared" si="61"/>
        <v>707.35921385770678</v>
      </c>
      <c r="CN24" s="31">
        <f t="shared" si="62"/>
        <v>0</v>
      </c>
      <c r="CO24" s="31">
        <f t="shared" si="63"/>
        <v>0</v>
      </c>
      <c r="CP24" s="33"/>
      <c r="CQ24" s="37">
        <f t="shared" si="14"/>
        <v>-1</v>
      </c>
    </row>
    <row r="25" spans="1:95" s="26" customFormat="1" ht="16" customHeight="1" thickBot="1" x14ac:dyDescent="0.25">
      <c r="A25" s="29" t="s">
        <v>49</v>
      </c>
      <c r="B25" s="30">
        <f t="shared" si="0"/>
        <v>365136.64269299904</v>
      </c>
      <c r="C25" s="31">
        <f t="shared" si="0"/>
        <v>341475.78824649274</v>
      </c>
      <c r="D25" s="32">
        <f t="shared" si="0"/>
        <v>23660.854446506342</v>
      </c>
      <c r="E25" s="30">
        <f t="shared" si="15"/>
        <v>103743.1001699998</v>
      </c>
      <c r="F25" s="33">
        <f t="shared" si="15"/>
        <v>97020.54727898381</v>
      </c>
      <c r="G25" s="34">
        <f t="shared" si="15"/>
        <v>6722.5528910159883</v>
      </c>
      <c r="H25" s="31">
        <f t="shared" si="1"/>
        <v>195135.56815199999</v>
      </c>
      <c r="I25" s="33">
        <f t="shared" si="1"/>
        <v>13520.941848000002</v>
      </c>
      <c r="J25" s="33">
        <f t="shared" si="1"/>
        <v>208656.51</v>
      </c>
      <c r="K25" s="37">
        <f t="shared" si="2"/>
        <v>1.0112808433339922</v>
      </c>
      <c r="L25" s="36">
        <f>[1]PN!$E25</f>
        <v>0</v>
      </c>
      <c r="M25" s="31">
        <f t="shared" si="16"/>
        <v>0</v>
      </c>
      <c r="N25" s="31">
        <f t="shared" si="17"/>
        <v>0</v>
      </c>
      <c r="O25" s="31">
        <f t="shared" si="18"/>
        <v>0</v>
      </c>
      <c r="P25" s="31">
        <f t="shared" si="19"/>
        <v>0</v>
      </c>
      <c r="Q25" s="31"/>
      <c r="R25" s="31" t="str">
        <f t="shared" si="3"/>
        <v/>
      </c>
      <c r="S25" s="31">
        <f>[1]PN!$F25</f>
        <v>0</v>
      </c>
      <c r="T25" s="31">
        <f t="shared" si="20"/>
        <v>0</v>
      </c>
      <c r="U25" s="31">
        <f t="shared" si="21"/>
        <v>0</v>
      </c>
      <c r="V25" s="31">
        <f t="shared" si="22"/>
        <v>15071.804775999999</v>
      </c>
      <c r="W25" s="31">
        <f t="shared" si="23"/>
        <v>1044.3252240000002</v>
      </c>
      <c r="X25" s="31">
        <v>16116.13</v>
      </c>
      <c r="Y25" s="31" t="str">
        <f t="shared" si="4"/>
        <v/>
      </c>
      <c r="Z25" s="31">
        <f>[1]PN!$G25</f>
        <v>42775.264559999901</v>
      </c>
      <c r="AA25" s="31">
        <f t="shared" si="24"/>
        <v>40003.427416511906</v>
      </c>
      <c r="AB25" s="31">
        <f t="shared" si="25"/>
        <v>2771.8371434879941</v>
      </c>
      <c r="AC25" s="31">
        <f t="shared" si="26"/>
        <v>30319.006312000001</v>
      </c>
      <c r="AD25" s="31">
        <f t="shared" si="27"/>
        <v>2100.8036880000004</v>
      </c>
      <c r="AE25" s="31">
        <v>32419.81</v>
      </c>
      <c r="AF25" s="31">
        <f t="shared" si="5"/>
        <v>-0.24208978404971726</v>
      </c>
      <c r="AG25" s="31">
        <f>[1]PN!$H25</f>
        <v>60967.8356099999</v>
      </c>
      <c r="AH25" s="31">
        <f t="shared" si="28"/>
        <v>57017.119862471904</v>
      </c>
      <c r="AI25" s="31">
        <f t="shared" si="29"/>
        <v>3950.7157475279942</v>
      </c>
      <c r="AJ25" s="31">
        <f t="shared" si="30"/>
        <v>38551.412927999998</v>
      </c>
      <c r="AK25" s="31">
        <f t="shared" si="31"/>
        <v>2671.2270720000006</v>
      </c>
      <c r="AL25" s="31">
        <v>41222.639999999999</v>
      </c>
      <c r="AM25" s="31">
        <f t="shared" si="6"/>
        <v>-0.32386249917589838</v>
      </c>
      <c r="AN25" s="31">
        <f>[1]PN!$I25</f>
        <v>60967.8356099999</v>
      </c>
      <c r="AO25" s="31">
        <f t="shared" si="32"/>
        <v>57017.119862471904</v>
      </c>
      <c r="AP25" s="31">
        <f t="shared" si="33"/>
        <v>3950.7157475279942</v>
      </c>
      <c r="AQ25" s="31">
        <f t="shared" si="34"/>
        <v>36589.120175999997</v>
      </c>
      <c r="AR25" s="31">
        <f t="shared" si="35"/>
        <v>2535.2598240000002</v>
      </c>
      <c r="AS25" s="33">
        <v>39124.379999999997</v>
      </c>
      <c r="AT25" s="37">
        <f t="shared" si="7"/>
        <v>-0.35827835105921257</v>
      </c>
      <c r="AU25" s="36">
        <f>[1]PN!$J25</f>
        <v>62987.486189999901</v>
      </c>
      <c r="AV25" s="31">
        <f t="shared" si="36"/>
        <v>58905.897084887911</v>
      </c>
      <c r="AW25" s="18">
        <f t="shared" si="37"/>
        <v>4081.5891051119943</v>
      </c>
      <c r="AX25" s="31">
        <f t="shared" si="38"/>
        <v>74604.223960000003</v>
      </c>
      <c r="AY25" s="31">
        <f t="shared" si="39"/>
        <v>5169.3260400000008</v>
      </c>
      <c r="AZ25" s="33">
        <v>79773.55</v>
      </c>
      <c r="BA25" s="37">
        <f t="shared" si="8"/>
        <v>0.26649839238488471</v>
      </c>
      <c r="BB25" s="36">
        <f>[1]PN!$K25</f>
        <v>29665.715189999901</v>
      </c>
      <c r="BC25" s="31">
        <f t="shared" si="40"/>
        <v>27743.376845687908</v>
      </c>
      <c r="BD25" s="18">
        <f t="shared" si="41"/>
        <v>1922.338344311994</v>
      </c>
      <c r="BE25" s="31">
        <f t="shared" si="42"/>
        <v>0</v>
      </c>
      <c r="BF25" s="31">
        <f t="shared" si="43"/>
        <v>0</v>
      </c>
      <c r="BG25" s="27"/>
      <c r="BH25" s="37">
        <f t="shared" si="9"/>
        <v>-1</v>
      </c>
      <c r="BI25" s="36">
        <f>[1]PN!$L25</f>
        <v>29665.715189999901</v>
      </c>
      <c r="BJ25" s="31">
        <f t="shared" si="44"/>
        <v>27743.376845687908</v>
      </c>
      <c r="BK25" s="18">
        <f t="shared" si="45"/>
        <v>1922.338344311994</v>
      </c>
      <c r="BL25" s="31">
        <f t="shared" si="46"/>
        <v>0</v>
      </c>
      <c r="BM25" s="31">
        <f t="shared" si="47"/>
        <v>0</v>
      </c>
      <c r="BN25" s="33"/>
      <c r="BO25" s="37">
        <f t="shared" si="10"/>
        <v>-1</v>
      </c>
      <c r="BP25" s="36">
        <f>[1]PN!$M25</f>
        <v>29665.715189999901</v>
      </c>
      <c r="BQ25" s="31">
        <f t="shared" si="48"/>
        <v>27743.376845687908</v>
      </c>
      <c r="BR25" s="18">
        <f t="shared" si="49"/>
        <v>1922.338344311994</v>
      </c>
      <c r="BS25" s="31">
        <f t="shared" si="50"/>
        <v>0</v>
      </c>
      <c r="BT25" s="31">
        <f t="shared" si="51"/>
        <v>0</v>
      </c>
      <c r="BU25" s="33"/>
      <c r="BV25" s="37">
        <f t="shared" si="11"/>
        <v>-1</v>
      </c>
      <c r="BW25" s="36">
        <f>[1]PN!$N25</f>
        <v>24576.335804999901</v>
      </c>
      <c r="BX25" s="31">
        <f t="shared" si="52"/>
        <v>22983.789244835905</v>
      </c>
      <c r="BY25" s="18">
        <f t="shared" si="53"/>
        <v>1592.5465601639937</v>
      </c>
      <c r="BZ25" s="31">
        <f t="shared" si="54"/>
        <v>0</v>
      </c>
      <c r="CA25" s="31">
        <f t="shared" si="55"/>
        <v>0</v>
      </c>
      <c r="CB25" s="33"/>
      <c r="CC25" s="37">
        <f t="shared" si="12"/>
        <v>-1</v>
      </c>
      <c r="CD25" s="36">
        <f>[1]PN!$O25</f>
        <v>11932.3696739999</v>
      </c>
      <c r="CE25" s="31">
        <f t="shared" si="56"/>
        <v>11159.152119124707</v>
      </c>
      <c r="CF25" s="18">
        <f t="shared" si="57"/>
        <v>773.21755487519363</v>
      </c>
      <c r="CG25" s="31">
        <f t="shared" si="58"/>
        <v>0</v>
      </c>
      <c r="CH25" s="31">
        <f t="shared" si="59"/>
        <v>0</v>
      </c>
      <c r="CI25" s="33"/>
      <c r="CJ25" s="37">
        <f t="shared" si="13"/>
        <v>-1</v>
      </c>
      <c r="CK25" s="36">
        <f>[1]PN!$P25</f>
        <v>11932.3696739999</v>
      </c>
      <c r="CL25" s="31">
        <f t="shared" si="60"/>
        <v>11159.152119124707</v>
      </c>
      <c r="CM25" s="18">
        <f t="shared" si="61"/>
        <v>773.21755487519363</v>
      </c>
      <c r="CN25" s="31">
        <f t="shared" si="62"/>
        <v>0</v>
      </c>
      <c r="CO25" s="31">
        <f t="shared" si="63"/>
        <v>0</v>
      </c>
      <c r="CP25" s="33"/>
      <c r="CQ25" s="37">
        <f t="shared" si="14"/>
        <v>-1</v>
      </c>
    </row>
    <row r="26" spans="1:95" s="26" customFormat="1" ht="16" customHeight="1" thickBot="1" x14ac:dyDescent="0.25">
      <c r="A26" s="29" t="s">
        <v>50</v>
      </c>
      <c r="B26" s="30">
        <f t="shared" si="0"/>
        <v>1451366.3957276554</v>
      </c>
      <c r="C26" s="31">
        <f t="shared" si="0"/>
        <v>1357317.8532845033</v>
      </c>
      <c r="D26" s="32">
        <f t="shared" si="0"/>
        <v>94048.542443152095</v>
      </c>
      <c r="E26" s="30">
        <f t="shared" si="15"/>
        <v>398961.97145501606</v>
      </c>
      <c r="F26" s="33">
        <f t="shared" si="15"/>
        <v>373109.23570473096</v>
      </c>
      <c r="G26" s="34">
        <f t="shared" si="15"/>
        <v>25852.735750285039</v>
      </c>
      <c r="H26" s="31">
        <f t="shared" si="1"/>
        <v>704759.86498399999</v>
      </c>
      <c r="I26" s="33">
        <f t="shared" si="1"/>
        <v>48832.805016000006</v>
      </c>
      <c r="J26" s="33">
        <f t="shared" si="1"/>
        <v>753592.67</v>
      </c>
      <c r="K26" s="37">
        <f t="shared" si="2"/>
        <v>0.88888346238024707</v>
      </c>
      <c r="L26" s="36">
        <f>[1]PN!$E26</f>
        <v>42762.113243834574</v>
      </c>
      <c r="M26" s="31">
        <f t="shared" si="16"/>
        <v>39991.128305634091</v>
      </c>
      <c r="N26" s="31">
        <f t="shared" si="17"/>
        <v>2770.9849382004809</v>
      </c>
      <c r="O26" s="31">
        <f t="shared" si="18"/>
        <v>81031.395311999993</v>
      </c>
      <c r="P26" s="31">
        <f t="shared" si="19"/>
        <v>5614.6646880000008</v>
      </c>
      <c r="Q26" s="31">
        <f>86646.06</f>
        <v>86646.06</v>
      </c>
      <c r="R26" s="31">
        <f t="shared" si="3"/>
        <v>1.026234286082496</v>
      </c>
      <c r="S26" s="31">
        <f>[1]PN!$F26</f>
        <v>87204.704123833799</v>
      </c>
      <c r="T26" s="31">
        <f t="shared" si="20"/>
        <v>81553.839296609367</v>
      </c>
      <c r="U26" s="31">
        <f t="shared" si="21"/>
        <v>5650.8648272244309</v>
      </c>
      <c r="V26" s="31">
        <f t="shared" si="22"/>
        <v>118171.488568</v>
      </c>
      <c r="W26" s="31">
        <f t="shared" si="23"/>
        <v>8188.1014320000013</v>
      </c>
      <c r="X26" s="31">
        <f>125673.59+686</f>
        <v>126359.59</v>
      </c>
      <c r="Y26" s="31">
        <f t="shared" si="4"/>
        <v>0.44899969869245648</v>
      </c>
      <c r="Z26" s="31">
        <f>[1]PN!$G26</f>
        <v>134497.57704367381</v>
      </c>
      <c r="AA26" s="31">
        <f t="shared" si="24"/>
        <v>125782.13405124375</v>
      </c>
      <c r="AB26" s="31">
        <f t="shared" si="25"/>
        <v>8715.4429924300639</v>
      </c>
      <c r="AC26" s="31">
        <f t="shared" si="26"/>
        <v>140596.836408</v>
      </c>
      <c r="AD26" s="31">
        <f t="shared" si="27"/>
        <v>9741.9535920000017</v>
      </c>
      <c r="AE26" s="31">
        <f>149652.79+686</f>
        <v>150338.79</v>
      </c>
      <c r="AF26" s="31">
        <f t="shared" si="5"/>
        <v>0.11778065675623495</v>
      </c>
      <c r="AG26" s="31">
        <f>[1]PN!$H26</f>
        <v>134497.57704367381</v>
      </c>
      <c r="AH26" s="31">
        <f t="shared" si="28"/>
        <v>125782.13405124375</v>
      </c>
      <c r="AI26" s="31">
        <f t="shared" si="29"/>
        <v>8715.4429924300639</v>
      </c>
      <c r="AJ26" s="31">
        <f t="shared" si="30"/>
        <v>164174.22907199999</v>
      </c>
      <c r="AK26" s="31">
        <f t="shared" si="31"/>
        <v>11375.630928</v>
      </c>
      <c r="AL26" s="31">
        <v>175549.86</v>
      </c>
      <c r="AM26" s="31">
        <f t="shared" si="6"/>
        <v>0.30522693314390148</v>
      </c>
      <c r="AN26" s="31">
        <f>[1]PN!$I26</f>
        <v>150775.93592383378</v>
      </c>
      <c r="AO26" s="31">
        <f t="shared" si="32"/>
        <v>141005.65527596936</v>
      </c>
      <c r="AP26" s="31">
        <f t="shared" si="33"/>
        <v>9770.2806478644306</v>
      </c>
      <c r="AQ26" s="31">
        <f t="shared" si="34"/>
        <v>161362.64379199999</v>
      </c>
      <c r="AR26" s="31">
        <f t="shared" si="35"/>
        <v>11180.816208000002</v>
      </c>
      <c r="AS26" s="33">
        <v>172543.46</v>
      </c>
      <c r="AT26" s="37">
        <f t="shared" si="7"/>
        <v>0.14437001463656851</v>
      </c>
      <c r="AU26" s="36">
        <f>[1]PN!$J26</f>
        <v>116571.63510367372</v>
      </c>
      <c r="AV26" s="31">
        <f t="shared" si="36"/>
        <v>109017.79314895566</v>
      </c>
      <c r="AW26" s="18">
        <f t="shared" si="37"/>
        <v>7553.8419547180583</v>
      </c>
      <c r="AX26" s="31">
        <f t="shared" si="38"/>
        <v>39423.271832000006</v>
      </c>
      <c r="AY26" s="31">
        <f t="shared" si="39"/>
        <v>2731.6381680000009</v>
      </c>
      <c r="AZ26" s="33">
        <v>42154.91</v>
      </c>
      <c r="BA26" s="37">
        <f t="shared" si="8"/>
        <v>-0.63837763824356353</v>
      </c>
      <c r="BB26" s="36">
        <f>[1]PN!$K26</f>
        <v>100293.27622351371</v>
      </c>
      <c r="BC26" s="31">
        <f t="shared" si="40"/>
        <v>93794.271924230023</v>
      </c>
      <c r="BD26" s="18">
        <f t="shared" si="41"/>
        <v>6499.0042992836889</v>
      </c>
      <c r="BE26" s="31">
        <f t="shared" si="42"/>
        <v>0</v>
      </c>
      <c r="BF26" s="31">
        <f t="shared" si="43"/>
        <v>0</v>
      </c>
      <c r="BG26" s="27"/>
      <c r="BH26" s="37">
        <f t="shared" si="9"/>
        <v>-1</v>
      </c>
      <c r="BI26" s="36">
        <f>[1]PN!$L26</f>
        <v>134497.57704367381</v>
      </c>
      <c r="BJ26" s="31">
        <f t="shared" si="44"/>
        <v>125782.13405124375</v>
      </c>
      <c r="BK26" s="18">
        <f t="shared" si="45"/>
        <v>8715.4429924300639</v>
      </c>
      <c r="BL26" s="31">
        <f t="shared" si="46"/>
        <v>0</v>
      </c>
      <c r="BM26" s="31">
        <f t="shared" si="47"/>
        <v>0</v>
      </c>
      <c r="BN26" s="33"/>
      <c r="BO26" s="37">
        <f t="shared" si="10"/>
        <v>-1</v>
      </c>
      <c r="BP26" s="36">
        <f>[1]PN!$M26</f>
        <v>168747.94696190575</v>
      </c>
      <c r="BQ26" s="31">
        <f t="shared" si="48"/>
        <v>157813.07999877425</v>
      </c>
      <c r="BR26" s="18">
        <f t="shared" si="49"/>
        <v>10934.866963131495</v>
      </c>
      <c r="BS26" s="31">
        <f t="shared" si="50"/>
        <v>0</v>
      </c>
      <c r="BT26" s="31">
        <f t="shared" si="51"/>
        <v>0</v>
      </c>
      <c r="BU26" s="33"/>
      <c r="BV26" s="37">
        <f t="shared" si="11"/>
        <v>-1</v>
      </c>
      <c r="BW26" s="36">
        <f>[1]PN!$N26</f>
        <v>159963.02897206572</v>
      </c>
      <c r="BX26" s="31">
        <f t="shared" si="52"/>
        <v>149597.42469467586</v>
      </c>
      <c r="BY26" s="18">
        <f t="shared" si="53"/>
        <v>10365.604277389861</v>
      </c>
      <c r="BZ26" s="31">
        <f t="shared" si="54"/>
        <v>0</v>
      </c>
      <c r="CA26" s="31">
        <f t="shared" si="55"/>
        <v>0</v>
      </c>
      <c r="CB26" s="33"/>
      <c r="CC26" s="37">
        <f t="shared" si="12"/>
        <v>-1</v>
      </c>
      <c r="CD26" s="36">
        <f>[1]PN!$O26</f>
        <v>112202.65304190648</v>
      </c>
      <c r="CE26" s="31">
        <f t="shared" si="56"/>
        <v>104931.92112479094</v>
      </c>
      <c r="CF26" s="18">
        <f t="shared" si="57"/>
        <v>7270.7319171155414</v>
      </c>
      <c r="CG26" s="31">
        <f t="shared" si="58"/>
        <v>0</v>
      </c>
      <c r="CH26" s="31">
        <f t="shared" si="59"/>
        <v>0</v>
      </c>
      <c r="CI26" s="33"/>
      <c r="CJ26" s="37">
        <f t="shared" si="13"/>
        <v>-1</v>
      </c>
      <c r="CK26" s="36">
        <f>[1]PN!$P26</f>
        <v>109352.3710020665</v>
      </c>
      <c r="CL26" s="31">
        <f t="shared" si="60"/>
        <v>102266.3373611326</v>
      </c>
      <c r="CM26" s="18">
        <f t="shared" si="61"/>
        <v>7086.0336409339106</v>
      </c>
      <c r="CN26" s="31">
        <f t="shared" si="62"/>
        <v>0</v>
      </c>
      <c r="CO26" s="31">
        <f t="shared" si="63"/>
        <v>0</v>
      </c>
      <c r="CP26" s="33"/>
      <c r="CQ26" s="37">
        <f t="shared" si="14"/>
        <v>-1</v>
      </c>
    </row>
    <row r="27" spans="1:95" s="26" customFormat="1" ht="16" customHeight="1" thickBot="1" x14ac:dyDescent="0.25">
      <c r="A27" s="29" t="s">
        <v>51</v>
      </c>
      <c r="B27" s="30">
        <f t="shared" si="0"/>
        <v>88262.714498999441</v>
      </c>
      <c r="C27" s="31">
        <f t="shared" si="0"/>
        <v>82543.290599464279</v>
      </c>
      <c r="D27" s="32">
        <f t="shared" si="0"/>
        <v>5719.4238995351634</v>
      </c>
      <c r="E27" s="30">
        <f t="shared" si="15"/>
        <v>31277.765513999781</v>
      </c>
      <c r="F27" s="33">
        <f t="shared" si="15"/>
        <v>29250.966308692594</v>
      </c>
      <c r="G27" s="34">
        <f t="shared" si="15"/>
        <v>2026.7992053071862</v>
      </c>
      <c r="H27" s="31">
        <f t="shared" si="1"/>
        <v>122015.618816</v>
      </c>
      <c r="I27" s="33">
        <f t="shared" si="1"/>
        <v>8454.4611840000016</v>
      </c>
      <c r="J27" s="33">
        <f t="shared" si="1"/>
        <v>130470.07999999999</v>
      </c>
      <c r="K27" s="37">
        <f t="shared" si="2"/>
        <v>3.1713363424763257</v>
      </c>
      <c r="L27" s="36">
        <f>[1]PN!$E27</f>
        <v>2903.3251919999898</v>
      </c>
      <c r="M27" s="31">
        <f t="shared" si="16"/>
        <v>2715.1897195583906</v>
      </c>
      <c r="N27" s="31">
        <f t="shared" si="17"/>
        <v>188.13547244159938</v>
      </c>
      <c r="O27" s="31">
        <f t="shared" si="18"/>
        <v>9462.6809200000007</v>
      </c>
      <c r="P27" s="31">
        <f t="shared" si="19"/>
        <v>655.66908000000012</v>
      </c>
      <c r="Q27" s="31">
        <f>10118.35</f>
        <v>10118.35</v>
      </c>
      <c r="R27" s="31">
        <f t="shared" si="3"/>
        <v>2.4850901400507106</v>
      </c>
      <c r="S27" s="31">
        <f>[1]PN!$F27</f>
        <v>10481.2029359999</v>
      </c>
      <c r="T27" s="31">
        <f t="shared" si="20"/>
        <v>9802.0209857471054</v>
      </c>
      <c r="U27" s="31">
        <f t="shared" si="21"/>
        <v>679.18195025279363</v>
      </c>
      <c r="V27" s="31">
        <f t="shared" si="22"/>
        <v>18095.521472</v>
      </c>
      <c r="W27" s="31">
        <f t="shared" si="23"/>
        <v>1253.8385280000002</v>
      </c>
      <c r="X27" s="31">
        <v>19349.36</v>
      </c>
      <c r="Y27" s="31">
        <f t="shared" si="4"/>
        <v>0.84610107428991266</v>
      </c>
      <c r="Z27" s="31">
        <f>[1]PN!$G27</f>
        <v>10481.2029359999</v>
      </c>
      <c r="AA27" s="31">
        <f t="shared" si="24"/>
        <v>9802.0209857471054</v>
      </c>
      <c r="AB27" s="31">
        <f t="shared" si="25"/>
        <v>679.18195025279363</v>
      </c>
      <c r="AC27" s="31">
        <f t="shared" si="26"/>
        <v>10498.190472</v>
      </c>
      <c r="AD27" s="31">
        <f t="shared" si="27"/>
        <v>727.41952800000013</v>
      </c>
      <c r="AE27" s="31">
        <v>11225.61</v>
      </c>
      <c r="AF27" s="31">
        <f t="shared" si="5"/>
        <v>7.1023056088655334E-2</v>
      </c>
      <c r="AG27" s="31">
        <f>[1]PN!$H27</f>
        <v>7412.0344499999901</v>
      </c>
      <c r="AH27" s="31">
        <f t="shared" si="28"/>
        <v>6931.7346176399906</v>
      </c>
      <c r="AI27" s="31">
        <f t="shared" si="29"/>
        <v>480.29983235999941</v>
      </c>
      <c r="AJ27" s="31">
        <f t="shared" si="30"/>
        <v>20405.933072</v>
      </c>
      <c r="AK27" s="31">
        <f t="shared" si="31"/>
        <v>1413.9269280000003</v>
      </c>
      <c r="AL27" s="31">
        <v>21819.86</v>
      </c>
      <c r="AM27" s="31">
        <f t="shared" si="6"/>
        <v>1.9438422267451858</v>
      </c>
      <c r="AN27" s="31">
        <f>[1]PN!$I27</f>
        <v>2903.4364499999901</v>
      </c>
      <c r="AO27" s="31">
        <f t="shared" si="32"/>
        <v>2715.2937680399909</v>
      </c>
      <c r="AP27" s="31">
        <f t="shared" si="33"/>
        <v>188.14268195999938</v>
      </c>
      <c r="AQ27" s="31">
        <f t="shared" si="34"/>
        <v>42253.215088000004</v>
      </c>
      <c r="AR27" s="31">
        <f t="shared" si="35"/>
        <v>2927.7249120000006</v>
      </c>
      <c r="AS27" s="33">
        <v>45180.94</v>
      </c>
      <c r="AT27" s="37">
        <f t="shared" si="7"/>
        <v>14.561194735293812</v>
      </c>
      <c r="AU27" s="36">
        <f>[1]PN!$J27</f>
        <v>10315.359641999899</v>
      </c>
      <c r="AV27" s="31">
        <f t="shared" si="36"/>
        <v>9646.9243371983066</v>
      </c>
      <c r="AW27" s="18">
        <f t="shared" si="37"/>
        <v>668.43530480159359</v>
      </c>
      <c r="AX27" s="31">
        <f t="shared" si="38"/>
        <v>21300.077792</v>
      </c>
      <c r="AY27" s="31">
        <f t="shared" si="39"/>
        <v>1475.8822080000002</v>
      </c>
      <c r="AZ27" s="33">
        <v>22775.96</v>
      </c>
      <c r="BA27" s="37">
        <f t="shared" si="8"/>
        <v>1.2079656735636886</v>
      </c>
      <c r="BB27" s="36">
        <f>[1]PN!$K27</f>
        <v>5806.7616419999904</v>
      </c>
      <c r="BC27" s="31">
        <f t="shared" si="40"/>
        <v>5430.4834875983906</v>
      </c>
      <c r="BD27" s="18">
        <f t="shared" si="41"/>
        <v>376.27815440159947</v>
      </c>
      <c r="BE27" s="31">
        <f t="shared" si="42"/>
        <v>0</v>
      </c>
      <c r="BF27" s="31">
        <f t="shared" si="43"/>
        <v>0</v>
      </c>
      <c r="BG27" s="27"/>
      <c r="BH27" s="37">
        <f t="shared" si="9"/>
        <v>-1</v>
      </c>
      <c r="BI27" s="36">
        <f>[1]PN!$L27</f>
        <v>10315.359641999899</v>
      </c>
      <c r="BJ27" s="31">
        <f t="shared" si="44"/>
        <v>9646.9243371983066</v>
      </c>
      <c r="BK27" s="18">
        <f t="shared" si="45"/>
        <v>668.43530480159359</v>
      </c>
      <c r="BL27" s="31">
        <f t="shared" si="46"/>
        <v>0</v>
      </c>
      <c r="BM27" s="31">
        <f t="shared" si="47"/>
        <v>0</v>
      </c>
      <c r="BN27" s="33"/>
      <c r="BO27" s="37">
        <f t="shared" si="10"/>
        <v>-1</v>
      </c>
      <c r="BP27" s="36">
        <f>[1]PN!$M27</f>
        <v>10315.359641999899</v>
      </c>
      <c r="BQ27" s="31">
        <f t="shared" si="48"/>
        <v>9646.9243371983066</v>
      </c>
      <c r="BR27" s="18">
        <f t="shared" si="49"/>
        <v>668.43530480159359</v>
      </c>
      <c r="BS27" s="31">
        <f t="shared" si="50"/>
        <v>0</v>
      </c>
      <c r="BT27" s="31">
        <f t="shared" si="51"/>
        <v>0</v>
      </c>
      <c r="BU27" s="33"/>
      <c r="BV27" s="37">
        <f t="shared" si="11"/>
        <v>-1</v>
      </c>
      <c r="BW27" s="36">
        <f>[1]PN!$N27</f>
        <v>7711.7741169999899</v>
      </c>
      <c r="BX27" s="31">
        <f t="shared" si="52"/>
        <v>7212.0511542183904</v>
      </c>
      <c r="BY27" s="18">
        <f t="shared" si="53"/>
        <v>499.72296278159945</v>
      </c>
      <c r="BZ27" s="31">
        <f t="shared" si="54"/>
        <v>0</v>
      </c>
      <c r="CA27" s="31">
        <f t="shared" si="55"/>
        <v>0</v>
      </c>
      <c r="CB27" s="33"/>
      <c r="CC27" s="37">
        <f t="shared" si="12"/>
        <v>-1</v>
      </c>
      <c r="CD27" s="36">
        <f>[1]PN!$O27</f>
        <v>4808.4489249999897</v>
      </c>
      <c r="CE27" s="31">
        <f t="shared" si="56"/>
        <v>4496.8614346599907</v>
      </c>
      <c r="CF27" s="18">
        <f t="shared" si="57"/>
        <v>311.58749033999936</v>
      </c>
      <c r="CG27" s="31">
        <f t="shared" si="58"/>
        <v>0</v>
      </c>
      <c r="CH27" s="31">
        <f t="shared" si="59"/>
        <v>0</v>
      </c>
      <c r="CI27" s="33"/>
      <c r="CJ27" s="37">
        <f t="shared" si="13"/>
        <v>-1</v>
      </c>
      <c r="CK27" s="36">
        <f>[1]PN!$P27</f>
        <v>4808.4489249999897</v>
      </c>
      <c r="CL27" s="31">
        <f t="shared" si="60"/>
        <v>4496.8614346599907</v>
      </c>
      <c r="CM27" s="18">
        <f t="shared" si="61"/>
        <v>311.58749033999936</v>
      </c>
      <c r="CN27" s="31">
        <f t="shared" si="62"/>
        <v>0</v>
      </c>
      <c r="CO27" s="31">
        <f t="shared" si="63"/>
        <v>0</v>
      </c>
      <c r="CP27" s="33"/>
      <c r="CQ27" s="37">
        <f t="shared" si="14"/>
        <v>-1</v>
      </c>
    </row>
    <row r="28" spans="1:95" s="26" customFormat="1" ht="16" customHeight="1" thickBot="1" x14ac:dyDescent="0.25">
      <c r="A28" s="29" t="s">
        <v>52</v>
      </c>
      <c r="B28" s="30">
        <f t="shared" si="0"/>
        <v>82552.697474999906</v>
      </c>
      <c r="C28" s="31">
        <f t="shared" si="0"/>
        <v>77203.2826786199</v>
      </c>
      <c r="D28" s="32">
        <f t="shared" si="0"/>
        <v>5349.4147963799933</v>
      </c>
      <c r="E28" s="30">
        <f t="shared" si="15"/>
        <v>28730.921549999963</v>
      </c>
      <c r="F28" s="33">
        <f t="shared" si="15"/>
        <v>26869.157833559962</v>
      </c>
      <c r="G28" s="34">
        <f t="shared" si="15"/>
        <v>1861.7637164399978</v>
      </c>
      <c r="H28" s="31">
        <f t="shared" si="1"/>
        <v>49218.631448</v>
      </c>
      <c r="I28" s="33">
        <f t="shared" si="1"/>
        <v>3410.3585520000006</v>
      </c>
      <c r="J28" s="33">
        <f t="shared" si="1"/>
        <v>52628.99</v>
      </c>
      <c r="K28" s="37">
        <f t="shared" si="2"/>
        <v>0.83178913730318782</v>
      </c>
      <c r="L28" s="36">
        <f>[1]PN!$E28</f>
        <v>6116.8058999999903</v>
      </c>
      <c r="M28" s="31">
        <f t="shared" si="16"/>
        <v>5720.4368776799911</v>
      </c>
      <c r="N28" s="31">
        <f t="shared" si="17"/>
        <v>396.36902231999943</v>
      </c>
      <c r="O28" s="31">
        <f t="shared" si="18"/>
        <v>12310.710943999999</v>
      </c>
      <c r="P28" s="31">
        <f t="shared" si="19"/>
        <v>853.0090560000001</v>
      </c>
      <c r="Q28" s="31">
        <f>13163.72</f>
        <v>13163.72</v>
      </c>
      <c r="R28" s="31">
        <f t="shared" si="3"/>
        <v>1.15205782481998</v>
      </c>
      <c r="S28" s="31">
        <f>[1]PN!$F28</f>
        <v>6116.8058999999903</v>
      </c>
      <c r="T28" s="31">
        <f t="shared" si="20"/>
        <v>5720.4368776799911</v>
      </c>
      <c r="U28" s="31">
        <f t="shared" si="21"/>
        <v>396.36902231999943</v>
      </c>
      <c r="V28" s="31">
        <f t="shared" si="22"/>
        <v>9325.9359759999988</v>
      </c>
      <c r="W28" s="31">
        <f t="shared" si="23"/>
        <v>646.19402400000001</v>
      </c>
      <c r="X28" s="31">
        <v>9972.1299999999992</v>
      </c>
      <c r="Y28" s="31">
        <f t="shared" si="4"/>
        <v>0.63028387086796633</v>
      </c>
      <c r="Z28" s="31">
        <f>[1]PN!$G28</f>
        <v>8155.7411999999904</v>
      </c>
      <c r="AA28" s="31">
        <f t="shared" si="24"/>
        <v>7627.2491702399911</v>
      </c>
      <c r="AB28" s="31">
        <f t="shared" si="25"/>
        <v>528.49202975999947</v>
      </c>
      <c r="AC28" s="31">
        <f t="shared" si="26"/>
        <v>4190.2758240000003</v>
      </c>
      <c r="AD28" s="31">
        <f t="shared" si="27"/>
        <v>290.34417600000006</v>
      </c>
      <c r="AE28" s="31">
        <v>4480.62</v>
      </c>
      <c r="AF28" s="31">
        <f t="shared" si="5"/>
        <v>-0.45061768266996938</v>
      </c>
      <c r="AG28" s="31">
        <f>[1]PN!$H28</f>
        <v>8341.5685499999909</v>
      </c>
      <c r="AH28" s="31">
        <f t="shared" si="28"/>
        <v>7801.034907959991</v>
      </c>
      <c r="AI28" s="31">
        <f t="shared" si="29"/>
        <v>540.53364203999945</v>
      </c>
      <c r="AJ28" s="31">
        <f t="shared" si="30"/>
        <v>4602.3530000000001</v>
      </c>
      <c r="AK28" s="31">
        <f t="shared" si="31"/>
        <v>318.89700000000005</v>
      </c>
      <c r="AL28" s="31">
        <v>4921.25</v>
      </c>
      <c r="AM28" s="31">
        <f t="shared" si="6"/>
        <v>-0.41003302070807712</v>
      </c>
      <c r="AN28" s="31">
        <f>[1]PN!$I28</f>
        <v>7136.2735499999899</v>
      </c>
      <c r="AO28" s="31">
        <f t="shared" si="32"/>
        <v>6673.8430239599902</v>
      </c>
      <c r="AP28" s="31">
        <f t="shared" si="33"/>
        <v>462.43052603999939</v>
      </c>
      <c r="AQ28" s="31">
        <f t="shared" si="34"/>
        <v>3781.1258239999997</v>
      </c>
      <c r="AR28" s="31">
        <f t="shared" si="35"/>
        <v>261.99417600000004</v>
      </c>
      <c r="AS28" s="33">
        <v>4043.12</v>
      </c>
      <c r="AT28" s="37">
        <f t="shared" si="7"/>
        <v>-0.43344100087082482</v>
      </c>
      <c r="AU28" s="36">
        <f>[1]PN!$J28</f>
        <v>6302.6332499999899</v>
      </c>
      <c r="AV28" s="31">
        <f t="shared" si="36"/>
        <v>5894.2226153999909</v>
      </c>
      <c r="AW28" s="18">
        <f t="shared" si="37"/>
        <v>408.41063459999941</v>
      </c>
      <c r="AX28" s="31">
        <f t="shared" si="38"/>
        <v>15008.229879999999</v>
      </c>
      <c r="AY28" s="31">
        <f t="shared" si="39"/>
        <v>1039.9201200000002</v>
      </c>
      <c r="AZ28" s="33">
        <v>16048.15</v>
      </c>
      <c r="BA28" s="37">
        <f t="shared" si="8"/>
        <v>1.5462611203023791</v>
      </c>
      <c r="BB28" s="36">
        <f>[1]PN!$K28</f>
        <v>5097.3382499999898</v>
      </c>
      <c r="BC28" s="31">
        <f t="shared" si="40"/>
        <v>4767.0307313999901</v>
      </c>
      <c r="BD28" s="18">
        <f t="shared" si="41"/>
        <v>330.30751859999941</v>
      </c>
      <c r="BE28" s="31">
        <f t="shared" si="42"/>
        <v>0</v>
      </c>
      <c r="BF28" s="31">
        <f t="shared" si="43"/>
        <v>0</v>
      </c>
      <c r="BG28" s="27"/>
      <c r="BH28" s="37">
        <f t="shared" si="9"/>
        <v>-1</v>
      </c>
      <c r="BI28" s="36">
        <f>[1]PN!$L28</f>
        <v>8341.5685499999909</v>
      </c>
      <c r="BJ28" s="31">
        <f t="shared" si="44"/>
        <v>7801.034907959991</v>
      </c>
      <c r="BK28" s="18">
        <f t="shared" si="45"/>
        <v>540.53364203999945</v>
      </c>
      <c r="BL28" s="31">
        <f t="shared" si="46"/>
        <v>0</v>
      </c>
      <c r="BM28" s="31">
        <f t="shared" si="47"/>
        <v>0</v>
      </c>
      <c r="BN28" s="33"/>
      <c r="BO28" s="37">
        <f t="shared" si="10"/>
        <v>-1</v>
      </c>
      <c r="BP28" s="36">
        <f>[1]PN!$M28</f>
        <v>8341.5685499999909</v>
      </c>
      <c r="BQ28" s="31">
        <f t="shared" si="48"/>
        <v>7801.034907959991</v>
      </c>
      <c r="BR28" s="18">
        <f t="shared" si="49"/>
        <v>540.53364203999945</v>
      </c>
      <c r="BS28" s="31">
        <f t="shared" si="50"/>
        <v>0</v>
      </c>
      <c r="BT28" s="31">
        <f t="shared" si="51"/>
        <v>0</v>
      </c>
      <c r="BU28" s="33"/>
      <c r="BV28" s="37">
        <f t="shared" si="11"/>
        <v>-1</v>
      </c>
      <c r="BW28" s="36">
        <f>[1]PN!$N28</f>
        <v>7560.0881249999902</v>
      </c>
      <c r="BX28" s="31">
        <f t="shared" si="52"/>
        <v>7070.1944144999907</v>
      </c>
      <c r="BY28" s="18">
        <f t="shared" si="53"/>
        <v>489.89371049999943</v>
      </c>
      <c r="BZ28" s="31">
        <f t="shared" si="54"/>
        <v>0</v>
      </c>
      <c r="CA28" s="31">
        <f t="shared" si="55"/>
        <v>0</v>
      </c>
      <c r="CB28" s="33"/>
      <c r="CC28" s="37">
        <f t="shared" si="12"/>
        <v>-1</v>
      </c>
      <c r="CD28" s="36">
        <f>[1]PN!$O28</f>
        <v>5521.1528249999901</v>
      </c>
      <c r="CE28" s="31">
        <f t="shared" si="56"/>
        <v>5163.3821219399906</v>
      </c>
      <c r="CF28" s="18">
        <f t="shared" si="57"/>
        <v>357.77070305999939</v>
      </c>
      <c r="CG28" s="31">
        <f t="shared" si="58"/>
        <v>0</v>
      </c>
      <c r="CH28" s="31">
        <f t="shared" si="59"/>
        <v>0</v>
      </c>
      <c r="CI28" s="33"/>
      <c r="CJ28" s="37">
        <f t="shared" si="13"/>
        <v>-1</v>
      </c>
      <c r="CK28" s="36">
        <f>[1]PN!$P28</f>
        <v>5521.1528249999901</v>
      </c>
      <c r="CL28" s="31">
        <f t="shared" si="60"/>
        <v>5163.3821219399906</v>
      </c>
      <c r="CM28" s="18">
        <f t="shared" si="61"/>
        <v>357.77070305999939</v>
      </c>
      <c r="CN28" s="31">
        <f t="shared" si="62"/>
        <v>0</v>
      </c>
      <c r="CO28" s="31">
        <f t="shared" si="63"/>
        <v>0</v>
      </c>
      <c r="CP28" s="33"/>
      <c r="CQ28" s="37">
        <f t="shared" si="14"/>
        <v>-1</v>
      </c>
    </row>
    <row r="29" spans="1:95" s="26" customFormat="1" ht="16" customHeight="1" thickBot="1" x14ac:dyDescent="0.25">
      <c r="A29" s="29" t="s">
        <v>53</v>
      </c>
      <c r="B29" s="30">
        <f t="shared" si="0"/>
        <v>177947.78299999883</v>
      </c>
      <c r="C29" s="31">
        <f t="shared" si="0"/>
        <v>166416.7666615989</v>
      </c>
      <c r="D29" s="32">
        <f t="shared" si="0"/>
        <v>11531.016338399926</v>
      </c>
      <c r="E29" s="30">
        <f t="shared" si="15"/>
        <v>59315.927666666277</v>
      </c>
      <c r="F29" s="33">
        <f t="shared" si="15"/>
        <v>55472.2555538663</v>
      </c>
      <c r="G29" s="34">
        <f t="shared" si="15"/>
        <v>3843.6721127999749</v>
      </c>
      <c r="H29" s="31">
        <f t="shared" si="1"/>
        <v>3165.652</v>
      </c>
      <c r="I29" s="33">
        <f t="shared" si="1"/>
        <v>219.34800000000004</v>
      </c>
      <c r="J29" s="33">
        <f t="shared" si="1"/>
        <v>3385</v>
      </c>
      <c r="K29" s="37">
        <f t="shared" si="2"/>
        <v>-0.9429326972845733</v>
      </c>
      <c r="L29" s="36">
        <f>[1]PN!$E29</f>
        <v>10704.021666666566</v>
      </c>
      <c r="M29" s="31">
        <f t="shared" si="16"/>
        <v>10010.401062666571</v>
      </c>
      <c r="N29" s="31">
        <f t="shared" si="17"/>
        <v>693.62060399999359</v>
      </c>
      <c r="O29" s="31">
        <f t="shared" si="18"/>
        <v>0</v>
      </c>
      <c r="P29" s="31">
        <f t="shared" si="19"/>
        <v>0</v>
      </c>
      <c r="Q29" s="31"/>
      <c r="R29" s="31">
        <f t="shared" si="3"/>
        <v>-1</v>
      </c>
      <c r="S29" s="31">
        <f>[1]PN!$F29</f>
        <v>18953.942166666569</v>
      </c>
      <c r="T29" s="31">
        <f t="shared" si="20"/>
        <v>17725.726714266577</v>
      </c>
      <c r="U29" s="31">
        <f t="shared" si="21"/>
        <v>1228.2154523999939</v>
      </c>
      <c r="V29" s="31">
        <f t="shared" si="22"/>
        <v>0</v>
      </c>
      <c r="W29" s="31">
        <f t="shared" si="23"/>
        <v>0</v>
      </c>
      <c r="X29" s="31"/>
      <c r="Y29" s="31">
        <f t="shared" si="4"/>
        <v>-1</v>
      </c>
      <c r="Z29" s="31">
        <f>[1]PN!$G29</f>
        <v>10704.021666666566</v>
      </c>
      <c r="AA29" s="31">
        <f t="shared" si="24"/>
        <v>10010.401062666571</v>
      </c>
      <c r="AB29" s="31">
        <f t="shared" si="25"/>
        <v>693.62060399999359</v>
      </c>
      <c r="AC29" s="31">
        <f t="shared" si="26"/>
        <v>0</v>
      </c>
      <c r="AD29" s="31">
        <f t="shared" si="27"/>
        <v>0</v>
      </c>
      <c r="AE29" s="31"/>
      <c r="AF29" s="31">
        <f t="shared" si="5"/>
        <v>-1</v>
      </c>
      <c r="AG29" s="31">
        <f>[1]PN!$H29</f>
        <v>18953.942166666569</v>
      </c>
      <c r="AH29" s="31">
        <f t="shared" si="28"/>
        <v>17725.726714266577</v>
      </c>
      <c r="AI29" s="31">
        <f t="shared" si="29"/>
        <v>1228.2154523999939</v>
      </c>
      <c r="AJ29" s="31">
        <f t="shared" si="30"/>
        <v>0</v>
      </c>
      <c r="AK29" s="31">
        <f t="shared" si="31"/>
        <v>0</v>
      </c>
      <c r="AL29" s="31"/>
      <c r="AM29" s="31">
        <f t="shared" si="6"/>
        <v>-1</v>
      </c>
      <c r="AN29" s="31">
        <f>[1]PN!$I29</f>
        <v>10704.021666666566</v>
      </c>
      <c r="AO29" s="31">
        <f t="shared" si="32"/>
        <v>10010.401062666571</v>
      </c>
      <c r="AP29" s="31">
        <f t="shared" si="33"/>
        <v>693.62060399999359</v>
      </c>
      <c r="AQ29" s="31">
        <f t="shared" si="34"/>
        <v>0</v>
      </c>
      <c r="AR29" s="31">
        <f t="shared" si="35"/>
        <v>0</v>
      </c>
      <c r="AS29" s="33"/>
      <c r="AT29" s="37">
        <f t="shared" si="7"/>
        <v>-1</v>
      </c>
      <c r="AU29" s="36">
        <f>[1]PN!$J29</f>
        <v>18953.942166666569</v>
      </c>
      <c r="AV29" s="31">
        <f t="shared" si="36"/>
        <v>17725.726714266577</v>
      </c>
      <c r="AW29" s="18">
        <f t="shared" si="37"/>
        <v>1228.2154523999939</v>
      </c>
      <c r="AX29" s="31">
        <f t="shared" si="38"/>
        <v>3165.652</v>
      </c>
      <c r="AY29" s="31">
        <f t="shared" si="39"/>
        <v>219.34800000000004</v>
      </c>
      <c r="AZ29" s="33">
        <v>3385</v>
      </c>
      <c r="BA29" s="37">
        <f t="shared" si="8"/>
        <v>-0.82140918389246509</v>
      </c>
      <c r="BB29" s="36">
        <f>[1]PN!$K29</f>
        <v>10704.021666666566</v>
      </c>
      <c r="BC29" s="31">
        <f t="shared" si="40"/>
        <v>10010.401062666571</v>
      </c>
      <c r="BD29" s="18">
        <f t="shared" si="41"/>
        <v>693.62060399999359</v>
      </c>
      <c r="BE29" s="31">
        <f t="shared" si="42"/>
        <v>0</v>
      </c>
      <c r="BF29" s="31">
        <f t="shared" si="43"/>
        <v>0</v>
      </c>
      <c r="BG29" s="27"/>
      <c r="BH29" s="37">
        <f t="shared" si="9"/>
        <v>-1</v>
      </c>
      <c r="BI29" s="36">
        <f>[1]PN!$L29</f>
        <v>18953.942166666569</v>
      </c>
      <c r="BJ29" s="31">
        <f t="shared" si="44"/>
        <v>17725.726714266577</v>
      </c>
      <c r="BK29" s="18">
        <f t="shared" si="45"/>
        <v>1228.2154523999939</v>
      </c>
      <c r="BL29" s="31">
        <f t="shared" si="46"/>
        <v>0</v>
      </c>
      <c r="BM29" s="31">
        <f t="shared" si="47"/>
        <v>0</v>
      </c>
      <c r="BN29" s="33"/>
      <c r="BO29" s="37">
        <f t="shared" si="10"/>
        <v>-1</v>
      </c>
      <c r="BP29" s="36">
        <f>[1]PN!$M29</f>
        <v>10704.021666666566</v>
      </c>
      <c r="BQ29" s="31">
        <f t="shared" si="48"/>
        <v>10010.401062666571</v>
      </c>
      <c r="BR29" s="18">
        <f t="shared" si="49"/>
        <v>693.62060399999359</v>
      </c>
      <c r="BS29" s="31">
        <f t="shared" si="50"/>
        <v>0</v>
      </c>
      <c r="BT29" s="31">
        <f t="shared" si="51"/>
        <v>0</v>
      </c>
      <c r="BU29" s="33"/>
      <c r="BV29" s="37">
        <f t="shared" si="11"/>
        <v>-1</v>
      </c>
      <c r="BW29" s="36">
        <f>[1]PN!$N29</f>
        <v>18953.942166666569</v>
      </c>
      <c r="BX29" s="31">
        <f t="shared" si="52"/>
        <v>17725.726714266577</v>
      </c>
      <c r="BY29" s="18">
        <f t="shared" si="53"/>
        <v>1228.2154523999939</v>
      </c>
      <c r="BZ29" s="31">
        <f t="shared" si="54"/>
        <v>0</v>
      </c>
      <c r="CA29" s="31">
        <f t="shared" si="55"/>
        <v>0</v>
      </c>
      <c r="CB29" s="33"/>
      <c r="CC29" s="37">
        <f t="shared" si="12"/>
        <v>-1</v>
      </c>
      <c r="CD29" s="36">
        <f>[1]PN!$O29</f>
        <v>10704.021666666566</v>
      </c>
      <c r="CE29" s="31">
        <f t="shared" si="56"/>
        <v>10010.401062666571</v>
      </c>
      <c r="CF29" s="18">
        <f t="shared" si="57"/>
        <v>693.62060399999359</v>
      </c>
      <c r="CG29" s="31">
        <f t="shared" si="58"/>
        <v>0</v>
      </c>
      <c r="CH29" s="31">
        <f t="shared" si="59"/>
        <v>0</v>
      </c>
      <c r="CI29" s="33"/>
      <c r="CJ29" s="37">
        <f t="shared" si="13"/>
        <v>-1</v>
      </c>
      <c r="CK29" s="36">
        <f>[1]PN!$P29</f>
        <v>18953.942166666569</v>
      </c>
      <c r="CL29" s="31">
        <f t="shared" si="60"/>
        <v>17725.726714266577</v>
      </c>
      <c r="CM29" s="18">
        <f t="shared" si="61"/>
        <v>1228.2154523999939</v>
      </c>
      <c r="CN29" s="31">
        <f t="shared" si="62"/>
        <v>0</v>
      </c>
      <c r="CO29" s="31">
        <f t="shared" si="63"/>
        <v>0</v>
      </c>
      <c r="CP29" s="33"/>
      <c r="CQ29" s="37">
        <f t="shared" si="14"/>
        <v>-1</v>
      </c>
    </row>
    <row r="30" spans="1:95" s="26" customFormat="1" ht="16" customHeight="1" thickBot="1" x14ac:dyDescent="0.25">
      <c r="A30" s="29" t="s">
        <v>54</v>
      </c>
      <c r="B30" s="30">
        <f t="shared" si="0"/>
        <v>58000.000000000007</v>
      </c>
      <c r="C30" s="31">
        <f t="shared" si="0"/>
        <v>54241.599999999984</v>
      </c>
      <c r="D30" s="32">
        <f t="shared" si="0"/>
        <v>3758.3999999999996</v>
      </c>
      <c r="E30" s="30">
        <f t="shared" si="15"/>
        <v>19333.333333333332</v>
      </c>
      <c r="F30" s="33">
        <f t="shared" si="15"/>
        <v>18080.533333333333</v>
      </c>
      <c r="G30" s="34">
        <f t="shared" si="15"/>
        <v>1252.8000000000002</v>
      </c>
      <c r="H30" s="31">
        <f t="shared" si="1"/>
        <v>13876.497600000001</v>
      </c>
      <c r="I30" s="33">
        <f t="shared" si="1"/>
        <v>961.50240000000031</v>
      </c>
      <c r="J30" s="33">
        <f t="shared" si="1"/>
        <v>14838</v>
      </c>
      <c r="K30" s="37">
        <f t="shared" si="2"/>
        <v>-0.23251724137931029</v>
      </c>
      <c r="L30" s="36">
        <f>[1]PN!$E30</f>
        <v>4833.333333333333</v>
      </c>
      <c r="M30" s="31">
        <f t="shared" si="16"/>
        <v>4520.1333333333332</v>
      </c>
      <c r="N30" s="31">
        <f t="shared" si="17"/>
        <v>313.20000000000005</v>
      </c>
      <c r="O30" s="31">
        <f t="shared" si="18"/>
        <v>2319.2959999999998</v>
      </c>
      <c r="P30" s="31">
        <f t="shared" si="19"/>
        <v>160.70400000000004</v>
      </c>
      <c r="Q30" s="31">
        <f>2480</f>
        <v>2480</v>
      </c>
      <c r="R30" s="31">
        <f t="shared" si="3"/>
        <v>-0.48689655172413793</v>
      </c>
      <c r="S30" s="31">
        <f>[1]PN!$F30</f>
        <v>4833.333333333333</v>
      </c>
      <c r="T30" s="31">
        <f t="shared" si="20"/>
        <v>4520.1333333333332</v>
      </c>
      <c r="U30" s="31">
        <f t="shared" si="21"/>
        <v>313.20000000000005</v>
      </c>
      <c r="V30" s="31">
        <f t="shared" si="22"/>
        <v>2280.0176000000001</v>
      </c>
      <c r="W30" s="31">
        <f t="shared" si="23"/>
        <v>157.98240000000001</v>
      </c>
      <c r="X30" s="31">
        <f>2438</f>
        <v>2438</v>
      </c>
      <c r="Y30" s="31">
        <f t="shared" si="4"/>
        <v>-0.49558620689655164</v>
      </c>
      <c r="Z30" s="31">
        <f>[1]PN!$G30</f>
        <v>4833.333333333333</v>
      </c>
      <c r="AA30" s="31">
        <f t="shared" si="24"/>
        <v>4520.1333333333332</v>
      </c>
      <c r="AB30" s="31">
        <f t="shared" si="25"/>
        <v>313.20000000000005</v>
      </c>
      <c r="AC30" s="31">
        <f t="shared" si="26"/>
        <v>2319.2959999999998</v>
      </c>
      <c r="AD30" s="31">
        <f t="shared" si="27"/>
        <v>160.70400000000004</v>
      </c>
      <c r="AE30" s="31">
        <f>2480</f>
        <v>2480</v>
      </c>
      <c r="AF30" s="31">
        <f t="shared" si="5"/>
        <v>-0.48689655172413793</v>
      </c>
      <c r="AG30" s="31">
        <f>[1]PN!$H30</f>
        <v>4833.333333333333</v>
      </c>
      <c r="AH30" s="31">
        <f t="shared" si="28"/>
        <v>4520.1333333333332</v>
      </c>
      <c r="AI30" s="31">
        <f t="shared" si="29"/>
        <v>313.20000000000005</v>
      </c>
      <c r="AJ30" s="31">
        <f t="shared" si="30"/>
        <v>2319.2959999999998</v>
      </c>
      <c r="AK30" s="31">
        <f t="shared" si="31"/>
        <v>160.70400000000004</v>
      </c>
      <c r="AL30" s="31">
        <f>2480</f>
        <v>2480</v>
      </c>
      <c r="AM30" s="31">
        <f t="shared" si="6"/>
        <v>-0.48689655172413793</v>
      </c>
      <c r="AN30" s="31">
        <f>[1]PN!$I30</f>
        <v>4833.333333333333</v>
      </c>
      <c r="AO30" s="31">
        <f t="shared" si="32"/>
        <v>4520.1333333333332</v>
      </c>
      <c r="AP30" s="31">
        <f t="shared" si="33"/>
        <v>313.20000000000005</v>
      </c>
      <c r="AQ30" s="31">
        <f t="shared" si="34"/>
        <v>2319.2959999999998</v>
      </c>
      <c r="AR30" s="31">
        <f t="shared" si="35"/>
        <v>160.70400000000004</v>
      </c>
      <c r="AS30" s="33">
        <v>2480</v>
      </c>
      <c r="AT30" s="37">
        <f t="shared" si="7"/>
        <v>-0.48689655172413793</v>
      </c>
      <c r="AU30" s="36">
        <f>[1]PN!$J30</f>
        <v>4833.333333333333</v>
      </c>
      <c r="AV30" s="31">
        <f t="shared" si="36"/>
        <v>4520.1333333333332</v>
      </c>
      <c r="AW30" s="18">
        <f t="shared" si="37"/>
        <v>313.20000000000005</v>
      </c>
      <c r="AX30" s="31">
        <f t="shared" si="38"/>
        <v>2319.2959999999998</v>
      </c>
      <c r="AY30" s="31">
        <f t="shared" si="39"/>
        <v>160.70400000000004</v>
      </c>
      <c r="AZ30" s="33">
        <v>2480</v>
      </c>
      <c r="BA30" s="37">
        <f t="shared" si="8"/>
        <v>-0.48689655172413793</v>
      </c>
      <c r="BB30" s="36">
        <f>[1]PN!$K30</f>
        <v>4833.333333333333</v>
      </c>
      <c r="BC30" s="31">
        <f t="shared" si="40"/>
        <v>4520.1333333333332</v>
      </c>
      <c r="BD30" s="18">
        <f t="shared" si="41"/>
        <v>313.20000000000005</v>
      </c>
      <c r="BE30" s="31">
        <f t="shared" si="42"/>
        <v>0</v>
      </c>
      <c r="BF30" s="31">
        <f t="shared" si="43"/>
        <v>0</v>
      </c>
      <c r="BG30" s="27"/>
      <c r="BH30" s="37">
        <f t="shared" si="9"/>
        <v>-1</v>
      </c>
      <c r="BI30" s="36">
        <f>[1]PN!$L30</f>
        <v>4833.333333333333</v>
      </c>
      <c r="BJ30" s="31">
        <f t="shared" si="44"/>
        <v>4520.1333333333332</v>
      </c>
      <c r="BK30" s="18">
        <f t="shared" si="45"/>
        <v>313.20000000000005</v>
      </c>
      <c r="BL30" s="31">
        <f t="shared" si="46"/>
        <v>0</v>
      </c>
      <c r="BM30" s="31">
        <f t="shared" si="47"/>
        <v>0</v>
      </c>
      <c r="BN30" s="33"/>
      <c r="BO30" s="37">
        <f t="shared" si="10"/>
        <v>-1</v>
      </c>
      <c r="BP30" s="36">
        <f>[1]PN!$M30</f>
        <v>4833.333333333333</v>
      </c>
      <c r="BQ30" s="31">
        <f t="shared" si="48"/>
        <v>4520.1333333333332</v>
      </c>
      <c r="BR30" s="18">
        <f t="shared" si="49"/>
        <v>313.20000000000005</v>
      </c>
      <c r="BS30" s="31">
        <f t="shared" si="50"/>
        <v>0</v>
      </c>
      <c r="BT30" s="31">
        <f t="shared" si="51"/>
        <v>0</v>
      </c>
      <c r="BU30" s="33"/>
      <c r="BV30" s="37">
        <f t="shared" si="11"/>
        <v>-1</v>
      </c>
      <c r="BW30" s="36">
        <f>[1]PN!$N30</f>
        <v>4833.333333333333</v>
      </c>
      <c r="BX30" s="31">
        <f t="shared" si="52"/>
        <v>4520.1333333333332</v>
      </c>
      <c r="BY30" s="18">
        <f t="shared" si="53"/>
        <v>313.20000000000005</v>
      </c>
      <c r="BZ30" s="31">
        <f t="shared" si="54"/>
        <v>0</v>
      </c>
      <c r="CA30" s="31">
        <f t="shared" si="55"/>
        <v>0</v>
      </c>
      <c r="CB30" s="33"/>
      <c r="CC30" s="37">
        <f t="shared" si="12"/>
        <v>-1</v>
      </c>
      <c r="CD30" s="36">
        <f>[1]PN!$O30</f>
        <v>4833.333333333333</v>
      </c>
      <c r="CE30" s="31">
        <f t="shared" si="56"/>
        <v>4520.1333333333332</v>
      </c>
      <c r="CF30" s="18">
        <f t="shared" si="57"/>
        <v>313.20000000000005</v>
      </c>
      <c r="CG30" s="31">
        <f t="shared" si="58"/>
        <v>0</v>
      </c>
      <c r="CH30" s="31">
        <f t="shared" si="59"/>
        <v>0</v>
      </c>
      <c r="CI30" s="33"/>
      <c r="CJ30" s="37">
        <f t="shared" si="13"/>
        <v>-1</v>
      </c>
      <c r="CK30" s="36">
        <f>[1]PN!$P30</f>
        <v>4833.333333333333</v>
      </c>
      <c r="CL30" s="31">
        <f t="shared" si="60"/>
        <v>4520.1333333333332</v>
      </c>
      <c r="CM30" s="18">
        <f t="shared" si="61"/>
        <v>313.20000000000005</v>
      </c>
      <c r="CN30" s="31">
        <f t="shared" si="62"/>
        <v>0</v>
      </c>
      <c r="CO30" s="31">
        <f t="shared" si="63"/>
        <v>0</v>
      </c>
      <c r="CP30" s="33"/>
      <c r="CQ30" s="37">
        <f t="shared" si="14"/>
        <v>-1</v>
      </c>
    </row>
    <row r="31" spans="1:95" s="26" customFormat="1" ht="16" customHeight="1" thickBot="1" x14ac:dyDescent="0.25">
      <c r="A31" s="38" t="s">
        <v>55</v>
      </c>
      <c r="B31" s="30">
        <f t="shared" si="0"/>
        <v>5000</v>
      </c>
      <c r="C31" s="31">
        <f t="shared" si="0"/>
        <v>4676</v>
      </c>
      <c r="D31" s="32">
        <f t="shared" si="0"/>
        <v>324.00000000000006</v>
      </c>
      <c r="E31" s="30">
        <f t="shared" si="15"/>
        <v>1666.6666666666667</v>
      </c>
      <c r="F31" s="33">
        <f t="shared" si="15"/>
        <v>1558.6666666666667</v>
      </c>
      <c r="G31" s="34">
        <f t="shared" si="15"/>
        <v>108.00000000000003</v>
      </c>
      <c r="H31" s="31">
        <f t="shared" si="1"/>
        <v>2065.3330879999999</v>
      </c>
      <c r="I31" s="33">
        <f t="shared" si="1"/>
        <v>143.10691200000002</v>
      </c>
      <c r="J31" s="33">
        <f t="shared" si="1"/>
        <v>2208.44</v>
      </c>
      <c r="K31" s="37">
        <f t="shared" si="2"/>
        <v>0.32506400000000002</v>
      </c>
      <c r="L31" s="36">
        <f>[1]PN!$E31</f>
        <v>416.66666666666669</v>
      </c>
      <c r="M31" s="31">
        <f t="shared" si="16"/>
        <v>389.66666666666669</v>
      </c>
      <c r="N31" s="31">
        <f t="shared" si="17"/>
        <v>27.000000000000007</v>
      </c>
      <c r="O31" s="31">
        <f t="shared" si="18"/>
        <v>0</v>
      </c>
      <c r="P31" s="31">
        <f t="shared" si="19"/>
        <v>0</v>
      </c>
      <c r="Q31" s="31"/>
      <c r="R31" s="31">
        <f t="shared" si="3"/>
        <v>-1</v>
      </c>
      <c r="S31" s="31">
        <f>[1]PN!$F31</f>
        <v>416.66666666666669</v>
      </c>
      <c r="T31" s="31">
        <f t="shared" si="20"/>
        <v>389.66666666666669</v>
      </c>
      <c r="U31" s="31">
        <f t="shared" si="21"/>
        <v>27.000000000000007</v>
      </c>
      <c r="V31" s="31">
        <f t="shared" si="22"/>
        <v>0</v>
      </c>
      <c r="W31" s="31">
        <f t="shared" si="23"/>
        <v>0</v>
      </c>
      <c r="X31" s="31"/>
      <c r="Y31" s="31">
        <f t="shared" si="4"/>
        <v>-1</v>
      </c>
      <c r="Z31" s="31">
        <f>[1]PN!$G31</f>
        <v>416.66666666666669</v>
      </c>
      <c r="AA31" s="31">
        <f t="shared" si="24"/>
        <v>389.66666666666669</v>
      </c>
      <c r="AB31" s="31">
        <f t="shared" si="25"/>
        <v>27.000000000000007</v>
      </c>
      <c r="AC31" s="31">
        <f t="shared" si="26"/>
        <v>0</v>
      </c>
      <c r="AD31" s="31">
        <f t="shared" si="27"/>
        <v>0</v>
      </c>
      <c r="AE31" s="31"/>
      <c r="AF31" s="31">
        <f t="shared" si="5"/>
        <v>-1</v>
      </c>
      <c r="AG31" s="31">
        <f>[1]PN!$H31</f>
        <v>416.66666666666669</v>
      </c>
      <c r="AH31" s="31">
        <f t="shared" si="28"/>
        <v>389.66666666666669</v>
      </c>
      <c r="AI31" s="31">
        <f t="shared" si="29"/>
        <v>27.000000000000007</v>
      </c>
      <c r="AJ31" s="31">
        <f t="shared" si="30"/>
        <v>0</v>
      </c>
      <c r="AK31" s="31">
        <f t="shared" si="31"/>
        <v>0</v>
      </c>
      <c r="AL31" s="31"/>
      <c r="AM31" s="31">
        <f t="shared" si="6"/>
        <v>-1</v>
      </c>
      <c r="AN31" s="31">
        <f>[1]PN!$I31</f>
        <v>416.66666666666669</v>
      </c>
      <c r="AO31" s="31">
        <f t="shared" si="32"/>
        <v>389.66666666666669</v>
      </c>
      <c r="AP31" s="31">
        <f t="shared" si="33"/>
        <v>27.000000000000007</v>
      </c>
      <c r="AQ31" s="31">
        <f t="shared" si="34"/>
        <v>0</v>
      </c>
      <c r="AR31" s="31">
        <f t="shared" si="35"/>
        <v>0</v>
      </c>
      <c r="AS31" s="33"/>
      <c r="AT31" s="37">
        <f t="shared" si="7"/>
        <v>-1</v>
      </c>
      <c r="AU31" s="36">
        <f>[1]PN!$J31</f>
        <v>416.66666666666669</v>
      </c>
      <c r="AV31" s="31">
        <f t="shared" si="36"/>
        <v>389.66666666666669</v>
      </c>
      <c r="AW31" s="18">
        <f t="shared" si="37"/>
        <v>27.000000000000007</v>
      </c>
      <c r="AX31" s="31">
        <f t="shared" si="38"/>
        <v>2065.3330879999999</v>
      </c>
      <c r="AY31" s="31">
        <f t="shared" si="39"/>
        <v>143.10691200000002</v>
      </c>
      <c r="AZ31" s="33">
        <v>2208.44</v>
      </c>
      <c r="BA31" s="37">
        <f t="shared" si="8"/>
        <v>4.3002560000000001</v>
      </c>
      <c r="BB31" s="36">
        <f>[1]PN!$K31</f>
        <v>416.66666666666669</v>
      </c>
      <c r="BC31" s="31">
        <f t="shared" si="40"/>
        <v>389.66666666666669</v>
      </c>
      <c r="BD31" s="18">
        <f t="shared" si="41"/>
        <v>27.000000000000007</v>
      </c>
      <c r="BE31" s="31">
        <f t="shared" si="42"/>
        <v>0</v>
      </c>
      <c r="BF31" s="31">
        <f t="shared" si="43"/>
        <v>0</v>
      </c>
      <c r="BG31" s="27"/>
      <c r="BH31" s="37">
        <f t="shared" si="9"/>
        <v>-1</v>
      </c>
      <c r="BI31" s="36">
        <f>[1]PN!$L31</f>
        <v>416.66666666666669</v>
      </c>
      <c r="BJ31" s="31">
        <f t="shared" si="44"/>
        <v>389.66666666666669</v>
      </c>
      <c r="BK31" s="18">
        <f t="shared" si="45"/>
        <v>27.000000000000007</v>
      </c>
      <c r="BL31" s="31">
        <f t="shared" si="46"/>
        <v>0</v>
      </c>
      <c r="BM31" s="31">
        <f t="shared" si="47"/>
        <v>0</v>
      </c>
      <c r="BN31" s="33"/>
      <c r="BO31" s="37">
        <f t="shared" si="10"/>
        <v>-1</v>
      </c>
      <c r="BP31" s="36">
        <f>[1]PN!$M31</f>
        <v>416.66666666666669</v>
      </c>
      <c r="BQ31" s="31">
        <f t="shared" si="48"/>
        <v>389.66666666666669</v>
      </c>
      <c r="BR31" s="18">
        <f t="shared" si="49"/>
        <v>27.000000000000007</v>
      </c>
      <c r="BS31" s="31">
        <f t="shared" si="50"/>
        <v>0</v>
      </c>
      <c r="BT31" s="31">
        <f t="shared" si="51"/>
        <v>0</v>
      </c>
      <c r="BU31" s="33"/>
      <c r="BV31" s="37">
        <f t="shared" si="11"/>
        <v>-1</v>
      </c>
      <c r="BW31" s="36">
        <f>[1]PN!$N31</f>
        <v>416.66666666666669</v>
      </c>
      <c r="BX31" s="31">
        <f t="shared" si="52"/>
        <v>389.66666666666669</v>
      </c>
      <c r="BY31" s="18">
        <f t="shared" si="53"/>
        <v>27.000000000000007</v>
      </c>
      <c r="BZ31" s="31">
        <f t="shared" si="54"/>
        <v>0</v>
      </c>
      <c r="CA31" s="31">
        <f t="shared" si="55"/>
        <v>0</v>
      </c>
      <c r="CB31" s="33"/>
      <c r="CC31" s="37">
        <f t="shared" si="12"/>
        <v>-1</v>
      </c>
      <c r="CD31" s="36">
        <f>[1]PN!$O31</f>
        <v>416.66666666666669</v>
      </c>
      <c r="CE31" s="31">
        <f t="shared" si="56"/>
        <v>389.66666666666669</v>
      </c>
      <c r="CF31" s="18">
        <f t="shared" si="57"/>
        <v>27.000000000000007</v>
      </c>
      <c r="CG31" s="31">
        <f t="shared" si="58"/>
        <v>0</v>
      </c>
      <c r="CH31" s="31">
        <f t="shared" si="59"/>
        <v>0</v>
      </c>
      <c r="CI31" s="33"/>
      <c r="CJ31" s="37">
        <f t="shared" si="13"/>
        <v>-1</v>
      </c>
      <c r="CK31" s="36">
        <f>[1]PN!$P31</f>
        <v>416.66666666666669</v>
      </c>
      <c r="CL31" s="31">
        <f t="shared" si="60"/>
        <v>389.66666666666669</v>
      </c>
      <c r="CM31" s="18">
        <f t="shared" si="61"/>
        <v>27.000000000000007</v>
      </c>
      <c r="CN31" s="31">
        <f t="shared" si="62"/>
        <v>0</v>
      </c>
      <c r="CO31" s="31">
        <f t="shared" si="63"/>
        <v>0</v>
      </c>
      <c r="CP31" s="33"/>
      <c r="CQ31" s="37">
        <f t="shared" si="14"/>
        <v>-1</v>
      </c>
    </row>
    <row r="32" spans="1:95" s="26" customFormat="1" ht="16" customHeight="1" thickBot="1" x14ac:dyDescent="0.25">
      <c r="A32" s="29" t="s">
        <v>157</v>
      </c>
      <c r="B32" s="30">
        <f t="shared" si="0"/>
        <v>2433905.0559999999</v>
      </c>
      <c r="C32" s="31">
        <f t="shared" si="0"/>
        <v>2276188.0083711999</v>
      </c>
      <c r="D32" s="32">
        <f t="shared" si="0"/>
        <v>157717.04762880001</v>
      </c>
      <c r="E32" s="30">
        <f t="shared" si="15"/>
        <v>1354761.936</v>
      </c>
      <c r="F32" s="33">
        <f t="shared" si="15"/>
        <v>1266973.3625472002</v>
      </c>
      <c r="G32" s="34">
        <f t="shared" si="15"/>
        <v>87788.573452800003</v>
      </c>
      <c r="H32" s="31">
        <f t="shared" si="1"/>
        <v>832411.69104800001</v>
      </c>
      <c r="I32" s="33">
        <f t="shared" si="1"/>
        <v>57677.798952000012</v>
      </c>
      <c r="J32" s="33">
        <f t="shared" si="1"/>
        <v>890089.48999999987</v>
      </c>
      <c r="K32" s="37">
        <f t="shared" si="2"/>
        <v>-0.34299195574682884</v>
      </c>
      <c r="L32" s="36">
        <f>[1]PN!$E32</f>
        <v>377431.56</v>
      </c>
      <c r="M32" s="31">
        <f t="shared" si="16"/>
        <v>352973.99491200002</v>
      </c>
      <c r="N32" s="31">
        <f t="shared" si="17"/>
        <v>24457.565088000003</v>
      </c>
      <c r="O32" s="31">
        <f t="shared" si="18"/>
        <v>93329.845784000034</v>
      </c>
      <c r="P32" s="31">
        <f t="shared" si="19"/>
        <v>6466.8242160000036</v>
      </c>
      <c r="Q32" s="31">
        <f>294672.37+136274.54+8590.56+316.8-(340057.6)</f>
        <v>99796.670000000042</v>
      </c>
      <c r="R32" s="31">
        <f t="shared" si="3"/>
        <v>-0.73559002326143563</v>
      </c>
      <c r="S32" s="31">
        <f>[1]PN!$F32</f>
        <v>335390.484</v>
      </c>
      <c r="T32" s="31">
        <f t="shared" si="20"/>
        <v>313657.18063680001</v>
      </c>
      <c r="U32" s="31">
        <f t="shared" si="21"/>
        <v>21733.303363200004</v>
      </c>
      <c r="V32" s="31">
        <f t="shared" si="22"/>
        <v>101603.82204000001</v>
      </c>
      <c r="W32" s="31">
        <f t="shared" si="23"/>
        <v>7040.1279600000016</v>
      </c>
      <c r="X32" s="31">
        <f>98995.85+8731.8+916.3</f>
        <v>108643.95000000001</v>
      </c>
      <c r="Y32" s="31">
        <f t="shared" si="4"/>
        <v>-0.67606728520061399</v>
      </c>
      <c r="Z32" s="31">
        <f>[1]PN!$G32</f>
        <v>306549.408</v>
      </c>
      <c r="AA32" s="31">
        <f t="shared" si="24"/>
        <v>286685.00636160001</v>
      </c>
      <c r="AB32" s="31">
        <f t="shared" si="25"/>
        <v>19864.401638400002</v>
      </c>
      <c r="AC32" s="31">
        <f t="shared" si="26"/>
        <v>174623.12515199999</v>
      </c>
      <c r="AD32" s="31">
        <f t="shared" si="27"/>
        <v>12099.634848000002</v>
      </c>
      <c r="AE32" s="31">
        <f>177912.74+6985.94+517.28+1306.8</f>
        <v>186722.75999999998</v>
      </c>
      <c r="AF32" s="31">
        <f t="shared" si="5"/>
        <v>-0.39088853174363336</v>
      </c>
      <c r="AG32" s="31">
        <f>[1]PN!$H32</f>
        <v>335390.484</v>
      </c>
      <c r="AH32" s="31">
        <f t="shared" si="28"/>
        <v>313657.18063680001</v>
      </c>
      <c r="AI32" s="31">
        <f t="shared" si="29"/>
        <v>21733.303363200004</v>
      </c>
      <c r="AJ32" s="31">
        <f t="shared" si="30"/>
        <v>189615.11060799999</v>
      </c>
      <c r="AK32" s="31">
        <f t="shared" si="31"/>
        <v>13138.429392</v>
      </c>
      <c r="AL32" s="31">
        <f>200837.08+1916.46</f>
        <v>202753.53999999998</v>
      </c>
      <c r="AM32" s="31">
        <f t="shared" si="6"/>
        <v>-0.39547020660252252</v>
      </c>
      <c r="AN32" s="31">
        <f>[1]PN!$I32</f>
        <v>364231.56</v>
      </c>
      <c r="AO32" s="31">
        <f t="shared" si="32"/>
        <v>340629.35491200001</v>
      </c>
      <c r="AP32" s="31">
        <f t="shared" si="33"/>
        <v>23602.205088000002</v>
      </c>
      <c r="AQ32" s="31">
        <f t="shared" si="34"/>
        <v>160196.17818399999</v>
      </c>
      <c r="AR32" s="31">
        <f t="shared" si="35"/>
        <v>11099.991816000002</v>
      </c>
      <c r="AS32" s="33">
        <v>171296.16999999998</v>
      </c>
      <c r="AT32" s="37">
        <f t="shared" si="7"/>
        <v>-0.52970530615194367</v>
      </c>
      <c r="AU32" s="36">
        <f>[1]PN!$J32</f>
        <v>430231.56</v>
      </c>
      <c r="AV32" s="31">
        <f t="shared" si="36"/>
        <v>402352.55491199996</v>
      </c>
      <c r="AW32" s="18">
        <f t="shared" si="37"/>
        <v>27879.005088000005</v>
      </c>
      <c r="AX32" s="31">
        <f t="shared" si="38"/>
        <v>113043.60927999999</v>
      </c>
      <c r="AY32" s="31">
        <f t="shared" si="39"/>
        <v>7832.7907200000009</v>
      </c>
      <c r="AZ32" s="33">
        <v>120876.4</v>
      </c>
      <c r="BA32" s="37">
        <f t="shared" si="8"/>
        <v>-0.71904339142391138</v>
      </c>
      <c r="BB32" s="36">
        <f>[1]PN!$K32</f>
        <v>188760</v>
      </c>
      <c r="BC32" s="31">
        <f t="shared" si="40"/>
        <v>176528.35199999998</v>
      </c>
      <c r="BD32" s="18">
        <f t="shared" si="41"/>
        <v>12231.648000000003</v>
      </c>
      <c r="BE32" s="31">
        <f t="shared" si="42"/>
        <v>0</v>
      </c>
      <c r="BF32" s="31">
        <f t="shared" si="43"/>
        <v>0</v>
      </c>
      <c r="BG32" s="27"/>
      <c r="BH32" s="37">
        <f t="shared" si="9"/>
        <v>-1</v>
      </c>
      <c r="BI32" s="36">
        <f>[1]PN!$L32</f>
        <v>90640</v>
      </c>
      <c r="BJ32" s="31">
        <f t="shared" si="44"/>
        <v>84766.528000000006</v>
      </c>
      <c r="BK32" s="18">
        <f t="shared" si="45"/>
        <v>5873.4720000000007</v>
      </c>
      <c r="BL32" s="31">
        <f t="shared" si="46"/>
        <v>0</v>
      </c>
      <c r="BM32" s="31">
        <f t="shared" si="47"/>
        <v>0</v>
      </c>
      <c r="BN32" s="33"/>
      <c r="BO32" s="37">
        <f t="shared" si="10"/>
        <v>-1</v>
      </c>
      <c r="BP32" s="36">
        <f>[1]PN!$M32</f>
        <v>2640</v>
      </c>
      <c r="BQ32" s="31">
        <f t="shared" si="48"/>
        <v>2468.9279999999999</v>
      </c>
      <c r="BR32" s="18">
        <f t="shared" si="49"/>
        <v>171.07200000000003</v>
      </c>
      <c r="BS32" s="31">
        <f t="shared" si="50"/>
        <v>0</v>
      </c>
      <c r="BT32" s="31">
        <f t="shared" si="51"/>
        <v>0</v>
      </c>
      <c r="BU32" s="33"/>
      <c r="BV32" s="37">
        <f t="shared" si="11"/>
        <v>-1</v>
      </c>
      <c r="BW32" s="36">
        <f>[1]PN!$N32</f>
        <v>2640</v>
      </c>
      <c r="BX32" s="31">
        <f t="shared" si="52"/>
        <v>2468.9279999999999</v>
      </c>
      <c r="BY32" s="18">
        <f t="shared" si="53"/>
        <v>171.07200000000003</v>
      </c>
      <c r="BZ32" s="31">
        <f t="shared" si="54"/>
        <v>0</v>
      </c>
      <c r="CA32" s="31">
        <f t="shared" si="55"/>
        <v>0</v>
      </c>
      <c r="CB32" s="33"/>
      <c r="CC32" s="37">
        <f t="shared" si="12"/>
        <v>-1</v>
      </c>
      <c r="CD32" s="36">
        <f>[1]PN!$O32</f>
        <v>0</v>
      </c>
      <c r="CE32" s="31">
        <f t="shared" si="56"/>
        <v>0</v>
      </c>
      <c r="CF32" s="18">
        <f t="shared" si="57"/>
        <v>0</v>
      </c>
      <c r="CG32" s="31">
        <f t="shared" si="58"/>
        <v>0</v>
      </c>
      <c r="CH32" s="31">
        <f t="shared" si="59"/>
        <v>0</v>
      </c>
      <c r="CI32" s="33"/>
      <c r="CJ32" s="37" t="str">
        <f t="shared" si="13"/>
        <v/>
      </c>
      <c r="CK32" s="36">
        <f>[1]PN!$P32</f>
        <v>0</v>
      </c>
      <c r="CL32" s="31">
        <f t="shared" si="60"/>
        <v>0</v>
      </c>
      <c r="CM32" s="18">
        <f t="shared" si="61"/>
        <v>0</v>
      </c>
      <c r="CN32" s="31">
        <f t="shared" si="62"/>
        <v>0</v>
      </c>
      <c r="CO32" s="31">
        <f t="shared" si="63"/>
        <v>0</v>
      </c>
      <c r="CP32" s="33"/>
      <c r="CQ32" s="37" t="str">
        <f t="shared" si="14"/>
        <v/>
      </c>
    </row>
    <row r="33" spans="1:95" s="26" customFormat="1" ht="16" customHeight="1" thickBot="1" x14ac:dyDescent="0.25">
      <c r="A33" s="29" t="s">
        <v>57</v>
      </c>
      <c r="B33" s="30">
        <f t="shared" si="0"/>
        <v>971428.57142857136</v>
      </c>
      <c r="C33" s="31">
        <f t="shared" si="0"/>
        <v>908480</v>
      </c>
      <c r="D33" s="32">
        <f t="shared" si="0"/>
        <v>62948.571428571435</v>
      </c>
      <c r="E33" s="30">
        <f t="shared" si="15"/>
        <v>624489.79591836734</v>
      </c>
      <c r="F33" s="33">
        <f t="shared" si="15"/>
        <v>584022.85714285716</v>
      </c>
      <c r="G33" s="34">
        <f t="shared" si="15"/>
        <v>40466.938775510207</v>
      </c>
      <c r="H33" s="31">
        <f t="shared" si="1"/>
        <v>375181.96486399998</v>
      </c>
      <c r="I33" s="33">
        <f t="shared" si="1"/>
        <v>25996.355136000006</v>
      </c>
      <c r="J33" s="33">
        <f t="shared" si="1"/>
        <v>401178.32</v>
      </c>
      <c r="K33" s="37">
        <f t="shared" si="2"/>
        <v>-0.3575902718954248</v>
      </c>
      <c r="L33" s="36">
        <f>[1]PN!$E33</f>
        <v>173469.38775510204</v>
      </c>
      <c r="M33" s="31">
        <f t="shared" si="16"/>
        <v>162228.57142857142</v>
      </c>
      <c r="N33" s="31">
        <f t="shared" si="17"/>
        <v>11240.816326530614</v>
      </c>
      <c r="O33" s="31">
        <f t="shared" si="18"/>
        <v>99081.157447999998</v>
      </c>
      <c r="P33" s="31">
        <f t="shared" si="19"/>
        <v>6865.3325520000017</v>
      </c>
      <c r="Q33" s="31">
        <f>90307.89+15638.6</f>
        <v>105946.49</v>
      </c>
      <c r="R33" s="31">
        <f t="shared" si="3"/>
        <v>-0.38924964588235289</v>
      </c>
      <c r="S33" s="31">
        <f>[1]PN!$F33</f>
        <v>156122.44897959183</v>
      </c>
      <c r="T33" s="31">
        <f t="shared" si="20"/>
        <v>146005.71428571429</v>
      </c>
      <c r="U33" s="31">
        <f t="shared" si="21"/>
        <v>10116.734693877552</v>
      </c>
      <c r="V33" s="31">
        <f t="shared" si="22"/>
        <v>56036.866032000005</v>
      </c>
      <c r="W33" s="31">
        <f t="shared" si="23"/>
        <v>3882.7939680000009</v>
      </c>
      <c r="X33" s="31">
        <v>59919.66</v>
      </c>
      <c r="Y33" s="31">
        <f t="shared" si="4"/>
        <v>-0.61620087058823525</v>
      </c>
      <c r="Z33" s="31">
        <f>[1]PN!$G33</f>
        <v>138775.51020408163</v>
      </c>
      <c r="AA33" s="31">
        <f t="shared" si="24"/>
        <v>129782.85714285713</v>
      </c>
      <c r="AB33" s="31">
        <f t="shared" si="25"/>
        <v>8992.6530612244915</v>
      </c>
      <c r="AC33" s="31">
        <f t="shared" si="26"/>
        <v>149803.89911199998</v>
      </c>
      <c r="AD33" s="31">
        <f t="shared" si="27"/>
        <v>10379.910888000002</v>
      </c>
      <c r="AE33" s="31">
        <v>160183.81</v>
      </c>
      <c r="AF33" s="31">
        <f t="shared" si="5"/>
        <v>0.15426568970588228</v>
      </c>
      <c r="AG33" s="31">
        <f>[1]PN!$H33</f>
        <v>156122.44897959183</v>
      </c>
      <c r="AH33" s="31">
        <f t="shared" si="28"/>
        <v>146005.71428571429</v>
      </c>
      <c r="AI33" s="31">
        <f t="shared" si="29"/>
        <v>10116.734693877552</v>
      </c>
      <c r="AJ33" s="31">
        <f t="shared" si="30"/>
        <v>2476.54988</v>
      </c>
      <c r="AK33" s="31">
        <f t="shared" si="31"/>
        <v>171.60012000000003</v>
      </c>
      <c r="AL33" s="31">
        <v>2648.15</v>
      </c>
      <c r="AM33" s="31">
        <f t="shared" si="6"/>
        <v>-0.9830379934640523</v>
      </c>
      <c r="AN33" s="31">
        <f>[1]PN!$I33</f>
        <v>173469.38775510204</v>
      </c>
      <c r="AO33" s="31">
        <f t="shared" si="32"/>
        <v>162228.57142857142</v>
      </c>
      <c r="AP33" s="31">
        <f t="shared" si="33"/>
        <v>11240.816326530614</v>
      </c>
      <c r="AQ33" s="31">
        <f t="shared" si="34"/>
        <v>27538.469671999999</v>
      </c>
      <c r="AR33" s="31">
        <f t="shared" si="35"/>
        <v>1908.1403280000004</v>
      </c>
      <c r="AS33" s="33">
        <v>29446.61</v>
      </c>
      <c r="AT33" s="37">
        <f t="shared" si="7"/>
        <v>-0.83024895411764699</v>
      </c>
      <c r="AU33" s="36">
        <f>[1]PN!$J33</f>
        <v>173469.38775510204</v>
      </c>
      <c r="AV33" s="31">
        <f t="shared" si="36"/>
        <v>162228.57142857142</v>
      </c>
      <c r="AW33" s="18">
        <f t="shared" si="37"/>
        <v>11240.816326530614</v>
      </c>
      <c r="AX33" s="31">
        <f t="shared" si="38"/>
        <v>40245.022720000001</v>
      </c>
      <c r="AY33" s="31">
        <f t="shared" si="39"/>
        <v>2788.5772800000004</v>
      </c>
      <c r="AZ33" s="33">
        <v>43033.599999999999</v>
      </c>
      <c r="BA33" s="37">
        <f t="shared" si="8"/>
        <v>-0.75192395294117653</v>
      </c>
      <c r="BB33" s="36">
        <f>[1]PN!$K33</f>
        <v>0</v>
      </c>
      <c r="BC33" s="31">
        <f t="shared" si="40"/>
        <v>0</v>
      </c>
      <c r="BD33" s="18">
        <f t="shared" si="41"/>
        <v>0</v>
      </c>
      <c r="BE33" s="31">
        <f t="shared" si="42"/>
        <v>0</v>
      </c>
      <c r="BF33" s="31">
        <f t="shared" si="43"/>
        <v>0</v>
      </c>
      <c r="BG33" s="27"/>
      <c r="BH33" s="37" t="str">
        <f t="shared" si="9"/>
        <v/>
      </c>
      <c r="BI33" s="36">
        <f>[1]PN!$L33</f>
        <v>0</v>
      </c>
      <c r="BJ33" s="31">
        <f t="shared" si="44"/>
        <v>0</v>
      </c>
      <c r="BK33" s="18">
        <f t="shared" si="45"/>
        <v>0</v>
      </c>
      <c r="BL33" s="31">
        <f t="shared" si="46"/>
        <v>0</v>
      </c>
      <c r="BM33" s="31">
        <f t="shared" si="47"/>
        <v>0</v>
      </c>
      <c r="BN33" s="33"/>
      <c r="BO33" s="37" t="str">
        <f t="shared" si="10"/>
        <v/>
      </c>
      <c r="BP33" s="36">
        <f>[1]PN!$M33</f>
        <v>0</v>
      </c>
      <c r="BQ33" s="31">
        <f t="shared" si="48"/>
        <v>0</v>
      </c>
      <c r="BR33" s="18">
        <f t="shared" si="49"/>
        <v>0</v>
      </c>
      <c r="BS33" s="31">
        <f t="shared" si="50"/>
        <v>0</v>
      </c>
      <c r="BT33" s="31">
        <f t="shared" si="51"/>
        <v>0</v>
      </c>
      <c r="BU33" s="33"/>
      <c r="BV33" s="37" t="str">
        <f t="shared" si="11"/>
        <v/>
      </c>
      <c r="BW33" s="36">
        <f>[1]PN!$N33</f>
        <v>0</v>
      </c>
      <c r="BX33" s="31">
        <f t="shared" si="52"/>
        <v>0</v>
      </c>
      <c r="BY33" s="18">
        <f t="shared" si="53"/>
        <v>0</v>
      </c>
      <c r="BZ33" s="31">
        <f t="shared" si="54"/>
        <v>0</v>
      </c>
      <c r="CA33" s="31">
        <f t="shared" si="55"/>
        <v>0</v>
      </c>
      <c r="CB33" s="33"/>
      <c r="CC33" s="37" t="str">
        <f t="shared" si="12"/>
        <v/>
      </c>
      <c r="CD33" s="36">
        <f>[1]PN!$O33</f>
        <v>0</v>
      </c>
      <c r="CE33" s="31">
        <f t="shared" si="56"/>
        <v>0</v>
      </c>
      <c r="CF33" s="18">
        <f t="shared" si="57"/>
        <v>0</v>
      </c>
      <c r="CG33" s="31">
        <f t="shared" si="58"/>
        <v>0</v>
      </c>
      <c r="CH33" s="31">
        <f t="shared" si="59"/>
        <v>0</v>
      </c>
      <c r="CI33" s="33"/>
      <c r="CJ33" s="37" t="str">
        <f t="shared" si="13"/>
        <v/>
      </c>
      <c r="CK33" s="36">
        <f>[1]PN!$P33</f>
        <v>0</v>
      </c>
      <c r="CL33" s="31">
        <f t="shared" si="60"/>
        <v>0</v>
      </c>
      <c r="CM33" s="18">
        <f t="shared" si="61"/>
        <v>0</v>
      </c>
      <c r="CN33" s="31">
        <f t="shared" si="62"/>
        <v>0</v>
      </c>
      <c r="CO33" s="31">
        <f t="shared" si="63"/>
        <v>0</v>
      </c>
      <c r="CP33" s="33"/>
      <c r="CQ33" s="37" t="str">
        <f t="shared" si="14"/>
        <v/>
      </c>
    </row>
    <row r="34" spans="1:95" s="26" customFormat="1" ht="16" customHeight="1" thickBot="1" x14ac:dyDescent="0.25">
      <c r="A34" s="29" t="s">
        <v>158</v>
      </c>
      <c r="B34" s="30">
        <f t="shared" si="0"/>
        <v>881457.25</v>
      </c>
      <c r="C34" s="31">
        <f t="shared" si="0"/>
        <v>824338.82019999996</v>
      </c>
      <c r="D34" s="32">
        <f t="shared" si="0"/>
        <v>57118.429800000013</v>
      </c>
      <c r="E34" s="30">
        <f t="shared" si="15"/>
        <v>806457.25</v>
      </c>
      <c r="F34" s="33">
        <f t="shared" si="15"/>
        <v>754198.82019999996</v>
      </c>
      <c r="G34" s="34">
        <f t="shared" si="15"/>
        <v>52258.429800000013</v>
      </c>
      <c r="H34" s="31">
        <f t="shared" si="1"/>
        <v>439586.43937600008</v>
      </c>
      <c r="I34" s="33">
        <f t="shared" si="1"/>
        <v>30458.940624000006</v>
      </c>
      <c r="J34" s="33">
        <f t="shared" si="1"/>
        <v>470045.38</v>
      </c>
      <c r="K34" s="37">
        <f t="shared" si="2"/>
        <v>-0.41714780293685749</v>
      </c>
      <c r="L34" s="36">
        <f>[1]PN!$E34</f>
        <v>464502.35000000003</v>
      </c>
      <c r="M34" s="31">
        <f t="shared" si="16"/>
        <v>434402.59772000002</v>
      </c>
      <c r="N34" s="31">
        <f t="shared" si="17"/>
        <v>30099.752280000008</v>
      </c>
      <c r="O34" s="31">
        <f t="shared" si="18"/>
        <v>366451.50813600002</v>
      </c>
      <c r="P34" s="31">
        <f t="shared" si="19"/>
        <v>25391.421864000004</v>
      </c>
      <c r="Q34" s="31">
        <f>8426.54+43358.79+(340057.6)</f>
        <v>391842.93</v>
      </c>
      <c r="R34" s="31">
        <f t="shared" si="3"/>
        <v>-0.15642422476441731</v>
      </c>
      <c r="S34" s="31">
        <f>[1]PN!$F34</f>
        <v>341954.9</v>
      </c>
      <c r="T34" s="31">
        <f t="shared" si="20"/>
        <v>319796.22248</v>
      </c>
      <c r="U34" s="31">
        <f t="shared" si="21"/>
        <v>22158.677520000005</v>
      </c>
      <c r="V34" s="31">
        <f t="shared" si="22"/>
        <v>37230.957288000005</v>
      </c>
      <c r="W34" s="31">
        <f t="shared" si="23"/>
        <v>2579.7327120000004</v>
      </c>
      <c r="X34" s="31">
        <v>39810.69</v>
      </c>
      <c r="Y34" s="31">
        <f t="shared" si="4"/>
        <v>-0.88357912110632131</v>
      </c>
      <c r="Z34" s="31">
        <f>[1]PN!$G34</f>
        <v>0</v>
      </c>
      <c r="AA34" s="31">
        <f t="shared" si="24"/>
        <v>0</v>
      </c>
      <c r="AB34" s="31">
        <f t="shared" si="25"/>
        <v>0</v>
      </c>
      <c r="AC34" s="31">
        <f t="shared" si="26"/>
        <v>35903.973952</v>
      </c>
      <c r="AD34" s="31">
        <f t="shared" si="27"/>
        <v>2487.7860480000004</v>
      </c>
      <c r="AE34" s="31">
        <v>38391.760000000002</v>
      </c>
      <c r="AF34" s="31" t="str">
        <f t="shared" si="5"/>
        <v/>
      </c>
      <c r="AG34" s="31">
        <f>[1]PN!$H34</f>
        <v>0</v>
      </c>
      <c r="AH34" s="31">
        <f t="shared" si="28"/>
        <v>0</v>
      </c>
      <c r="AI34" s="31">
        <f t="shared" si="29"/>
        <v>0</v>
      </c>
      <c r="AJ34" s="31">
        <f t="shared" si="30"/>
        <v>0</v>
      </c>
      <c r="AK34" s="31">
        <f t="shared" si="31"/>
        <v>0</v>
      </c>
      <c r="AL34" s="31"/>
      <c r="AM34" s="31" t="str">
        <f t="shared" si="6"/>
        <v/>
      </c>
      <c r="AN34" s="31">
        <f>[1]PN!$I34</f>
        <v>0</v>
      </c>
      <c r="AO34" s="31">
        <f t="shared" si="32"/>
        <v>0</v>
      </c>
      <c r="AP34" s="31">
        <f t="shared" si="33"/>
        <v>0</v>
      </c>
      <c r="AQ34" s="31">
        <f t="shared" si="34"/>
        <v>0</v>
      </c>
      <c r="AR34" s="31">
        <f t="shared" si="35"/>
        <v>0</v>
      </c>
      <c r="AS34" s="33"/>
      <c r="AT34" s="37" t="str">
        <f t="shared" si="7"/>
        <v/>
      </c>
      <c r="AU34" s="36">
        <f>[1]PN!$J34</f>
        <v>0</v>
      </c>
      <c r="AV34" s="31">
        <f t="shared" si="36"/>
        <v>0</v>
      </c>
      <c r="AW34" s="18">
        <f t="shared" si="37"/>
        <v>0</v>
      </c>
      <c r="AX34" s="31">
        <f t="shared" si="38"/>
        <v>0</v>
      </c>
      <c r="AY34" s="31">
        <f t="shared" si="39"/>
        <v>0</v>
      </c>
      <c r="AZ34" s="33"/>
      <c r="BA34" s="37" t="str">
        <f t="shared" si="8"/>
        <v/>
      </c>
      <c r="BB34" s="36">
        <f>[1]PN!$K34</f>
        <v>30000</v>
      </c>
      <c r="BC34" s="31">
        <f t="shared" si="40"/>
        <v>28056</v>
      </c>
      <c r="BD34" s="18">
        <f t="shared" si="41"/>
        <v>1944.0000000000002</v>
      </c>
      <c r="BE34" s="31">
        <f t="shared" si="42"/>
        <v>0</v>
      </c>
      <c r="BF34" s="31">
        <f t="shared" si="43"/>
        <v>0</v>
      </c>
      <c r="BG34" s="27"/>
      <c r="BH34" s="37">
        <f t="shared" si="9"/>
        <v>-1</v>
      </c>
      <c r="BI34" s="36">
        <f>[1]PN!$L34</f>
        <v>45000</v>
      </c>
      <c r="BJ34" s="31">
        <f t="shared" si="44"/>
        <v>42084</v>
      </c>
      <c r="BK34" s="18">
        <f t="shared" si="45"/>
        <v>2916.0000000000005</v>
      </c>
      <c r="BL34" s="31">
        <f t="shared" si="46"/>
        <v>0</v>
      </c>
      <c r="BM34" s="31">
        <f t="shared" si="47"/>
        <v>0</v>
      </c>
      <c r="BN34" s="33"/>
      <c r="BO34" s="37">
        <f t="shared" si="10"/>
        <v>-1</v>
      </c>
      <c r="BP34" s="36">
        <f>[1]PN!$M34</f>
        <v>0</v>
      </c>
      <c r="BQ34" s="31">
        <f t="shared" si="48"/>
        <v>0</v>
      </c>
      <c r="BR34" s="18">
        <f t="shared" si="49"/>
        <v>0</v>
      </c>
      <c r="BS34" s="31">
        <f t="shared" si="50"/>
        <v>0</v>
      </c>
      <c r="BT34" s="31">
        <f t="shared" si="51"/>
        <v>0</v>
      </c>
      <c r="BU34" s="33"/>
      <c r="BV34" s="37" t="str">
        <f t="shared" si="11"/>
        <v/>
      </c>
      <c r="BW34" s="36">
        <f>[1]PN!$N34</f>
        <v>0</v>
      </c>
      <c r="BX34" s="31">
        <f t="shared" si="52"/>
        <v>0</v>
      </c>
      <c r="BY34" s="18">
        <f t="shared" si="53"/>
        <v>0</v>
      </c>
      <c r="BZ34" s="31">
        <f t="shared" si="54"/>
        <v>0</v>
      </c>
      <c r="CA34" s="31">
        <f t="shared" si="55"/>
        <v>0</v>
      </c>
      <c r="CB34" s="33"/>
      <c r="CC34" s="37" t="str">
        <f t="shared" si="12"/>
        <v/>
      </c>
      <c r="CD34" s="36">
        <f>[1]PN!$O34</f>
        <v>0</v>
      </c>
      <c r="CE34" s="31">
        <f t="shared" si="56"/>
        <v>0</v>
      </c>
      <c r="CF34" s="18">
        <f t="shared" si="57"/>
        <v>0</v>
      </c>
      <c r="CG34" s="31">
        <f t="shared" si="58"/>
        <v>0</v>
      </c>
      <c r="CH34" s="31">
        <f t="shared" si="59"/>
        <v>0</v>
      </c>
      <c r="CI34" s="33"/>
      <c r="CJ34" s="37" t="str">
        <f t="shared" si="13"/>
        <v/>
      </c>
      <c r="CK34" s="36">
        <f>[1]PN!$P34</f>
        <v>0</v>
      </c>
      <c r="CL34" s="31">
        <f t="shared" si="60"/>
        <v>0</v>
      </c>
      <c r="CM34" s="18">
        <f t="shared" si="61"/>
        <v>0</v>
      </c>
      <c r="CN34" s="31">
        <f t="shared" si="62"/>
        <v>0</v>
      </c>
      <c r="CO34" s="31">
        <f t="shared" si="63"/>
        <v>0</v>
      </c>
      <c r="CP34" s="33"/>
      <c r="CQ34" s="37" t="str">
        <f t="shared" si="14"/>
        <v/>
      </c>
    </row>
    <row r="35" spans="1:95" s="26" customFormat="1" ht="16" customHeight="1" thickBot="1" x14ac:dyDescent="0.25">
      <c r="A35" s="29" t="s">
        <v>59</v>
      </c>
      <c r="B35" s="30">
        <f t="shared" si="0"/>
        <v>281632.6530612245</v>
      </c>
      <c r="C35" s="31">
        <f t="shared" si="0"/>
        <v>263382.85714285716</v>
      </c>
      <c r="D35" s="32">
        <f t="shared" si="0"/>
        <v>18249.795918367352</v>
      </c>
      <c r="E35" s="30">
        <f t="shared" si="15"/>
        <v>281632.6530612245</v>
      </c>
      <c r="F35" s="33">
        <f t="shared" si="15"/>
        <v>263382.85714285716</v>
      </c>
      <c r="G35" s="34">
        <f t="shared" si="15"/>
        <v>18249.795918367352</v>
      </c>
      <c r="H35" s="31">
        <f t="shared" si="1"/>
        <v>103785.204096</v>
      </c>
      <c r="I35" s="33">
        <f t="shared" si="1"/>
        <v>7191.2759040000019</v>
      </c>
      <c r="J35" s="33">
        <f t="shared" si="1"/>
        <v>110976.48000000001</v>
      </c>
      <c r="K35" s="37">
        <f t="shared" si="2"/>
        <v>-0.60595307826086953</v>
      </c>
      <c r="L35" s="36">
        <f>[1]PN!$E35</f>
        <v>168979.5918367347</v>
      </c>
      <c r="M35" s="31">
        <f t="shared" si="16"/>
        <v>158029.71428571429</v>
      </c>
      <c r="N35" s="31">
        <f t="shared" si="17"/>
        <v>10949.87755102041</v>
      </c>
      <c r="O35" s="31">
        <f t="shared" si="18"/>
        <v>80719.618336</v>
      </c>
      <c r="P35" s="31">
        <f t="shared" si="19"/>
        <v>5593.0616640000017</v>
      </c>
      <c r="Q35" s="31">
        <f>5637.35+80675.33</f>
        <v>86312.680000000008</v>
      </c>
      <c r="R35" s="31">
        <f t="shared" si="3"/>
        <v>-0.48921240096618357</v>
      </c>
      <c r="S35" s="31">
        <f>[1]PN!$F35</f>
        <v>112653.06122448981</v>
      </c>
      <c r="T35" s="31">
        <f t="shared" si="20"/>
        <v>105353.14285714287</v>
      </c>
      <c r="U35" s="31">
        <f t="shared" si="21"/>
        <v>7299.9183673469406</v>
      </c>
      <c r="V35" s="31">
        <f t="shared" si="22"/>
        <v>23065.585759999998</v>
      </c>
      <c r="W35" s="31">
        <f t="shared" si="23"/>
        <v>1598.2142400000002</v>
      </c>
      <c r="X35" s="31">
        <v>24663.8</v>
      </c>
      <c r="Y35" s="31">
        <f t="shared" si="4"/>
        <v>-0.78106409420289857</v>
      </c>
      <c r="Z35" s="31">
        <f>[1]PN!$G35</f>
        <v>0</v>
      </c>
      <c r="AA35" s="31">
        <f t="shared" si="24"/>
        <v>0</v>
      </c>
      <c r="AB35" s="31">
        <f t="shared" si="25"/>
        <v>0</v>
      </c>
      <c r="AC35" s="31">
        <f t="shared" si="26"/>
        <v>0</v>
      </c>
      <c r="AD35" s="31">
        <f t="shared" si="27"/>
        <v>0</v>
      </c>
      <c r="AE35" s="31"/>
      <c r="AF35" s="31" t="str">
        <f t="shared" si="5"/>
        <v/>
      </c>
      <c r="AG35" s="31">
        <f>[1]PN!$H35</f>
        <v>0</v>
      </c>
      <c r="AH35" s="31">
        <f t="shared" si="28"/>
        <v>0</v>
      </c>
      <c r="AI35" s="31">
        <f t="shared" si="29"/>
        <v>0</v>
      </c>
      <c r="AJ35" s="31">
        <f t="shared" si="30"/>
        <v>0</v>
      </c>
      <c r="AK35" s="31">
        <f t="shared" si="31"/>
        <v>0</v>
      </c>
      <c r="AL35" s="31"/>
      <c r="AM35" s="31" t="str">
        <f t="shared" si="6"/>
        <v/>
      </c>
      <c r="AN35" s="31">
        <f>[1]PN!$I35</f>
        <v>0</v>
      </c>
      <c r="AO35" s="31">
        <f t="shared" si="32"/>
        <v>0</v>
      </c>
      <c r="AP35" s="31">
        <f t="shared" si="33"/>
        <v>0</v>
      </c>
      <c r="AQ35" s="31">
        <f t="shared" si="34"/>
        <v>0</v>
      </c>
      <c r="AR35" s="31">
        <f t="shared" si="35"/>
        <v>0</v>
      </c>
      <c r="AS35" s="33"/>
      <c r="AT35" s="37" t="str">
        <f t="shared" si="7"/>
        <v/>
      </c>
      <c r="AU35" s="36">
        <f>[1]PN!$J35</f>
        <v>0</v>
      </c>
      <c r="AV35" s="31">
        <f t="shared" si="36"/>
        <v>0</v>
      </c>
      <c r="AW35" s="18">
        <f t="shared" si="37"/>
        <v>0</v>
      </c>
      <c r="AX35" s="31">
        <f t="shared" si="38"/>
        <v>0</v>
      </c>
      <c r="AY35" s="31">
        <f t="shared" si="39"/>
        <v>0</v>
      </c>
      <c r="AZ35" s="33"/>
      <c r="BA35" s="37" t="str">
        <f t="shared" si="8"/>
        <v/>
      </c>
      <c r="BB35" s="36">
        <f>[1]PN!$K35</f>
        <v>0</v>
      </c>
      <c r="BC35" s="31">
        <f t="shared" si="40"/>
        <v>0</v>
      </c>
      <c r="BD35" s="18">
        <f t="shared" si="41"/>
        <v>0</v>
      </c>
      <c r="BE35" s="31">
        <f t="shared" si="42"/>
        <v>0</v>
      </c>
      <c r="BF35" s="31">
        <f t="shared" si="43"/>
        <v>0</v>
      </c>
      <c r="BG35" s="27"/>
      <c r="BH35" s="37" t="str">
        <f t="shared" si="9"/>
        <v/>
      </c>
      <c r="BI35" s="36">
        <f>[1]PN!$L35</f>
        <v>0</v>
      </c>
      <c r="BJ35" s="31">
        <f t="shared" si="44"/>
        <v>0</v>
      </c>
      <c r="BK35" s="18">
        <f t="shared" si="45"/>
        <v>0</v>
      </c>
      <c r="BL35" s="31">
        <f t="shared" si="46"/>
        <v>0</v>
      </c>
      <c r="BM35" s="31">
        <f t="shared" si="47"/>
        <v>0</v>
      </c>
      <c r="BN35" s="33"/>
      <c r="BO35" s="37" t="str">
        <f t="shared" si="10"/>
        <v/>
      </c>
      <c r="BP35" s="36">
        <f>[1]PN!$M35</f>
        <v>0</v>
      </c>
      <c r="BQ35" s="31">
        <f t="shared" si="48"/>
        <v>0</v>
      </c>
      <c r="BR35" s="18">
        <f t="shared" si="49"/>
        <v>0</v>
      </c>
      <c r="BS35" s="31">
        <f t="shared" si="50"/>
        <v>0</v>
      </c>
      <c r="BT35" s="31">
        <f t="shared" si="51"/>
        <v>0</v>
      </c>
      <c r="BU35" s="33"/>
      <c r="BV35" s="37" t="str">
        <f t="shared" si="11"/>
        <v/>
      </c>
      <c r="BW35" s="36">
        <f>[1]PN!$N35</f>
        <v>0</v>
      </c>
      <c r="BX35" s="31">
        <f t="shared" si="52"/>
        <v>0</v>
      </c>
      <c r="BY35" s="18">
        <f t="shared" si="53"/>
        <v>0</v>
      </c>
      <c r="BZ35" s="31">
        <f t="shared" si="54"/>
        <v>0</v>
      </c>
      <c r="CA35" s="31">
        <f t="shared" si="55"/>
        <v>0</v>
      </c>
      <c r="CB35" s="33"/>
      <c r="CC35" s="37" t="str">
        <f t="shared" si="12"/>
        <v/>
      </c>
      <c r="CD35" s="36">
        <f>[1]PN!$O35</f>
        <v>0</v>
      </c>
      <c r="CE35" s="31">
        <f t="shared" si="56"/>
        <v>0</v>
      </c>
      <c r="CF35" s="18">
        <f t="shared" si="57"/>
        <v>0</v>
      </c>
      <c r="CG35" s="31">
        <f t="shared" si="58"/>
        <v>0</v>
      </c>
      <c r="CH35" s="31">
        <f t="shared" si="59"/>
        <v>0</v>
      </c>
      <c r="CI35" s="33"/>
      <c r="CJ35" s="37" t="str">
        <f t="shared" si="13"/>
        <v/>
      </c>
      <c r="CK35" s="36">
        <f>[1]PN!$P35</f>
        <v>0</v>
      </c>
      <c r="CL35" s="31">
        <f t="shared" si="60"/>
        <v>0</v>
      </c>
      <c r="CM35" s="18">
        <f t="shared" si="61"/>
        <v>0</v>
      </c>
      <c r="CN35" s="31">
        <f t="shared" si="62"/>
        <v>0</v>
      </c>
      <c r="CO35" s="31">
        <f t="shared" si="63"/>
        <v>0</v>
      </c>
      <c r="CP35" s="33"/>
      <c r="CQ35" s="37" t="str">
        <f t="shared" si="14"/>
        <v/>
      </c>
    </row>
    <row r="36" spans="1:95" s="26" customFormat="1" ht="16" customHeight="1" thickBot="1" x14ac:dyDescent="0.25">
      <c r="A36" s="38" t="s">
        <v>60</v>
      </c>
      <c r="B36" s="30">
        <f t="shared" ref="B36:D54" si="64">+L36+S36+Z36+AG36+AN36+AU36+BB36+BI36+BP36+BW36+CD36+CK36</f>
        <v>170000</v>
      </c>
      <c r="C36" s="31">
        <f t="shared" si="64"/>
        <v>158984</v>
      </c>
      <c r="D36" s="32">
        <f t="shared" si="64"/>
        <v>11016.000000000002</v>
      </c>
      <c r="E36" s="30">
        <f t="shared" si="15"/>
        <v>56666.666666666664</v>
      </c>
      <c r="F36" s="33">
        <f t="shared" si="15"/>
        <v>52994.666666666664</v>
      </c>
      <c r="G36" s="34">
        <f t="shared" si="15"/>
        <v>3672.0000000000005</v>
      </c>
      <c r="H36" s="31">
        <f t="shared" ref="H36:J54" si="65">+O36+V36+AC36+AJ36+AQ36+AX36+BE36+BL36+BS36+BZ36+CG36+CN36</f>
        <v>93531.942504000006</v>
      </c>
      <c r="I36" s="33">
        <f t="shared" si="65"/>
        <v>6480.8274960000026</v>
      </c>
      <c r="J36" s="33">
        <f t="shared" si="65"/>
        <v>100012.77</v>
      </c>
      <c r="K36" s="37">
        <f t="shared" si="2"/>
        <v>0.76493123529411777</v>
      </c>
      <c r="L36" s="36">
        <f>[1]PN!$E36</f>
        <v>14166.666666666666</v>
      </c>
      <c r="M36" s="31">
        <f t="shared" si="16"/>
        <v>13248.666666666666</v>
      </c>
      <c r="N36" s="31">
        <f t="shared" si="17"/>
        <v>918.00000000000011</v>
      </c>
      <c r="O36" s="31">
        <f t="shared" si="18"/>
        <v>10533.120191999998</v>
      </c>
      <c r="P36" s="31">
        <f t="shared" si="19"/>
        <v>729.83980800000006</v>
      </c>
      <c r="Q36" s="31">
        <f>220.88+175+76.23+244.64+1112.45+40.73+1300+600+4.8+55.36+36.08+17.54+10.65+34.7+14.58+1400+40.77+470+190+39.54+159.75+34.21+4386+560+39.05</f>
        <v>11262.96</v>
      </c>
      <c r="R36" s="31">
        <f t="shared" si="3"/>
        <v>-0.20496752941176477</v>
      </c>
      <c r="S36" s="31">
        <f>[1]PN!$F36</f>
        <v>14166.666666666666</v>
      </c>
      <c r="T36" s="31">
        <f t="shared" si="20"/>
        <v>13248.666666666666</v>
      </c>
      <c r="U36" s="31">
        <f t="shared" si="21"/>
        <v>918.00000000000011</v>
      </c>
      <c r="V36" s="31">
        <f t="shared" si="22"/>
        <v>13177.753568</v>
      </c>
      <c r="W36" s="31">
        <f t="shared" si="23"/>
        <v>913.08643200000017</v>
      </c>
      <c r="X36" s="31">
        <f>43.98+30.27+2534+2300+282.72+23+1600+97.6+147+480+24.71+37.41+500+1400+160+2500+484+260+150+950+86.15</f>
        <v>14090.84</v>
      </c>
      <c r="Y36" s="31">
        <f t="shared" si="4"/>
        <v>-5.3524705882352919E-3</v>
      </c>
      <c r="Z36" s="31">
        <f>[1]PN!$G36</f>
        <v>14166.666666666666</v>
      </c>
      <c r="AA36" s="31">
        <f t="shared" si="24"/>
        <v>13248.666666666666</v>
      </c>
      <c r="AB36" s="31">
        <f t="shared" si="25"/>
        <v>918.00000000000011</v>
      </c>
      <c r="AC36" s="31">
        <f t="shared" si="26"/>
        <v>12263.156024</v>
      </c>
      <c r="AD36" s="31">
        <f t="shared" si="27"/>
        <v>849.71397600000023</v>
      </c>
      <c r="AE36" s="31">
        <f>1845.9+200+31.5+182.1+514.6+547.1+41.8+32.59+3.47+3.56+24.22+36.57+19.03+808.7+17.79+4.78+570+19.77+520+100+190+634.37+800+108.72+2206.74+150+1500+1150.13+44.69+15.64+30.15+30.6+500+40+33.13+30+125.22</f>
        <v>13112.87</v>
      </c>
      <c r="AF36" s="31">
        <f t="shared" si="5"/>
        <v>-7.4385647058823445E-2</v>
      </c>
      <c r="AG36" s="31">
        <f>[1]PN!$H36</f>
        <v>14166.666666666666</v>
      </c>
      <c r="AH36" s="31">
        <f t="shared" si="28"/>
        <v>13248.666666666666</v>
      </c>
      <c r="AI36" s="31">
        <f t="shared" si="29"/>
        <v>918.00000000000011</v>
      </c>
      <c r="AJ36" s="31">
        <f t="shared" si="30"/>
        <v>24415.210288000002</v>
      </c>
      <c r="AK36" s="31">
        <f t="shared" si="31"/>
        <v>1691.7297120000005</v>
      </c>
      <c r="AL36" s="31">
        <f>2314.54+122.11+152.46+137.08+92.95+1015+15.35+1.73+15.31+320+28.05+27.82+11.99+5.93+1200+5.82+745.95+4500+100+28.78+75+550+95+25.9+46.04+222.13+200+28.78+3167.34+6545.97+22.61+650+1400+10.46+34.53+300+496+480+916.31</f>
        <v>26106.940000000002</v>
      </c>
      <c r="AM36" s="31">
        <f t="shared" si="6"/>
        <v>0.84284282352941209</v>
      </c>
      <c r="AN36" s="31">
        <f>[1]PN!$I36</f>
        <v>14166.666666666666</v>
      </c>
      <c r="AO36" s="31">
        <f t="shared" si="32"/>
        <v>13248.666666666666</v>
      </c>
      <c r="AP36" s="31">
        <f t="shared" si="33"/>
        <v>918.00000000000011</v>
      </c>
      <c r="AQ36" s="31">
        <f t="shared" si="34"/>
        <v>14663.309416000002</v>
      </c>
      <c r="AR36" s="31">
        <f t="shared" si="35"/>
        <v>1016.0205840000003</v>
      </c>
      <c r="AS36" s="33">
        <v>15679.330000000002</v>
      </c>
      <c r="AT36" s="37">
        <f t="shared" si="7"/>
        <v>0.10677623529411773</v>
      </c>
      <c r="AU36" s="36">
        <f>[1]PN!$J36</f>
        <v>14166.666666666666</v>
      </c>
      <c r="AV36" s="31">
        <f t="shared" si="36"/>
        <v>13248.666666666666</v>
      </c>
      <c r="AW36" s="18">
        <f t="shared" si="37"/>
        <v>918.00000000000011</v>
      </c>
      <c r="AX36" s="31">
        <f t="shared" si="38"/>
        <v>18479.393016000005</v>
      </c>
      <c r="AY36" s="31">
        <f t="shared" si="39"/>
        <v>1280.4369840000006</v>
      </c>
      <c r="AZ36" s="33">
        <v>19759.830000000005</v>
      </c>
      <c r="BA36" s="37">
        <f t="shared" si="8"/>
        <v>0.39481152941176512</v>
      </c>
      <c r="BB36" s="36">
        <f>[1]PN!$K36</f>
        <v>14166.666666666666</v>
      </c>
      <c r="BC36" s="31">
        <f t="shared" si="40"/>
        <v>13248.666666666666</v>
      </c>
      <c r="BD36" s="18">
        <f t="shared" si="41"/>
        <v>918.00000000000011</v>
      </c>
      <c r="BE36" s="31">
        <f t="shared" si="42"/>
        <v>0</v>
      </c>
      <c r="BF36" s="31">
        <f t="shared" si="43"/>
        <v>0</v>
      </c>
      <c r="BG36" s="27"/>
      <c r="BH36" s="37">
        <f t="shared" si="9"/>
        <v>-1</v>
      </c>
      <c r="BI36" s="36">
        <f>[1]PN!$L36</f>
        <v>14166.666666666666</v>
      </c>
      <c r="BJ36" s="31">
        <f t="shared" si="44"/>
        <v>13248.666666666666</v>
      </c>
      <c r="BK36" s="18">
        <f t="shared" si="45"/>
        <v>918.00000000000011</v>
      </c>
      <c r="BL36" s="31">
        <f t="shared" si="46"/>
        <v>0</v>
      </c>
      <c r="BM36" s="31">
        <f t="shared" si="47"/>
        <v>0</v>
      </c>
      <c r="BN36" s="33"/>
      <c r="BO36" s="37">
        <f t="shared" si="10"/>
        <v>-1</v>
      </c>
      <c r="BP36" s="36">
        <f>[1]PN!$M36</f>
        <v>14166.666666666666</v>
      </c>
      <c r="BQ36" s="31">
        <f t="shared" si="48"/>
        <v>13248.666666666666</v>
      </c>
      <c r="BR36" s="18">
        <f t="shared" si="49"/>
        <v>918.00000000000011</v>
      </c>
      <c r="BS36" s="31">
        <f t="shared" si="50"/>
        <v>0</v>
      </c>
      <c r="BT36" s="31">
        <f t="shared" si="51"/>
        <v>0</v>
      </c>
      <c r="BU36" s="33"/>
      <c r="BV36" s="37">
        <f t="shared" si="11"/>
        <v>-1</v>
      </c>
      <c r="BW36" s="36">
        <f>[1]PN!$N36</f>
        <v>14166.666666666666</v>
      </c>
      <c r="BX36" s="31">
        <f t="shared" si="52"/>
        <v>13248.666666666666</v>
      </c>
      <c r="BY36" s="18">
        <f t="shared" si="53"/>
        <v>918.00000000000011</v>
      </c>
      <c r="BZ36" s="31">
        <f t="shared" si="54"/>
        <v>0</v>
      </c>
      <c r="CA36" s="31">
        <f t="shared" si="55"/>
        <v>0</v>
      </c>
      <c r="CB36" s="33"/>
      <c r="CC36" s="37">
        <f t="shared" si="12"/>
        <v>-1</v>
      </c>
      <c r="CD36" s="36">
        <f>[1]PN!$O36</f>
        <v>14166.666666666666</v>
      </c>
      <c r="CE36" s="31">
        <f t="shared" si="56"/>
        <v>13248.666666666666</v>
      </c>
      <c r="CF36" s="18">
        <f t="shared" si="57"/>
        <v>918.00000000000011</v>
      </c>
      <c r="CG36" s="31">
        <f t="shared" si="58"/>
        <v>0</v>
      </c>
      <c r="CH36" s="31">
        <f t="shared" si="59"/>
        <v>0</v>
      </c>
      <c r="CI36" s="33"/>
      <c r="CJ36" s="37">
        <f t="shared" si="13"/>
        <v>-1</v>
      </c>
      <c r="CK36" s="36">
        <f>[1]PN!$P36</f>
        <v>14166.666666666666</v>
      </c>
      <c r="CL36" s="31">
        <f t="shared" si="60"/>
        <v>13248.666666666666</v>
      </c>
      <c r="CM36" s="18">
        <f t="shared" si="61"/>
        <v>918.00000000000011</v>
      </c>
      <c r="CN36" s="31">
        <f t="shared" si="62"/>
        <v>0</v>
      </c>
      <c r="CO36" s="31">
        <f t="shared" si="63"/>
        <v>0</v>
      </c>
      <c r="CP36" s="33"/>
      <c r="CQ36" s="37">
        <f t="shared" si="14"/>
        <v>-1</v>
      </c>
    </row>
    <row r="37" spans="1:95" s="26" customFormat="1" ht="16" customHeight="1" thickBot="1" x14ac:dyDescent="0.25">
      <c r="A37" s="38" t="s">
        <v>61</v>
      </c>
      <c r="B37" s="30">
        <f t="shared" si="64"/>
        <v>140000.00000000003</v>
      </c>
      <c r="C37" s="31">
        <f t="shared" si="64"/>
        <v>130928.00000000001</v>
      </c>
      <c r="D37" s="32">
        <f t="shared" si="64"/>
        <v>9072.0000000000018</v>
      </c>
      <c r="E37" s="30">
        <f t="shared" ref="E37:G54" si="66">+L37+S37+Z37+AG37</f>
        <v>46666.666666666664</v>
      </c>
      <c r="F37" s="33">
        <f t="shared" si="66"/>
        <v>43642.666666666664</v>
      </c>
      <c r="G37" s="34">
        <f t="shared" si="66"/>
        <v>3024.0000000000005</v>
      </c>
      <c r="H37" s="31">
        <f t="shared" si="65"/>
        <v>112786.86882399999</v>
      </c>
      <c r="I37" s="33">
        <f t="shared" si="65"/>
        <v>7815.0011760000016</v>
      </c>
      <c r="J37" s="33">
        <f t="shared" si="65"/>
        <v>120601.87</v>
      </c>
      <c r="K37" s="37">
        <f t="shared" si="2"/>
        <v>1.5843257857142858</v>
      </c>
      <c r="L37" s="36">
        <f>[1]PN!$E37</f>
        <v>11666.666666666666</v>
      </c>
      <c r="M37" s="31">
        <f t="shared" si="16"/>
        <v>10910.666666666666</v>
      </c>
      <c r="N37" s="31">
        <f t="shared" si="17"/>
        <v>756.00000000000011</v>
      </c>
      <c r="O37" s="31">
        <f t="shared" si="18"/>
        <v>21863.517088000001</v>
      </c>
      <c r="P37" s="31">
        <f t="shared" si="19"/>
        <v>1514.9229120000005</v>
      </c>
      <c r="Q37" s="31">
        <f>34641.4-Q36</f>
        <v>23378.440000000002</v>
      </c>
      <c r="R37" s="31">
        <f t="shared" si="3"/>
        <v>1.0038662857142859</v>
      </c>
      <c r="S37" s="31">
        <f>[1]PN!$F37</f>
        <v>11666.666666666666</v>
      </c>
      <c r="T37" s="31">
        <f t="shared" si="20"/>
        <v>10910.666666666666</v>
      </c>
      <c r="U37" s="31">
        <f t="shared" si="21"/>
        <v>756.00000000000011</v>
      </c>
      <c r="V37" s="31">
        <f t="shared" si="22"/>
        <v>19821.264736000005</v>
      </c>
      <c r="W37" s="31">
        <f t="shared" si="23"/>
        <v>1373.4152640000004</v>
      </c>
      <c r="X37" s="31">
        <f>(35199.37+86.15)-X36</f>
        <v>21194.680000000004</v>
      </c>
      <c r="Y37" s="31">
        <f t="shared" si="4"/>
        <v>0.8166868571428576</v>
      </c>
      <c r="Z37" s="31">
        <f>[1]PN!$G37</f>
        <v>11666.666666666666</v>
      </c>
      <c r="AA37" s="31">
        <f t="shared" si="24"/>
        <v>10910.666666666666</v>
      </c>
      <c r="AB37" s="31">
        <f t="shared" si="25"/>
        <v>756.00000000000011</v>
      </c>
      <c r="AC37" s="31">
        <f t="shared" si="26"/>
        <v>19435.578903999998</v>
      </c>
      <c r="AD37" s="31">
        <f t="shared" si="27"/>
        <v>1346.691096</v>
      </c>
      <c r="AE37" s="31">
        <f>33895.14-AE36</f>
        <v>20782.269999999997</v>
      </c>
      <c r="AF37" s="31">
        <f t="shared" si="5"/>
        <v>0.78133742857142829</v>
      </c>
      <c r="AG37" s="31">
        <f>[1]PN!$H37</f>
        <v>11666.666666666666</v>
      </c>
      <c r="AH37" s="31">
        <f t="shared" si="28"/>
        <v>10910.666666666666</v>
      </c>
      <c r="AI37" s="31">
        <f t="shared" si="29"/>
        <v>756.00000000000011</v>
      </c>
      <c r="AJ37" s="31">
        <f t="shared" si="30"/>
        <v>22533.354087999996</v>
      </c>
      <c r="AK37" s="31">
        <f t="shared" si="31"/>
        <v>1561.335912</v>
      </c>
      <c r="AL37" s="31">
        <f>50201.63-AL36</f>
        <v>24094.689999999995</v>
      </c>
      <c r="AM37" s="31">
        <f t="shared" si="6"/>
        <v>1.0652591428571427</v>
      </c>
      <c r="AN37" s="31">
        <f>[1]PN!$I37</f>
        <v>11666.666666666666</v>
      </c>
      <c r="AO37" s="31">
        <f t="shared" si="32"/>
        <v>10910.666666666666</v>
      </c>
      <c r="AP37" s="31">
        <f t="shared" si="33"/>
        <v>756.00000000000011</v>
      </c>
      <c r="AQ37" s="31">
        <f t="shared" si="34"/>
        <v>12831.982072000001</v>
      </c>
      <c r="AR37" s="31">
        <f t="shared" si="35"/>
        <v>889.12792800000022</v>
      </c>
      <c r="AS37" s="33">
        <v>13721.11</v>
      </c>
      <c r="AT37" s="37">
        <f t="shared" si="7"/>
        <v>0.17609514285714289</v>
      </c>
      <c r="AU37" s="36">
        <f>[1]PN!$J37</f>
        <v>11666.666666666666</v>
      </c>
      <c r="AV37" s="31">
        <f t="shared" si="36"/>
        <v>10910.666666666666</v>
      </c>
      <c r="AW37" s="18">
        <f t="shared" si="37"/>
        <v>756.00000000000011</v>
      </c>
      <c r="AX37" s="31">
        <f t="shared" si="38"/>
        <v>16301.171935999997</v>
      </c>
      <c r="AY37" s="31">
        <f t="shared" si="39"/>
        <v>1129.5080639999999</v>
      </c>
      <c r="AZ37" s="33">
        <v>17430.679999999997</v>
      </c>
      <c r="BA37" s="37">
        <f t="shared" si="8"/>
        <v>0.49405828571428545</v>
      </c>
      <c r="BB37" s="36">
        <f>[1]PN!$K37</f>
        <v>11666.666666666666</v>
      </c>
      <c r="BC37" s="31">
        <f t="shared" si="40"/>
        <v>10910.666666666666</v>
      </c>
      <c r="BD37" s="18">
        <f t="shared" si="41"/>
        <v>756.00000000000011</v>
      </c>
      <c r="BE37" s="31">
        <f t="shared" si="42"/>
        <v>0</v>
      </c>
      <c r="BF37" s="31">
        <f t="shared" si="43"/>
        <v>0</v>
      </c>
      <c r="BG37" s="27"/>
      <c r="BH37" s="37">
        <f t="shared" si="9"/>
        <v>-1</v>
      </c>
      <c r="BI37" s="36">
        <f>[1]PN!$L37</f>
        <v>11666.666666666666</v>
      </c>
      <c r="BJ37" s="31">
        <f t="shared" si="44"/>
        <v>10910.666666666666</v>
      </c>
      <c r="BK37" s="18">
        <f t="shared" si="45"/>
        <v>756.00000000000011</v>
      </c>
      <c r="BL37" s="31">
        <f t="shared" si="46"/>
        <v>0</v>
      </c>
      <c r="BM37" s="31">
        <f t="shared" si="47"/>
        <v>0</v>
      </c>
      <c r="BN37" s="33"/>
      <c r="BO37" s="37">
        <f t="shared" si="10"/>
        <v>-1</v>
      </c>
      <c r="BP37" s="36">
        <f>[1]PN!$M37</f>
        <v>11666.666666666666</v>
      </c>
      <c r="BQ37" s="31">
        <f t="shared" si="48"/>
        <v>10910.666666666666</v>
      </c>
      <c r="BR37" s="18">
        <f t="shared" si="49"/>
        <v>756.00000000000011</v>
      </c>
      <c r="BS37" s="31">
        <f t="shared" si="50"/>
        <v>0</v>
      </c>
      <c r="BT37" s="31">
        <f t="shared" si="51"/>
        <v>0</v>
      </c>
      <c r="BU37" s="33"/>
      <c r="BV37" s="37">
        <f t="shared" si="11"/>
        <v>-1</v>
      </c>
      <c r="BW37" s="36">
        <f>[1]PN!$N37</f>
        <v>11666.666666666666</v>
      </c>
      <c r="BX37" s="31">
        <f t="shared" si="52"/>
        <v>10910.666666666666</v>
      </c>
      <c r="BY37" s="18">
        <f t="shared" si="53"/>
        <v>756.00000000000011</v>
      </c>
      <c r="BZ37" s="31">
        <f t="shared" si="54"/>
        <v>0</v>
      </c>
      <c r="CA37" s="31">
        <f t="shared" si="55"/>
        <v>0</v>
      </c>
      <c r="CB37" s="33"/>
      <c r="CC37" s="37">
        <f t="shared" si="12"/>
        <v>-1</v>
      </c>
      <c r="CD37" s="36">
        <f>[1]PN!$O37</f>
        <v>11666.666666666666</v>
      </c>
      <c r="CE37" s="31">
        <f t="shared" si="56"/>
        <v>10910.666666666666</v>
      </c>
      <c r="CF37" s="18">
        <f t="shared" si="57"/>
        <v>756.00000000000011</v>
      </c>
      <c r="CG37" s="31">
        <f t="shared" si="58"/>
        <v>0</v>
      </c>
      <c r="CH37" s="31">
        <f t="shared" si="59"/>
        <v>0</v>
      </c>
      <c r="CI37" s="33"/>
      <c r="CJ37" s="37">
        <f t="shared" si="13"/>
        <v>-1</v>
      </c>
      <c r="CK37" s="36">
        <f>[1]PN!$P37</f>
        <v>11666.666666666666</v>
      </c>
      <c r="CL37" s="31">
        <f t="shared" si="60"/>
        <v>10910.666666666666</v>
      </c>
      <c r="CM37" s="18">
        <f t="shared" si="61"/>
        <v>756.00000000000011</v>
      </c>
      <c r="CN37" s="31">
        <f t="shared" si="62"/>
        <v>0</v>
      </c>
      <c r="CO37" s="31">
        <f t="shared" si="63"/>
        <v>0</v>
      </c>
      <c r="CP37" s="33"/>
      <c r="CQ37" s="37">
        <f t="shared" si="14"/>
        <v>-1</v>
      </c>
    </row>
    <row r="38" spans="1:95" s="26" customFormat="1" ht="16" customHeight="1" thickBot="1" x14ac:dyDescent="0.25">
      <c r="A38" s="38" t="s">
        <v>62</v>
      </c>
      <c r="B38" s="30">
        <f t="shared" si="64"/>
        <v>20000</v>
      </c>
      <c r="C38" s="31">
        <f t="shared" si="64"/>
        <v>18704</v>
      </c>
      <c r="D38" s="32">
        <f t="shared" si="64"/>
        <v>1296.0000000000002</v>
      </c>
      <c r="E38" s="30">
        <f t="shared" si="66"/>
        <v>6666.666666666667</v>
      </c>
      <c r="F38" s="33">
        <f t="shared" si="66"/>
        <v>6234.666666666667</v>
      </c>
      <c r="G38" s="34">
        <f t="shared" si="66"/>
        <v>432.00000000000011</v>
      </c>
      <c r="H38" s="31">
        <f t="shared" si="65"/>
        <v>5502.6139279999998</v>
      </c>
      <c r="I38" s="33">
        <f t="shared" si="65"/>
        <v>381.27607200000006</v>
      </c>
      <c r="J38" s="33">
        <f t="shared" si="65"/>
        <v>5883.89</v>
      </c>
      <c r="K38" s="37">
        <f t="shared" si="2"/>
        <v>-0.11741650000000003</v>
      </c>
      <c r="L38" s="36">
        <f>[1]PN!$E38</f>
        <v>1666.6666666666667</v>
      </c>
      <c r="M38" s="31">
        <f t="shared" si="16"/>
        <v>1558.6666666666667</v>
      </c>
      <c r="N38" s="31">
        <f t="shared" si="17"/>
        <v>108.00000000000003</v>
      </c>
      <c r="O38" s="31">
        <f t="shared" si="18"/>
        <v>880.32246400000008</v>
      </c>
      <c r="P38" s="31">
        <f t="shared" si="19"/>
        <v>60.997536000000011</v>
      </c>
      <c r="Q38" s="31">
        <f>941.32</f>
        <v>941.32</v>
      </c>
      <c r="R38" s="31">
        <f t="shared" si="3"/>
        <v>-0.43520800000000004</v>
      </c>
      <c r="S38" s="31">
        <f>[1]PN!$F38</f>
        <v>1666.6666666666667</v>
      </c>
      <c r="T38" s="31">
        <f t="shared" si="20"/>
        <v>1558.6666666666667</v>
      </c>
      <c r="U38" s="31">
        <f t="shared" si="21"/>
        <v>108.00000000000003</v>
      </c>
      <c r="V38" s="31">
        <f t="shared" si="22"/>
        <v>1372.8268399999999</v>
      </c>
      <c r="W38" s="31">
        <f t="shared" si="23"/>
        <v>95.123160000000013</v>
      </c>
      <c r="X38" s="31">
        <f>1467.95</f>
        <v>1467.95</v>
      </c>
      <c r="Y38" s="31">
        <f t="shared" si="4"/>
        <v>-0.11923000000000006</v>
      </c>
      <c r="Z38" s="31">
        <f>[1]PN!$G38</f>
        <v>1666.6666666666667</v>
      </c>
      <c r="AA38" s="31">
        <f t="shared" si="24"/>
        <v>1558.6666666666667</v>
      </c>
      <c r="AB38" s="31">
        <f t="shared" si="25"/>
        <v>108.00000000000003</v>
      </c>
      <c r="AC38" s="31">
        <f t="shared" si="26"/>
        <v>1786.531264</v>
      </c>
      <c r="AD38" s="31">
        <f t="shared" si="27"/>
        <v>123.78873600000001</v>
      </c>
      <c r="AE38" s="31">
        <f>1810.32+100</f>
        <v>1910.32</v>
      </c>
      <c r="AF38" s="31">
        <f t="shared" si="5"/>
        <v>0.14619199999999988</v>
      </c>
      <c r="AG38" s="31">
        <f>[1]PN!$H38</f>
        <v>1666.6666666666667</v>
      </c>
      <c r="AH38" s="31">
        <f t="shared" si="28"/>
        <v>1558.6666666666667</v>
      </c>
      <c r="AI38" s="31">
        <f t="shared" si="29"/>
        <v>108.00000000000003</v>
      </c>
      <c r="AJ38" s="31">
        <f t="shared" si="30"/>
        <v>747.50536</v>
      </c>
      <c r="AK38" s="31">
        <f t="shared" si="31"/>
        <v>51.794640000000008</v>
      </c>
      <c r="AL38" s="31">
        <v>799.3</v>
      </c>
      <c r="AM38" s="31">
        <f t="shared" si="6"/>
        <v>-0.5204200000000001</v>
      </c>
      <c r="AN38" s="31">
        <f>[1]PN!$I38</f>
        <v>1666.6666666666667</v>
      </c>
      <c r="AO38" s="31">
        <f t="shared" si="32"/>
        <v>1558.6666666666667</v>
      </c>
      <c r="AP38" s="31">
        <f t="shared" si="33"/>
        <v>108.00000000000003</v>
      </c>
      <c r="AQ38" s="31">
        <f t="shared" si="34"/>
        <v>79.492000000000004</v>
      </c>
      <c r="AR38" s="31">
        <f t="shared" si="35"/>
        <v>5.5080000000000009</v>
      </c>
      <c r="AS38" s="33">
        <v>85</v>
      </c>
      <c r="AT38" s="37">
        <f t="shared" si="7"/>
        <v>-0.94899999999999995</v>
      </c>
      <c r="AU38" s="36">
        <f>[1]PN!$J38</f>
        <v>1666.6666666666667</v>
      </c>
      <c r="AV38" s="31">
        <f t="shared" si="36"/>
        <v>1558.6666666666667</v>
      </c>
      <c r="AW38" s="18">
        <f t="shared" si="37"/>
        <v>108.00000000000003</v>
      </c>
      <c r="AX38" s="31">
        <f t="shared" si="38"/>
        <v>635.93600000000004</v>
      </c>
      <c r="AY38" s="31">
        <f t="shared" si="39"/>
        <v>44.064000000000007</v>
      </c>
      <c r="AZ38" s="33">
        <v>680</v>
      </c>
      <c r="BA38" s="37">
        <f t="shared" si="8"/>
        <v>-0.59200000000000008</v>
      </c>
      <c r="BB38" s="36">
        <f>[1]PN!$K38</f>
        <v>1666.6666666666667</v>
      </c>
      <c r="BC38" s="31">
        <f t="shared" si="40"/>
        <v>1558.6666666666667</v>
      </c>
      <c r="BD38" s="18">
        <f t="shared" si="41"/>
        <v>108.00000000000003</v>
      </c>
      <c r="BE38" s="31">
        <f t="shared" si="42"/>
        <v>0</v>
      </c>
      <c r="BF38" s="31">
        <f t="shared" si="43"/>
        <v>0</v>
      </c>
      <c r="BG38" s="27"/>
      <c r="BH38" s="37">
        <f t="shared" si="9"/>
        <v>-1</v>
      </c>
      <c r="BI38" s="36">
        <f>[1]PN!$L38</f>
        <v>1666.6666666666667</v>
      </c>
      <c r="BJ38" s="31">
        <f t="shared" si="44"/>
        <v>1558.6666666666667</v>
      </c>
      <c r="BK38" s="18">
        <f t="shared" si="45"/>
        <v>108.00000000000003</v>
      </c>
      <c r="BL38" s="31">
        <f t="shared" si="46"/>
        <v>0</v>
      </c>
      <c r="BM38" s="31">
        <f t="shared" si="47"/>
        <v>0</v>
      </c>
      <c r="BN38" s="33"/>
      <c r="BO38" s="37">
        <f t="shared" si="10"/>
        <v>-1</v>
      </c>
      <c r="BP38" s="36">
        <f>[1]PN!$M38</f>
        <v>1666.6666666666667</v>
      </c>
      <c r="BQ38" s="31">
        <f t="shared" si="48"/>
        <v>1558.6666666666667</v>
      </c>
      <c r="BR38" s="18">
        <f t="shared" si="49"/>
        <v>108.00000000000003</v>
      </c>
      <c r="BS38" s="31">
        <f t="shared" si="50"/>
        <v>0</v>
      </c>
      <c r="BT38" s="31">
        <f t="shared" si="51"/>
        <v>0</v>
      </c>
      <c r="BU38" s="33"/>
      <c r="BV38" s="37">
        <f t="shared" si="11"/>
        <v>-1</v>
      </c>
      <c r="BW38" s="36">
        <f>[1]PN!$N38</f>
        <v>1666.6666666666667</v>
      </c>
      <c r="BX38" s="31">
        <f t="shared" si="52"/>
        <v>1558.6666666666667</v>
      </c>
      <c r="BY38" s="18">
        <f t="shared" si="53"/>
        <v>108.00000000000003</v>
      </c>
      <c r="BZ38" s="31">
        <f t="shared" si="54"/>
        <v>0</v>
      </c>
      <c r="CA38" s="31">
        <f t="shared" si="55"/>
        <v>0</v>
      </c>
      <c r="CB38" s="33"/>
      <c r="CC38" s="37">
        <f t="shared" si="12"/>
        <v>-1</v>
      </c>
      <c r="CD38" s="36">
        <f>[1]PN!$O38</f>
        <v>1666.6666666666667</v>
      </c>
      <c r="CE38" s="31">
        <f t="shared" si="56"/>
        <v>1558.6666666666667</v>
      </c>
      <c r="CF38" s="18">
        <f t="shared" si="57"/>
        <v>108.00000000000003</v>
      </c>
      <c r="CG38" s="31">
        <f t="shared" si="58"/>
        <v>0</v>
      </c>
      <c r="CH38" s="31">
        <f t="shared" si="59"/>
        <v>0</v>
      </c>
      <c r="CI38" s="33"/>
      <c r="CJ38" s="37">
        <f t="shared" si="13"/>
        <v>-1</v>
      </c>
      <c r="CK38" s="36">
        <f>[1]PN!$P38</f>
        <v>1666.6666666666667</v>
      </c>
      <c r="CL38" s="31">
        <f t="shared" si="60"/>
        <v>1558.6666666666667</v>
      </c>
      <c r="CM38" s="18">
        <f t="shared" si="61"/>
        <v>108.00000000000003</v>
      </c>
      <c r="CN38" s="31">
        <f t="shared" si="62"/>
        <v>0</v>
      </c>
      <c r="CO38" s="31">
        <f t="shared" si="63"/>
        <v>0</v>
      </c>
      <c r="CP38" s="33"/>
      <c r="CQ38" s="37">
        <f t="shared" si="14"/>
        <v>-1</v>
      </c>
    </row>
    <row r="39" spans="1:95" s="26" customFormat="1" ht="16" customHeight="1" thickBot="1" x14ac:dyDescent="0.25">
      <c r="A39" s="38" t="s">
        <v>63</v>
      </c>
      <c r="B39" s="30">
        <f t="shared" si="64"/>
        <v>1000.0000000000001</v>
      </c>
      <c r="C39" s="31">
        <f t="shared" si="64"/>
        <v>935.1999999999997</v>
      </c>
      <c r="D39" s="32">
        <f t="shared" si="64"/>
        <v>64.8</v>
      </c>
      <c r="E39" s="30">
        <f t="shared" si="66"/>
        <v>333.33333333333331</v>
      </c>
      <c r="F39" s="33">
        <f t="shared" si="66"/>
        <v>311.73333333333329</v>
      </c>
      <c r="G39" s="34">
        <f t="shared" si="66"/>
        <v>21.6</v>
      </c>
      <c r="H39" s="31">
        <f t="shared" si="65"/>
        <v>6174.1810479999967</v>
      </c>
      <c r="I39" s="33">
        <f t="shared" si="65"/>
        <v>427.80895199999986</v>
      </c>
      <c r="J39" s="33">
        <f t="shared" si="65"/>
        <v>6601.9899999999961</v>
      </c>
      <c r="K39" s="37">
        <f t="shared" si="2"/>
        <v>18.805969999999988</v>
      </c>
      <c r="L39" s="36">
        <f>[1]PN!$E39</f>
        <v>83.333333333333329</v>
      </c>
      <c r="M39" s="31">
        <f t="shared" si="16"/>
        <v>77.933333333333323</v>
      </c>
      <c r="N39" s="31">
        <f t="shared" si="17"/>
        <v>5.4</v>
      </c>
      <c r="O39" s="31">
        <f t="shared" si="18"/>
        <v>187.04</v>
      </c>
      <c r="P39" s="31">
        <f t="shared" si="19"/>
        <v>12.960000000000003</v>
      </c>
      <c r="Q39" s="31">
        <f>200</f>
        <v>200</v>
      </c>
      <c r="R39" s="31">
        <f t="shared" si="3"/>
        <v>1.4000000000000004</v>
      </c>
      <c r="S39" s="31">
        <f>[1]PN!$F39</f>
        <v>83.333333333333329</v>
      </c>
      <c r="T39" s="31">
        <f t="shared" si="20"/>
        <v>77.933333333333323</v>
      </c>
      <c r="U39" s="31">
        <f t="shared" si="21"/>
        <v>5.4</v>
      </c>
      <c r="V39" s="31">
        <f t="shared" si="22"/>
        <v>613.86527999999998</v>
      </c>
      <c r="W39" s="31">
        <f t="shared" si="23"/>
        <v>42.534720000000007</v>
      </c>
      <c r="X39" s="31">
        <f>656.4</f>
        <v>656.4</v>
      </c>
      <c r="Y39" s="31">
        <f t="shared" si="4"/>
        <v>6.8768000000000002</v>
      </c>
      <c r="Z39" s="31">
        <f>[1]PN!$G39</f>
        <v>83.333333333333329</v>
      </c>
      <c r="AA39" s="31">
        <f t="shared" si="24"/>
        <v>77.933333333333323</v>
      </c>
      <c r="AB39" s="31">
        <f t="shared" si="25"/>
        <v>5.4</v>
      </c>
      <c r="AC39" s="31">
        <f t="shared" si="26"/>
        <v>0</v>
      </c>
      <c r="AD39" s="31">
        <f t="shared" si="27"/>
        <v>0</v>
      </c>
      <c r="AE39" s="31"/>
      <c r="AF39" s="31">
        <f t="shared" si="5"/>
        <v>-1</v>
      </c>
      <c r="AG39" s="31">
        <f>[1]PN!$H39</f>
        <v>83.333333333333329</v>
      </c>
      <c r="AH39" s="31">
        <f t="shared" si="28"/>
        <v>77.933333333333323</v>
      </c>
      <c r="AI39" s="31">
        <f t="shared" si="29"/>
        <v>5.4</v>
      </c>
      <c r="AJ39" s="31">
        <f t="shared" si="30"/>
        <v>1290.38896</v>
      </c>
      <c r="AK39" s="31">
        <f t="shared" si="31"/>
        <v>89.411040000000014</v>
      </c>
      <c r="AL39" s="31">
        <f>1379.8</f>
        <v>1379.8</v>
      </c>
      <c r="AM39" s="31">
        <f t="shared" si="6"/>
        <v>15.557600000000001</v>
      </c>
      <c r="AN39" s="31">
        <f>[1]PN!$I39</f>
        <v>83.333333333333329</v>
      </c>
      <c r="AO39" s="31">
        <f t="shared" si="32"/>
        <v>77.933333333333323</v>
      </c>
      <c r="AP39" s="31">
        <f t="shared" si="33"/>
        <v>5.4</v>
      </c>
      <c r="AQ39" s="31">
        <f t="shared" si="34"/>
        <v>776.87064000000009</v>
      </c>
      <c r="AR39" s="31">
        <f t="shared" si="35"/>
        <v>53.829360000000008</v>
      </c>
      <c r="AS39" s="33">
        <v>830.7</v>
      </c>
      <c r="AT39" s="37">
        <f t="shared" si="7"/>
        <v>8.9684000000000008</v>
      </c>
      <c r="AU39" s="36">
        <f>[1]PN!$J39</f>
        <v>83.333333333333329</v>
      </c>
      <c r="AV39" s="31">
        <f t="shared" si="36"/>
        <v>77.933333333333323</v>
      </c>
      <c r="AW39" s="18">
        <f t="shared" si="37"/>
        <v>5.4</v>
      </c>
      <c r="AX39" s="31">
        <f t="shared" si="38"/>
        <v>3306.0161679999965</v>
      </c>
      <c r="AY39" s="31">
        <f t="shared" si="39"/>
        <v>229.07383199999981</v>
      </c>
      <c r="AZ39" s="33">
        <v>3535.0899999999965</v>
      </c>
      <c r="BA39" s="37">
        <f t="shared" si="8"/>
        <v>41.421079999999961</v>
      </c>
      <c r="BB39" s="36">
        <f>[1]PN!$K39</f>
        <v>83.333333333333329</v>
      </c>
      <c r="BC39" s="31">
        <f t="shared" si="40"/>
        <v>77.933333333333323</v>
      </c>
      <c r="BD39" s="18">
        <f t="shared" si="41"/>
        <v>5.4</v>
      </c>
      <c r="BE39" s="31">
        <f t="shared" si="42"/>
        <v>0</v>
      </c>
      <c r="BF39" s="31">
        <f t="shared" si="43"/>
        <v>0</v>
      </c>
      <c r="BG39" s="27"/>
      <c r="BH39" s="37">
        <f t="shared" si="9"/>
        <v>-1</v>
      </c>
      <c r="BI39" s="36">
        <f>[1]PN!$L39</f>
        <v>83.333333333333329</v>
      </c>
      <c r="BJ39" s="31">
        <f t="shared" si="44"/>
        <v>77.933333333333323</v>
      </c>
      <c r="BK39" s="18">
        <f t="shared" si="45"/>
        <v>5.4</v>
      </c>
      <c r="BL39" s="31">
        <f t="shared" si="46"/>
        <v>0</v>
      </c>
      <c r="BM39" s="31">
        <f t="shared" si="47"/>
        <v>0</v>
      </c>
      <c r="BN39" s="33"/>
      <c r="BO39" s="37">
        <f t="shared" si="10"/>
        <v>-1</v>
      </c>
      <c r="BP39" s="36">
        <f>[1]PN!$M39</f>
        <v>83.333333333333329</v>
      </c>
      <c r="BQ39" s="31">
        <f t="shared" si="48"/>
        <v>77.933333333333323</v>
      </c>
      <c r="BR39" s="18">
        <f t="shared" si="49"/>
        <v>5.4</v>
      </c>
      <c r="BS39" s="31">
        <f t="shared" si="50"/>
        <v>0</v>
      </c>
      <c r="BT39" s="31">
        <f t="shared" si="51"/>
        <v>0</v>
      </c>
      <c r="BU39" s="33"/>
      <c r="BV39" s="37">
        <f t="shared" si="11"/>
        <v>-1</v>
      </c>
      <c r="BW39" s="36">
        <f>[1]PN!$N39</f>
        <v>83.333333333333329</v>
      </c>
      <c r="BX39" s="31">
        <f t="shared" si="52"/>
        <v>77.933333333333323</v>
      </c>
      <c r="BY39" s="18">
        <f t="shared" si="53"/>
        <v>5.4</v>
      </c>
      <c r="BZ39" s="31">
        <f t="shared" si="54"/>
        <v>0</v>
      </c>
      <c r="CA39" s="31">
        <f t="shared" si="55"/>
        <v>0</v>
      </c>
      <c r="CB39" s="33"/>
      <c r="CC39" s="37">
        <f t="shared" si="12"/>
        <v>-1</v>
      </c>
      <c r="CD39" s="36">
        <f>[1]PN!$O39</f>
        <v>83.333333333333329</v>
      </c>
      <c r="CE39" s="31">
        <f t="shared" si="56"/>
        <v>77.933333333333323</v>
      </c>
      <c r="CF39" s="18">
        <f t="shared" si="57"/>
        <v>5.4</v>
      </c>
      <c r="CG39" s="31">
        <f t="shared" si="58"/>
        <v>0</v>
      </c>
      <c r="CH39" s="31">
        <f t="shared" si="59"/>
        <v>0</v>
      </c>
      <c r="CI39" s="33"/>
      <c r="CJ39" s="37">
        <f t="shared" si="13"/>
        <v>-1</v>
      </c>
      <c r="CK39" s="36">
        <f>[1]PN!$P39</f>
        <v>83.333333333333329</v>
      </c>
      <c r="CL39" s="31">
        <f t="shared" si="60"/>
        <v>77.933333333333323</v>
      </c>
      <c r="CM39" s="18">
        <f t="shared" si="61"/>
        <v>5.4</v>
      </c>
      <c r="CN39" s="31">
        <f t="shared" si="62"/>
        <v>0</v>
      </c>
      <c r="CO39" s="31">
        <f t="shared" si="63"/>
        <v>0</v>
      </c>
      <c r="CP39" s="33"/>
      <c r="CQ39" s="37">
        <f t="shared" si="14"/>
        <v>-1</v>
      </c>
    </row>
    <row r="40" spans="1:95" s="26" customFormat="1" ht="16" customHeight="1" thickBot="1" x14ac:dyDescent="0.25">
      <c r="A40" s="38" t="s">
        <v>64</v>
      </c>
      <c r="B40" s="30">
        <f t="shared" si="64"/>
        <v>70000.000000000015</v>
      </c>
      <c r="C40" s="31">
        <f t="shared" si="64"/>
        <v>65464.000000000007</v>
      </c>
      <c r="D40" s="32">
        <f t="shared" si="64"/>
        <v>4536.0000000000009</v>
      </c>
      <c r="E40" s="30">
        <f t="shared" si="66"/>
        <v>23333.333333333332</v>
      </c>
      <c r="F40" s="33">
        <f t="shared" si="66"/>
        <v>21821.333333333332</v>
      </c>
      <c r="G40" s="34">
        <f t="shared" si="66"/>
        <v>1512.0000000000002</v>
      </c>
      <c r="H40" s="31">
        <f t="shared" si="65"/>
        <v>18202.227791999998</v>
      </c>
      <c r="I40" s="33">
        <f t="shared" si="65"/>
        <v>1261.2322080000001</v>
      </c>
      <c r="J40" s="33">
        <f t="shared" si="65"/>
        <v>19463.46</v>
      </c>
      <c r="K40" s="37">
        <f t="shared" si="2"/>
        <v>-0.16585171428571432</v>
      </c>
      <c r="L40" s="36">
        <f>[1]PN!$E40</f>
        <v>5833.333333333333</v>
      </c>
      <c r="M40" s="31">
        <f t="shared" si="16"/>
        <v>5455.333333333333</v>
      </c>
      <c r="N40" s="31">
        <f t="shared" si="17"/>
        <v>378.00000000000006</v>
      </c>
      <c r="O40" s="31">
        <f t="shared" si="18"/>
        <v>2627.5379199999998</v>
      </c>
      <c r="P40" s="31">
        <f t="shared" si="19"/>
        <v>182.06208000000004</v>
      </c>
      <c r="Q40" s="31">
        <f>2809.6</f>
        <v>2809.6</v>
      </c>
      <c r="R40" s="31">
        <f t="shared" si="3"/>
        <v>-0.51835428571428577</v>
      </c>
      <c r="S40" s="31">
        <f>[1]PN!$F40</f>
        <v>5833.333333333333</v>
      </c>
      <c r="T40" s="31">
        <f t="shared" si="20"/>
        <v>5455.333333333333</v>
      </c>
      <c r="U40" s="31">
        <f t="shared" si="21"/>
        <v>378.00000000000006</v>
      </c>
      <c r="V40" s="31">
        <f t="shared" si="22"/>
        <v>4327.2171600000001</v>
      </c>
      <c r="W40" s="31">
        <f t="shared" si="23"/>
        <v>299.83284000000003</v>
      </c>
      <c r="X40" s="31">
        <f>4627.05</f>
        <v>4627.05</v>
      </c>
      <c r="Y40" s="31">
        <f t="shared" si="4"/>
        <v>-0.20679142857142851</v>
      </c>
      <c r="Z40" s="31">
        <f>[1]PN!$G40</f>
        <v>5833.333333333333</v>
      </c>
      <c r="AA40" s="31">
        <f t="shared" si="24"/>
        <v>5455.333333333333</v>
      </c>
      <c r="AB40" s="31">
        <f t="shared" si="25"/>
        <v>378.00000000000006</v>
      </c>
      <c r="AC40" s="31">
        <f t="shared" si="26"/>
        <v>4039.6899200000003</v>
      </c>
      <c r="AD40" s="31">
        <f t="shared" si="27"/>
        <v>279.91008000000005</v>
      </c>
      <c r="AE40" s="31">
        <f>4319.6</f>
        <v>4319.6000000000004</v>
      </c>
      <c r="AF40" s="31">
        <f t="shared" si="5"/>
        <v>-0.25949714285714276</v>
      </c>
      <c r="AG40" s="31">
        <f>[1]PN!$H40</f>
        <v>5833.333333333333</v>
      </c>
      <c r="AH40" s="31">
        <f t="shared" si="28"/>
        <v>5455.333333333333</v>
      </c>
      <c r="AI40" s="31">
        <f t="shared" si="29"/>
        <v>378.00000000000006</v>
      </c>
      <c r="AJ40" s="31">
        <f t="shared" si="30"/>
        <v>5693.1328719999992</v>
      </c>
      <c r="AK40" s="31">
        <f t="shared" si="31"/>
        <v>394.47712800000005</v>
      </c>
      <c r="AL40" s="31">
        <f>6087.61</f>
        <v>6087.61</v>
      </c>
      <c r="AM40" s="31">
        <f t="shared" si="6"/>
        <v>4.3590285714285804E-2</v>
      </c>
      <c r="AN40" s="31">
        <f>[1]PN!$I40</f>
        <v>5833.333333333333</v>
      </c>
      <c r="AO40" s="31">
        <f t="shared" si="32"/>
        <v>5455.333333333333</v>
      </c>
      <c r="AP40" s="31">
        <f t="shared" si="33"/>
        <v>378.00000000000006</v>
      </c>
      <c r="AQ40" s="31">
        <f t="shared" si="34"/>
        <v>1514.6499199999998</v>
      </c>
      <c r="AR40" s="31">
        <f t="shared" si="35"/>
        <v>104.95008000000001</v>
      </c>
      <c r="AS40" s="33">
        <v>1619.6</v>
      </c>
      <c r="AT40" s="37">
        <f t="shared" si="7"/>
        <v>-0.72235428571428573</v>
      </c>
      <c r="AU40" s="36">
        <f>[1]PN!$J40</f>
        <v>5833.333333333333</v>
      </c>
      <c r="AV40" s="31">
        <f t="shared" si="36"/>
        <v>5455.333333333333</v>
      </c>
      <c r="AW40" s="18">
        <f t="shared" si="37"/>
        <v>378.00000000000006</v>
      </c>
      <c r="AX40" s="31">
        <f t="shared" si="38"/>
        <v>0</v>
      </c>
      <c r="AY40" s="31">
        <f t="shared" si="39"/>
        <v>0</v>
      </c>
      <c r="AZ40" s="33"/>
      <c r="BA40" s="37">
        <f t="shared" si="8"/>
        <v>-1</v>
      </c>
      <c r="BB40" s="36">
        <f>[1]PN!$K40</f>
        <v>5833.333333333333</v>
      </c>
      <c r="BC40" s="31">
        <f t="shared" si="40"/>
        <v>5455.333333333333</v>
      </c>
      <c r="BD40" s="18">
        <f t="shared" si="41"/>
        <v>378.00000000000006</v>
      </c>
      <c r="BE40" s="31">
        <f t="shared" si="42"/>
        <v>0</v>
      </c>
      <c r="BF40" s="31">
        <f t="shared" si="43"/>
        <v>0</v>
      </c>
      <c r="BG40" s="27"/>
      <c r="BH40" s="37">
        <f t="shared" si="9"/>
        <v>-1</v>
      </c>
      <c r="BI40" s="36">
        <f>[1]PN!$L40</f>
        <v>5833.333333333333</v>
      </c>
      <c r="BJ40" s="31">
        <f t="shared" si="44"/>
        <v>5455.333333333333</v>
      </c>
      <c r="BK40" s="18">
        <f t="shared" si="45"/>
        <v>378.00000000000006</v>
      </c>
      <c r="BL40" s="31">
        <f t="shared" si="46"/>
        <v>0</v>
      </c>
      <c r="BM40" s="31">
        <f t="shared" si="47"/>
        <v>0</v>
      </c>
      <c r="BN40" s="33"/>
      <c r="BO40" s="37">
        <f t="shared" si="10"/>
        <v>-1</v>
      </c>
      <c r="BP40" s="36">
        <f>[1]PN!$M40</f>
        <v>5833.333333333333</v>
      </c>
      <c r="BQ40" s="31">
        <f t="shared" si="48"/>
        <v>5455.333333333333</v>
      </c>
      <c r="BR40" s="18">
        <f t="shared" si="49"/>
        <v>378.00000000000006</v>
      </c>
      <c r="BS40" s="31">
        <f t="shared" si="50"/>
        <v>0</v>
      </c>
      <c r="BT40" s="31">
        <f t="shared" si="51"/>
        <v>0</v>
      </c>
      <c r="BU40" s="33"/>
      <c r="BV40" s="37">
        <f t="shared" si="11"/>
        <v>-1</v>
      </c>
      <c r="BW40" s="36">
        <f>[1]PN!$N40</f>
        <v>5833.333333333333</v>
      </c>
      <c r="BX40" s="31">
        <f t="shared" si="52"/>
        <v>5455.333333333333</v>
      </c>
      <c r="BY40" s="18">
        <f t="shared" si="53"/>
        <v>378.00000000000006</v>
      </c>
      <c r="BZ40" s="31">
        <f t="shared" si="54"/>
        <v>0</v>
      </c>
      <c r="CA40" s="31">
        <f t="shared" si="55"/>
        <v>0</v>
      </c>
      <c r="CB40" s="33"/>
      <c r="CC40" s="37">
        <f t="shared" si="12"/>
        <v>-1</v>
      </c>
      <c r="CD40" s="36">
        <f>[1]PN!$O40</f>
        <v>5833.333333333333</v>
      </c>
      <c r="CE40" s="31">
        <f t="shared" si="56"/>
        <v>5455.333333333333</v>
      </c>
      <c r="CF40" s="18">
        <f t="shared" si="57"/>
        <v>378.00000000000006</v>
      </c>
      <c r="CG40" s="31">
        <f t="shared" si="58"/>
        <v>0</v>
      </c>
      <c r="CH40" s="31">
        <f t="shared" si="59"/>
        <v>0</v>
      </c>
      <c r="CI40" s="33"/>
      <c r="CJ40" s="37">
        <f t="shared" si="13"/>
        <v>-1</v>
      </c>
      <c r="CK40" s="36">
        <f>[1]PN!$P40</f>
        <v>5833.333333333333</v>
      </c>
      <c r="CL40" s="31">
        <f t="shared" si="60"/>
        <v>5455.333333333333</v>
      </c>
      <c r="CM40" s="18">
        <f t="shared" si="61"/>
        <v>378.00000000000006</v>
      </c>
      <c r="CN40" s="31">
        <f t="shared" si="62"/>
        <v>0</v>
      </c>
      <c r="CO40" s="31">
        <f t="shared" si="63"/>
        <v>0</v>
      </c>
      <c r="CP40" s="33"/>
      <c r="CQ40" s="37">
        <f t="shared" si="14"/>
        <v>-1</v>
      </c>
    </row>
    <row r="41" spans="1:95" s="26" customFormat="1" ht="16" customHeight="1" thickBot="1" x14ac:dyDescent="0.25">
      <c r="A41" s="29" t="s">
        <v>65</v>
      </c>
      <c r="B41" s="30">
        <f t="shared" si="64"/>
        <v>141999.99999999997</v>
      </c>
      <c r="C41" s="31">
        <f t="shared" si="64"/>
        <v>132798.39999999997</v>
      </c>
      <c r="D41" s="32">
        <f t="shared" si="64"/>
        <v>9201.6000000000022</v>
      </c>
      <c r="E41" s="30">
        <f t="shared" si="66"/>
        <v>47333.333333333336</v>
      </c>
      <c r="F41" s="33">
        <f t="shared" si="66"/>
        <v>44266.133333333331</v>
      </c>
      <c r="G41" s="34">
        <f t="shared" si="66"/>
        <v>3067.2000000000007</v>
      </c>
      <c r="H41" s="31">
        <f t="shared" si="65"/>
        <v>66399.199999999997</v>
      </c>
      <c r="I41" s="33">
        <f t="shared" si="65"/>
        <v>4600.8000000000011</v>
      </c>
      <c r="J41" s="33">
        <f t="shared" si="65"/>
        <v>71000</v>
      </c>
      <c r="K41" s="37">
        <f t="shared" si="2"/>
        <v>0.5</v>
      </c>
      <c r="L41" s="46">
        <f>[1]PN!$E41</f>
        <v>11833.333333333334</v>
      </c>
      <c r="M41" s="47">
        <f t="shared" si="16"/>
        <v>11066.533333333333</v>
      </c>
      <c r="N41" s="47">
        <f t="shared" si="17"/>
        <v>766.80000000000018</v>
      </c>
      <c r="O41" s="47">
        <f t="shared" si="18"/>
        <v>11066.533333333333</v>
      </c>
      <c r="P41" s="47">
        <f t="shared" si="19"/>
        <v>766.80000000000018</v>
      </c>
      <c r="Q41" s="47">
        <v>11833.333333333334</v>
      </c>
      <c r="R41" s="47">
        <f t="shared" si="3"/>
        <v>0</v>
      </c>
      <c r="S41" s="47">
        <f>[1]PN!$F41</f>
        <v>11833.333333333334</v>
      </c>
      <c r="T41" s="47">
        <f t="shared" si="20"/>
        <v>11066.533333333333</v>
      </c>
      <c r="U41" s="47">
        <f t="shared" si="21"/>
        <v>766.80000000000018</v>
      </c>
      <c r="V41" s="47">
        <f t="shared" si="22"/>
        <v>11066.533333333333</v>
      </c>
      <c r="W41" s="47">
        <f t="shared" si="23"/>
        <v>766.80000000000018</v>
      </c>
      <c r="X41" s="47">
        <v>11833.333333333334</v>
      </c>
      <c r="Y41" s="47">
        <f t="shared" si="4"/>
        <v>0</v>
      </c>
      <c r="Z41" s="47">
        <f>[1]PN!$G41</f>
        <v>11833.333333333334</v>
      </c>
      <c r="AA41" s="47">
        <f t="shared" si="24"/>
        <v>11066.533333333333</v>
      </c>
      <c r="AB41" s="47">
        <f t="shared" si="25"/>
        <v>766.80000000000018</v>
      </c>
      <c r="AC41" s="47">
        <f t="shared" si="26"/>
        <v>11066.533333333333</v>
      </c>
      <c r="AD41" s="47">
        <f t="shared" si="27"/>
        <v>766.80000000000018</v>
      </c>
      <c r="AE41" s="47">
        <v>11833.333333333334</v>
      </c>
      <c r="AF41" s="47">
        <f t="shared" si="5"/>
        <v>0</v>
      </c>
      <c r="AG41" s="47">
        <f>[1]PN!$H41</f>
        <v>11833.333333333334</v>
      </c>
      <c r="AH41" s="47">
        <f t="shared" si="28"/>
        <v>11066.533333333333</v>
      </c>
      <c r="AI41" s="47">
        <f t="shared" si="29"/>
        <v>766.80000000000018</v>
      </c>
      <c r="AJ41" s="47">
        <f t="shared" si="30"/>
        <v>11066.533333333333</v>
      </c>
      <c r="AK41" s="47">
        <f t="shared" si="31"/>
        <v>766.80000000000018</v>
      </c>
      <c r="AL41" s="47">
        <v>11833.333333333334</v>
      </c>
      <c r="AM41" s="47">
        <f t="shared" si="6"/>
        <v>0</v>
      </c>
      <c r="AN41" s="47">
        <f>[1]PN!$I41</f>
        <v>11833.333333333334</v>
      </c>
      <c r="AO41" s="47">
        <f t="shared" si="32"/>
        <v>11066.533333333333</v>
      </c>
      <c r="AP41" s="47">
        <f t="shared" si="33"/>
        <v>766.80000000000018</v>
      </c>
      <c r="AQ41" s="47">
        <f t="shared" si="34"/>
        <v>11066.533333333333</v>
      </c>
      <c r="AR41" s="47">
        <f t="shared" si="35"/>
        <v>766.80000000000018</v>
      </c>
      <c r="AS41" s="45">
        <v>11833.333333333334</v>
      </c>
      <c r="AT41" s="37">
        <f t="shared" si="7"/>
        <v>0</v>
      </c>
      <c r="AU41" s="46">
        <f>[1]PN!$J41</f>
        <v>11833.333333333334</v>
      </c>
      <c r="AV41" s="47">
        <f t="shared" si="36"/>
        <v>11066.533333333333</v>
      </c>
      <c r="AW41" s="18">
        <f t="shared" si="37"/>
        <v>766.80000000000018</v>
      </c>
      <c r="AX41" s="47">
        <f t="shared" si="38"/>
        <v>11066.533333333333</v>
      </c>
      <c r="AY41" s="47">
        <f t="shared" si="39"/>
        <v>766.80000000000018</v>
      </c>
      <c r="AZ41" s="46">
        <v>11833.333333333334</v>
      </c>
      <c r="BA41" s="37">
        <f t="shared" si="8"/>
        <v>0</v>
      </c>
      <c r="BB41" s="46">
        <f>[1]PN!$K41</f>
        <v>11833.333333333334</v>
      </c>
      <c r="BC41" s="47">
        <f t="shared" si="40"/>
        <v>11066.533333333333</v>
      </c>
      <c r="BD41" s="18">
        <f t="shared" si="41"/>
        <v>766.80000000000018</v>
      </c>
      <c r="BE41" s="47">
        <f t="shared" si="42"/>
        <v>0</v>
      </c>
      <c r="BF41" s="47">
        <f t="shared" si="43"/>
        <v>0</v>
      </c>
      <c r="BG41" s="48"/>
      <c r="BH41" s="37">
        <f t="shared" si="9"/>
        <v>-1</v>
      </c>
      <c r="BI41" s="46">
        <f>[1]PN!$L41</f>
        <v>11833.333333333334</v>
      </c>
      <c r="BJ41" s="47">
        <f t="shared" si="44"/>
        <v>11066.533333333333</v>
      </c>
      <c r="BK41" s="18">
        <f t="shared" si="45"/>
        <v>766.80000000000018</v>
      </c>
      <c r="BL41" s="47">
        <f t="shared" si="46"/>
        <v>0</v>
      </c>
      <c r="BM41" s="47">
        <f t="shared" si="47"/>
        <v>0</v>
      </c>
      <c r="BN41" s="45"/>
      <c r="BO41" s="37">
        <f t="shared" si="10"/>
        <v>-1</v>
      </c>
      <c r="BP41" s="46">
        <f>[1]PN!$M41</f>
        <v>11833.333333333334</v>
      </c>
      <c r="BQ41" s="47">
        <f t="shared" si="48"/>
        <v>11066.533333333333</v>
      </c>
      <c r="BR41" s="18">
        <f t="shared" si="49"/>
        <v>766.80000000000018</v>
      </c>
      <c r="BS41" s="47">
        <f t="shared" si="50"/>
        <v>0</v>
      </c>
      <c r="BT41" s="47">
        <f t="shared" si="51"/>
        <v>0</v>
      </c>
      <c r="BU41" s="45"/>
      <c r="BV41" s="37">
        <f t="shared" si="11"/>
        <v>-1</v>
      </c>
      <c r="BW41" s="46">
        <f>[1]PN!$N41</f>
        <v>11833.333333333334</v>
      </c>
      <c r="BX41" s="47">
        <f t="shared" si="52"/>
        <v>11066.533333333333</v>
      </c>
      <c r="BY41" s="18">
        <f t="shared" si="53"/>
        <v>766.80000000000018</v>
      </c>
      <c r="BZ41" s="47">
        <f t="shared" si="54"/>
        <v>0</v>
      </c>
      <c r="CA41" s="47">
        <f t="shared" si="55"/>
        <v>0</v>
      </c>
      <c r="CB41" s="46"/>
      <c r="CC41" s="37">
        <f t="shared" si="12"/>
        <v>-1</v>
      </c>
      <c r="CD41" s="46">
        <f>[1]PN!$O41</f>
        <v>11833.333333333334</v>
      </c>
      <c r="CE41" s="47">
        <f t="shared" si="56"/>
        <v>11066.533333333333</v>
      </c>
      <c r="CF41" s="18">
        <f t="shared" si="57"/>
        <v>766.80000000000018</v>
      </c>
      <c r="CG41" s="47">
        <f t="shared" si="58"/>
        <v>0</v>
      </c>
      <c r="CH41" s="47">
        <f t="shared" si="59"/>
        <v>0</v>
      </c>
      <c r="CI41" s="45"/>
      <c r="CJ41" s="37">
        <f t="shared" si="13"/>
        <v>-1</v>
      </c>
      <c r="CK41" s="46">
        <f>[1]PN!$P41</f>
        <v>11833.333333333334</v>
      </c>
      <c r="CL41" s="47">
        <f t="shared" si="60"/>
        <v>11066.533333333333</v>
      </c>
      <c r="CM41" s="18">
        <f t="shared" si="61"/>
        <v>766.80000000000018</v>
      </c>
      <c r="CN41" s="47">
        <f t="shared" si="62"/>
        <v>0</v>
      </c>
      <c r="CO41" s="47">
        <f t="shared" si="63"/>
        <v>0</v>
      </c>
      <c r="CP41" s="45"/>
      <c r="CQ41" s="37">
        <f t="shared" si="14"/>
        <v>-1</v>
      </c>
    </row>
    <row r="42" spans="1:95" s="26" customFormat="1" ht="16" customHeight="1" thickBot="1" x14ac:dyDescent="0.25">
      <c r="A42" s="29" t="s">
        <v>66</v>
      </c>
      <c r="B42" s="30">
        <f t="shared" si="64"/>
        <v>954077.39999999979</v>
      </c>
      <c r="C42" s="31">
        <f t="shared" si="64"/>
        <v>892253.18447999994</v>
      </c>
      <c r="D42" s="32">
        <f t="shared" si="64"/>
        <v>61824.215519999998</v>
      </c>
      <c r="E42" s="30">
        <f t="shared" si="66"/>
        <v>318025.8</v>
      </c>
      <c r="F42" s="33">
        <f t="shared" si="66"/>
        <v>297417.72816</v>
      </c>
      <c r="G42" s="34">
        <f t="shared" si="66"/>
        <v>20608.071840000004</v>
      </c>
      <c r="H42" s="31">
        <f t="shared" si="65"/>
        <v>414868.89763200004</v>
      </c>
      <c r="I42" s="33">
        <f t="shared" si="65"/>
        <v>28746.262368000003</v>
      </c>
      <c r="J42" s="33">
        <f t="shared" si="65"/>
        <v>443615.16</v>
      </c>
      <c r="K42" s="37">
        <f t="shared" si="2"/>
        <v>0.39490305503515755</v>
      </c>
      <c r="L42" s="36">
        <f>[1]PN!$E42</f>
        <v>79506.45</v>
      </c>
      <c r="M42" s="31">
        <f t="shared" si="16"/>
        <v>74354.43204</v>
      </c>
      <c r="N42" s="31">
        <f t="shared" si="17"/>
        <v>5152.017960000001</v>
      </c>
      <c r="O42" s="31">
        <f t="shared" si="18"/>
        <v>68600.585984000005</v>
      </c>
      <c r="P42" s="31">
        <f t="shared" si="19"/>
        <v>4753.3340160000007</v>
      </c>
      <c r="Q42" s="31">
        <f>73353.92</f>
        <v>73353.919999999998</v>
      </c>
      <c r="R42" s="31">
        <f t="shared" si="3"/>
        <v>-7.7384036137948531E-2</v>
      </c>
      <c r="S42" s="31">
        <f>[1]PN!$F42</f>
        <v>79506.45</v>
      </c>
      <c r="T42" s="31">
        <f t="shared" si="20"/>
        <v>74354.43204</v>
      </c>
      <c r="U42" s="31">
        <f t="shared" si="21"/>
        <v>5152.017960000001</v>
      </c>
      <c r="V42" s="31">
        <f t="shared" si="22"/>
        <v>68600.585984000005</v>
      </c>
      <c r="W42" s="31">
        <f t="shared" si="23"/>
        <v>4753.3340160000007</v>
      </c>
      <c r="X42" s="31">
        <f>73353.92</f>
        <v>73353.919999999998</v>
      </c>
      <c r="Y42" s="31">
        <f t="shared" si="4"/>
        <v>-7.7384036137948531E-2</v>
      </c>
      <c r="Z42" s="31">
        <f>[1]PN!$G42</f>
        <v>79506.45</v>
      </c>
      <c r="AA42" s="31">
        <f t="shared" si="24"/>
        <v>74354.43204</v>
      </c>
      <c r="AB42" s="31">
        <f t="shared" si="25"/>
        <v>5152.017960000001</v>
      </c>
      <c r="AC42" s="31">
        <f t="shared" si="26"/>
        <v>68600.585984000005</v>
      </c>
      <c r="AD42" s="31">
        <f t="shared" si="27"/>
        <v>4753.3340160000007</v>
      </c>
      <c r="AE42" s="31">
        <f>73353.92</f>
        <v>73353.919999999998</v>
      </c>
      <c r="AF42" s="31">
        <f t="shared" si="5"/>
        <v>-7.7384036137948531E-2</v>
      </c>
      <c r="AG42" s="31">
        <f>[1]PN!$H42</f>
        <v>79506.45</v>
      </c>
      <c r="AH42" s="31">
        <f t="shared" si="28"/>
        <v>74354.43204</v>
      </c>
      <c r="AI42" s="31">
        <f t="shared" si="29"/>
        <v>5152.017960000001</v>
      </c>
      <c r="AJ42" s="31">
        <f t="shared" si="30"/>
        <v>68600.585984000005</v>
      </c>
      <c r="AK42" s="31">
        <f t="shared" si="31"/>
        <v>4753.3340160000007</v>
      </c>
      <c r="AL42" s="31">
        <f>73353.92</f>
        <v>73353.919999999998</v>
      </c>
      <c r="AM42" s="31">
        <f t="shared" si="6"/>
        <v>-7.7384036137948531E-2</v>
      </c>
      <c r="AN42" s="31">
        <f>[1]PN!$I42</f>
        <v>79506.45</v>
      </c>
      <c r="AO42" s="31">
        <f t="shared" si="32"/>
        <v>74354.43204</v>
      </c>
      <c r="AP42" s="31">
        <f t="shared" si="33"/>
        <v>5152.017960000001</v>
      </c>
      <c r="AQ42" s="31">
        <f t="shared" si="34"/>
        <v>68600.585984000005</v>
      </c>
      <c r="AR42" s="31">
        <f t="shared" si="35"/>
        <v>4753.3340160000007</v>
      </c>
      <c r="AS42" s="33">
        <v>73353.919999999998</v>
      </c>
      <c r="AT42" s="37">
        <f t="shared" si="7"/>
        <v>-7.7384036137948531E-2</v>
      </c>
      <c r="AU42" s="36">
        <f>[1]PN!$J42</f>
        <v>79506.45</v>
      </c>
      <c r="AV42" s="31">
        <f t="shared" si="36"/>
        <v>74354.43204</v>
      </c>
      <c r="AW42" s="18">
        <f t="shared" si="37"/>
        <v>5152.017960000001</v>
      </c>
      <c r="AX42" s="31">
        <f t="shared" si="38"/>
        <v>71865.967711999998</v>
      </c>
      <c r="AY42" s="31">
        <f t="shared" si="39"/>
        <v>4979.5922880000007</v>
      </c>
      <c r="AZ42" s="33">
        <v>76845.56</v>
      </c>
      <c r="BA42" s="37">
        <f t="shared" si="8"/>
        <v>-3.346759916962716E-2</v>
      </c>
      <c r="BB42" s="36">
        <f>[1]PN!$K42</f>
        <v>79506.45</v>
      </c>
      <c r="BC42" s="31">
        <f t="shared" si="40"/>
        <v>74354.43204</v>
      </c>
      <c r="BD42" s="18">
        <f t="shared" si="41"/>
        <v>5152.017960000001</v>
      </c>
      <c r="BE42" s="31">
        <f t="shared" si="42"/>
        <v>0</v>
      </c>
      <c r="BF42" s="31">
        <f t="shared" si="43"/>
        <v>0</v>
      </c>
      <c r="BG42" s="27"/>
      <c r="BH42" s="37">
        <f t="shared" si="9"/>
        <v>-1</v>
      </c>
      <c r="BI42" s="36">
        <f>[1]PN!$L42</f>
        <v>79506.45</v>
      </c>
      <c r="BJ42" s="31">
        <f t="shared" si="44"/>
        <v>74354.43204</v>
      </c>
      <c r="BK42" s="18">
        <f t="shared" si="45"/>
        <v>5152.017960000001</v>
      </c>
      <c r="BL42" s="31">
        <f t="shared" si="46"/>
        <v>0</v>
      </c>
      <c r="BM42" s="31">
        <f t="shared" si="47"/>
        <v>0</v>
      </c>
      <c r="BN42" s="33"/>
      <c r="BO42" s="37">
        <f t="shared" si="10"/>
        <v>-1</v>
      </c>
      <c r="BP42" s="36">
        <f>[1]PN!$M42</f>
        <v>79506.45</v>
      </c>
      <c r="BQ42" s="31">
        <f t="shared" si="48"/>
        <v>74354.43204</v>
      </c>
      <c r="BR42" s="18">
        <f t="shared" si="49"/>
        <v>5152.017960000001</v>
      </c>
      <c r="BS42" s="31">
        <f t="shared" si="50"/>
        <v>0</v>
      </c>
      <c r="BT42" s="31">
        <f t="shared" si="51"/>
        <v>0</v>
      </c>
      <c r="BU42" s="33"/>
      <c r="BV42" s="37">
        <f t="shared" si="11"/>
        <v>-1</v>
      </c>
      <c r="BW42" s="36">
        <f>[1]PN!$N42</f>
        <v>79506.45</v>
      </c>
      <c r="BX42" s="31">
        <f t="shared" si="52"/>
        <v>74354.43204</v>
      </c>
      <c r="BY42" s="18">
        <f t="shared" si="53"/>
        <v>5152.017960000001</v>
      </c>
      <c r="BZ42" s="31">
        <f t="shared" si="54"/>
        <v>0</v>
      </c>
      <c r="CA42" s="31">
        <f t="shared" si="55"/>
        <v>0</v>
      </c>
      <c r="CB42" s="33"/>
      <c r="CC42" s="37">
        <f t="shared" si="12"/>
        <v>-1</v>
      </c>
      <c r="CD42" s="36">
        <f>[1]PN!$O42</f>
        <v>79506.45</v>
      </c>
      <c r="CE42" s="31">
        <f t="shared" si="56"/>
        <v>74354.43204</v>
      </c>
      <c r="CF42" s="18">
        <f t="shared" si="57"/>
        <v>5152.017960000001</v>
      </c>
      <c r="CG42" s="31">
        <f t="shared" si="58"/>
        <v>0</v>
      </c>
      <c r="CH42" s="31">
        <f t="shared" si="59"/>
        <v>0</v>
      </c>
      <c r="CI42" s="33"/>
      <c r="CJ42" s="37">
        <f t="shared" si="13"/>
        <v>-1</v>
      </c>
      <c r="CK42" s="36">
        <f>[1]PN!$P42</f>
        <v>79506.45</v>
      </c>
      <c r="CL42" s="31">
        <f t="shared" si="60"/>
        <v>74354.43204</v>
      </c>
      <c r="CM42" s="18">
        <f t="shared" si="61"/>
        <v>5152.017960000001</v>
      </c>
      <c r="CN42" s="31">
        <f t="shared" si="62"/>
        <v>0</v>
      </c>
      <c r="CO42" s="31">
        <f t="shared" si="63"/>
        <v>0</v>
      </c>
      <c r="CP42" s="33"/>
      <c r="CQ42" s="37">
        <f t="shared" si="14"/>
        <v>-1</v>
      </c>
    </row>
    <row r="43" spans="1:95" s="26" customFormat="1" ht="16" customHeight="1" thickBot="1" x14ac:dyDescent="0.25">
      <c r="A43" s="38" t="s">
        <v>67</v>
      </c>
      <c r="B43" s="30">
        <f t="shared" si="64"/>
        <v>41943</v>
      </c>
      <c r="C43" s="31">
        <f t="shared" si="64"/>
        <v>39225.0936</v>
      </c>
      <c r="D43" s="32">
        <f t="shared" si="64"/>
        <v>2717.9064000000012</v>
      </c>
      <c r="E43" s="30">
        <f t="shared" si="66"/>
        <v>13981</v>
      </c>
      <c r="F43" s="33">
        <f t="shared" si="66"/>
        <v>13075.031199999999</v>
      </c>
      <c r="G43" s="34">
        <f t="shared" si="66"/>
        <v>905.9688000000001</v>
      </c>
      <c r="H43" s="31">
        <f t="shared" si="65"/>
        <v>32743.409440000003</v>
      </c>
      <c r="I43" s="33">
        <f t="shared" si="65"/>
        <v>2268.7905600000004</v>
      </c>
      <c r="J43" s="33">
        <f t="shared" si="65"/>
        <v>35012.200000000004</v>
      </c>
      <c r="K43" s="37">
        <f t="shared" si="2"/>
        <v>1.5042700808239755</v>
      </c>
      <c r="L43" s="36">
        <f>[1]PN!$E43</f>
        <v>3495.25</v>
      </c>
      <c r="M43" s="31">
        <f t="shared" si="16"/>
        <v>3268.7577999999999</v>
      </c>
      <c r="N43" s="31">
        <f t="shared" si="17"/>
        <v>226.49220000000003</v>
      </c>
      <c r="O43" s="31">
        <f t="shared" si="18"/>
        <v>3899.5876079999998</v>
      </c>
      <c r="P43" s="31">
        <f t="shared" si="19"/>
        <v>270.20239200000003</v>
      </c>
      <c r="Q43" s="31">
        <f>4169.79</f>
        <v>4169.79</v>
      </c>
      <c r="R43" s="31">
        <f t="shared" si="3"/>
        <v>0.19298762606394382</v>
      </c>
      <c r="S43" s="31">
        <f>[1]PN!$F43</f>
        <v>3495.25</v>
      </c>
      <c r="T43" s="31">
        <f t="shared" si="20"/>
        <v>3268.7577999999999</v>
      </c>
      <c r="U43" s="31">
        <f t="shared" si="21"/>
        <v>226.49220000000003</v>
      </c>
      <c r="V43" s="31">
        <f t="shared" si="22"/>
        <v>3462.4096640000002</v>
      </c>
      <c r="W43" s="31">
        <f t="shared" si="23"/>
        <v>239.91033600000006</v>
      </c>
      <c r="X43" s="31">
        <f>3702.32</f>
        <v>3702.32</v>
      </c>
      <c r="Y43" s="31">
        <f t="shared" si="4"/>
        <v>5.9243258708246982E-2</v>
      </c>
      <c r="Z43" s="31">
        <f>[1]PN!$G43</f>
        <v>3495.25</v>
      </c>
      <c r="AA43" s="31">
        <f t="shared" si="24"/>
        <v>3268.7577999999999</v>
      </c>
      <c r="AB43" s="31">
        <f t="shared" si="25"/>
        <v>226.49220000000003</v>
      </c>
      <c r="AC43" s="31">
        <f t="shared" si="26"/>
        <v>4960.4036719999995</v>
      </c>
      <c r="AD43" s="31">
        <f t="shared" si="27"/>
        <v>343.70632800000004</v>
      </c>
      <c r="AE43" s="31">
        <f>5304.11</f>
        <v>5304.11</v>
      </c>
      <c r="AF43" s="31">
        <f t="shared" si="5"/>
        <v>0.5175194907374292</v>
      </c>
      <c r="AG43" s="31">
        <f>[1]PN!$H43</f>
        <v>3495.25</v>
      </c>
      <c r="AH43" s="31">
        <f t="shared" si="28"/>
        <v>3268.7577999999999</v>
      </c>
      <c r="AI43" s="31">
        <f t="shared" si="29"/>
        <v>226.49220000000003</v>
      </c>
      <c r="AJ43" s="31">
        <f t="shared" si="30"/>
        <v>3813.801712</v>
      </c>
      <c r="AK43" s="31">
        <f t="shared" si="31"/>
        <v>264.25828800000005</v>
      </c>
      <c r="AL43" s="31">
        <v>4078.06</v>
      </c>
      <c r="AM43" s="31">
        <f t="shared" si="6"/>
        <v>0.16674343752235177</v>
      </c>
      <c r="AN43" s="31">
        <f>[1]PN!$I43</f>
        <v>3495.25</v>
      </c>
      <c r="AO43" s="31">
        <f t="shared" si="32"/>
        <v>3268.7577999999999</v>
      </c>
      <c r="AP43" s="31">
        <f t="shared" si="33"/>
        <v>226.49220000000003</v>
      </c>
      <c r="AQ43" s="31">
        <f t="shared" si="34"/>
        <v>3259.3309840000002</v>
      </c>
      <c r="AR43" s="31">
        <f t="shared" si="35"/>
        <v>225.83901600000004</v>
      </c>
      <c r="AS43" s="33">
        <v>3485.17</v>
      </c>
      <c r="AT43" s="37">
        <f t="shared" si="7"/>
        <v>-2.8839138831270317E-3</v>
      </c>
      <c r="AU43" s="36">
        <f>[1]PN!$J43</f>
        <v>3495.25</v>
      </c>
      <c r="AV43" s="31">
        <f t="shared" si="36"/>
        <v>3268.7577999999999</v>
      </c>
      <c r="AW43" s="18">
        <f t="shared" si="37"/>
        <v>226.49220000000003</v>
      </c>
      <c r="AX43" s="31">
        <f t="shared" si="38"/>
        <v>13347.8758</v>
      </c>
      <c r="AY43" s="31">
        <f t="shared" si="39"/>
        <v>924.8742000000002</v>
      </c>
      <c r="AZ43" s="33">
        <v>14272.75</v>
      </c>
      <c r="BA43" s="37">
        <f t="shared" si="8"/>
        <v>3.0834704241470563</v>
      </c>
      <c r="BB43" s="36">
        <f>[1]PN!$K43</f>
        <v>3495.25</v>
      </c>
      <c r="BC43" s="31">
        <f t="shared" si="40"/>
        <v>3268.7577999999999</v>
      </c>
      <c r="BD43" s="18">
        <f t="shared" si="41"/>
        <v>226.49220000000003</v>
      </c>
      <c r="BE43" s="31">
        <f t="shared" si="42"/>
        <v>0</v>
      </c>
      <c r="BF43" s="31">
        <f t="shared" si="43"/>
        <v>0</v>
      </c>
      <c r="BG43" s="27"/>
      <c r="BH43" s="37">
        <f t="shared" si="9"/>
        <v>-1</v>
      </c>
      <c r="BI43" s="36">
        <f>[1]PN!$L43</f>
        <v>3495.25</v>
      </c>
      <c r="BJ43" s="31">
        <f t="shared" si="44"/>
        <v>3268.7577999999999</v>
      </c>
      <c r="BK43" s="18">
        <f t="shared" si="45"/>
        <v>226.49220000000003</v>
      </c>
      <c r="BL43" s="31">
        <f t="shared" si="46"/>
        <v>0</v>
      </c>
      <c r="BM43" s="31">
        <f t="shared" si="47"/>
        <v>0</v>
      </c>
      <c r="BN43" s="33"/>
      <c r="BO43" s="37">
        <f t="shared" si="10"/>
        <v>-1</v>
      </c>
      <c r="BP43" s="36">
        <f>[1]PN!$M43</f>
        <v>3495.25</v>
      </c>
      <c r="BQ43" s="31">
        <f t="shared" si="48"/>
        <v>3268.7577999999999</v>
      </c>
      <c r="BR43" s="18">
        <f t="shared" si="49"/>
        <v>226.49220000000003</v>
      </c>
      <c r="BS43" s="31">
        <f t="shared" si="50"/>
        <v>0</v>
      </c>
      <c r="BT43" s="31">
        <f t="shared" si="51"/>
        <v>0</v>
      </c>
      <c r="BU43" s="33"/>
      <c r="BV43" s="37">
        <f t="shared" si="11"/>
        <v>-1</v>
      </c>
      <c r="BW43" s="36">
        <f>[1]PN!$N43</f>
        <v>3495.25</v>
      </c>
      <c r="BX43" s="31">
        <f t="shared" si="52"/>
        <v>3268.7577999999999</v>
      </c>
      <c r="BY43" s="18">
        <f t="shared" si="53"/>
        <v>226.49220000000003</v>
      </c>
      <c r="BZ43" s="31">
        <f t="shared" si="54"/>
        <v>0</v>
      </c>
      <c r="CA43" s="31">
        <f t="shared" si="55"/>
        <v>0</v>
      </c>
      <c r="CB43" s="33"/>
      <c r="CC43" s="37">
        <f t="shared" si="12"/>
        <v>-1</v>
      </c>
      <c r="CD43" s="36">
        <f>[1]PN!$O43</f>
        <v>3495.25</v>
      </c>
      <c r="CE43" s="31">
        <f t="shared" si="56"/>
        <v>3268.7577999999999</v>
      </c>
      <c r="CF43" s="18">
        <f t="shared" si="57"/>
        <v>226.49220000000003</v>
      </c>
      <c r="CG43" s="31">
        <f t="shared" si="58"/>
        <v>0</v>
      </c>
      <c r="CH43" s="31">
        <f t="shared" si="59"/>
        <v>0</v>
      </c>
      <c r="CI43" s="33"/>
      <c r="CJ43" s="37">
        <f t="shared" si="13"/>
        <v>-1</v>
      </c>
      <c r="CK43" s="36">
        <f>[1]PN!$P43</f>
        <v>3495.25</v>
      </c>
      <c r="CL43" s="31">
        <f t="shared" si="60"/>
        <v>3268.7577999999999</v>
      </c>
      <c r="CM43" s="18">
        <f t="shared" si="61"/>
        <v>226.49220000000003</v>
      </c>
      <c r="CN43" s="31">
        <f t="shared" si="62"/>
        <v>0</v>
      </c>
      <c r="CO43" s="31">
        <f t="shared" si="63"/>
        <v>0</v>
      </c>
      <c r="CP43" s="33"/>
      <c r="CQ43" s="37">
        <f t="shared" si="14"/>
        <v>-1</v>
      </c>
    </row>
    <row r="44" spans="1:95" s="26" customFormat="1" ht="16" customHeight="1" thickBot="1" x14ac:dyDescent="0.25">
      <c r="A44" s="29" t="s">
        <v>68</v>
      </c>
      <c r="B44" s="30">
        <f t="shared" si="64"/>
        <v>0</v>
      </c>
      <c r="C44" s="31">
        <f t="shared" si="64"/>
        <v>0</v>
      </c>
      <c r="D44" s="32">
        <f t="shared" si="64"/>
        <v>0</v>
      </c>
      <c r="E44" s="30">
        <f t="shared" si="66"/>
        <v>0</v>
      </c>
      <c r="F44" s="33">
        <f t="shared" si="66"/>
        <v>0</v>
      </c>
      <c r="G44" s="34">
        <f t="shared" si="66"/>
        <v>0</v>
      </c>
      <c r="H44" s="31">
        <f t="shared" si="65"/>
        <v>0</v>
      </c>
      <c r="I44" s="33">
        <f t="shared" si="65"/>
        <v>0</v>
      </c>
      <c r="J44" s="33">
        <f t="shared" si="65"/>
        <v>0</v>
      </c>
      <c r="K44" s="37" t="str">
        <f t="shared" si="2"/>
        <v/>
      </c>
      <c r="L44" s="36">
        <f>[1]PN!$E44</f>
        <v>0</v>
      </c>
      <c r="M44" s="31">
        <f t="shared" si="16"/>
        <v>0</v>
      </c>
      <c r="N44" s="31">
        <f t="shared" si="17"/>
        <v>0</v>
      </c>
      <c r="O44" s="31">
        <f t="shared" si="18"/>
        <v>0</v>
      </c>
      <c r="P44" s="31">
        <f t="shared" si="19"/>
        <v>0</v>
      </c>
      <c r="Q44" s="31"/>
      <c r="R44" s="31" t="str">
        <f t="shared" si="3"/>
        <v/>
      </c>
      <c r="S44" s="31">
        <f>[1]PN!$F44</f>
        <v>0</v>
      </c>
      <c r="T44" s="31">
        <f t="shared" si="20"/>
        <v>0</v>
      </c>
      <c r="U44" s="31">
        <f t="shared" si="21"/>
        <v>0</v>
      </c>
      <c r="V44" s="31">
        <f t="shared" si="22"/>
        <v>0</v>
      </c>
      <c r="W44" s="31">
        <f t="shared" si="23"/>
        <v>0</v>
      </c>
      <c r="X44" s="31"/>
      <c r="Y44" s="31" t="str">
        <f t="shared" si="4"/>
        <v/>
      </c>
      <c r="Z44" s="31">
        <f>[1]PN!$G44</f>
        <v>0</v>
      </c>
      <c r="AA44" s="31">
        <f t="shared" si="24"/>
        <v>0</v>
      </c>
      <c r="AB44" s="31">
        <f t="shared" si="25"/>
        <v>0</v>
      </c>
      <c r="AC44" s="31">
        <f t="shared" si="26"/>
        <v>0</v>
      </c>
      <c r="AD44" s="31">
        <f t="shared" si="27"/>
        <v>0</v>
      </c>
      <c r="AE44" s="31"/>
      <c r="AF44" s="31" t="str">
        <f t="shared" si="5"/>
        <v/>
      </c>
      <c r="AG44" s="31">
        <f>[1]PN!$H44</f>
        <v>0</v>
      </c>
      <c r="AH44" s="31">
        <f t="shared" si="28"/>
        <v>0</v>
      </c>
      <c r="AI44" s="31">
        <f t="shared" si="29"/>
        <v>0</v>
      </c>
      <c r="AJ44" s="31">
        <f t="shared" si="30"/>
        <v>0</v>
      </c>
      <c r="AK44" s="31">
        <f t="shared" si="31"/>
        <v>0</v>
      </c>
      <c r="AL44" s="31"/>
      <c r="AM44" s="31" t="str">
        <f t="shared" si="6"/>
        <v/>
      </c>
      <c r="AN44" s="31">
        <f>[1]PN!$I44</f>
        <v>0</v>
      </c>
      <c r="AO44" s="31">
        <f t="shared" si="32"/>
        <v>0</v>
      </c>
      <c r="AP44" s="31">
        <f t="shared" si="33"/>
        <v>0</v>
      </c>
      <c r="AQ44" s="31">
        <f t="shared" si="34"/>
        <v>0</v>
      </c>
      <c r="AR44" s="31">
        <f t="shared" si="35"/>
        <v>0</v>
      </c>
      <c r="AS44" s="33"/>
      <c r="AT44" s="37" t="str">
        <f t="shared" si="7"/>
        <v/>
      </c>
      <c r="AU44" s="36">
        <f>[1]PN!$J44</f>
        <v>0</v>
      </c>
      <c r="AV44" s="31">
        <f t="shared" si="36"/>
        <v>0</v>
      </c>
      <c r="AW44" s="18">
        <f t="shared" si="37"/>
        <v>0</v>
      </c>
      <c r="AX44" s="31">
        <f t="shared" si="38"/>
        <v>0</v>
      </c>
      <c r="AY44" s="31">
        <f t="shared" si="39"/>
        <v>0</v>
      </c>
      <c r="AZ44" s="33"/>
      <c r="BA44" s="37" t="str">
        <f t="shared" si="8"/>
        <v/>
      </c>
      <c r="BB44" s="36">
        <f>[1]PN!$K44</f>
        <v>0</v>
      </c>
      <c r="BC44" s="31">
        <f t="shared" si="40"/>
        <v>0</v>
      </c>
      <c r="BD44" s="18">
        <f t="shared" si="41"/>
        <v>0</v>
      </c>
      <c r="BE44" s="31">
        <f t="shared" si="42"/>
        <v>0</v>
      </c>
      <c r="BF44" s="31">
        <f t="shared" si="43"/>
        <v>0</v>
      </c>
      <c r="BG44" s="27"/>
      <c r="BH44" s="37" t="str">
        <f t="shared" si="9"/>
        <v/>
      </c>
      <c r="BI44" s="36">
        <f>[1]PN!$L44</f>
        <v>0</v>
      </c>
      <c r="BJ44" s="31">
        <f t="shared" si="44"/>
        <v>0</v>
      </c>
      <c r="BK44" s="18">
        <f t="shared" si="45"/>
        <v>0</v>
      </c>
      <c r="BL44" s="31">
        <f t="shared" si="46"/>
        <v>0</v>
      </c>
      <c r="BM44" s="31">
        <f t="shared" si="47"/>
        <v>0</v>
      </c>
      <c r="BN44" s="33"/>
      <c r="BO44" s="37" t="str">
        <f t="shared" si="10"/>
        <v/>
      </c>
      <c r="BP44" s="36">
        <f>[1]PN!$M44</f>
        <v>0</v>
      </c>
      <c r="BQ44" s="31">
        <f t="shared" si="48"/>
        <v>0</v>
      </c>
      <c r="BR44" s="18">
        <f t="shared" si="49"/>
        <v>0</v>
      </c>
      <c r="BS44" s="31">
        <f t="shared" si="50"/>
        <v>0</v>
      </c>
      <c r="BT44" s="31">
        <f t="shared" si="51"/>
        <v>0</v>
      </c>
      <c r="BU44" s="33"/>
      <c r="BV44" s="37" t="str">
        <f t="shared" si="11"/>
        <v/>
      </c>
      <c r="BW44" s="36">
        <f>[1]PN!$N44</f>
        <v>0</v>
      </c>
      <c r="BX44" s="31">
        <f t="shared" si="52"/>
        <v>0</v>
      </c>
      <c r="BY44" s="18">
        <f t="shared" si="53"/>
        <v>0</v>
      </c>
      <c r="BZ44" s="31">
        <f t="shared" si="54"/>
        <v>0</v>
      </c>
      <c r="CA44" s="31">
        <f t="shared" si="55"/>
        <v>0</v>
      </c>
      <c r="CB44" s="33"/>
      <c r="CC44" s="37" t="str">
        <f t="shared" si="12"/>
        <v/>
      </c>
      <c r="CD44" s="36">
        <f>[1]PN!$O44</f>
        <v>0</v>
      </c>
      <c r="CE44" s="31">
        <f t="shared" si="56"/>
        <v>0</v>
      </c>
      <c r="CF44" s="18">
        <f t="shared" si="57"/>
        <v>0</v>
      </c>
      <c r="CG44" s="31">
        <f t="shared" si="58"/>
        <v>0</v>
      </c>
      <c r="CH44" s="31">
        <f t="shared" si="59"/>
        <v>0</v>
      </c>
      <c r="CI44" s="33"/>
      <c r="CJ44" s="37" t="str">
        <f t="shared" si="13"/>
        <v/>
      </c>
      <c r="CK44" s="36">
        <f>[1]PN!$P44</f>
        <v>0</v>
      </c>
      <c r="CL44" s="31">
        <f t="shared" si="60"/>
        <v>0</v>
      </c>
      <c r="CM44" s="18">
        <f t="shared" si="61"/>
        <v>0</v>
      </c>
      <c r="CN44" s="31">
        <f t="shared" si="62"/>
        <v>0</v>
      </c>
      <c r="CO44" s="31">
        <f t="shared" si="63"/>
        <v>0</v>
      </c>
      <c r="CP44" s="33"/>
      <c r="CQ44" s="37" t="str">
        <f t="shared" si="14"/>
        <v/>
      </c>
    </row>
    <row r="45" spans="1:95" s="26" customFormat="1" ht="16" customHeight="1" thickBot="1" x14ac:dyDescent="0.25">
      <c r="A45" s="39" t="s">
        <v>69</v>
      </c>
      <c r="B45" s="30">
        <f t="shared" si="64"/>
        <v>0</v>
      </c>
      <c r="C45" s="31">
        <f t="shared" si="64"/>
        <v>0</v>
      </c>
      <c r="D45" s="32">
        <f t="shared" si="64"/>
        <v>0</v>
      </c>
      <c r="E45" s="30">
        <f t="shared" si="66"/>
        <v>0</v>
      </c>
      <c r="F45" s="33">
        <f t="shared" si="66"/>
        <v>0</v>
      </c>
      <c r="G45" s="34">
        <f t="shared" si="66"/>
        <v>0</v>
      </c>
      <c r="H45" s="31">
        <f t="shared" si="65"/>
        <v>0</v>
      </c>
      <c r="I45" s="33">
        <f t="shared" si="65"/>
        <v>0</v>
      </c>
      <c r="J45" s="33">
        <f t="shared" si="65"/>
        <v>0</v>
      </c>
      <c r="K45" s="37" t="str">
        <f t="shared" si="2"/>
        <v/>
      </c>
      <c r="L45" s="36">
        <f>[1]PN!$E45</f>
        <v>0</v>
      </c>
      <c r="M45" s="31">
        <f t="shared" si="16"/>
        <v>0</v>
      </c>
      <c r="N45" s="31">
        <f t="shared" si="17"/>
        <v>0</v>
      </c>
      <c r="O45" s="31">
        <f t="shared" si="18"/>
        <v>0</v>
      </c>
      <c r="P45" s="31">
        <f t="shared" si="19"/>
        <v>0</v>
      </c>
      <c r="Q45" s="31"/>
      <c r="R45" s="31" t="str">
        <f t="shared" si="3"/>
        <v/>
      </c>
      <c r="S45" s="31">
        <f>[1]PN!$F45</f>
        <v>0</v>
      </c>
      <c r="T45" s="31">
        <f t="shared" si="20"/>
        <v>0</v>
      </c>
      <c r="U45" s="31">
        <f t="shared" si="21"/>
        <v>0</v>
      </c>
      <c r="V45" s="31">
        <f t="shared" si="22"/>
        <v>0</v>
      </c>
      <c r="W45" s="31">
        <f t="shared" si="23"/>
        <v>0</v>
      </c>
      <c r="X45" s="31"/>
      <c r="Y45" s="31" t="str">
        <f t="shared" si="4"/>
        <v/>
      </c>
      <c r="Z45" s="31">
        <f>[1]PN!$G45</f>
        <v>0</v>
      </c>
      <c r="AA45" s="31">
        <f t="shared" si="24"/>
        <v>0</v>
      </c>
      <c r="AB45" s="31">
        <f t="shared" si="25"/>
        <v>0</v>
      </c>
      <c r="AC45" s="31">
        <f t="shared" si="26"/>
        <v>0</v>
      </c>
      <c r="AD45" s="31">
        <f t="shared" si="27"/>
        <v>0</v>
      </c>
      <c r="AE45" s="31"/>
      <c r="AF45" s="31" t="str">
        <f t="shared" si="5"/>
        <v/>
      </c>
      <c r="AG45" s="31">
        <f>[1]PN!$H45</f>
        <v>0</v>
      </c>
      <c r="AH45" s="31">
        <f t="shared" si="28"/>
        <v>0</v>
      </c>
      <c r="AI45" s="31">
        <f t="shared" si="29"/>
        <v>0</v>
      </c>
      <c r="AJ45" s="31">
        <f t="shared" si="30"/>
        <v>0</v>
      </c>
      <c r="AK45" s="31">
        <f t="shared" si="31"/>
        <v>0</v>
      </c>
      <c r="AL45" s="31"/>
      <c r="AM45" s="31" t="str">
        <f t="shared" si="6"/>
        <v/>
      </c>
      <c r="AN45" s="31">
        <f>[1]PN!$I45</f>
        <v>0</v>
      </c>
      <c r="AO45" s="31">
        <f t="shared" si="32"/>
        <v>0</v>
      </c>
      <c r="AP45" s="31">
        <f t="shared" si="33"/>
        <v>0</v>
      </c>
      <c r="AQ45" s="31">
        <f t="shared" si="34"/>
        <v>0</v>
      </c>
      <c r="AR45" s="31">
        <f t="shared" si="35"/>
        <v>0</v>
      </c>
      <c r="AS45" s="33"/>
      <c r="AT45" s="37" t="str">
        <f t="shared" si="7"/>
        <v/>
      </c>
      <c r="AU45" s="36">
        <f>[1]PN!$J45</f>
        <v>0</v>
      </c>
      <c r="AV45" s="31">
        <f t="shared" si="36"/>
        <v>0</v>
      </c>
      <c r="AW45" s="18">
        <f t="shared" si="37"/>
        <v>0</v>
      </c>
      <c r="AX45" s="31">
        <f t="shared" si="38"/>
        <v>0</v>
      </c>
      <c r="AY45" s="31">
        <f t="shared" si="39"/>
        <v>0</v>
      </c>
      <c r="AZ45" s="33"/>
      <c r="BA45" s="37" t="str">
        <f t="shared" si="8"/>
        <v/>
      </c>
      <c r="BB45" s="36">
        <f>[1]PN!$K45</f>
        <v>0</v>
      </c>
      <c r="BC45" s="31">
        <f t="shared" si="40"/>
        <v>0</v>
      </c>
      <c r="BD45" s="18">
        <f t="shared" si="41"/>
        <v>0</v>
      </c>
      <c r="BE45" s="31">
        <f t="shared" si="42"/>
        <v>0</v>
      </c>
      <c r="BF45" s="31">
        <f t="shared" si="43"/>
        <v>0</v>
      </c>
      <c r="BG45" s="27"/>
      <c r="BH45" s="37" t="str">
        <f t="shared" si="9"/>
        <v/>
      </c>
      <c r="BI45" s="36">
        <f>[1]PN!$L45</f>
        <v>0</v>
      </c>
      <c r="BJ45" s="31">
        <f t="shared" si="44"/>
        <v>0</v>
      </c>
      <c r="BK45" s="18">
        <f t="shared" si="45"/>
        <v>0</v>
      </c>
      <c r="BL45" s="31">
        <f t="shared" si="46"/>
        <v>0</v>
      </c>
      <c r="BM45" s="31">
        <f t="shared" si="47"/>
        <v>0</v>
      </c>
      <c r="BN45" s="33"/>
      <c r="BO45" s="37" t="str">
        <f t="shared" si="10"/>
        <v/>
      </c>
      <c r="BP45" s="36">
        <f>[1]PN!$M45</f>
        <v>0</v>
      </c>
      <c r="BQ45" s="31">
        <f t="shared" si="48"/>
        <v>0</v>
      </c>
      <c r="BR45" s="18">
        <f t="shared" si="49"/>
        <v>0</v>
      </c>
      <c r="BS45" s="31">
        <f t="shared" si="50"/>
        <v>0</v>
      </c>
      <c r="BT45" s="31">
        <f t="shared" si="51"/>
        <v>0</v>
      </c>
      <c r="BU45" s="33"/>
      <c r="BV45" s="37" t="str">
        <f t="shared" si="11"/>
        <v/>
      </c>
      <c r="BW45" s="36">
        <f>[1]PN!$N45</f>
        <v>0</v>
      </c>
      <c r="BX45" s="31">
        <f t="shared" si="52"/>
        <v>0</v>
      </c>
      <c r="BY45" s="18">
        <f t="shared" si="53"/>
        <v>0</v>
      </c>
      <c r="BZ45" s="31">
        <f t="shared" si="54"/>
        <v>0</v>
      </c>
      <c r="CA45" s="31">
        <f t="shared" si="55"/>
        <v>0</v>
      </c>
      <c r="CB45" s="33"/>
      <c r="CC45" s="37" t="str">
        <f t="shared" si="12"/>
        <v/>
      </c>
      <c r="CD45" s="36">
        <f>[1]PN!$O45</f>
        <v>0</v>
      </c>
      <c r="CE45" s="31">
        <f t="shared" si="56"/>
        <v>0</v>
      </c>
      <c r="CF45" s="18">
        <f t="shared" si="57"/>
        <v>0</v>
      </c>
      <c r="CG45" s="31">
        <f t="shared" si="58"/>
        <v>0</v>
      </c>
      <c r="CH45" s="31">
        <f t="shared" si="59"/>
        <v>0</v>
      </c>
      <c r="CI45" s="33"/>
      <c r="CJ45" s="37" t="str">
        <f t="shared" si="13"/>
        <v/>
      </c>
      <c r="CK45" s="36">
        <f>[1]PN!$P45</f>
        <v>0</v>
      </c>
      <c r="CL45" s="31">
        <f t="shared" si="60"/>
        <v>0</v>
      </c>
      <c r="CM45" s="18">
        <f t="shared" si="61"/>
        <v>0</v>
      </c>
      <c r="CN45" s="31">
        <f t="shared" si="62"/>
        <v>0</v>
      </c>
      <c r="CO45" s="31">
        <f t="shared" si="63"/>
        <v>0</v>
      </c>
      <c r="CP45" s="33"/>
      <c r="CQ45" s="37" t="str">
        <f t="shared" si="14"/>
        <v/>
      </c>
    </row>
    <row r="46" spans="1:95" s="26" customFormat="1" ht="16" customHeight="1" thickBot="1" x14ac:dyDescent="0.25">
      <c r="A46" s="38" t="s">
        <v>70</v>
      </c>
      <c r="B46" s="30">
        <f t="shared" si="64"/>
        <v>0</v>
      </c>
      <c r="C46" s="31">
        <f t="shared" si="64"/>
        <v>0</v>
      </c>
      <c r="D46" s="32">
        <f t="shared" si="64"/>
        <v>0</v>
      </c>
      <c r="E46" s="30">
        <f t="shared" si="66"/>
        <v>0</v>
      </c>
      <c r="F46" s="33">
        <f t="shared" si="66"/>
        <v>0</v>
      </c>
      <c r="G46" s="34">
        <f t="shared" si="66"/>
        <v>0</v>
      </c>
      <c r="H46" s="31">
        <f t="shared" si="65"/>
        <v>0</v>
      </c>
      <c r="I46" s="33">
        <f t="shared" si="65"/>
        <v>0</v>
      </c>
      <c r="J46" s="33">
        <f t="shared" si="65"/>
        <v>0</v>
      </c>
      <c r="K46" s="37" t="str">
        <f t="shared" si="2"/>
        <v/>
      </c>
      <c r="L46" s="36">
        <f>[1]PN!$E46</f>
        <v>0</v>
      </c>
      <c r="M46" s="31">
        <f t="shared" si="16"/>
        <v>0</v>
      </c>
      <c r="N46" s="31">
        <f t="shared" si="17"/>
        <v>0</v>
      </c>
      <c r="O46" s="31">
        <f t="shared" si="18"/>
        <v>0</v>
      </c>
      <c r="P46" s="31">
        <f t="shared" si="19"/>
        <v>0</v>
      </c>
      <c r="Q46" s="31"/>
      <c r="R46" s="31" t="str">
        <f t="shared" si="3"/>
        <v/>
      </c>
      <c r="S46" s="31">
        <f>[1]PN!$F46</f>
        <v>0</v>
      </c>
      <c r="T46" s="31">
        <f t="shared" si="20"/>
        <v>0</v>
      </c>
      <c r="U46" s="31">
        <f t="shared" si="21"/>
        <v>0</v>
      </c>
      <c r="V46" s="31">
        <f t="shared" si="22"/>
        <v>0</v>
      </c>
      <c r="W46" s="31">
        <f t="shared" si="23"/>
        <v>0</v>
      </c>
      <c r="X46" s="31"/>
      <c r="Y46" s="31" t="str">
        <f t="shared" si="4"/>
        <v/>
      </c>
      <c r="Z46" s="31">
        <f>[1]PN!$G46</f>
        <v>0</v>
      </c>
      <c r="AA46" s="31">
        <f t="shared" si="24"/>
        <v>0</v>
      </c>
      <c r="AB46" s="31">
        <f t="shared" si="25"/>
        <v>0</v>
      </c>
      <c r="AC46" s="31">
        <f t="shared" si="26"/>
        <v>0</v>
      </c>
      <c r="AD46" s="31">
        <f t="shared" si="27"/>
        <v>0</v>
      </c>
      <c r="AE46" s="31"/>
      <c r="AF46" s="31" t="str">
        <f t="shared" si="5"/>
        <v/>
      </c>
      <c r="AG46" s="31">
        <f>[1]PN!$H46</f>
        <v>0</v>
      </c>
      <c r="AH46" s="31">
        <f t="shared" si="28"/>
        <v>0</v>
      </c>
      <c r="AI46" s="31">
        <f t="shared" si="29"/>
        <v>0</v>
      </c>
      <c r="AJ46" s="31">
        <f t="shared" si="30"/>
        <v>0</v>
      </c>
      <c r="AK46" s="31">
        <f t="shared" si="31"/>
        <v>0</v>
      </c>
      <c r="AL46" s="31"/>
      <c r="AM46" s="31" t="str">
        <f t="shared" si="6"/>
        <v/>
      </c>
      <c r="AN46" s="31">
        <f>[1]PN!$I46</f>
        <v>0</v>
      </c>
      <c r="AO46" s="31">
        <f t="shared" si="32"/>
        <v>0</v>
      </c>
      <c r="AP46" s="31">
        <f t="shared" si="33"/>
        <v>0</v>
      </c>
      <c r="AQ46" s="31">
        <f t="shared" si="34"/>
        <v>0</v>
      </c>
      <c r="AR46" s="31">
        <f t="shared" si="35"/>
        <v>0</v>
      </c>
      <c r="AS46" s="33"/>
      <c r="AT46" s="37" t="str">
        <f t="shared" si="7"/>
        <v/>
      </c>
      <c r="AU46" s="36">
        <f>[1]PN!$J46</f>
        <v>0</v>
      </c>
      <c r="AV46" s="31">
        <f t="shared" si="36"/>
        <v>0</v>
      </c>
      <c r="AW46" s="18">
        <f t="shared" si="37"/>
        <v>0</v>
      </c>
      <c r="AX46" s="31">
        <f t="shared" si="38"/>
        <v>0</v>
      </c>
      <c r="AY46" s="31">
        <f t="shared" si="39"/>
        <v>0</v>
      </c>
      <c r="AZ46" s="33"/>
      <c r="BA46" s="37" t="str">
        <f t="shared" si="8"/>
        <v/>
      </c>
      <c r="BB46" s="36">
        <f>[1]PN!$K46</f>
        <v>0</v>
      </c>
      <c r="BC46" s="31">
        <f t="shared" si="40"/>
        <v>0</v>
      </c>
      <c r="BD46" s="18">
        <f t="shared" si="41"/>
        <v>0</v>
      </c>
      <c r="BE46" s="31">
        <f t="shared" si="42"/>
        <v>0</v>
      </c>
      <c r="BF46" s="31">
        <f t="shared" si="43"/>
        <v>0</v>
      </c>
      <c r="BG46" s="27"/>
      <c r="BH46" s="37" t="str">
        <f t="shared" si="9"/>
        <v/>
      </c>
      <c r="BI46" s="36">
        <f>[1]PN!$L46</f>
        <v>0</v>
      </c>
      <c r="BJ46" s="31">
        <f t="shared" si="44"/>
        <v>0</v>
      </c>
      <c r="BK46" s="18">
        <f t="shared" si="45"/>
        <v>0</v>
      </c>
      <c r="BL46" s="31">
        <f t="shared" si="46"/>
        <v>0</v>
      </c>
      <c r="BM46" s="31">
        <f t="shared" si="47"/>
        <v>0</v>
      </c>
      <c r="BN46" s="33"/>
      <c r="BO46" s="37" t="str">
        <f t="shared" si="10"/>
        <v/>
      </c>
      <c r="BP46" s="36">
        <f>[1]PN!$M46</f>
        <v>0</v>
      </c>
      <c r="BQ46" s="31">
        <f t="shared" si="48"/>
        <v>0</v>
      </c>
      <c r="BR46" s="18">
        <f t="shared" si="49"/>
        <v>0</v>
      </c>
      <c r="BS46" s="31">
        <f t="shared" si="50"/>
        <v>0</v>
      </c>
      <c r="BT46" s="31">
        <f t="shared" si="51"/>
        <v>0</v>
      </c>
      <c r="BU46" s="33"/>
      <c r="BV46" s="37" t="str">
        <f t="shared" si="11"/>
        <v/>
      </c>
      <c r="BW46" s="36">
        <f>[1]PN!$N46</f>
        <v>0</v>
      </c>
      <c r="BX46" s="31">
        <f t="shared" si="52"/>
        <v>0</v>
      </c>
      <c r="BY46" s="18">
        <f t="shared" si="53"/>
        <v>0</v>
      </c>
      <c r="BZ46" s="31">
        <f t="shared" si="54"/>
        <v>0</v>
      </c>
      <c r="CA46" s="31">
        <f t="shared" si="55"/>
        <v>0</v>
      </c>
      <c r="CB46" s="33"/>
      <c r="CC46" s="37" t="str">
        <f t="shared" si="12"/>
        <v/>
      </c>
      <c r="CD46" s="36">
        <f>[1]PN!$O46</f>
        <v>0</v>
      </c>
      <c r="CE46" s="31">
        <f t="shared" si="56"/>
        <v>0</v>
      </c>
      <c r="CF46" s="18">
        <f t="shared" si="57"/>
        <v>0</v>
      </c>
      <c r="CG46" s="31">
        <f t="shared" si="58"/>
        <v>0</v>
      </c>
      <c r="CH46" s="31">
        <f t="shared" si="59"/>
        <v>0</v>
      </c>
      <c r="CI46" s="33"/>
      <c r="CJ46" s="37" t="str">
        <f t="shared" si="13"/>
        <v/>
      </c>
      <c r="CK46" s="36">
        <f>[1]PN!$P46</f>
        <v>0</v>
      </c>
      <c r="CL46" s="31">
        <f t="shared" si="60"/>
        <v>0</v>
      </c>
      <c r="CM46" s="18">
        <f t="shared" si="61"/>
        <v>0</v>
      </c>
      <c r="CN46" s="31">
        <f t="shared" si="62"/>
        <v>0</v>
      </c>
      <c r="CO46" s="31">
        <f t="shared" si="63"/>
        <v>0</v>
      </c>
      <c r="CP46" s="33"/>
      <c r="CQ46" s="37" t="str">
        <f t="shared" si="14"/>
        <v/>
      </c>
    </row>
    <row r="47" spans="1:95" s="26" customFormat="1" ht="16" customHeight="1" thickBot="1" x14ac:dyDescent="0.25">
      <c r="A47" s="29" t="s">
        <v>71</v>
      </c>
      <c r="B47" s="30">
        <f t="shared" si="64"/>
        <v>0</v>
      </c>
      <c r="C47" s="31">
        <f t="shared" si="64"/>
        <v>0</v>
      </c>
      <c r="D47" s="32">
        <f t="shared" si="64"/>
        <v>0</v>
      </c>
      <c r="E47" s="30">
        <f t="shared" si="66"/>
        <v>0</v>
      </c>
      <c r="F47" s="33">
        <f t="shared" si="66"/>
        <v>0</v>
      </c>
      <c r="G47" s="34">
        <f t="shared" si="66"/>
        <v>0</v>
      </c>
      <c r="H47" s="31">
        <f t="shared" si="65"/>
        <v>0</v>
      </c>
      <c r="I47" s="33">
        <f t="shared" si="65"/>
        <v>0</v>
      </c>
      <c r="J47" s="33">
        <f t="shared" si="65"/>
        <v>0</v>
      </c>
      <c r="K47" s="37" t="str">
        <f t="shared" si="2"/>
        <v/>
      </c>
      <c r="L47" s="36">
        <f>[1]PN!$E47</f>
        <v>0</v>
      </c>
      <c r="M47" s="31">
        <f t="shared" si="16"/>
        <v>0</v>
      </c>
      <c r="N47" s="31">
        <f t="shared" si="17"/>
        <v>0</v>
      </c>
      <c r="O47" s="31">
        <f t="shared" si="18"/>
        <v>0</v>
      </c>
      <c r="P47" s="31">
        <f t="shared" si="19"/>
        <v>0</v>
      </c>
      <c r="Q47" s="31"/>
      <c r="R47" s="31" t="str">
        <f t="shared" si="3"/>
        <v/>
      </c>
      <c r="S47" s="31">
        <f>[1]PN!$F47</f>
        <v>0</v>
      </c>
      <c r="T47" s="31">
        <f t="shared" si="20"/>
        <v>0</v>
      </c>
      <c r="U47" s="31">
        <f t="shared" si="21"/>
        <v>0</v>
      </c>
      <c r="V47" s="31">
        <f t="shared" si="22"/>
        <v>0</v>
      </c>
      <c r="W47" s="31">
        <f t="shared" si="23"/>
        <v>0</v>
      </c>
      <c r="X47" s="31"/>
      <c r="Y47" s="31" t="str">
        <f t="shared" si="4"/>
        <v/>
      </c>
      <c r="Z47" s="31">
        <f>[1]PN!$G47</f>
        <v>0</v>
      </c>
      <c r="AA47" s="31">
        <f t="shared" si="24"/>
        <v>0</v>
      </c>
      <c r="AB47" s="31">
        <f t="shared" si="25"/>
        <v>0</v>
      </c>
      <c r="AC47" s="31">
        <f t="shared" si="26"/>
        <v>0</v>
      </c>
      <c r="AD47" s="31">
        <f t="shared" si="27"/>
        <v>0</v>
      </c>
      <c r="AE47" s="31"/>
      <c r="AF47" s="31" t="str">
        <f t="shared" si="5"/>
        <v/>
      </c>
      <c r="AG47" s="31">
        <f>[1]PN!$H47</f>
        <v>0</v>
      </c>
      <c r="AH47" s="31">
        <f t="shared" si="28"/>
        <v>0</v>
      </c>
      <c r="AI47" s="31">
        <f t="shared" si="29"/>
        <v>0</v>
      </c>
      <c r="AJ47" s="31">
        <f t="shared" si="30"/>
        <v>0</v>
      </c>
      <c r="AK47" s="31">
        <f t="shared" si="31"/>
        <v>0</v>
      </c>
      <c r="AL47" s="31"/>
      <c r="AM47" s="31" t="str">
        <f t="shared" si="6"/>
        <v/>
      </c>
      <c r="AN47" s="31">
        <f>[1]PN!$I47</f>
        <v>0</v>
      </c>
      <c r="AO47" s="31">
        <f t="shared" si="32"/>
        <v>0</v>
      </c>
      <c r="AP47" s="31">
        <f t="shared" si="33"/>
        <v>0</v>
      </c>
      <c r="AQ47" s="31">
        <f t="shared" si="34"/>
        <v>0</v>
      </c>
      <c r="AR47" s="31">
        <f t="shared" si="35"/>
        <v>0</v>
      </c>
      <c r="AS47" s="33"/>
      <c r="AT47" s="37" t="str">
        <f t="shared" si="7"/>
        <v/>
      </c>
      <c r="AU47" s="36">
        <f>[1]PN!$J47</f>
        <v>0</v>
      </c>
      <c r="AV47" s="31">
        <f t="shared" si="36"/>
        <v>0</v>
      </c>
      <c r="AW47" s="18">
        <f t="shared" si="37"/>
        <v>0</v>
      </c>
      <c r="AX47" s="31">
        <f t="shared" si="38"/>
        <v>0</v>
      </c>
      <c r="AY47" s="31">
        <f t="shared" si="39"/>
        <v>0</v>
      </c>
      <c r="AZ47" s="33"/>
      <c r="BA47" s="37" t="str">
        <f t="shared" si="8"/>
        <v/>
      </c>
      <c r="BB47" s="36">
        <f>[1]PN!$K47</f>
        <v>0</v>
      </c>
      <c r="BC47" s="31">
        <f t="shared" si="40"/>
        <v>0</v>
      </c>
      <c r="BD47" s="18">
        <f t="shared" si="41"/>
        <v>0</v>
      </c>
      <c r="BE47" s="31">
        <f t="shared" si="42"/>
        <v>0</v>
      </c>
      <c r="BF47" s="31">
        <f t="shared" si="43"/>
        <v>0</v>
      </c>
      <c r="BG47" s="27"/>
      <c r="BH47" s="37" t="str">
        <f t="shared" si="9"/>
        <v/>
      </c>
      <c r="BI47" s="36">
        <f>[1]PN!$L47</f>
        <v>0</v>
      </c>
      <c r="BJ47" s="31">
        <f t="shared" si="44"/>
        <v>0</v>
      </c>
      <c r="BK47" s="18">
        <f t="shared" si="45"/>
        <v>0</v>
      </c>
      <c r="BL47" s="31">
        <f t="shared" si="46"/>
        <v>0</v>
      </c>
      <c r="BM47" s="31">
        <f t="shared" si="47"/>
        <v>0</v>
      </c>
      <c r="BN47" s="33"/>
      <c r="BO47" s="37" t="str">
        <f t="shared" si="10"/>
        <v/>
      </c>
      <c r="BP47" s="36">
        <f>[1]PN!$M47</f>
        <v>0</v>
      </c>
      <c r="BQ47" s="31">
        <f t="shared" si="48"/>
        <v>0</v>
      </c>
      <c r="BR47" s="18">
        <f t="shared" si="49"/>
        <v>0</v>
      </c>
      <c r="BS47" s="31">
        <f t="shared" si="50"/>
        <v>0</v>
      </c>
      <c r="BT47" s="31">
        <f t="shared" si="51"/>
        <v>0</v>
      </c>
      <c r="BU47" s="33"/>
      <c r="BV47" s="37" t="str">
        <f t="shared" si="11"/>
        <v/>
      </c>
      <c r="BW47" s="36">
        <f>[1]PN!$N47</f>
        <v>0</v>
      </c>
      <c r="BX47" s="31">
        <f t="shared" si="52"/>
        <v>0</v>
      </c>
      <c r="BY47" s="18">
        <f t="shared" si="53"/>
        <v>0</v>
      </c>
      <c r="BZ47" s="31">
        <f t="shared" si="54"/>
        <v>0</v>
      </c>
      <c r="CA47" s="31">
        <f t="shared" si="55"/>
        <v>0</v>
      </c>
      <c r="CB47" s="33"/>
      <c r="CC47" s="37" t="str">
        <f t="shared" si="12"/>
        <v/>
      </c>
      <c r="CD47" s="36">
        <f>[1]PN!$O47</f>
        <v>0</v>
      </c>
      <c r="CE47" s="31">
        <f t="shared" si="56"/>
        <v>0</v>
      </c>
      <c r="CF47" s="18">
        <f t="shared" si="57"/>
        <v>0</v>
      </c>
      <c r="CG47" s="31">
        <f t="shared" si="58"/>
        <v>0</v>
      </c>
      <c r="CH47" s="31">
        <f t="shared" si="59"/>
        <v>0</v>
      </c>
      <c r="CI47" s="33"/>
      <c r="CJ47" s="37" t="str">
        <f t="shared" si="13"/>
        <v/>
      </c>
      <c r="CK47" s="36">
        <f>[1]PN!$P47</f>
        <v>0</v>
      </c>
      <c r="CL47" s="31">
        <f t="shared" si="60"/>
        <v>0</v>
      </c>
      <c r="CM47" s="18">
        <f t="shared" si="61"/>
        <v>0</v>
      </c>
      <c r="CN47" s="31">
        <f t="shared" si="62"/>
        <v>0</v>
      </c>
      <c r="CO47" s="31">
        <f t="shared" si="63"/>
        <v>0</v>
      </c>
      <c r="CP47" s="33"/>
      <c r="CQ47" s="37" t="str">
        <f t="shared" si="14"/>
        <v/>
      </c>
    </row>
    <row r="48" spans="1:95" s="26" customFormat="1" ht="16" customHeight="1" thickBot="1" x14ac:dyDescent="0.25">
      <c r="A48" s="38" t="s">
        <v>72</v>
      </c>
      <c r="B48" s="30">
        <f t="shared" si="64"/>
        <v>24999.999999999996</v>
      </c>
      <c r="C48" s="31">
        <f t="shared" si="64"/>
        <v>23380</v>
      </c>
      <c r="D48" s="32">
        <f t="shared" si="64"/>
        <v>1620.0000000000002</v>
      </c>
      <c r="E48" s="30">
        <f t="shared" si="66"/>
        <v>8333.3333333333339</v>
      </c>
      <c r="F48" s="33">
        <f t="shared" si="66"/>
        <v>7793.3333333333339</v>
      </c>
      <c r="G48" s="34">
        <f t="shared" si="66"/>
        <v>540.00000000000011</v>
      </c>
      <c r="H48" s="31">
        <f t="shared" si="65"/>
        <v>14280.027048</v>
      </c>
      <c r="I48" s="33">
        <f t="shared" si="65"/>
        <v>989.4629520000002</v>
      </c>
      <c r="J48" s="33">
        <f t="shared" si="65"/>
        <v>15269.49</v>
      </c>
      <c r="K48" s="37">
        <f t="shared" si="2"/>
        <v>0.83233879999999982</v>
      </c>
      <c r="L48" s="36">
        <f>[1]PN!$E48</f>
        <v>2083.3333333333335</v>
      </c>
      <c r="M48" s="31">
        <f t="shared" si="16"/>
        <v>1948.3333333333335</v>
      </c>
      <c r="N48" s="31">
        <f t="shared" si="17"/>
        <v>135.00000000000003</v>
      </c>
      <c r="O48" s="31">
        <f t="shared" si="18"/>
        <v>673.15695999999991</v>
      </c>
      <c r="P48" s="31">
        <f t="shared" si="19"/>
        <v>46.643040000000006</v>
      </c>
      <c r="Q48" s="31">
        <f>719.8</f>
        <v>719.8</v>
      </c>
      <c r="R48" s="31">
        <f t="shared" si="3"/>
        <v>-0.65449599999999997</v>
      </c>
      <c r="S48" s="31">
        <f>[1]PN!$F48</f>
        <v>2083.3333333333335</v>
      </c>
      <c r="T48" s="31">
        <f t="shared" si="20"/>
        <v>1948.3333333333335</v>
      </c>
      <c r="U48" s="31">
        <f t="shared" si="21"/>
        <v>135.00000000000003</v>
      </c>
      <c r="V48" s="31">
        <f t="shared" si="22"/>
        <v>2991.5645199999999</v>
      </c>
      <c r="W48" s="31">
        <f t="shared" si="23"/>
        <v>207.28548000000004</v>
      </c>
      <c r="X48" s="31">
        <f>3198.85</f>
        <v>3198.85</v>
      </c>
      <c r="Y48" s="31">
        <f t="shared" si="4"/>
        <v>0.53544799999999992</v>
      </c>
      <c r="Z48" s="31">
        <f>[1]PN!$G48</f>
        <v>2083.3333333333335</v>
      </c>
      <c r="AA48" s="31">
        <f t="shared" si="24"/>
        <v>1948.3333333333335</v>
      </c>
      <c r="AB48" s="31">
        <f t="shared" si="25"/>
        <v>135.00000000000003</v>
      </c>
      <c r="AC48" s="31">
        <f t="shared" si="26"/>
        <v>791.55327999999997</v>
      </c>
      <c r="AD48" s="31">
        <f t="shared" si="27"/>
        <v>54.846720000000005</v>
      </c>
      <c r="AE48" s="31">
        <f>846.4</f>
        <v>846.4</v>
      </c>
      <c r="AF48" s="31">
        <f t="shared" si="5"/>
        <v>-0.59372800000000003</v>
      </c>
      <c r="AG48" s="31">
        <f>[1]PN!$H48</f>
        <v>2083.3333333333335</v>
      </c>
      <c r="AH48" s="31">
        <f t="shared" si="28"/>
        <v>1948.3333333333335</v>
      </c>
      <c r="AI48" s="31">
        <f t="shared" si="29"/>
        <v>135.00000000000003</v>
      </c>
      <c r="AJ48" s="31">
        <f t="shared" si="30"/>
        <v>1733.047176</v>
      </c>
      <c r="AK48" s="31">
        <f t="shared" si="31"/>
        <v>120.08282400000003</v>
      </c>
      <c r="AL48" s="31">
        <f>1853.13</f>
        <v>1853.13</v>
      </c>
      <c r="AM48" s="31">
        <f t="shared" si="6"/>
        <v>-0.11049759999999997</v>
      </c>
      <c r="AN48" s="31">
        <f>[1]PN!$I48</f>
        <v>2083.3333333333335</v>
      </c>
      <c r="AO48" s="31">
        <f t="shared" si="32"/>
        <v>1948.3333333333335</v>
      </c>
      <c r="AP48" s="31">
        <f t="shared" si="33"/>
        <v>135.00000000000003</v>
      </c>
      <c r="AQ48" s="31">
        <f t="shared" si="34"/>
        <v>4716.6437919999998</v>
      </c>
      <c r="AR48" s="31">
        <f t="shared" si="35"/>
        <v>326.81620800000007</v>
      </c>
      <c r="AS48" s="33">
        <v>5043.46</v>
      </c>
      <c r="AT48" s="37">
        <f t="shared" si="7"/>
        <v>1.4208607999999998</v>
      </c>
      <c r="AU48" s="36">
        <f>[1]PN!$J48</f>
        <v>2083.3333333333335</v>
      </c>
      <c r="AV48" s="31">
        <f t="shared" si="36"/>
        <v>1948.3333333333335</v>
      </c>
      <c r="AW48" s="18">
        <f t="shared" si="37"/>
        <v>135.00000000000003</v>
      </c>
      <c r="AX48" s="31">
        <f t="shared" si="38"/>
        <v>3374.0613199999998</v>
      </c>
      <c r="AY48" s="31">
        <f t="shared" si="39"/>
        <v>233.78868000000003</v>
      </c>
      <c r="AZ48" s="33">
        <v>3607.85</v>
      </c>
      <c r="BA48" s="37">
        <f t="shared" si="8"/>
        <v>0.73176799999999975</v>
      </c>
      <c r="BB48" s="36">
        <f>[1]PN!$K48</f>
        <v>2083.3333333333335</v>
      </c>
      <c r="BC48" s="31">
        <f t="shared" si="40"/>
        <v>1948.3333333333335</v>
      </c>
      <c r="BD48" s="18">
        <f t="shared" si="41"/>
        <v>135.00000000000003</v>
      </c>
      <c r="BE48" s="31">
        <f t="shared" si="42"/>
        <v>0</v>
      </c>
      <c r="BF48" s="31">
        <f t="shared" si="43"/>
        <v>0</v>
      </c>
      <c r="BG48" s="27"/>
      <c r="BH48" s="37">
        <f t="shared" si="9"/>
        <v>-1</v>
      </c>
      <c r="BI48" s="36">
        <f>[1]PN!$L48</f>
        <v>2083.3333333333335</v>
      </c>
      <c r="BJ48" s="31">
        <f t="shared" si="44"/>
        <v>1948.3333333333335</v>
      </c>
      <c r="BK48" s="18">
        <f t="shared" si="45"/>
        <v>135.00000000000003</v>
      </c>
      <c r="BL48" s="31">
        <f t="shared" si="46"/>
        <v>0</v>
      </c>
      <c r="BM48" s="31">
        <f t="shared" si="47"/>
        <v>0</v>
      </c>
      <c r="BN48" s="33"/>
      <c r="BO48" s="37">
        <f t="shared" si="10"/>
        <v>-1</v>
      </c>
      <c r="BP48" s="36">
        <f>[1]PN!$M48</f>
        <v>2083.3333333333335</v>
      </c>
      <c r="BQ48" s="31">
        <f t="shared" si="48"/>
        <v>1948.3333333333335</v>
      </c>
      <c r="BR48" s="18">
        <f t="shared" si="49"/>
        <v>135.00000000000003</v>
      </c>
      <c r="BS48" s="31">
        <f t="shared" si="50"/>
        <v>0</v>
      </c>
      <c r="BT48" s="31">
        <f t="shared" si="51"/>
        <v>0</v>
      </c>
      <c r="BU48" s="33"/>
      <c r="BV48" s="37">
        <f t="shared" si="11"/>
        <v>-1</v>
      </c>
      <c r="BW48" s="36">
        <f>[1]PN!$N48</f>
        <v>2083.3333333333335</v>
      </c>
      <c r="BX48" s="31">
        <f t="shared" si="52"/>
        <v>1948.3333333333335</v>
      </c>
      <c r="BY48" s="18">
        <f t="shared" si="53"/>
        <v>135.00000000000003</v>
      </c>
      <c r="BZ48" s="31">
        <f t="shared" si="54"/>
        <v>0</v>
      </c>
      <c r="CA48" s="31">
        <f t="shared" si="55"/>
        <v>0</v>
      </c>
      <c r="CB48" s="33"/>
      <c r="CC48" s="37">
        <f t="shared" si="12"/>
        <v>-1</v>
      </c>
      <c r="CD48" s="36">
        <f>[1]PN!$O48</f>
        <v>2083.3333333333335</v>
      </c>
      <c r="CE48" s="31">
        <f t="shared" si="56"/>
        <v>1948.3333333333335</v>
      </c>
      <c r="CF48" s="18">
        <f t="shared" si="57"/>
        <v>135.00000000000003</v>
      </c>
      <c r="CG48" s="31">
        <f t="shared" si="58"/>
        <v>0</v>
      </c>
      <c r="CH48" s="31">
        <f t="shared" si="59"/>
        <v>0</v>
      </c>
      <c r="CI48" s="33"/>
      <c r="CJ48" s="37">
        <f t="shared" si="13"/>
        <v>-1</v>
      </c>
      <c r="CK48" s="36">
        <f>[1]PN!$P48</f>
        <v>2083.3333333333335</v>
      </c>
      <c r="CL48" s="31">
        <f t="shared" si="60"/>
        <v>1948.3333333333335</v>
      </c>
      <c r="CM48" s="18">
        <f t="shared" si="61"/>
        <v>135.00000000000003</v>
      </c>
      <c r="CN48" s="31">
        <f t="shared" si="62"/>
        <v>0</v>
      </c>
      <c r="CO48" s="31">
        <f t="shared" si="63"/>
        <v>0</v>
      </c>
      <c r="CP48" s="33"/>
      <c r="CQ48" s="37">
        <f t="shared" si="14"/>
        <v>-1</v>
      </c>
    </row>
    <row r="49" spans="1:99" s="26" customFormat="1" ht="16" customHeight="1" thickBot="1" x14ac:dyDescent="0.25">
      <c r="A49" s="29" t="s">
        <v>73</v>
      </c>
      <c r="B49" s="30">
        <f t="shared" si="64"/>
        <v>50400</v>
      </c>
      <c r="C49" s="31">
        <f t="shared" si="64"/>
        <v>47134.079999999987</v>
      </c>
      <c r="D49" s="32">
        <f t="shared" si="64"/>
        <v>3265.9199999999996</v>
      </c>
      <c r="E49" s="30">
        <f t="shared" si="66"/>
        <v>16800</v>
      </c>
      <c r="F49" s="33">
        <f t="shared" si="66"/>
        <v>15711.36</v>
      </c>
      <c r="G49" s="34">
        <f t="shared" si="66"/>
        <v>1088.6400000000001</v>
      </c>
      <c r="H49" s="31">
        <f t="shared" si="65"/>
        <v>41086.562439999994</v>
      </c>
      <c r="I49" s="33">
        <f t="shared" si="65"/>
        <v>2846.8875600000006</v>
      </c>
      <c r="J49" s="33">
        <f t="shared" si="65"/>
        <v>43933.45</v>
      </c>
      <c r="K49" s="37">
        <f t="shared" si="2"/>
        <v>1.6150863095238095</v>
      </c>
      <c r="L49" s="36">
        <f>[1]PN!$E49</f>
        <v>4200</v>
      </c>
      <c r="M49" s="31">
        <f t="shared" si="16"/>
        <v>3927.84</v>
      </c>
      <c r="N49" s="31">
        <f t="shared" si="17"/>
        <v>272.16000000000003</v>
      </c>
      <c r="O49" s="31">
        <f t="shared" si="18"/>
        <v>5973.3281439999992</v>
      </c>
      <c r="P49" s="31">
        <f t="shared" si="19"/>
        <v>413.89185600000002</v>
      </c>
      <c r="Q49" s="31">
        <f>R79</f>
        <v>6387.2199999999993</v>
      </c>
      <c r="R49" s="31">
        <f t="shared" si="3"/>
        <v>0.5207666666666666</v>
      </c>
      <c r="S49" s="31">
        <f>[1]PN!$F49</f>
        <v>4200</v>
      </c>
      <c r="T49" s="31">
        <f t="shared" si="20"/>
        <v>3927.84</v>
      </c>
      <c r="U49" s="31">
        <f t="shared" si="21"/>
        <v>272.16000000000003</v>
      </c>
      <c r="V49" s="31">
        <f t="shared" si="22"/>
        <v>9091.2755919999981</v>
      </c>
      <c r="W49" s="31">
        <f t="shared" si="23"/>
        <v>629.93440800000008</v>
      </c>
      <c r="X49" s="31">
        <f>Y79</f>
        <v>9721.2099999999991</v>
      </c>
      <c r="Y49" s="31">
        <f t="shared" si="4"/>
        <v>1.3145738095238095</v>
      </c>
      <c r="Z49" s="31">
        <f>[1]PN!$G49</f>
        <v>4200</v>
      </c>
      <c r="AA49" s="31">
        <f t="shared" si="24"/>
        <v>3927.84</v>
      </c>
      <c r="AB49" s="31">
        <f t="shared" si="25"/>
        <v>272.16000000000003</v>
      </c>
      <c r="AC49" s="31">
        <f t="shared" si="26"/>
        <v>5729.0164960000002</v>
      </c>
      <c r="AD49" s="31">
        <f t="shared" si="27"/>
        <v>396.96350400000011</v>
      </c>
      <c r="AE49" s="31">
        <f>AF79</f>
        <v>6125.9800000000005</v>
      </c>
      <c r="AF49" s="31">
        <f t="shared" si="5"/>
        <v>0.45856666666666679</v>
      </c>
      <c r="AG49" s="31">
        <f>[1]PN!$H49</f>
        <v>4200</v>
      </c>
      <c r="AH49" s="31">
        <f t="shared" si="28"/>
        <v>3927.84</v>
      </c>
      <c r="AI49" s="31">
        <f t="shared" si="29"/>
        <v>272.16000000000003</v>
      </c>
      <c r="AJ49" s="31">
        <f t="shared" si="30"/>
        <v>6555.7800559999996</v>
      </c>
      <c r="AK49" s="31">
        <f t="shared" si="31"/>
        <v>454.24994400000008</v>
      </c>
      <c r="AL49" s="31">
        <f>AM79</f>
        <v>7010.03</v>
      </c>
      <c r="AM49" s="31">
        <f t="shared" si="6"/>
        <v>0.66905476190476176</v>
      </c>
      <c r="AN49" s="31">
        <f>[1]PN!$I49</f>
        <v>4200</v>
      </c>
      <c r="AO49" s="31">
        <f t="shared" si="32"/>
        <v>3927.84</v>
      </c>
      <c r="AP49" s="31">
        <f t="shared" si="33"/>
        <v>272.16000000000003</v>
      </c>
      <c r="AQ49" s="31">
        <f t="shared" si="34"/>
        <v>10019.545760000001</v>
      </c>
      <c r="AR49" s="31">
        <f t="shared" si="35"/>
        <v>694.25424000000021</v>
      </c>
      <c r="AS49" s="33">
        <v>10713.800000000001</v>
      </c>
      <c r="AT49" s="37">
        <f t="shared" si="7"/>
        <v>1.550904761904762</v>
      </c>
      <c r="AU49" s="36">
        <f>[1]PN!$J49</f>
        <v>4200</v>
      </c>
      <c r="AV49" s="31">
        <f t="shared" si="36"/>
        <v>3927.84</v>
      </c>
      <c r="AW49" s="18">
        <f t="shared" si="37"/>
        <v>272.16000000000003</v>
      </c>
      <c r="AX49" s="31">
        <f t="shared" si="38"/>
        <v>3717.6163919999999</v>
      </c>
      <c r="AY49" s="31">
        <f t="shared" si="39"/>
        <v>257.59360800000002</v>
      </c>
      <c r="AZ49" s="33">
        <v>3975.21</v>
      </c>
      <c r="BA49" s="37">
        <f t="shared" si="8"/>
        <v>-5.3521428571428609E-2</v>
      </c>
      <c r="BB49" s="36">
        <f>[1]PN!$K49</f>
        <v>4200</v>
      </c>
      <c r="BC49" s="31">
        <f t="shared" si="40"/>
        <v>3927.84</v>
      </c>
      <c r="BD49" s="18">
        <f t="shared" si="41"/>
        <v>272.16000000000003</v>
      </c>
      <c r="BE49" s="31">
        <f t="shared" si="42"/>
        <v>0</v>
      </c>
      <c r="BF49" s="31">
        <f t="shared" si="43"/>
        <v>0</v>
      </c>
      <c r="BG49" s="27"/>
      <c r="BH49" s="37">
        <f t="shared" si="9"/>
        <v>-1</v>
      </c>
      <c r="BI49" s="36">
        <f>[1]PN!$L49</f>
        <v>4200</v>
      </c>
      <c r="BJ49" s="31">
        <f t="shared" si="44"/>
        <v>3927.84</v>
      </c>
      <c r="BK49" s="18">
        <f t="shared" si="45"/>
        <v>272.16000000000003</v>
      </c>
      <c r="BL49" s="31">
        <f t="shared" si="46"/>
        <v>0</v>
      </c>
      <c r="BM49" s="31">
        <f t="shared" si="47"/>
        <v>0</v>
      </c>
      <c r="BN49" s="33"/>
      <c r="BO49" s="37">
        <f t="shared" si="10"/>
        <v>-1</v>
      </c>
      <c r="BP49" s="36">
        <f>[1]PN!$M49</f>
        <v>4200</v>
      </c>
      <c r="BQ49" s="31">
        <f t="shared" si="48"/>
        <v>3927.84</v>
      </c>
      <c r="BR49" s="18">
        <f t="shared" si="49"/>
        <v>272.16000000000003</v>
      </c>
      <c r="BS49" s="31">
        <f t="shared" si="50"/>
        <v>0</v>
      </c>
      <c r="BT49" s="31">
        <f t="shared" si="51"/>
        <v>0</v>
      </c>
      <c r="BU49" s="33"/>
      <c r="BV49" s="37">
        <f t="shared" si="11"/>
        <v>-1</v>
      </c>
      <c r="BW49" s="36">
        <f>[1]PN!$N49</f>
        <v>4200</v>
      </c>
      <c r="BX49" s="31">
        <f t="shared" si="52"/>
        <v>3927.84</v>
      </c>
      <c r="BY49" s="18">
        <f t="shared" si="53"/>
        <v>272.16000000000003</v>
      </c>
      <c r="BZ49" s="31">
        <f t="shared" si="54"/>
        <v>0</v>
      </c>
      <c r="CA49" s="31">
        <f t="shared" si="55"/>
        <v>0</v>
      </c>
      <c r="CB49" s="33"/>
      <c r="CC49" s="37">
        <f t="shared" si="12"/>
        <v>-1</v>
      </c>
      <c r="CD49" s="36">
        <f>[1]PN!$O49</f>
        <v>4200</v>
      </c>
      <c r="CE49" s="31">
        <f t="shared" si="56"/>
        <v>3927.84</v>
      </c>
      <c r="CF49" s="18">
        <f t="shared" si="57"/>
        <v>272.16000000000003</v>
      </c>
      <c r="CG49" s="31">
        <f t="shared" si="58"/>
        <v>0</v>
      </c>
      <c r="CH49" s="31">
        <f t="shared" si="59"/>
        <v>0</v>
      </c>
      <c r="CI49" s="33"/>
      <c r="CJ49" s="37">
        <f t="shared" si="13"/>
        <v>-1</v>
      </c>
      <c r="CK49" s="36">
        <f>[1]PN!$P49</f>
        <v>4200</v>
      </c>
      <c r="CL49" s="31">
        <f t="shared" si="60"/>
        <v>3927.84</v>
      </c>
      <c r="CM49" s="18">
        <f t="shared" si="61"/>
        <v>272.16000000000003</v>
      </c>
      <c r="CN49" s="31">
        <f t="shared" si="62"/>
        <v>0</v>
      </c>
      <c r="CO49" s="31">
        <f t="shared" si="63"/>
        <v>0</v>
      </c>
      <c r="CP49" s="33"/>
      <c r="CQ49" s="37">
        <f t="shared" si="14"/>
        <v>-1</v>
      </c>
    </row>
    <row r="50" spans="1:99" s="26" customFormat="1" ht="16" customHeight="1" thickBot="1" x14ac:dyDescent="0.25">
      <c r="A50" s="29" t="s">
        <v>74</v>
      </c>
      <c r="B50" s="30">
        <f t="shared" si="64"/>
        <v>4982</v>
      </c>
      <c r="C50" s="31">
        <f t="shared" si="64"/>
        <v>4659.1664000000001</v>
      </c>
      <c r="D50" s="32">
        <f t="shared" si="64"/>
        <v>322.8336000000001</v>
      </c>
      <c r="E50" s="30">
        <f t="shared" si="66"/>
        <v>1660.6666666666667</v>
      </c>
      <c r="F50" s="33">
        <f t="shared" si="66"/>
        <v>1553.0554666666667</v>
      </c>
      <c r="G50" s="34">
        <f t="shared" si="66"/>
        <v>107.61120000000003</v>
      </c>
      <c r="H50" s="31">
        <f t="shared" si="65"/>
        <v>2235.5020799999998</v>
      </c>
      <c r="I50" s="33">
        <f t="shared" si="65"/>
        <v>154.89792000000003</v>
      </c>
      <c r="J50" s="33">
        <f t="shared" si="65"/>
        <v>2390.4</v>
      </c>
      <c r="K50" s="37">
        <f t="shared" si="2"/>
        <v>0.43942191890806903</v>
      </c>
      <c r="L50" s="36">
        <f>[1]PN!$E50</f>
        <v>415.16666666666669</v>
      </c>
      <c r="M50" s="28">
        <f t="shared" si="16"/>
        <v>388.26386666666667</v>
      </c>
      <c r="N50" s="28">
        <f t="shared" si="17"/>
        <v>26.902800000000006</v>
      </c>
      <c r="O50" s="28">
        <f t="shared" si="18"/>
        <v>363.11945599999996</v>
      </c>
      <c r="P50" s="28">
        <f t="shared" si="19"/>
        <v>25.160544000000002</v>
      </c>
      <c r="Q50" s="28">
        <f>388.28</f>
        <v>388.28</v>
      </c>
      <c r="R50" s="28">
        <f t="shared" si="3"/>
        <v>-6.4761140104375836E-2</v>
      </c>
      <c r="S50" s="28">
        <f>[1]PN!$F50</f>
        <v>415.16666666666669</v>
      </c>
      <c r="T50" s="28">
        <f t="shared" si="20"/>
        <v>388.26386666666667</v>
      </c>
      <c r="U50" s="28">
        <f t="shared" si="21"/>
        <v>26.902800000000006</v>
      </c>
      <c r="V50" s="28">
        <f t="shared" si="22"/>
        <v>420.47527200000002</v>
      </c>
      <c r="W50" s="28">
        <f t="shared" si="23"/>
        <v>29.134728000000006</v>
      </c>
      <c r="X50" s="28">
        <f>449.61</f>
        <v>449.61</v>
      </c>
      <c r="Y50" s="28">
        <f t="shared" si="4"/>
        <v>8.2962665596146179E-2</v>
      </c>
      <c r="Z50" s="28">
        <f>[1]PN!$G50</f>
        <v>415.16666666666669</v>
      </c>
      <c r="AA50" s="28">
        <f t="shared" si="24"/>
        <v>388.26386666666667</v>
      </c>
      <c r="AB50" s="28">
        <f t="shared" si="25"/>
        <v>26.902800000000006</v>
      </c>
      <c r="AC50" s="28">
        <f t="shared" si="26"/>
        <v>741.70712000000003</v>
      </c>
      <c r="AD50" s="28">
        <f t="shared" si="27"/>
        <v>51.392880000000012</v>
      </c>
      <c r="AE50" s="28">
        <f>793.1</f>
        <v>793.1</v>
      </c>
      <c r="AF50" s="28">
        <f t="shared" si="5"/>
        <v>0.91031714171015654</v>
      </c>
      <c r="AG50" s="28">
        <f>[1]PN!$H50</f>
        <v>415.16666666666669</v>
      </c>
      <c r="AH50" s="28">
        <f t="shared" si="28"/>
        <v>388.26386666666667</v>
      </c>
      <c r="AI50" s="28">
        <f t="shared" si="29"/>
        <v>26.902800000000006</v>
      </c>
      <c r="AJ50" s="28">
        <f t="shared" si="30"/>
        <v>343.37738400000001</v>
      </c>
      <c r="AK50" s="28">
        <f t="shared" si="31"/>
        <v>23.792616000000006</v>
      </c>
      <c r="AL50" s="28">
        <f>367.17</f>
        <v>367.17</v>
      </c>
      <c r="AM50" s="28">
        <f t="shared" si="6"/>
        <v>-0.11560818948213569</v>
      </c>
      <c r="AN50" s="28">
        <f>[1]PN!$I50</f>
        <v>415.16666666666669</v>
      </c>
      <c r="AO50" s="28">
        <f t="shared" si="32"/>
        <v>388.26386666666667</v>
      </c>
      <c r="AP50" s="28">
        <f t="shared" si="33"/>
        <v>26.902800000000006</v>
      </c>
      <c r="AQ50" s="28">
        <f t="shared" si="34"/>
        <v>294.64411199999995</v>
      </c>
      <c r="AR50" s="28">
        <f t="shared" si="35"/>
        <v>20.415887999999999</v>
      </c>
      <c r="AS50" s="150">
        <v>315.05999999999995</v>
      </c>
      <c r="AT50" s="37">
        <f t="shared" si="7"/>
        <v>-0.24112404656764364</v>
      </c>
      <c r="AU50" s="36">
        <f>[1]PN!$J50</f>
        <v>415.16666666666669</v>
      </c>
      <c r="AV50" s="28">
        <f t="shared" si="36"/>
        <v>388.26386666666667</v>
      </c>
      <c r="AW50" s="18">
        <f t="shared" si="37"/>
        <v>26.902800000000006</v>
      </c>
      <c r="AX50" s="28">
        <f t="shared" si="38"/>
        <v>72.178736000000001</v>
      </c>
      <c r="AY50" s="28">
        <f t="shared" si="39"/>
        <v>5.0012640000000008</v>
      </c>
      <c r="AZ50" s="150">
        <v>77.180000000000007</v>
      </c>
      <c r="BA50" s="37">
        <f t="shared" si="8"/>
        <v>-0.81409875551987154</v>
      </c>
      <c r="BB50" s="36">
        <f>[1]PN!$K50</f>
        <v>415.16666666666669</v>
      </c>
      <c r="BC50" s="28">
        <f t="shared" si="40"/>
        <v>388.26386666666667</v>
      </c>
      <c r="BD50" s="18">
        <f t="shared" si="41"/>
        <v>26.902800000000006</v>
      </c>
      <c r="BE50" s="28">
        <f t="shared" si="42"/>
        <v>0</v>
      </c>
      <c r="BF50" s="28">
        <f t="shared" si="43"/>
        <v>0</v>
      </c>
      <c r="BG50" s="152"/>
      <c r="BH50" s="37">
        <f t="shared" si="9"/>
        <v>-1</v>
      </c>
      <c r="BI50" s="36">
        <f>[1]PN!$L50</f>
        <v>415.16666666666669</v>
      </c>
      <c r="BJ50" s="28">
        <f t="shared" si="44"/>
        <v>388.26386666666667</v>
      </c>
      <c r="BK50" s="18">
        <f t="shared" si="45"/>
        <v>26.902800000000006</v>
      </c>
      <c r="BL50" s="28">
        <f t="shared" si="46"/>
        <v>0</v>
      </c>
      <c r="BM50" s="28">
        <f t="shared" si="47"/>
        <v>0</v>
      </c>
      <c r="BN50" s="150"/>
      <c r="BO50" s="37">
        <f t="shared" si="10"/>
        <v>-1</v>
      </c>
      <c r="BP50" s="36">
        <f>[1]PN!$M50</f>
        <v>415.16666666666669</v>
      </c>
      <c r="BQ50" s="28">
        <f t="shared" si="48"/>
        <v>388.26386666666667</v>
      </c>
      <c r="BR50" s="18">
        <f t="shared" si="49"/>
        <v>26.902800000000006</v>
      </c>
      <c r="BS50" s="28">
        <f t="shared" si="50"/>
        <v>0</v>
      </c>
      <c r="BT50" s="28">
        <f t="shared" si="51"/>
        <v>0</v>
      </c>
      <c r="BU50" s="150"/>
      <c r="BV50" s="37">
        <f t="shared" si="11"/>
        <v>-1</v>
      </c>
      <c r="BW50" s="36">
        <f>[1]PN!$N50</f>
        <v>415.16666666666669</v>
      </c>
      <c r="BX50" s="28">
        <f t="shared" si="52"/>
        <v>388.26386666666667</v>
      </c>
      <c r="BY50" s="18">
        <f t="shared" si="53"/>
        <v>26.902800000000006</v>
      </c>
      <c r="BZ50" s="28">
        <f t="shared" si="54"/>
        <v>0</v>
      </c>
      <c r="CA50" s="28">
        <f t="shared" si="55"/>
        <v>0</v>
      </c>
      <c r="CB50" s="150"/>
      <c r="CC50" s="37">
        <f t="shared" si="12"/>
        <v>-1</v>
      </c>
      <c r="CD50" s="36">
        <f>[1]PN!$O50</f>
        <v>415.16666666666669</v>
      </c>
      <c r="CE50" s="28">
        <f t="shared" si="56"/>
        <v>388.26386666666667</v>
      </c>
      <c r="CF50" s="18">
        <f t="shared" si="57"/>
        <v>26.902800000000006</v>
      </c>
      <c r="CG50" s="28">
        <f t="shared" si="58"/>
        <v>0</v>
      </c>
      <c r="CH50" s="28">
        <f t="shared" si="59"/>
        <v>0</v>
      </c>
      <c r="CI50" s="150"/>
      <c r="CJ50" s="37">
        <f t="shared" si="13"/>
        <v>-1</v>
      </c>
      <c r="CK50" s="36">
        <f>[1]PN!$P50</f>
        <v>415.16666666666669</v>
      </c>
      <c r="CL50" s="28">
        <f t="shared" si="60"/>
        <v>388.26386666666667</v>
      </c>
      <c r="CM50" s="18">
        <f t="shared" si="61"/>
        <v>26.902800000000006</v>
      </c>
      <c r="CN50" s="28">
        <f t="shared" si="62"/>
        <v>0</v>
      </c>
      <c r="CO50" s="28">
        <f t="shared" si="63"/>
        <v>0</v>
      </c>
      <c r="CP50" s="150"/>
      <c r="CQ50" s="37">
        <f t="shared" si="14"/>
        <v>-1</v>
      </c>
    </row>
    <row r="51" spans="1:99" s="26" customFormat="1" ht="16" customHeight="1" thickBot="1" x14ac:dyDescent="0.25">
      <c r="A51" s="29" t="s">
        <v>75</v>
      </c>
      <c r="B51" s="30">
        <f t="shared" si="64"/>
        <v>3744.5370000000003</v>
      </c>
      <c r="C51" s="31">
        <f t="shared" si="64"/>
        <v>3501.8910023999993</v>
      </c>
      <c r="D51" s="32">
        <f t="shared" si="64"/>
        <v>242.64599760000002</v>
      </c>
      <c r="E51" s="30">
        <f t="shared" si="66"/>
        <v>1248.1790000000001</v>
      </c>
      <c r="F51" s="33">
        <f t="shared" si="66"/>
        <v>1167.2970008</v>
      </c>
      <c r="G51" s="34">
        <f t="shared" si="66"/>
        <v>80.881999200000024</v>
      </c>
      <c r="H51" s="31">
        <f t="shared" si="65"/>
        <v>1726.7065200000002</v>
      </c>
      <c r="I51" s="33">
        <f t="shared" si="65"/>
        <v>119.64348000000003</v>
      </c>
      <c r="J51" s="33">
        <f t="shared" si="65"/>
        <v>1846.35</v>
      </c>
      <c r="K51" s="37">
        <f t="shared" si="2"/>
        <v>0.47923494947439416</v>
      </c>
      <c r="L51" s="36">
        <f>[1]PN!$E51</f>
        <v>312.04475000000002</v>
      </c>
      <c r="M51" s="31">
        <f t="shared" si="16"/>
        <v>291.82425019999999</v>
      </c>
      <c r="N51" s="31">
        <f t="shared" si="17"/>
        <v>20.220499800000006</v>
      </c>
      <c r="O51" s="31">
        <f t="shared" si="18"/>
        <v>289.03291200000001</v>
      </c>
      <c r="P51" s="31">
        <f t="shared" si="19"/>
        <v>20.027088000000003</v>
      </c>
      <c r="Q51" s="31">
        <f>309.06</f>
        <v>309.06</v>
      </c>
      <c r="R51" s="31">
        <f t="shared" si="3"/>
        <v>-9.5651344879220668E-3</v>
      </c>
      <c r="S51" s="31">
        <f>[1]PN!$F51</f>
        <v>312.04475000000002</v>
      </c>
      <c r="T51" s="31">
        <f t="shared" si="20"/>
        <v>291.82425019999999</v>
      </c>
      <c r="U51" s="31">
        <f t="shared" si="21"/>
        <v>20.220499800000006</v>
      </c>
      <c r="V51" s="31">
        <f t="shared" si="22"/>
        <v>281.51390399999997</v>
      </c>
      <c r="W51" s="31">
        <f t="shared" si="23"/>
        <v>19.506096000000003</v>
      </c>
      <c r="X51" s="31">
        <f>301.02</f>
        <v>301.02</v>
      </c>
      <c r="Y51" s="31">
        <f t="shared" si="4"/>
        <v>-3.5330669719647712E-2</v>
      </c>
      <c r="Z51" s="31">
        <f>[1]PN!$G51</f>
        <v>312.04475000000002</v>
      </c>
      <c r="AA51" s="31">
        <f t="shared" si="24"/>
        <v>291.82425019999999</v>
      </c>
      <c r="AB51" s="31">
        <f t="shared" si="25"/>
        <v>20.220499800000006</v>
      </c>
      <c r="AC51" s="31">
        <f t="shared" si="26"/>
        <v>261.827944</v>
      </c>
      <c r="AD51" s="31">
        <f t="shared" si="27"/>
        <v>18.142056000000004</v>
      </c>
      <c r="AE51" s="31">
        <f>279.97</f>
        <v>279.97000000000003</v>
      </c>
      <c r="AF51" s="31">
        <f t="shared" si="5"/>
        <v>-0.10278894293206342</v>
      </c>
      <c r="AG51" s="31">
        <f>[1]PN!$H51</f>
        <v>312.04475000000002</v>
      </c>
      <c r="AH51" s="31">
        <f t="shared" si="28"/>
        <v>291.82425019999999</v>
      </c>
      <c r="AI51" s="31">
        <f t="shared" si="29"/>
        <v>20.220499800000006</v>
      </c>
      <c r="AJ51" s="31">
        <f t="shared" si="30"/>
        <v>349.18497600000001</v>
      </c>
      <c r="AK51" s="31">
        <f t="shared" si="31"/>
        <v>24.195024000000004</v>
      </c>
      <c r="AL51" s="31">
        <f>373.38</f>
        <v>373.38</v>
      </c>
      <c r="AM51" s="31">
        <f t="shared" si="6"/>
        <v>0.19655914736588254</v>
      </c>
      <c r="AN51" s="31">
        <f>[1]PN!$I51</f>
        <v>312.04475000000002</v>
      </c>
      <c r="AO51" s="31">
        <f t="shared" si="32"/>
        <v>291.82425019999999</v>
      </c>
      <c r="AP51" s="31">
        <f t="shared" si="33"/>
        <v>20.220499800000006</v>
      </c>
      <c r="AQ51" s="31">
        <f t="shared" si="34"/>
        <v>286.77907999999996</v>
      </c>
      <c r="AR51" s="31">
        <f t="shared" si="35"/>
        <v>19.870920000000002</v>
      </c>
      <c r="AS51" s="45">
        <v>306.64999999999998</v>
      </c>
      <c r="AT51" s="37">
        <f t="shared" si="7"/>
        <v>-1.7288385720317545E-2</v>
      </c>
      <c r="AU51" s="36">
        <f>[1]PN!$J51</f>
        <v>312.04475000000002</v>
      </c>
      <c r="AV51" s="31">
        <f t="shared" si="36"/>
        <v>291.82425019999999</v>
      </c>
      <c r="AW51" s="18">
        <f t="shared" si="37"/>
        <v>20.220499800000006</v>
      </c>
      <c r="AX51" s="31">
        <f t="shared" si="38"/>
        <v>258.367704</v>
      </c>
      <c r="AY51" s="31">
        <f t="shared" si="39"/>
        <v>17.902296000000003</v>
      </c>
      <c r="AZ51" s="45">
        <v>276.27</v>
      </c>
      <c r="BA51" s="37">
        <f t="shared" si="8"/>
        <v>-0.11464621660835517</v>
      </c>
      <c r="BB51" s="36">
        <f>[1]PN!$K51</f>
        <v>312.04475000000002</v>
      </c>
      <c r="BC51" s="31">
        <f t="shared" si="40"/>
        <v>291.82425019999999</v>
      </c>
      <c r="BD51" s="18">
        <f t="shared" si="41"/>
        <v>20.220499800000006</v>
      </c>
      <c r="BE51" s="31">
        <f t="shared" si="42"/>
        <v>0</v>
      </c>
      <c r="BF51" s="31">
        <f t="shared" si="43"/>
        <v>0</v>
      </c>
      <c r="BG51" s="48"/>
      <c r="BH51" s="37">
        <f t="shared" si="9"/>
        <v>-1</v>
      </c>
      <c r="BI51" s="36">
        <f>[1]PN!$L51</f>
        <v>312.04475000000002</v>
      </c>
      <c r="BJ51" s="31">
        <f t="shared" si="44"/>
        <v>291.82425019999999</v>
      </c>
      <c r="BK51" s="18">
        <f t="shared" si="45"/>
        <v>20.220499800000006</v>
      </c>
      <c r="BL51" s="31">
        <f t="shared" si="46"/>
        <v>0</v>
      </c>
      <c r="BM51" s="31">
        <f t="shared" si="47"/>
        <v>0</v>
      </c>
      <c r="BN51" s="45"/>
      <c r="BO51" s="37">
        <f t="shared" si="10"/>
        <v>-1</v>
      </c>
      <c r="BP51" s="36">
        <f>[1]PN!$M51</f>
        <v>312.04475000000002</v>
      </c>
      <c r="BQ51" s="31">
        <f t="shared" si="48"/>
        <v>291.82425019999999</v>
      </c>
      <c r="BR51" s="18">
        <f t="shared" si="49"/>
        <v>20.220499800000006</v>
      </c>
      <c r="BS51" s="31">
        <f t="shared" si="50"/>
        <v>0</v>
      </c>
      <c r="BT51" s="31">
        <f t="shared" si="51"/>
        <v>0</v>
      </c>
      <c r="BU51" s="45"/>
      <c r="BV51" s="37">
        <f t="shared" si="11"/>
        <v>-1</v>
      </c>
      <c r="BW51" s="36">
        <f>[1]PN!$N51</f>
        <v>312.04475000000002</v>
      </c>
      <c r="BX51" s="31">
        <f t="shared" si="52"/>
        <v>291.82425019999999</v>
      </c>
      <c r="BY51" s="18">
        <f t="shared" si="53"/>
        <v>20.220499800000006</v>
      </c>
      <c r="BZ51" s="31">
        <f t="shared" si="54"/>
        <v>0</v>
      </c>
      <c r="CA51" s="31">
        <f t="shared" si="55"/>
        <v>0</v>
      </c>
      <c r="CB51" s="45"/>
      <c r="CC51" s="37">
        <f t="shared" si="12"/>
        <v>-1</v>
      </c>
      <c r="CD51" s="36">
        <f>[1]PN!$O51</f>
        <v>312.04475000000002</v>
      </c>
      <c r="CE51" s="31">
        <f t="shared" si="56"/>
        <v>291.82425019999999</v>
      </c>
      <c r="CF51" s="18">
        <f t="shared" si="57"/>
        <v>20.220499800000006</v>
      </c>
      <c r="CG51" s="31">
        <f t="shared" si="58"/>
        <v>0</v>
      </c>
      <c r="CH51" s="31">
        <f t="shared" si="59"/>
        <v>0</v>
      </c>
      <c r="CI51" s="45"/>
      <c r="CJ51" s="37">
        <f t="shared" si="13"/>
        <v>-1</v>
      </c>
      <c r="CK51" s="36">
        <f>[1]PN!$P51</f>
        <v>312.04475000000002</v>
      </c>
      <c r="CL51" s="31">
        <f t="shared" si="60"/>
        <v>291.82425019999999</v>
      </c>
      <c r="CM51" s="18">
        <f t="shared" si="61"/>
        <v>20.220499800000006</v>
      </c>
      <c r="CN51" s="31">
        <f t="shared" si="62"/>
        <v>0</v>
      </c>
      <c r="CO51" s="31">
        <f t="shared" si="63"/>
        <v>0</v>
      </c>
      <c r="CP51" s="45"/>
      <c r="CQ51" s="37">
        <f t="shared" si="14"/>
        <v>-1</v>
      </c>
    </row>
    <row r="52" spans="1:99" s="26" customFormat="1" ht="16" customHeight="1" thickBot="1" x14ac:dyDescent="0.25">
      <c r="A52" s="29" t="s">
        <v>76</v>
      </c>
      <c r="B52" s="30">
        <f t="shared" si="64"/>
        <v>15000</v>
      </c>
      <c r="C52" s="31">
        <f t="shared" si="64"/>
        <v>14028</v>
      </c>
      <c r="D52" s="32">
        <f t="shared" si="64"/>
        <v>972.00000000000011</v>
      </c>
      <c r="E52" s="30">
        <f t="shared" si="66"/>
        <v>5000</v>
      </c>
      <c r="F52" s="33">
        <f t="shared" si="66"/>
        <v>4676</v>
      </c>
      <c r="G52" s="34">
        <f t="shared" si="66"/>
        <v>324.00000000000006</v>
      </c>
      <c r="H52" s="31">
        <f t="shared" si="65"/>
        <v>22304.117864</v>
      </c>
      <c r="I52" s="33">
        <f t="shared" si="65"/>
        <v>1545.4521360000003</v>
      </c>
      <c r="J52" s="33">
        <f t="shared" si="65"/>
        <v>23849.57</v>
      </c>
      <c r="K52" s="37">
        <f t="shared" si="2"/>
        <v>3.769914</v>
      </c>
      <c r="L52" s="36">
        <f>[1]PN!$E52</f>
        <v>1250</v>
      </c>
      <c r="M52" s="31">
        <f t="shared" si="16"/>
        <v>1169</v>
      </c>
      <c r="N52" s="31">
        <f t="shared" si="17"/>
        <v>81.000000000000014</v>
      </c>
      <c r="O52" s="31">
        <f t="shared" si="18"/>
        <v>0</v>
      </c>
      <c r="P52" s="31">
        <f t="shared" si="19"/>
        <v>0</v>
      </c>
      <c r="Q52" s="31"/>
      <c r="R52" s="31">
        <f t="shared" si="3"/>
        <v>-1</v>
      </c>
      <c r="S52" s="31">
        <f>[1]PN!$F52</f>
        <v>1250</v>
      </c>
      <c r="T52" s="31">
        <f t="shared" si="20"/>
        <v>1169</v>
      </c>
      <c r="U52" s="31">
        <f t="shared" si="21"/>
        <v>81.000000000000014</v>
      </c>
      <c r="V52" s="31">
        <f t="shared" si="22"/>
        <v>713.55759999999998</v>
      </c>
      <c r="W52" s="31">
        <f t="shared" si="23"/>
        <v>49.442400000000006</v>
      </c>
      <c r="X52" s="31">
        <f>763</f>
        <v>763</v>
      </c>
      <c r="Y52" s="31">
        <f t="shared" si="4"/>
        <v>-0.38959999999999995</v>
      </c>
      <c r="Z52" s="31">
        <f>[1]PN!$G52</f>
        <v>1250</v>
      </c>
      <c r="AA52" s="31">
        <f t="shared" si="24"/>
        <v>1169</v>
      </c>
      <c r="AB52" s="31">
        <f t="shared" si="25"/>
        <v>81.000000000000014</v>
      </c>
      <c r="AC52" s="31">
        <f t="shared" si="26"/>
        <v>712.62239999999997</v>
      </c>
      <c r="AD52" s="31">
        <f t="shared" si="27"/>
        <v>49.377600000000008</v>
      </c>
      <c r="AE52" s="31">
        <f>762</f>
        <v>762</v>
      </c>
      <c r="AF52" s="31">
        <f t="shared" si="5"/>
        <v>-0.39039999999999997</v>
      </c>
      <c r="AG52" s="31">
        <f>[1]PN!$H52</f>
        <v>1250</v>
      </c>
      <c r="AH52" s="31">
        <f t="shared" si="28"/>
        <v>1169</v>
      </c>
      <c r="AI52" s="31">
        <f t="shared" si="29"/>
        <v>81.000000000000014</v>
      </c>
      <c r="AJ52" s="31">
        <f t="shared" si="30"/>
        <v>5303.5191999999997</v>
      </c>
      <c r="AK52" s="31">
        <f t="shared" si="31"/>
        <v>367.48080000000004</v>
      </c>
      <c r="AL52" s="31">
        <f>5671</f>
        <v>5671</v>
      </c>
      <c r="AM52" s="31">
        <f t="shared" si="6"/>
        <v>3.5368000000000004</v>
      </c>
      <c r="AN52" s="31">
        <f>[1]PN!$I52</f>
        <v>1250</v>
      </c>
      <c r="AO52" s="31">
        <f t="shared" si="32"/>
        <v>1169</v>
      </c>
      <c r="AP52" s="31">
        <f t="shared" si="33"/>
        <v>81.000000000000014</v>
      </c>
      <c r="AQ52" s="31">
        <f t="shared" si="34"/>
        <v>6290.2487200000005</v>
      </c>
      <c r="AR52" s="31">
        <f t="shared" si="35"/>
        <v>435.85128000000009</v>
      </c>
      <c r="AS52" s="33">
        <v>6726.1</v>
      </c>
      <c r="AT52" s="37">
        <f t="shared" si="7"/>
        <v>4.3808800000000003</v>
      </c>
      <c r="AU52" s="36">
        <f>[1]PN!$J52</f>
        <v>1250</v>
      </c>
      <c r="AV52" s="31">
        <f t="shared" si="36"/>
        <v>1169</v>
      </c>
      <c r="AW52" s="18">
        <f t="shared" si="37"/>
        <v>81.000000000000014</v>
      </c>
      <c r="AX52" s="31">
        <f t="shared" si="38"/>
        <v>9284.1699439999993</v>
      </c>
      <c r="AY52" s="31">
        <f t="shared" si="39"/>
        <v>643.30005600000004</v>
      </c>
      <c r="AZ52" s="33">
        <v>9927.4699999999993</v>
      </c>
      <c r="BA52" s="37">
        <f t="shared" si="8"/>
        <v>6.9419759999999995</v>
      </c>
      <c r="BB52" s="36">
        <f>[1]PN!$K52</f>
        <v>1250</v>
      </c>
      <c r="BC52" s="31">
        <f t="shared" si="40"/>
        <v>1169</v>
      </c>
      <c r="BD52" s="18">
        <f t="shared" si="41"/>
        <v>81.000000000000014</v>
      </c>
      <c r="BE52" s="31">
        <f t="shared" si="42"/>
        <v>0</v>
      </c>
      <c r="BF52" s="31">
        <f t="shared" si="43"/>
        <v>0</v>
      </c>
      <c r="BG52" s="27"/>
      <c r="BH52" s="37">
        <f t="shared" si="9"/>
        <v>-1</v>
      </c>
      <c r="BI52" s="36">
        <f>[1]PN!$L52</f>
        <v>1250</v>
      </c>
      <c r="BJ52" s="31">
        <f t="shared" si="44"/>
        <v>1169</v>
      </c>
      <c r="BK52" s="18">
        <f t="shared" si="45"/>
        <v>81.000000000000014</v>
      </c>
      <c r="BL52" s="31">
        <f t="shared" si="46"/>
        <v>0</v>
      </c>
      <c r="BM52" s="31">
        <f t="shared" si="47"/>
        <v>0</v>
      </c>
      <c r="BN52" s="33"/>
      <c r="BO52" s="37">
        <f t="shared" si="10"/>
        <v>-1</v>
      </c>
      <c r="BP52" s="36">
        <f>[1]PN!$M52</f>
        <v>1250</v>
      </c>
      <c r="BQ52" s="31">
        <f t="shared" si="48"/>
        <v>1169</v>
      </c>
      <c r="BR52" s="18">
        <f t="shared" si="49"/>
        <v>81.000000000000014</v>
      </c>
      <c r="BS52" s="31">
        <f t="shared" si="50"/>
        <v>0</v>
      </c>
      <c r="BT52" s="31">
        <f t="shared" si="51"/>
        <v>0</v>
      </c>
      <c r="BU52" s="33"/>
      <c r="BV52" s="37">
        <f t="shared" si="11"/>
        <v>-1</v>
      </c>
      <c r="BW52" s="36">
        <f>[1]PN!$N52</f>
        <v>1250</v>
      </c>
      <c r="BX52" s="31">
        <f t="shared" si="52"/>
        <v>1169</v>
      </c>
      <c r="BY52" s="18">
        <f t="shared" si="53"/>
        <v>81.000000000000014</v>
      </c>
      <c r="BZ52" s="31">
        <f t="shared" si="54"/>
        <v>0</v>
      </c>
      <c r="CA52" s="31">
        <f t="shared" si="55"/>
        <v>0</v>
      </c>
      <c r="CB52" s="33"/>
      <c r="CC52" s="37">
        <f t="shared" si="12"/>
        <v>-1</v>
      </c>
      <c r="CD52" s="36">
        <f>[1]PN!$O52</f>
        <v>1250</v>
      </c>
      <c r="CE52" s="31">
        <f t="shared" si="56"/>
        <v>1169</v>
      </c>
      <c r="CF52" s="18">
        <f t="shared" si="57"/>
        <v>81.000000000000014</v>
      </c>
      <c r="CG52" s="31">
        <f t="shared" si="58"/>
        <v>0</v>
      </c>
      <c r="CH52" s="31">
        <f t="shared" si="59"/>
        <v>0</v>
      </c>
      <c r="CI52" s="33"/>
      <c r="CJ52" s="37">
        <f t="shared" si="13"/>
        <v>-1</v>
      </c>
      <c r="CK52" s="36">
        <f>[1]PN!$P52</f>
        <v>1250</v>
      </c>
      <c r="CL52" s="31">
        <f t="shared" si="60"/>
        <v>1169</v>
      </c>
      <c r="CM52" s="18">
        <f t="shared" si="61"/>
        <v>81.000000000000014</v>
      </c>
      <c r="CN52" s="31">
        <f t="shared" si="62"/>
        <v>0</v>
      </c>
      <c r="CO52" s="31">
        <f t="shared" si="63"/>
        <v>0</v>
      </c>
      <c r="CP52" s="33"/>
      <c r="CQ52" s="37">
        <f t="shared" si="14"/>
        <v>-1</v>
      </c>
    </row>
    <row r="53" spans="1:99" s="26" customFormat="1" ht="16" customHeight="1" thickBot="1" x14ac:dyDescent="0.25">
      <c r="A53" s="38" t="s">
        <v>77</v>
      </c>
      <c r="B53" s="30">
        <f t="shared" si="64"/>
        <v>5000</v>
      </c>
      <c r="C53" s="31">
        <f t="shared" si="64"/>
        <v>4676</v>
      </c>
      <c r="D53" s="32">
        <f t="shared" si="64"/>
        <v>324.00000000000006</v>
      </c>
      <c r="E53" s="30">
        <f t="shared" si="66"/>
        <v>1666.6666666666667</v>
      </c>
      <c r="F53" s="33">
        <f t="shared" si="66"/>
        <v>1558.6666666666667</v>
      </c>
      <c r="G53" s="34">
        <f t="shared" si="66"/>
        <v>108.00000000000003</v>
      </c>
      <c r="H53" s="31">
        <f t="shared" si="65"/>
        <v>205.744</v>
      </c>
      <c r="I53" s="33">
        <f t="shared" si="65"/>
        <v>14.256000000000002</v>
      </c>
      <c r="J53" s="33">
        <f t="shared" si="65"/>
        <v>220</v>
      </c>
      <c r="K53" s="37">
        <f t="shared" si="2"/>
        <v>-0.86799999999999999</v>
      </c>
      <c r="L53" s="36">
        <f>[1]PN!$E53</f>
        <v>416.66666666666669</v>
      </c>
      <c r="M53" s="31">
        <f t="shared" si="16"/>
        <v>389.66666666666669</v>
      </c>
      <c r="N53" s="31">
        <f t="shared" si="17"/>
        <v>27.000000000000007</v>
      </c>
      <c r="O53" s="31">
        <f t="shared" si="18"/>
        <v>0</v>
      </c>
      <c r="P53" s="31">
        <f t="shared" si="19"/>
        <v>0</v>
      </c>
      <c r="Q53" s="31"/>
      <c r="R53" s="31">
        <f t="shared" si="3"/>
        <v>-1</v>
      </c>
      <c r="S53" s="31">
        <f>[1]PN!$F53</f>
        <v>416.66666666666669</v>
      </c>
      <c r="T53" s="31">
        <f t="shared" si="20"/>
        <v>389.66666666666669</v>
      </c>
      <c r="U53" s="31">
        <f t="shared" si="21"/>
        <v>27.000000000000007</v>
      </c>
      <c r="V53" s="31">
        <f t="shared" si="22"/>
        <v>0</v>
      </c>
      <c r="W53" s="31">
        <f t="shared" si="23"/>
        <v>0</v>
      </c>
      <c r="X53" s="31"/>
      <c r="Y53" s="31">
        <f t="shared" si="4"/>
        <v>-1</v>
      </c>
      <c r="Z53" s="31">
        <f>[1]PN!$G53</f>
        <v>416.66666666666669</v>
      </c>
      <c r="AA53" s="31">
        <f t="shared" si="24"/>
        <v>389.66666666666669</v>
      </c>
      <c r="AB53" s="31">
        <f t="shared" si="25"/>
        <v>27.000000000000007</v>
      </c>
      <c r="AC53" s="31">
        <f t="shared" si="26"/>
        <v>205.744</v>
      </c>
      <c r="AD53" s="31">
        <f t="shared" si="27"/>
        <v>14.256000000000002</v>
      </c>
      <c r="AE53" s="31">
        <f>220</f>
        <v>220</v>
      </c>
      <c r="AF53" s="31">
        <f t="shared" si="5"/>
        <v>-0.47199999999999998</v>
      </c>
      <c r="AG53" s="31">
        <f>[1]PN!$H53</f>
        <v>416.66666666666669</v>
      </c>
      <c r="AH53" s="31">
        <f t="shared" si="28"/>
        <v>389.66666666666669</v>
      </c>
      <c r="AI53" s="31">
        <f t="shared" si="29"/>
        <v>27.000000000000007</v>
      </c>
      <c r="AJ53" s="31">
        <f t="shared" si="30"/>
        <v>0</v>
      </c>
      <c r="AK53" s="31">
        <f t="shared" si="31"/>
        <v>0</v>
      </c>
      <c r="AL53" s="31"/>
      <c r="AM53" s="31">
        <f t="shared" si="6"/>
        <v>-1</v>
      </c>
      <c r="AN53" s="31">
        <f>[1]PN!$I53</f>
        <v>416.66666666666669</v>
      </c>
      <c r="AO53" s="31">
        <f t="shared" si="32"/>
        <v>389.66666666666669</v>
      </c>
      <c r="AP53" s="31">
        <f t="shared" si="33"/>
        <v>27.000000000000007</v>
      </c>
      <c r="AQ53" s="31">
        <f t="shared" si="34"/>
        <v>0</v>
      </c>
      <c r="AR53" s="31">
        <f t="shared" si="35"/>
        <v>0</v>
      </c>
      <c r="AS53" s="33"/>
      <c r="AT53" s="37">
        <f t="shared" si="7"/>
        <v>-1</v>
      </c>
      <c r="AU53" s="36">
        <f>[1]PN!$J53</f>
        <v>416.66666666666669</v>
      </c>
      <c r="AV53" s="31">
        <f t="shared" si="36"/>
        <v>389.66666666666669</v>
      </c>
      <c r="AW53" s="18">
        <f t="shared" si="37"/>
        <v>27.000000000000007</v>
      </c>
      <c r="AX53" s="31">
        <f t="shared" si="38"/>
        <v>0</v>
      </c>
      <c r="AY53" s="31">
        <f t="shared" si="39"/>
        <v>0</v>
      </c>
      <c r="AZ53" s="33"/>
      <c r="BA53" s="37">
        <f t="shared" si="8"/>
        <v>-1</v>
      </c>
      <c r="BB53" s="36">
        <f>[1]PN!$K53</f>
        <v>416.66666666666669</v>
      </c>
      <c r="BC53" s="31">
        <f t="shared" si="40"/>
        <v>389.66666666666669</v>
      </c>
      <c r="BD53" s="18">
        <f t="shared" si="41"/>
        <v>27.000000000000007</v>
      </c>
      <c r="BE53" s="31">
        <f t="shared" si="42"/>
        <v>0</v>
      </c>
      <c r="BF53" s="31">
        <f t="shared" si="43"/>
        <v>0</v>
      </c>
      <c r="BG53" s="27"/>
      <c r="BH53" s="37">
        <f t="shared" si="9"/>
        <v>-1</v>
      </c>
      <c r="BI53" s="36">
        <f>[1]PN!$L53</f>
        <v>416.66666666666669</v>
      </c>
      <c r="BJ53" s="31">
        <f t="shared" si="44"/>
        <v>389.66666666666669</v>
      </c>
      <c r="BK53" s="18">
        <f t="shared" si="45"/>
        <v>27.000000000000007</v>
      </c>
      <c r="BL53" s="31">
        <f t="shared" si="46"/>
        <v>0</v>
      </c>
      <c r="BM53" s="31">
        <f t="shared" si="47"/>
        <v>0</v>
      </c>
      <c r="BN53" s="33"/>
      <c r="BO53" s="37">
        <f t="shared" si="10"/>
        <v>-1</v>
      </c>
      <c r="BP53" s="36">
        <f>[1]PN!$M53</f>
        <v>416.66666666666669</v>
      </c>
      <c r="BQ53" s="31">
        <f t="shared" si="48"/>
        <v>389.66666666666669</v>
      </c>
      <c r="BR53" s="18">
        <f t="shared" si="49"/>
        <v>27.000000000000007</v>
      </c>
      <c r="BS53" s="31">
        <f t="shared" si="50"/>
        <v>0</v>
      </c>
      <c r="BT53" s="31">
        <f t="shared" si="51"/>
        <v>0</v>
      </c>
      <c r="BU53" s="33"/>
      <c r="BV53" s="37">
        <f t="shared" si="11"/>
        <v>-1</v>
      </c>
      <c r="BW53" s="36">
        <f>[1]PN!$N53</f>
        <v>416.66666666666669</v>
      </c>
      <c r="BX53" s="31">
        <f t="shared" si="52"/>
        <v>389.66666666666669</v>
      </c>
      <c r="BY53" s="18">
        <f t="shared" si="53"/>
        <v>27.000000000000007</v>
      </c>
      <c r="BZ53" s="31">
        <f t="shared" si="54"/>
        <v>0</v>
      </c>
      <c r="CA53" s="31">
        <f t="shared" si="55"/>
        <v>0</v>
      </c>
      <c r="CB53" s="33"/>
      <c r="CC53" s="37">
        <f t="shared" si="12"/>
        <v>-1</v>
      </c>
      <c r="CD53" s="36">
        <f>[1]PN!$O53</f>
        <v>416.66666666666669</v>
      </c>
      <c r="CE53" s="31">
        <f t="shared" si="56"/>
        <v>389.66666666666669</v>
      </c>
      <c r="CF53" s="18">
        <f t="shared" si="57"/>
        <v>27.000000000000007</v>
      </c>
      <c r="CG53" s="31">
        <f t="shared" si="58"/>
        <v>0</v>
      </c>
      <c r="CH53" s="31">
        <f t="shared" si="59"/>
        <v>0</v>
      </c>
      <c r="CI53" s="33"/>
      <c r="CJ53" s="37">
        <f t="shared" si="13"/>
        <v>-1</v>
      </c>
      <c r="CK53" s="36">
        <f>[1]PN!$P53</f>
        <v>416.66666666666669</v>
      </c>
      <c r="CL53" s="31">
        <f t="shared" si="60"/>
        <v>389.66666666666669</v>
      </c>
      <c r="CM53" s="18">
        <f t="shared" si="61"/>
        <v>27.000000000000007</v>
      </c>
      <c r="CN53" s="31">
        <f t="shared" si="62"/>
        <v>0</v>
      </c>
      <c r="CO53" s="31">
        <f t="shared" si="63"/>
        <v>0</v>
      </c>
      <c r="CP53" s="33"/>
      <c r="CQ53" s="37">
        <f t="shared" si="14"/>
        <v>-1</v>
      </c>
    </row>
    <row r="54" spans="1:99" s="26" customFormat="1" ht="16" customHeight="1" thickBot="1" x14ac:dyDescent="0.25">
      <c r="A54" s="39" t="s">
        <v>78</v>
      </c>
      <c r="B54" s="50">
        <f t="shared" si="64"/>
        <v>171328.17499999999</v>
      </c>
      <c r="C54" s="40">
        <f t="shared" si="64"/>
        <v>160226.10925999997</v>
      </c>
      <c r="D54" s="51">
        <f t="shared" si="64"/>
        <v>11102.065740000002</v>
      </c>
      <c r="E54" s="52">
        <f t="shared" si="66"/>
        <v>97901.814285714281</v>
      </c>
      <c r="F54" s="53">
        <f t="shared" si="66"/>
        <v>91557.776719999994</v>
      </c>
      <c r="G54" s="54">
        <f t="shared" si="66"/>
        <v>6344.0375657142868</v>
      </c>
      <c r="H54" s="40">
        <f t="shared" si="65"/>
        <v>41055.272722048743</v>
      </c>
      <c r="I54" s="53">
        <f t="shared" si="65"/>
        <v>2844.71949571082</v>
      </c>
      <c r="J54" s="53">
        <f t="shared" si="65"/>
        <v>43899.992217759558</v>
      </c>
      <c r="K54" s="60">
        <f t="shared" si="2"/>
        <v>-0.55159163762131225</v>
      </c>
      <c r="L54" s="87">
        <f>[1]PN!$E54</f>
        <v>24475.45357142857</v>
      </c>
      <c r="M54" s="40">
        <f t="shared" si="16"/>
        <v>22889.444179999999</v>
      </c>
      <c r="N54" s="40">
        <f t="shared" si="17"/>
        <v>1586.0093914285717</v>
      </c>
      <c r="O54" s="40">
        <f t="shared" si="18"/>
        <v>6921.6396479999994</v>
      </c>
      <c r="P54" s="40">
        <f t="shared" si="19"/>
        <v>479.60035200000004</v>
      </c>
      <c r="Q54" s="40">
        <v>7401.24</v>
      </c>
      <c r="R54" s="40">
        <f t="shared" si="3"/>
        <v>-0.69760560398194871</v>
      </c>
      <c r="S54" s="40">
        <f>[1]PN!$F54</f>
        <v>24475.45357142857</v>
      </c>
      <c r="T54" s="40">
        <f t="shared" si="20"/>
        <v>22889.444179999999</v>
      </c>
      <c r="U54" s="40">
        <f t="shared" si="21"/>
        <v>1586.0093914285717</v>
      </c>
      <c r="V54" s="40">
        <f t="shared" si="22"/>
        <v>18076.649136</v>
      </c>
      <c r="W54" s="40">
        <f t="shared" si="23"/>
        <v>1252.5308640000003</v>
      </c>
      <c r="X54" s="40">
        <f>19329.18</f>
        <v>19329.18</v>
      </c>
      <c r="Y54" s="40">
        <f t="shared" si="4"/>
        <v>-0.21026264360780123</v>
      </c>
      <c r="Z54" s="40">
        <f>[1]PN!$G54</f>
        <v>24475.45357142857</v>
      </c>
      <c r="AA54" s="40">
        <f t="shared" si="24"/>
        <v>22889.444179999999</v>
      </c>
      <c r="AB54" s="40">
        <f t="shared" si="25"/>
        <v>1586.0093914285717</v>
      </c>
      <c r="AC54" s="40">
        <f t="shared" si="26"/>
        <v>16056.983938048739</v>
      </c>
      <c r="AD54" s="40">
        <f t="shared" si="27"/>
        <v>1112.5882797108197</v>
      </c>
      <c r="AE54" s="40">
        <v>17169.57221775956</v>
      </c>
      <c r="AF54" s="40">
        <f t="shared" si="5"/>
        <v>-0.29849830289549906</v>
      </c>
      <c r="AG54" s="40">
        <f>[1]PN!$H54</f>
        <v>24475.45357142857</v>
      </c>
      <c r="AH54" s="40">
        <f t="shared" si="28"/>
        <v>22889.444179999999</v>
      </c>
      <c r="AI54" s="40">
        <f t="shared" si="29"/>
        <v>1586.0093914285717</v>
      </c>
      <c r="AJ54" s="40">
        <f t="shared" si="30"/>
        <v>0</v>
      </c>
      <c r="AK54" s="40">
        <f t="shared" si="31"/>
        <v>0</v>
      </c>
      <c r="AL54" s="40"/>
      <c r="AM54" s="40">
        <f t="shared" si="6"/>
        <v>-1</v>
      </c>
      <c r="AN54" s="40">
        <f>[1]PN!$I54</f>
        <v>24475.45357142857</v>
      </c>
      <c r="AO54" s="40">
        <f t="shared" si="32"/>
        <v>22889.444179999999</v>
      </c>
      <c r="AP54" s="40">
        <f t="shared" si="33"/>
        <v>1586.0093914285717</v>
      </c>
      <c r="AQ54" s="40">
        <f t="shared" si="34"/>
        <v>0</v>
      </c>
      <c r="AR54" s="40">
        <f t="shared" si="35"/>
        <v>0</v>
      </c>
      <c r="AS54" s="58"/>
      <c r="AT54" s="60">
        <f t="shared" si="7"/>
        <v>-1</v>
      </c>
      <c r="AU54" s="56">
        <f>[1]PN!$J54</f>
        <v>24475.45357142857</v>
      </c>
      <c r="AV54" s="40">
        <f t="shared" si="36"/>
        <v>22889.444179999999</v>
      </c>
      <c r="AW54" s="18">
        <f t="shared" si="37"/>
        <v>1586.0093914285717</v>
      </c>
      <c r="AX54" s="40">
        <f t="shared" si="38"/>
        <v>0</v>
      </c>
      <c r="AY54" s="40">
        <f t="shared" si="39"/>
        <v>0</v>
      </c>
      <c r="AZ54" s="58"/>
      <c r="BA54" s="60">
        <f t="shared" si="8"/>
        <v>-1</v>
      </c>
      <c r="BB54" s="56">
        <f>[1]PN!$K54</f>
        <v>24475.45357142857</v>
      </c>
      <c r="BC54" s="40">
        <f t="shared" si="40"/>
        <v>22889.444179999999</v>
      </c>
      <c r="BD54" s="18">
        <f t="shared" si="41"/>
        <v>1586.0093914285717</v>
      </c>
      <c r="BE54" s="40">
        <f t="shared" si="42"/>
        <v>0</v>
      </c>
      <c r="BF54" s="40">
        <f t="shared" si="43"/>
        <v>0</v>
      </c>
      <c r="BG54" s="59"/>
      <c r="BH54" s="60">
        <f t="shared" si="9"/>
        <v>-1</v>
      </c>
      <c r="BI54" s="56">
        <f>[1]PN!$L54</f>
        <v>0</v>
      </c>
      <c r="BJ54" s="40">
        <f t="shared" si="44"/>
        <v>0</v>
      </c>
      <c r="BK54" s="18">
        <f t="shared" si="45"/>
        <v>0</v>
      </c>
      <c r="BL54" s="40">
        <f t="shared" si="46"/>
        <v>0</v>
      </c>
      <c r="BM54" s="40">
        <f t="shared" si="47"/>
        <v>0</v>
      </c>
      <c r="BN54" s="58"/>
      <c r="BO54" s="60" t="str">
        <f t="shared" si="10"/>
        <v/>
      </c>
      <c r="BP54" s="56">
        <f>[1]PN!$M54</f>
        <v>0</v>
      </c>
      <c r="BQ54" s="40">
        <f t="shared" si="48"/>
        <v>0</v>
      </c>
      <c r="BR54" s="18">
        <f t="shared" si="49"/>
        <v>0</v>
      </c>
      <c r="BS54" s="40">
        <f t="shared" si="50"/>
        <v>0</v>
      </c>
      <c r="BT54" s="40">
        <f t="shared" si="51"/>
        <v>0</v>
      </c>
      <c r="BU54" s="58"/>
      <c r="BV54" s="60" t="str">
        <f t="shared" si="11"/>
        <v/>
      </c>
      <c r="BW54" s="87">
        <f>[1]PN!$N54</f>
        <v>0</v>
      </c>
      <c r="BX54" s="40">
        <f t="shared" si="52"/>
        <v>0</v>
      </c>
      <c r="BY54" s="18">
        <f t="shared" si="53"/>
        <v>0</v>
      </c>
      <c r="BZ54" s="40">
        <f t="shared" si="54"/>
        <v>0</v>
      </c>
      <c r="CA54" s="40">
        <f t="shared" si="55"/>
        <v>0</v>
      </c>
      <c r="CB54" s="53"/>
      <c r="CC54" s="60" t="str">
        <f t="shared" si="12"/>
        <v/>
      </c>
      <c r="CD54" s="87">
        <f>[1]PN!$O54</f>
        <v>0</v>
      </c>
      <c r="CE54" s="40">
        <f t="shared" si="56"/>
        <v>0</v>
      </c>
      <c r="CF54" s="18">
        <f t="shared" si="57"/>
        <v>0</v>
      </c>
      <c r="CG54" s="40">
        <f t="shared" si="58"/>
        <v>0</v>
      </c>
      <c r="CH54" s="40">
        <f t="shared" si="59"/>
        <v>0</v>
      </c>
      <c r="CI54" s="53"/>
      <c r="CJ54" s="60" t="str">
        <f t="shared" si="13"/>
        <v/>
      </c>
      <c r="CK54" s="87">
        <f>[1]PN!$P54</f>
        <v>0</v>
      </c>
      <c r="CL54" s="40">
        <f t="shared" si="60"/>
        <v>0</v>
      </c>
      <c r="CM54" s="18">
        <f t="shared" si="61"/>
        <v>0</v>
      </c>
      <c r="CN54" s="40">
        <f t="shared" si="62"/>
        <v>0</v>
      </c>
      <c r="CO54" s="40">
        <f t="shared" si="63"/>
        <v>0</v>
      </c>
      <c r="CP54" s="53"/>
      <c r="CQ54" s="60" t="str">
        <f t="shared" si="14"/>
        <v/>
      </c>
    </row>
    <row r="55" spans="1:99" s="26" customFormat="1" ht="16" customHeight="1" thickBot="1" x14ac:dyDescent="0.25">
      <c r="A55" s="119" t="s">
        <v>79</v>
      </c>
      <c r="B55" s="63">
        <f t="shared" ref="B55:J55" si="67">SUM(B4:B54)</f>
        <v>11326248.114014372</v>
      </c>
      <c r="C55" s="64">
        <f t="shared" si="67"/>
        <v>10592307.236226238</v>
      </c>
      <c r="D55" s="65">
        <f t="shared" si="67"/>
        <v>733940.87778813136</v>
      </c>
      <c r="E55" s="63">
        <f t="shared" si="67"/>
        <v>5410946.2675390635</v>
      </c>
      <c r="F55" s="66">
        <f t="shared" si="67"/>
        <v>5060316.9494025353</v>
      </c>
      <c r="G55" s="67">
        <f t="shared" si="67"/>
        <v>350629.31813653128</v>
      </c>
      <c r="H55" s="64">
        <f t="shared" si="67"/>
        <v>5004163.552474048</v>
      </c>
      <c r="I55" s="66">
        <f t="shared" si="67"/>
        <v>346738.44974371069</v>
      </c>
      <c r="J55" s="66">
        <f t="shared" si="67"/>
        <v>5350902.0022177603</v>
      </c>
      <c r="K55" s="120">
        <f>+J55/E55-1</f>
        <v>-1.109681418969477E-2</v>
      </c>
      <c r="L55" s="121">
        <f t="shared" ref="L55:X55" si="68">SUM(L4:L54)</f>
        <v>1716405.2509738568</v>
      </c>
      <c r="M55" s="121">
        <f t="shared" si="68"/>
        <v>1605182.1907107518</v>
      </c>
      <c r="N55" s="121">
        <f t="shared" si="17"/>
        <v>111223.06026310593</v>
      </c>
      <c r="O55" s="121">
        <f t="shared" si="68"/>
        <v>1026647.9459413334</v>
      </c>
      <c r="P55" s="121">
        <f t="shared" si="68"/>
        <v>71136.427392000012</v>
      </c>
      <c r="Q55" s="121">
        <f t="shared" si="68"/>
        <v>1097784.3733333335</v>
      </c>
      <c r="R55" s="121">
        <f>+Q55/L55-1</f>
        <v>-0.36041656088474971</v>
      </c>
      <c r="S55" s="121">
        <f t="shared" si="68"/>
        <v>1424089.2175101007</v>
      </c>
      <c r="T55" s="121">
        <f t="shared" si="68"/>
        <v>1331808.2362154473</v>
      </c>
      <c r="U55" s="121">
        <f t="shared" si="21"/>
        <v>92280.981294654543</v>
      </c>
      <c r="V55" s="121">
        <f t="shared" si="68"/>
        <v>744487.42595733341</v>
      </c>
      <c r="W55" s="121">
        <f t="shared" si="68"/>
        <v>51585.527376000013</v>
      </c>
      <c r="X55" s="121">
        <f t="shared" si="68"/>
        <v>796072.95333333348</v>
      </c>
      <c r="Y55" s="121">
        <f>+X55/S55-1</f>
        <v>-0.44099502787809908</v>
      </c>
      <c r="Z55" s="121">
        <f t="shared" ref="Z55:AE55" si="69">SUM(Z4:Z54)</f>
        <v>1218610.2400756548</v>
      </c>
      <c r="AA55" s="121">
        <f t="shared" si="69"/>
        <v>1139644.2965187526</v>
      </c>
      <c r="AB55" s="121">
        <f t="shared" si="25"/>
        <v>78965.94355690245</v>
      </c>
      <c r="AC55" s="121">
        <f t="shared" si="69"/>
        <v>911725.45647138217</v>
      </c>
      <c r="AD55" s="121">
        <f t="shared" si="69"/>
        <v>63173.449079710837</v>
      </c>
      <c r="AE55" s="121">
        <f t="shared" si="69"/>
        <v>974898.90555109282</v>
      </c>
      <c r="AF55" s="121">
        <f>+AE55/Z55-1</f>
        <v>-0.1999912084354647</v>
      </c>
      <c r="AG55" s="121">
        <f t="shared" ref="AG55:AL55" si="70">SUM(AG4:AG54)</f>
        <v>1051841.558979451</v>
      </c>
      <c r="AH55" s="121">
        <f t="shared" si="70"/>
        <v>983682.22595758259</v>
      </c>
      <c r="AI55" s="121">
        <f t="shared" si="29"/>
        <v>68159.333021868428</v>
      </c>
      <c r="AJ55" s="121">
        <f t="shared" si="70"/>
        <v>791647.84118933312</v>
      </c>
      <c r="AK55" s="121">
        <f t="shared" si="70"/>
        <v>54853.27214400001</v>
      </c>
      <c r="AL55" s="121">
        <f t="shared" si="70"/>
        <v>846501.11333333352</v>
      </c>
      <c r="AM55" s="121">
        <f>+AL55/AG55-1</f>
        <v>-0.19521993963173401</v>
      </c>
      <c r="AN55" s="121">
        <f t="shared" ref="AN55:AS55" si="71">SUM(AN4:AN54)</f>
        <v>1105831.7875351212</v>
      </c>
      <c r="AO55" s="121">
        <f t="shared" si="71"/>
        <v>1034173.8877028454</v>
      </c>
      <c r="AP55" s="121">
        <f t="shared" si="33"/>
        <v>71657.899832275871</v>
      </c>
      <c r="AQ55" s="121">
        <f t="shared" si="71"/>
        <v>818313.66638933343</v>
      </c>
      <c r="AR55" s="121">
        <f t="shared" si="71"/>
        <v>56700.946944000025</v>
      </c>
      <c r="AS55" s="123">
        <f t="shared" si="71"/>
        <v>875014.6133333334</v>
      </c>
      <c r="AT55" s="120">
        <f>+AS55/AN55-1</f>
        <v>-0.20872720137325318</v>
      </c>
      <c r="AU55" s="121">
        <f t="shared" ref="AU55:AZ55" si="72">SUM(AU4:AU54)</f>
        <v>1154475.3406869611</v>
      </c>
      <c r="AV55" s="121">
        <f t="shared" si="72"/>
        <v>1079665.3386104463</v>
      </c>
      <c r="AW55" s="18">
        <f t="shared" si="37"/>
        <v>74810.002076515084</v>
      </c>
      <c r="AX55" s="122">
        <f t="shared" si="72"/>
        <v>711341.21652533324</v>
      </c>
      <c r="AY55" s="122">
        <f t="shared" si="72"/>
        <v>49288.826808000013</v>
      </c>
      <c r="AZ55" s="123">
        <f t="shared" si="72"/>
        <v>760630.04333333345</v>
      </c>
      <c r="BA55" s="120">
        <f>+AZ55/AU55-1</f>
        <v>-0.34114656543402067</v>
      </c>
      <c r="BB55" s="121">
        <f t="shared" ref="BB55:BG55" si="73">SUM(BB4:BB54)</f>
        <v>870453.36137022707</v>
      </c>
      <c r="BC55" s="121">
        <f t="shared" si="73"/>
        <v>814047.98355343635</v>
      </c>
      <c r="BD55" s="18">
        <f t="shared" si="41"/>
        <v>56405.377816790722</v>
      </c>
      <c r="BE55" s="122">
        <f t="shared" si="73"/>
        <v>0</v>
      </c>
      <c r="BF55" s="122">
        <f t="shared" si="73"/>
        <v>0</v>
      </c>
      <c r="BG55" s="123">
        <f t="shared" si="73"/>
        <v>0</v>
      </c>
      <c r="BH55" s="120">
        <f>+BG55/BB55-1</f>
        <v>-1</v>
      </c>
      <c r="BI55" s="121">
        <f t="shared" ref="BI55:BN55" si="74">SUM(BI4:BI54)</f>
        <v>664244.33609472075</v>
      </c>
      <c r="BJ55" s="121">
        <f t="shared" si="74"/>
        <v>621201.30311578303</v>
      </c>
      <c r="BK55" s="18">
        <f t="shared" si="45"/>
        <v>43043.03297893791</v>
      </c>
      <c r="BL55" s="122">
        <f t="shared" si="74"/>
        <v>0</v>
      </c>
      <c r="BM55" s="122">
        <f t="shared" si="74"/>
        <v>0</v>
      </c>
      <c r="BN55" s="123">
        <f t="shared" si="74"/>
        <v>0</v>
      </c>
      <c r="BO55" s="120">
        <f>+BN55/BI55-1</f>
        <v>-1</v>
      </c>
      <c r="BP55" s="121">
        <f t="shared" ref="BP55:BU55" si="75">SUM(BP4:BP54)</f>
        <v>651586.93922723841</v>
      </c>
      <c r="BQ55" s="121">
        <f t="shared" si="75"/>
        <v>609364.10556531348</v>
      </c>
      <c r="BR55" s="18">
        <f t="shared" si="49"/>
        <v>42222.833661925055</v>
      </c>
      <c r="BS55" s="122">
        <f t="shared" si="75"/>
        <v>0</v>
      </c>
      <c r="BT55" s="122">
        <f t="shared" si="75"/>
        <v>0</v>
      </c>
      <c r="BU55" s="123">
        <f t="shared" si="75"/>
        <v>0</v>
      </c>
      <c r="BV55" s="120">
        <f>+BU55/BP55-1</f>
        <v>-1</v>
      </c>
      <c r="BW55" s="121">
        <f t="shared" ref="BW55:CB55" si="76">SUM(BW4:BW54)</f>
        <v>538594.49640239857</v>
      </c>
      <c r="BX55" s="121">
        <f t="shared" si="76"/>
        <v>503693.5730355233</v>
      </c>
      <c r="BY55" s="18">
        <f t="shared" si="53"/>
        <v>34900.923366875431</v>
      </c>
      <c r="BZ55" s="122">
        <f t="shared" si="76"/>
        <v>0</v>
      </c>
      <c r="CA55" s="122">
        <f t="shared" si="76"/>
        <v>0</v>
      </c>
      <c r="CB55" s="123">
        <f t="shared" si="76"/>
        <v>0</v>
      </c>
      <c r="CC55" s="120">
        <f>+CB55/BW55-1</f>
        <v>-1</v>
      </c>
      <c r="CD55" s="121">
        <f t="shared" ref="CD55:CI55" si="77">SUM(CD4:CD54)</f>
        <v>462357.97334923939</v>
      </c>
      <c r="CE55" s="121">
        <f t="shared" si="77"/>
        <v>432397.17667620874</v>
      </c>
      <c r="CF55" s="18">
        <f t="shared" si="57"/>
        <v>29960.796673030716</v>
      </c>
      <c r="CG55" s="122">
        <f t="shared" si="77"/>
        <v>0</v>
      </c>
      <c r="CH55" s="122">
        <f t="shared" si="77"/>
        <v>0</v>
      </c>
      <c r="CI55" s="123">
        <f t="shared" si="77"/>
        <v>0</v>
      </c>
      <c r="CJ55" s="120">
        <f>+CI55/CD55-1</f>
        <v>-1</v>
      </c>
      <c r="CK55" s="121">
        <f t="shared" ref="CK55:CP55" si="78">SUM(CK4:CK54)</f>
        <v>467757.61180939944</v>
      </c>
      <c r="CL55" s="121">
        <f t="shared" si="78"/>
        <v>437446.9185641504</v>
      </c>
      <c r="CM55" s="18">
        <f t="shared" si="61"/>
        <v>30310.693245249087</v>
      </c>
      <c r="CN55" s="122">
        <f t="shared" si="78"/>
        <v>0</v>
      </c>
      <c r="CO55" s="122">
        <f t="shared" si="78"/>
        <v>0</v>
      </c>
      <c r="CP55" s="123">
        <f t="shared" si="78"/>
        <v>0</v>
      </c>
      <c r="CQ55" s="120">
        <f>+CP55/CK55-1</f>
        <v>-1</v>
      </c>
      <c r="CR55" s="72"/>
      <c r="CS55" s="72"/>
      <c r="CT55" s="72"/>
      <c r="CU55" s="72"/>
    </row>
    <row r="56" spans="1:99" s="26" customFormat="1" ht="16" customHeight="1" thickBot="1" x14ac:dyDescent="0.25">
      <c r="A56" s="125" t="s">
        <v>80</v>
      </c>
      <c r="B56" s="75">
        <f>+L56+S56+Z56+AG56+AN56+AU56+BB56+BI56+BP56+BW56+CD56+CK56</f>
        <v>-183686.67820069205</v>
      </c>
      <c r="C56" s="76">
        <f t="shared" ref="C56:D57" si="79">+M56+T56+AA56+AH56+AO56+AV56+BC56+BJ56+BQ56+BX56+CE56+CL56</f>
        <v>-171783.7814532872</v>
      </c>
      <c r="D56" s="77">
        <f t="shared" si="79"/>
        <v>-11902.896747404848</v>
      </c>
      <c r="E56" s="75">
        <f>+L56+S56+Z56+AG56</f>
        <v>-61228.892733564018</v>
      </c>
      <c r="F56" s="78">
        <f t="shared" ref="F56:G57" si="80">+M56+T56+AA56+AH56</f>
        <v>-57261.260484429069</v>
      </c>
      <c r="G56" s="79">
        <f t="shared" si="80"/>
        <v>-3967.6322491349492</v>
      </c>
      <c r="H56" s="76">
        <f t="shared" ref="H56:J57" si="81">+O56+V56+AC56+AJ56+AQ56+AX56+BE56+BL56+BS56+BZ56+CG56+CN56</f>
        <v>-65053.147935999994</v>
      </c>
      <c r="I56" s="78">
        <f t="shared" si="81"/>
        <v>-4507.5320640000009</v>
      </c>
      <c r="J56" s="78">
        <f t="shared" si="81"/>
        <v>-69560.679999999993</v>
      </c>
      <c r="K56" s="25">
        <f t="shared" ref="K56:K57" si="82">IF(E56=0,"",(+J56/E56-1))</f>
        <v>0.1360760728222139</v>
      </c>
      <c r="L56" s="23">
        <f>[1]PN!$E56</f>
        <v>-15307.223183391005</v>
      </c>
      <c r="M56" s="18">
        <f t="shared" ref="M56:M57" si="83">L56-N56</f>
        <v>-14315.315121107267</v>
      </c>
      <c r="N56" s="18">
        <f t="shared" si="17"/>
        <v>-991.90806228373731</v>
      </c>
      <c r="O56" s="18">
        <f t="shared" ref="O56:O57" si="84">+Q56-P56</f>
        <v>0</v>
      </c>
      <c r="P56" s="18">
        <f t="shared" ref="P56:P57" si="85">+Q56*6.48%</f>
        <v>0</v>
      </c>
      <c r="Q56" s="18"/>
      <c r="R56" s="18">
        <f t="shared" ref="R56:R57" si="86">IF(L56=0,"",(+Q56/L56-1))</f>
        <v>-1</v>
      </c>
      <c r="S56" s="18">
        <f>[1]PN!$F56</f>
        <v>-15307.223183391005</v>
      </c>
      <c r="T56" s="18">
        <f t="shared" ref="T56:T57" si="87">S56-U56</f>
        <v>-14315.315121107267</v>
      </c>
      <c r="U56" s="18">
        <f t="shared" si="21"/>
        <v>-991.90806228373731</v>
      </c>
      <c r="V56" s="18">
        <f t="shared" ref="V56:V57" si="88">+X56-W56</f>
        <v>-11635.412375999998</v>
      </c>
      <c r="W56" s="18">
        <f t="shared" ref="W56:W57" si="89">+X56*6.48%</f>
        <v>-806.21762400000011</v>
      </c>
      <c r="X56" s="18">
        <v>-12441.63</v>
      </c>
      <c r="Y56" s="18">
        <f>IF(S56=0,"",(+X56/S56-1))</f>
        <v>-0.18720529184550583</v>
      </c>
      <c r="Z56" s="18">
        <f>[1]PN!$G56</f>
        <v>-15307.223183391005</v>
      </c>
      <c r="AA56" s="18">
        <f t="shared" ref="AA56:AA57" si="90">Z56-AB56</f>
        <v>-14315.315121107267</v>
      </c>
      <c r="AB56" s="18">
        <f t="shared" si="25"/>
        <v>-991.90806228373731</v>
      </c>
      <c r="AC56" s="18">
        <f t="shared" ref="AC56:AC57" si="91">+AE56-AD56</f>
        <v>1281.0463119999999</v>
      </c>
      <c r="AD56" s="18">
        <f t="shared" ref="AD56:AD57" si="92">+AE56*6.48%</f>
        <v>88.763688000000016</v>
      </c>
      <c r="AE56" s="18">
        <f>1369.81</f>
        <v>1369.81</v>
      </c>
      <c r="AF56" s="18">
        <f t="shared" ref="AF56:AF57" si="93">IF(Z56=0,"",(+AE56/Z56-1))</f>
        <v>-1.0894878178483935</v>
      </c>
      <c r="AG56" s="18">
        <f>[1]PN!$H56</f>
        <v>-15307.223183391005</v>
      </c>
      <c r="AH56" s="18">
        <f t="shared" ref="AH56:AH57" si="94">AG56-AI56</f>
        <v>-14315.315121107267</v>
      </c>
      <c r="AI56" s="18">
        <f t="shared" si="29"/>
        <v>-991.90806228373731</v>
      </c>
      <c r="AJ56" s="18">
        <f t="shared" ref="AJ56:AJ57" si="95">+AL56-AK56</f>
        <v>-16779.377103999996</v>
      </c>
      <c r="AK56" s="18">
        <f t="shared" ref="AK56:AK57" si="96">+AL56*6.48%</f>
        <v>-1162.6428960000001</v>
      </c>
      <c r="AL56" s="18">
        <f>-19554.17+1612.15</f>
        <v>-17942.019999999997</v>
      </c>
      <c r="AM56" s="18">
        <f t="shared" ref="AM56:AM57" si="97">IF(AG56=0,"",(+AL56/AG56-1))</f>
        <v>0.17212768018355273</v>
      </c>
      <c r="AN56" s="18">
        <f>[1]PN!$I56</f>
        <v>-15307.223183391005</v>
      </c>
      <c r="AO56" s="18">
        <f t="shared" ref="AO56:AO57" si="98">AN56-AP56</f>
        <v>-14315.315121107267</v>
      </c>
      <c r="AP56" s="18">
        <f t="shared" si="33"/>
        <v>-991.90806228373731</v>
      </c>
      <c r="AQ56" s="18">
        <f t="shared" ref="AQ56:AQ57" si="99">+AS56-AR56</f>
        <v>-30897.464919999999</v>
      </c>
      <c r="AR56" s="18">
        <f t="shared" ref="AR56:AR57" si="100">+AS56*6.48%</f>
        <v>-2140.8850800000005</v>
      </c>
      <c r="AS56" s="20">
        <v>-33038.35</v>
      </c>
      <c r="AT56" s="25">
        <f t="shared" ref="AT56:AT57" si="101">IF(AN56=0,"",(+AS56/AN56-1))</f>
        <v>1.1583503163296154</v>
      </c>
      <c r="AU56" s="23">
        <f>[1]PN!$J56</f>
        <v>-15307.223183391005</v>
      </c>
      <c r="AV56" s="18">
        <f t="shared" ref="AV56:AV57" si="102">AU56-AW56</f>
        <v>-14315.315121107267</v>
      </c>
      <c r="AW56" s="18">
        <f t="shared" si="37"/>
        <v>-991.90806228373731</v>
      </c>
      <c r="AX56" s="18">
        <f t="shared" ref="AX56:AX57" si="103">+AZ56-AY56</f>
        <v>-7021.9398480000009</v>
      </c>
      <c r="AY56" s="18">
        <f t="shared" ref="AY56:AY57" si="104">+AZ56*6.48%</f>
        <v>-486.55015200000014</v>
      </c>
      <c r="AZ56" s="20">
        <v>-7508.4900000000007</v>
      </c>
      <c r="BA56" s="25">
        <f t="shared" ref="BA56:BA57" si="105">IF(AU56=0,"",(+AZ56/AU56-1))</f>
        <v>-0.50948059553041369</v>
      </c>
      <c r="BB56" s="23">
        <f>[1]PN!$K56</f>
        <v>-15307.223183391005</v>
      </c>
      <c r="BC56" s="18">
        <f t="shared" ref="BC56:BC57" si="106">BB56-BD56</f>
        <v>-14315.315121107267</v>
      </c>
      <c r="BD56" s="18">
        <f t="shared" si="41"/>
        <v>-991.90806228373731</v>
      </c>
      <c r="BE56" s="18">
        <f t="shared" ref="BE56:BE57" si="107">+BG56-BF56</f>
        <v>0</v>
      </c>
      <c r="BF56" s="18">
        <f t="shared" ref="BF56:BF57" si="108">+BG56*6.48%</f>
        <v>0</v>
      </c>
      <c r="BG56" s="20"/>
      <c r="BH56" s="25">
        <f t="shared" ref="BH56:BH57" si="109">IF(BB56=0,"",(+BG56/BB56-1))</f>
        <v>-1</v>
      </c>
      <c r="BI56" s="23">
        <f>[1]PN!$L56</f>
        <v>-15307.223183391005</v>
      </c>
      <c r="BJ56" s="18">
        <f t="shared" ref="BJ56:BJ57" si="110">BI56-BK56</f>
        <v>-14315.315121107267</v>
      </c>
      <c r="BK56" s="18">
        <f t="shared" si="45"/>
        <v>-991.90806228373731</v>
      </c>
      <c r="BL56" s="18">
        <f t="shared" ref="BL56:BL57" si="111">+BN56-BM56</f>
        <v>0</v>
      </c>
      <c r="BM56" s="18">
        <f t="shared" ref="BM56:BM57" si="112">+BN56*6.48%</f>
        <v>0</v>
      </c>
      <c r="BN56" s="20"/>
      <c r="BO56" s="25">
        <f t="shared" ref="BO56:BO57" si="113">IF(BI56=0,"",(+BN56/BI56-1))</f>
        <v>-1</v>
      </c>
      <c r="BP56" s="23">
        <f>[1]PN!$M56</f>
        <v>-15307.223183391005</v>
      </c>
      <c r="BQ56" s="18">
        <f t="shared" ref="BQ56:BQ57" si="114">BP56-BR56</f>
        <v>-14315.315121107267</v>
      </c>
      <c r="BR56" s="18">
        <f t="shared" si="49"/>
        <v>-991.90806228373731</v>
      </c>
      <c r="BS56" s="18">
        <f t="shared" ref="BS56:BS57" si="115">+BU56-BT56</f>
        <v>0</v>
      </c>
      <c r="BT56" s="18">
        <f t="shared" ref="BT56:BT57" si="116">+BU56*6.48%</f>
        <v>0</v>
      </c>
      <c r="BU56" s="20"/>
      <c r="BV56" s="25">
        <f t="shared" ref="BV56:BV57" si="117">IF(BP56=0,"",(+BU56/BP56-1))</f>
        <v>-1</v>
      </c>
      <c r="BW56" s="23">
        <f>[1]PN!$N56</f>
        <v>-15307.223183391005</v>
      </c>
      <c r="BX56" s="18">
        <f t="shared" ref="BX56:BX57" si="118">BW56-BY56</f>
        <v>-14315.315121107267</v>
      </c>
      <c r="BY56" s="18">
        <f t="shared" si="53"/>
        <v>-991.90806228373731</v>
      </c>
      <c r="BZ56" s="18">
        <f t="shared" ref="BZ56:BZ57" si="119">+CB56-CA56</f>
        <v>0</v>
      </c>
      <c r="CA56" s="18">
        <f t="shared" ref="CA56:CA57" si="120">+CB56*6.48%</f>
        <v>0</v>
      </c>
      <c r="CB56" s="20"/>
      <c r="CC56" s="25">
        <f t="shared" ref="CC56:CC57" si="121">IF(BW56=0,"",(+CB56/BW56-1))</f>
        <v>-1</v>
      </c>
      <c r="CD56" s="23">
        <f>[1]PN!$O56</f>
        <v>-15307.223183391005</v>
      </c>
      <c r="CE56" s="18">
        <f t="shared" ref="CE56:CE57" si="122">CD56-CF56</f>
        <v>-14315.315121107267</v>
      </c>
      <c r="CF56" s="18">
        <f t="shared" si="57"/>
        <v>-991.90806228373731</v>
      </c>
      <c r="CG56" s="18">
        <f t="shared" ref="CG56:CG57" si="123">+CI56-CH56</f>
        <v>0</v>
      </c>
      <c r="CH56" s="18">
        <f t="shared" ref="CH56:CH57" si="124">+CI56*6.48%</f>
        <v>0</v>
      </c>
      <c r="CI56" s="20"/>
      <c r="CJ56" s="25">
        <f t="shared" ref="CJ56:CJ57" si="125">IF(CD56=0,"",(+CI56/CD56-1))</f>
        <v>-1</v>
      </c>
      <c r="CK56" s="23">
        <f>[1]PN!$P56</f>
        <v>-15307.223183391005</v>
      </c>
      <c r="CL56" s="18">
        <f t="shared" ref="CL56:CL57" si="126">CK56-CM56</f>
        <v>-14315.315121107267</v>
      </c>
      <c r="CM56" s="18">
        <f t="shared" si="61"/>
        <v>-991.90806228373731</v>
      </c>
      <c r="CN56" s="18">
        <f t="shared" ref="CN56:CN57" si="127">+CP56-CO56</f>
        <v>0</v>
      </c>
      <c r="CO56" s="18">
        <f t="shared" ref="CO56:CO57" si="128">+CP56*6.48%</f>
        <v>0</v>
      </c>
      <c r="CP56" s="20"/>
      <c r="CQ56" s="25">
        <f t="shared" ref="CQ56:CQ57" si="129">IF(CK56=0,"",(+CP56/CK56-1))</f>
        <v>-1</v>
      </c>
    </row>
    <row r="57" spans="1:99" s="26" customFormat="1" ht="16" customHeight="1" thickBot="1" x14ac:dyDescent="0.25">
      <c r="A57" s="126" t="s">
        <v>81</v>
      </c>
      <c r="B57" s="52">
        <f>+L57+S57+Z57+AG57+AN57+AU57+BB57+BI57+BP57+BW57+CD57+CK57</f>
        <v>-61228.892733563996</v>
      </c>
      <c r="C57" s="40">
        <f t="shared" si="79"/>
        <v>-57261.260484429054</v>
      </c>
      <c r="D57" s="51">
        <f t="shared" si="79"/>
        <v>-3967.6322491349479</v>
      </c>
      <c r="E57" s="50">
        <f>+L57+S57+Z57+AG57</f>
        <v>-20409.630911188004</v>
      </c>
      <c r="F57" s="58">
        <f t="shared" si="80"/>
        <v>-19087.086828143019</v>
      </c>
      <c r="G57" s="85">
        <f t="shared" si="80"/>
        <v>-1322.5440830449829</v>
      </c>
      <c r="H57" s="57">
        <f t="shared" si="81"/>
        <v>-29624.620311999999</v>
      </c>
      <c r="I57" s="58">
        <f t="shared" si="81"/>
        <v>-2052.6896880000004</v>
      </c>
      <c r="J57" s="58">
        <f t="shared" si="81"/>
        <v>-31677.310000000005</v>
      </c>
      <c r="K57" s="127">
        <f t="shared" si="82"/>
        <v>0.55207657295925761</v>
      </c>
      <c r="L57" s="56">
        <f>[1]PN!$E57</f>
        <v>-5102.4077277970009</v>
      </c>
      <c r="M57" s="57">
        <f t="shared" si="83"/>
        <v>-4771.7717070357548</v>
      </c>
      <c r="N57" s="57">
        <f t="shared" si="17"/>
        <v>-330.63602076124573</v>
      </c>
      <c r="O57" s="57">
        <f t="shared" si="84"/>
        <v>-18814.624808</v>
      </c>
      <c r="P57" s="57">
        <f t="shared" si="85"/>
        <v>-1303.6651920000002</v>
      </c>
      <c r="Q57" s="57">
        <v>-20118.29</v>
      </c>
      <c r="R57" s="57">
        <f t="shared" si="86"/>
        <v>2.9429012876409639</v>
      </c>
      <c r="S57" s="57">
        <f>[1]PN!$F57</f>
        <v>-5102.4077277970009</v>
      </c>
      <c r="T57" s="57">
        <f t="shared" si="87"/>
        <v>-4771.7717070357548</v>
      </c>
      <c r="U57" s="57">
        <f t="shared" si="21"/>
        <v>-330.63602076124573</v>
      </c>
      <c r="V57" s="57">
        <f t="shared" si="88"/>
        <v>-2779.8820000000001</v>
      </c>
      <c r="W57" s="57">
        <f t="shared" si="89"/>
        <v>-192.61800000000002</v>
      </c>
      <c r="X57" s="57">
        <v>-2972.5</v>
      </c>
      <c r="Y57" s="57">
        <f>IF(S57=0,"",(+X57/S57-1))</f>
        <v>-0.41743189518031776</v>
      </c>
      <c r="Z57" s="57">
        <f>[1]PN!$G57</f>
        <v>-5102.4077277970009</v>
      </c>
      <c r="AA57" s="57">
        <f t="shared" si="90"/>
        <v>-4771.7717070357548</v>
      </c>
      <c r="AB57" s="57">
        <f t="shared" si="25"/>
        <v>-330.63602076124573</v>
      </c>
      <c r="AC57" s="57">
        <f t="shared" si="91"/>
        <v>-12222.241024000001</v>
      </c>
      <c r="AD57" s="57">
        <f t="shared" si="92"/>
        <v>-846.87897600000019</v>
      </c>
      <c r="AE57" s="57">
        <f>-13069.12</f>
        <v>-13069.12</v>
      </c>
      <c r="AF57" s="57">
        <f t="shared" si="93"/>
        <v>1.5613633204578656</v>
      </c>
      <c r="AG57" s="57">
        <f>[1]PN!$H57</f>
        <v>-5102.4077277970009</v>
      </c>
      <c r="AH57" s="57">
        <f t="shared" si="94"/>
        <v>-4771.7717070357548</v>
      </c>
      <c r="AI57" s="57">
        <f t="shared" si="29"/>
        <v>-330.63602076124573</v>
      </c>
      <c r="AJ57" s="57">
        <f t="shared" si="95"/>
        <v>0</v>
      </c>
      <c r="AK57" s="57">
        <f t="shared" si="96"/>
        <v>0</v>
      </c>
      <c r="AL57" s="57"/>
      <c r="AM57" s="57">
        <f t="shared" si="97"/>
        <v>-1</v>
      </c>
      <c r="AN57" s="57">
        <f>[1]PN!$I57</f>
        <v>-5102.4077277970009</v>
      </c>
      <c r="AO57" s="57">
        <f t="shared" si="98"/>
        <v>-4771.7717070357548</v>
      </c>
      <c r="AP57" s="57">
        <f t="shared" si="33"/>
        <v>-330.63602076124573</v>
      </c>
      <c r="AQ57" s="57">
        <f t="shared" si="99"/>
        <v>1770.3897119999999</v>
      </c>
      <c r="AR57" s="57">
        <f t="shared" si="100"/>
        <v>122.67028800000001</v>
      </c>
      <c r="AS57" s="58">
        <v>1893.06</v>
      </c>
      <c r="AT57" s="127">
        <f t="shared" si="101"/>
        <v>-1.3710130787249613</v>
      </c>
      <c r="AU57" s="56">
        <f>[1]PN!$J57</f>
        <v>-5102.4077277970009</v>
      </c>
      <c r="AV57" s="57">
        <f t="shared" si="102"/>
        <v>-4771.7717070357548</v>
      </c>
      <c r="AW57" s="18">
        <f t="shared" si="37"/>
        <v>-330.63602076124573</v>
      </c>
      <c r="AX57" s="57">
        <f t="shared" si="103"/>
        <v>2421.7378079999999</v>
      </c>
      <c r="AY57" s="57">
        <f t="shared" si="104"/>
        <v>167.80219200000002</v>
      </c>
      <c r="AZ57" s="58">
        <v>2589.54</v>
      </c>
      <c r="BA57" s="127">
        <f t="shared" si="105"/>
        <v>-1.5075133423565215</v>
      </c>
      <c r="BB57" s="56">
        <f>[1]PN!$K57</f>
        <v>-5102.4077277970009</v>
      </c>
      <c r="BC57" s="57">
        <f t="shared" si="106"/>
        <v>-4771.7717070357548</v>
      </c>
      <c r="BD57" s="18">
        <f t="shared" si="41"/>
        <v>-330.63602076124573</v>
      </c>
      <c r="BE57" s="57">
        <f t="shared" si="107"/>
        <v>0</v>
      </c>
      <c r="BF57" s="57">
        <f t="shared" si="108"/>
        <v>0</v>
      </c>
      <c r="BG57" s="58"/>
      <c r="BH57" s="127">
        <f t="shared" si="109"/>
        <v>-1</v>
      </c>
      <c r="BI57" s="56">
        <f>[1]PN!$L57</f>
        <v>-5102.4077277970009</v>
      </c>
      <c r="BJ57" s="57">
        <f t="shared" si="110"/>
        <v>-4771.7717070357548</v>
      </c>
      <c r="BK57" s="18">
        <f t="shared" si="45"/>
        <v>-330.63602076124573</v>
      </c>
      <c r="BL57" s="57">
        <f t="shared" si="111"/>
        <v>0</v>
      </c>
      <c r="BM57" s="57">
        <f t="shared" si="112"/>
        <v>0</v>
      </c>
      <c r="BN57" s="58"/>
      <c r="BO57" s="127">
        <f t="shared" si="113"/>
        <v>-1</v>
      </c>
      <c r="BP57" s="56">
        <f>[1]PN!$M57</f>
        <v>-5102.4077277970009</v>
      </c>
      <c r="BQ57" s="57">
        <f t="shared" si="114"/>
        <v>-4771.7717070357548</v>
      </c>
      <c r="BR57" s="18">
        <f t="shared" si="49"/>
        <v>-330.63602076124573</v>
      </c>
      <c r="BS57" s="57">
        <f t="shared" si="115"/>
        <v>0</v>
      </c>
      <c r="BT57" s="57">
        <f t="shared" si="116"/>
        <v>0</v>
      </c>
      <c r="BU57" s="58"/>
      <c r="BV57" s="127">
        <f t="shared" si="117"/>
        <v>-1</v>
      </c>
      <c r="BW57" s="56">
        <f>[1]PN!$N57</f>
        <v>-5102.4077277970009</v>
      </c>
      <c r="BX57" s="57">
        <f t="shared" si="118"/>
        <v>-4771.7717070357548</v>
      </c>
      <c r="BY57" s="18">
        <f t="shared" si="53"/>
        <v>-330.63602076124573</v>
      </c>
      <c r="BZ57" s="57">
        <f t="shared" si="119"/>
        <v>0</v>
      </c>
      <c r="CA57" s="57">
        <f t="shared" si="120"/>
        <v>0</v>
      </c>
      <c r="CB57" s="58"/>
      <c r="CC57" s="127">
        <f t="shared" si="121"/>
        <v>-1</v>
      </c>
      <c r="CD57" s="56">
        <f>[1]PN!$O57</f>
        <v>-5102.4077277970009</v>
      </c>
      <c r="CE57" s="57">
        <f t="shared" si="122"/>
        <v>-4771.7717070357548</v>
      </c>
      <c r="CF57" s="18">
        <f t="shared" si="57"/>
        <v>-330.63602076124573</v>
      </c>
      <c r="CG57" s="57">
        <f t="shared" si="123"/>
        <v>0</v>
      </c>
      <c r="CH57" s="57">
        <f t="shared" si="124"/>
        <v>0</v>
      </c>
      <c r="CI57" s="58"/>
      <c r="CJ57" s="127">
        <f t="shared" si="125"/>
        <v>-1</v>
      </c>
      <c r="CK57" s="56">
        <f>[1]PN!$P57</f>
        <v>-5102.4077277970009</v>
      </c>
      <c r="CL57" s="57">
        <f t="shared" si="126"/>
        <v>-4771.7717070357548</v>
      </c>
      <c r="CM57" s="18">
        <f t="shared" si="61"/>
        <v>-330.63602076124573</v>
      </c>
      <c r="CN57" s="57">
        <f t="shared" si="127"/>
        <v>0</v>
      </c>
      <c r="CO57" s="57">
        <f t="shared" si="128"/>
        <v>0</v>
      </c>
      <c r="CP57" s="58"/>
      <c r="CQ57" s="127">
        <f t="shared" si="129"/>
        <v>-1</v>
      </c>
    </row>
    <row r="58" spans="1:99" s="26" customFormat="1" ht="16" customHeight="1" thickBot="1" x14ac:dyDescent="0.25">
      <c r="A58" s="131" t="s">
        <v>82</v>
      </c>
      <c r="B58" s="89">
        <f>+B55+B56+B57</f>
        <v>11081332.543080116</v>
      </c>
      <c r="C58" s="90">
        <f t="shared" ref="C58:D58" si="130">+C55+C56+C57</f>
        <v>10363262.194288522</v>
      </c>
      <c r="D58" s="91">
        <f t="shared" si="130"/>
        <v>718070.34879159159</v>
      </c>
      <c r="E58" s="92">
        <f t="shared" ref="E58:J58" si="131">SUM(E55:E57)</f>
        <v>5329307.7438943116</v>
      </c>
      <c r="F58" s="93">
        <f t="shared" si="131"/>
        <v>4983968.6020899629</v>
      </c>
      <c r="G58" s="94">
        <f t="shared" si="131"/>
        <v>345339.14180435135</v>
      </c>
      <c r="H58" s="95">
        <f t="shared" si="131"/>
        <v>4909485.7842260487</v>
      </c>
      <c r="I58" s="96">
        <f t="shared" si="131"/>
        <v>340178.22799171065</v>
      </c>
      <c r="J58" s="96">
        <f t="shared" si="131"/>
        <v>5249664.012217761</v>
      </c>
      <c r="K58" s="132">
        <f>+J58/E55-1</f>
        <v>-2.9806663630880026E-2</v>
      </c>
      <c r="L58" s="133">
        <f t="shared" ref="L58:X58" si="132">SUM(L55:L57)</f>
        <v>1695995.6200626688</v>
      </c>
      <c r="M58" s="133">
        <f t="shared" si="132"/>
        <v>1586095.1038826087</v>
      </c>
      <c r="N58" s="133">
        <f t="shared" si="17"/>
        <v>109900.51618006095</v>
      </c>
      <c r="O58" s="133">
        <f t="shared" si="132"/>
        <v>1007833.3211333334</v>
      </c>
      <c r="P58" s="133">
        <f t="shared" si="132"/>
        <v>69832.762200000012</v>
      </c>
      <c r="Q58" s="133">
        <f t="shared" si="132"/>
        <v>1077666.0833333335</v>
      </c>
      <c r="R58" s="133">
        <f>+Q58/L55-1</f>
        <v>-0.37213773803017347</v>
      </c>
      <c r="S58" s="133">
        <f t="shared" si="132"/>
        <v>1403679.5865989127</v>
      </c>
      <c r="T58" s="133">
        <f t="shared" si="132"/>
        <v>1312721.1493873042</v>
      </c>
      <c r="U58" s="133">
        <f t="shared" si="21"/>
        <v>90958.437211609562</v>
      </c>
      <c r="V58" s="133">
        <f t="shared" si="132"/>
        <v>730072.13158133347</v>
      </c>
      <c r="W58" s="133">
        <f t="shared" si="132"/>
        <v>50586.691752000013</v>
      </c>
      <c r="X58" s="133">
        <f t="shared" si="132"/>
        <v>780658.82333333348</v>
      </c>
      <c r="Y58" s="133">
        <f>+X58/S55-1</f>
        <v>-0.4518188792284733</v>
      </c>
      <c r="Z58" s="133">
        <f t="shared" ref="Z58:AE58" si="133">SUM(Z55:Z57)</f>
        <v>1198200.6091644668</v>
      </c>
      <c r="AA58" s="133">
        <f t="shared" si="133"/>
        <v>1120557.2096906095</v>
      </c>
      <c r="AB58" s="133">
        <f t="shared" si="25"/>
        <v>77643.399473857469</v>
      </c>
      <c r="AC58" s="133">
        <f t="shared" si="133"/>
        <v>900784.26175938221</v>
      </c>
      <c r="AD58" s="133">
        <f t="shared" si="133"/>
        <v>62415.333791710837</v>
      </c>
      <c r="AE58" s="133">
        <f t="shared" si="133"/>
        <v>963199.59555109288</v>
      </c>
      <c r="AF58" s="133">
        <f>+AE58/Z55-1</f>
        <v>-0.20959174322111829</v>
      </c>
      <c r="AG58" s="133">
        <f t="shared" ref="AG58:AL58" si="134">SUM(AG55:AG57)</f>
        <v>1031431.9280682629</v>
      </c>
      <c r="AH58" s="133">
        <f t="shared" si="134"/>
        <v>964595.1391294396</v>
      </c>
      <c r="AI58" s="133">
        <f t="shared" si="29"/>
        <v>66836.788938823447</v>
      </c>
      <c r="AJ58" s="133">
        <f t="shared" si="134"/>
        <v>774868.46408533317</v>
      </c>
      <c r="AK58" s="133">
        <f t="shared" si="134"/>
        <v>53690.629248000012</v>
      </c>
      <c r="AL58" s="133">
        <f t="shared" si="134"/>
        <v>828559.0933333335</v>
      </c>
      <c r="AM58" s="133">
        <f>+AL58/AG55-1</f>
        <v>-0.21227766077502896</v>
      </c>
      <c r="AN58" s="133">
        <f t="shared" ref="AN58:AS58" si="135">SUM(AN55:AN57)</f>
        <v>1085422.1566239332</v>
      </c>
      <c r="AO58" s="133">
        <f t="shared" si="135"/>
        <v>1015086.8008747024</v>
      </c>
      <c r="AP58" s="133">
        <f t="shared" si="33"/>
        <v>70335.35574923089</v>
      </c>
      <c r="AQ58" s="133">
        <f t="shared" si="135"/>
        <v>789186.59118133341</v>
      </c>
      <c r="AR58" s="133">
        <f t="shared" si="135"/>
        <v>54682.732152000026</v>
      </c>
      <c r="AS58" s="96">
        <f t="shared" si="135"/>
        <v>843869.32333333348</v>
      </c>
      <c r="AT58" s="132">
        <f>+AS58/AN55-1</f>
        <v>-0.23689178332058736</v>
      </c>
      <c r="AU58" s="133">
        <f t="shared" ref="AU58:AZ58" si="136">SUM(AU55:AU57)</f>
        <v>1134065.7097757731</v>
      </c>
      <c r="AV58" s="133">
        <f t="shared" si="136"/>
        <v>1060578.2517823032</v>
      </c>
      <c r="AW58" s="18">
        <f t="shared" si="37"/>
        <v>73487.457993470103</v>
      </c>
      <c r="AX58" s="95">
        <f t="shared" si="136"/>
        <v>706741.01448533323</v>
      </c>
      <c r="AY58" s="95">
        <f t="shared" si="136"/>
        <v>48970.078848000012</v>
      </c>
      <c r="AZ58" s="96">
        <f t="shared" si="136"/>
        <v>755711.0933333335</v>
      </c>
      <c r="BA58" s="132">
        <f>+AZ58/AU55-1</f>
        <v>-0.34540733205816776</v>
      </c>
      <c r="BB58" s="133">
        <f t="shared" ref="BB58:BG58" si="137">SUM(BB55:BB57)</f>
        <v>850043.73045903898</v>
      </c>
      <c r="BC58" s="133">
        <f t="shared" si="137"/>
        <v>794960.89672529337</v>
      </c>
      <c r="BD58" s="18">
        <f t="shared" si="41"/>
        <v>55082.833733745734</v>
      </c>
      <c r="BE58" s="95">
        <f t="shared" si="137"/>
        <v>0</v>
      </c>
      <c r="BF58" s="95">
        <f t="shared" si="137"/>
        <v>0</v>
      </c>
      <c r="BG58" s="96">
        <f t="shared" si="137"/>
        <v>0</v>
      </c>
      <c r="BH58" s="132">
        <f>+BG58/BB55-1</f>
        <v>-1</v>
      </c>
      <c r="BI58" s="133">
        <f t="shared" ref="BI58:BN58" si="138">SUM(BI55:BI57)</f>
        <v>643834.70518353267</v>
      </c>
      <c r="BJ58" s="133">
        <f t="shared" si="138"/>
        <v>602114.21628764004</v>
      </c>
      <c r="BK58" s="18">
        <f t="shared" si="45"/>
        <v>41720.488895892922</v>
      </c>
      <c r="BL58" s="95">
        <f t="shared" si="138"/>
        <v>0</v>
      </c>
      <c r="BM58" s="95">
        <f t="shared" si="138"/>
        <v>0</v>
      </c>
      <c r="BN58" s="96">
        <f t="shared" si="138"/>
        <v>0</v>
      </c>
      <c r="BO58" s="132">
        <f>+BN58/BI55-1</f>
        <v>-1</v>
      </c>
      <c r="BP58" s="133">
        <f t="shared" ref="BP58:BU58" si="139">SUM(BP55:BP57)</f>
        <v>631177.30831605033</v>
      </c>
      <c r="BQ58" s="133">
        <f t="shared" si="139"/>
        <v>590277.0187371705</v>
      </c>
      <c r="BR58" s="18">
        <f t="shared" si="49"/>
        <v>40900.289578880067</v>
      </c>
      <c r="BS58" s="95">
        <f t="shared" si="139"/>
        <v>0</v>
      </c>
      <c r="BT58" s="95">
        <f t="shared" si="139"/>
        <v>0</v>
      </c>
      <c r="BU58" s="96">
        <f t="shared" si="139"/>
        <v>0</v>
      </c>
      <c r="BV58" s="132">
        <f>+BU58/BP55-1</f>
        <v>-1</v>
      </c>
      <c r="BW58" s="133">
        <f t="shared" ref="BW58:CB58" si="140">SUM(BW55:BW57)</f>
        <v>518184.86549121054</v>
      </c>
      <c r="BX58" s="133">
        <f t="shared" si="140"/>
        <v>484606.48620738025</v>
      </c>
      <c r="BY58" s="18">
        <f t="shared" si="53"/>
        <v>33578.379283830451</v>
      </c>
      <c r="BZ58" s="95">
        <f t="shared" si="140"/>
        <v>0</v>
      </c>
      <c r="CA58" s="95">
        <f t="shared" si="140"/>
        <v>0</v>
      </c>
      <c r="CB58" s="96">
        <f t="shared" si="140"/>
        <v>0</v>
      </c>
      <c r="CC58" s="132">
        <f>+CB58/BW55-1</f>
        <v>-1</v>
      </c>
      <c r="CD58" s="133">
        <f t="shared" ref="CD58:CI58" si="141">SUM(CD55:CD57)</f>
        <v>441948.34243805142</v>
      </c>
      <c r="CE58" s="133">
        <f t="shared" si="141"/>
        <v>413310.08984806569</v>
      </c>
      <c r="CF58" s="18">
        <f t="shared" si="57"/>
        <v>28638.252589985736</v>
      </c>
      <c r="CG58" s="95">
        <f t="shared" si="141"/>
        <v>0</v>
      </c>
      <c r="CH58" s="95">
        <f t="shared" si="141"/>
        <v>0</v>
      </c>
      <c r="CI58" s="96">
        <f t="shared" si="141"/>
        <v>0</v>
      </c>
      <c r="CJ58" s="132">
        <f>+CI58/CD55-1</f>
        <v>-1</v>
      </c>
      <c r="CK58" s="133">
        <f t="shared" ref="CK58:CP58" si="142">SUM(CK55:CK57)</f>
        <v>447347.98089821142</v>
      </c>
      <c r="CL58" s="133">
        <f t="shared" si="142"/>
        <v>418359.83173600736</v>
      </c>
      <c r="CM58" s="18">
        <f t="shared" si="61"/>
        <v>28988.149162204103</v>
      </c>
      <c r="CN58" s="95">
        <f t="shared" si="142"/>
        <v>0</v>
      </c>
      <c r="CO58" s="95">
        <f t="shared" si="142"/>
        <v>0</v>
      </c>
      <c r="CP58" s="96">
        <f t="shared" si="142"/>
        <v>0</v>
      </c>
      <c r="CQ58" s="132">
        <f>+CP58/CK55-1</f>
        <v>-1</v>
      </c>
    </row>
    <row r="59" spans="1:99" s="105" customFormat="1" ht="14.25" customHeight="1" x14ac:dyDescent="0.2">
      <c r="B59" s="104"/>
      <c r="C59" s="104"/>
      <c r="D59" s="104"/>
      <c r="J59" s="104">
        <f>J58-[2]PAINEIRAS!$N$46</f>
        <v>1599580.4166666684</v>
      </c>
      <c r="Q59" s="104">
        <f>+Q58-[2]PAINEIRAS!$N$102</f>
        <v>0</v>
      </c>
      <c r="X59" s="104">
        <f>+X58-[2]PAINEIRAS!$N$154</f>
        <v>0</v>
      </c>
      <c r="AE59" s="104">
        <f>AE58-[2]PAINEIRAS!$N$206</f>
        <v>0</v>
      </c>
      <c r="AL59" s="104">
        <f>AL58-[2]PAINEIRAS!$N$259</f>
        <v>0</v>
      </c>
      <c r="AS59" s="104">
        <f>AS58-[3]PAINEIRAS!$N$307</f>
        <v>843869.32333333348</v>
      </c>
      <c r="AZ59" s="104">
        <f>AZ58-[3]PAINEIRAS!$N$359</f>
        <v>755711.0933333335</v>
      </c>
      <c r="BA59" s="104"/>
      <c r="BB59" s="104"/>
      <c r="BC59" s="104"/>
      <c r="BD59" s="104"/>
      <c r="BE59" s="104"/>
      <c r="BF59" s="104"/>
      <c r="BG59" s="104">
        <f>BG58-[3]PAINEIRAS!$N$411</f>
        <v>0</v>
      </c>
      <c r="BH59" s="104"/>
      <c r="BI59" s="104"/>
      <c r="BJ59" s="104"/>
      <c r="BK59" s="104"/>
      <c r="BL59" s="104"/>
      <c r="BM59" s="104"/>
      <c r="BN59" s="104">
        <f>BN58-[3]PAINEIRAS!$N$463</f>
        <v>0</v>
      </c>
      <c r="BO59" s="104"/>
      <c r="BP59" s="104"/>
      <c r="BQ59" s="104"/>
      <c r="BR59" s="104"/>
      <c r="BS59" s="104"/>
      <c r="BT59" s="104"/>
      <c r="BU59" s="104">
        <f>BU58-[3]PAINEIRAS!$N$515</f>
        <v>0</v>
      </c>
      <c r="BV59" s="104"/>
      <c r="BW59" s="104"/>
      <c r="BX59" s="104"/>
      <c r="BY59" s="104"/>
      <c r="BZ59" s="104"/>
      <c r="CA59" s="104"/>
      <c r="CB59" s="104">
        <f>CB58-[3]PAINEIRAS!$N$567</f>
        <v>0</v>
      </c>
      <c r="CC59" s="104"/>
      <c r="CD59" s="104"/>
      <c r="CE59" s="104"/>
      <c r="CF59" s="104"/>
      <c r="CG59" s="104"/>
      <c r="CH59" s="104"/>
      <c r="CI59" s="104">
        <f>CI58-[3]PAINEIRAS!$N$619</f>
        <v>0</v>
      </c>
      <c r="CP59" s="104">
        <f>CP58-[3]PAINEIRAS!$N$671</f>
        <v>0</v>
      </c>
    </row>
    <row r="60" spans="1:99" ht="14.25" customHeight="1" x14ac:dyDescent="0.2">
      <c r="L60" s="241" t="s">
        <v>83</v>
      </c>
      <c r="M60" s="242"/>
      <c r="N60" s="242"/>
      <c r="O60" s="242"/>
      <c r="P60" s="242"/>
      <c r="Q60" s="243"/>
      <c r="R60" s="244"/>
      <c r="S60" s="241" t="s">
        <v>83</v>
      </c>
      <c r="T60" s="242"/>
      <c r="U60" s="242"/>
      <c r="V60" s="242"/>
      <c r="W60" s="242"/>
      <c r="X60" s="243"/>
      <c r="Y60" s="244"/>
      <c r="Z60" s="241" t="s">
        <v>83</v>
      </c>
      <c r="AA60" s="242"/>
      <c r="AB60" s="242"/>
      <c r="AC60" s="242"/>
      <c r="AD60" s="242"/>
      <c r="AE60" s="243"/>
      <c r="AF60" s="244"/>
      <c r="AG60" s="241" t="s">
        <v>83</v>
      </c>
      <c r="AH60" s="242"/>
      <c r="AI60" s="242"/>
      <c r="AJ60" s="242"/>
      <c r="AK60" s="242"/>
      <c r="AL60" s="243"/>
      <c r="AM60" s="244"/>
      <c r="AN60" s="241" t="s">
        <v>83</v>
      </c>
      <c r="AO60" s="242"/>
      <c r="AP60" s="242"/>
      <c r="AQ60" s="242"/>
      <c r="AR60" s="242"/>
      <c r="AS60" s="243"/>
      <c r="AT60" s="244"/>
      <c r="AU60" s="241" t="s">
        <v>83</v>
      </c>
      <c r="AV60" s="242"/>
      <c r="AW60" s="242"/>
      <c r="AX60" s="242"/>
      <c r="AY60" s="242"/>
      <c r="AZ60" s="243"/>
      <c r="BA60" s="244"/>
      <c r="BB60" s="241" t="s">
        <v>83</v>
      </c>
      <c r="BC60" s="242"/>
      <c r="BD60" s="242"/>
      <c r="BE60" s="242"/>
      <c r="BF60" s="242"/>
      <c r="BG60" s="243"/>
      <c r="BH60" s="244"/>
      <c r="BI60" s="241" t="s">
        <v>83</v>
      </c>
      <c r="BJ60" s="242"/>
      <c r="BK60" s="242"/>
      <c r="BL60" s="242"/>
      <c r="BM60" s="242"/>
      <c r="BN60" s="243"/>
      <c r="BO60" s="244"/>
      <c r="BP60" s="241" t="s">
        <v>83</v>
      </c>
      <c r="BQ60" s="242"/>
      <c r="BR60" s="242"/>
      <c r="BS60" s="242"/>
      <c r="BT60" s="242"/>
      <c r="BU60" s="243"/>
      <c r="BV60" s="244"/>
      <c r="BW60" s="241" t="s">
        <v>83</v>
      </c>
      <c r="BX60" s="242"/>
      <c r="BY60" s="242"/>
      <c r="BZ60" s="242"/>
      <c r="CA60" s="242"/>
      <c r="CB60" s="243"/>
      <c r="CC60" s="244"/>
      <c r="CD60" s="241" t="s">
        <v>83</v>
      </c>
      <c r="CE60" s="242"/>
      <c r="CF60" s="242"/>
      <c r="CG60" s="242"/>
      <c r="CH60" s="242"/>
      <c r="CI60" s="243"/>
      <c r="CJ60" s="244"/>
      <c r="CK60" s="241" t="s">
        <v>83</v>
      </c>
      <c r="CL60" s="242"/>
      <c r="CM60" s="242"/>
      <c r="CN60" s="242"/>
      <c r="CO60" s="242"/>
      <c r="CP60" s="243"/>
      <c r="CQ60" s="244"/>
    </row>
    <row r="61" spans="1:99" ht="14.25" customHeight="1" x14ac:dyDescent="0.2">
      <c r="L61" s="107" t="s">
        <v>84</v>
      </c>
      <c r="M61" s="108"/>
      <c r="N61" s="108"/>
      <c r="O61" s="108"/>
      <c r="P61" s="108"/>
      <c r="Q61" s="109"/>
      <c r="R61" s="110">
        <f>10.05+624.7+36.2+3.13+58.41+2.37+563.93+165.98+88.52+296.4+35.17+5.93+5.06+32.23+367.5+44.65+0.84+624.7+5.2+564.13+2.99</f>
        <v>3538.09</v>
      </c>
      <c r="S61" s="107" t="s">
        <v>84</v>
      </c>
      <c r="T61" s="108"/>
      <c r="U61" s="108"/>
      <c r="V61" s="108"/>
      <c r="W61" s="108"/>
      <c r="X61" s="109"/>
      <c r="Y61" s="110">
        <f>14.23+10.92+17.39+58.41+13.24+11.86+607.11+38.07+298.2+57.4+3.96+21.34+624.7+71.14+3.13+20.77+2.37+6.32+296.4+5.93</f>
        <v>2182.89</v>
      </c>
      <c r="Z61" s="107" t="s">
        <v>84</v>
      </c>
      <c r="AA61" s="108"/>
      <c r="AB61" s="108"/>
      <c r="AC61" s="108"/>
      <c r="AD61" s="108"/>
      <c r="AE61" s="109"/>
      <c r="AF61" s="110">
        <f>14.62+3.13+15.78+2.37+94.85+296.4+5.93+30.92+624.7+8.69+32.32+255.89+44.69</f>
        <v>1430.29</v>
      </c>
      <c r="AG61" s="107" t="s">
        <v>84</v>
      </c>
      <c r="AH61" s="108"/>
      <c r="AI61" s="108"/>
      <c r="AJ61" s="108"/>
      <c r="AK61" s="108"/>
      <c r="AL61" s="109"/>
      <c r="AM61" s="110">
        <f>9.56+3.13+165.98+22.89+4.12+2.37+576.4+296.4+5.93+132.79+26.08+29.28+335.53+39.62+624.7+14.62</f>
        <v>2289.3999999999996</v>
      </c>
      <c r="AN61" s="107"/>
      <c r="AO61" s="108"/>
      <c r="AP61" s="108"/>
      <c r="AQ61" s="108"/>
      <c r="AR61" s="108"/>
      <c r="AS61" s="109"/>
      <c r="AT61" s="110"/>
      <c r="AU61" s="107"/>
      <c r="AV61" s="108"/>
      <c r="AW61" s="108"/>
      <c r="AX61" s="108"/>
      <c r="AY61" s="108"/>
      <c r="AZ61" s="109"/>
      <c r="BA61" s="110"/>
      <c r="BB61" s="107"/>
      <c r="BC61" s="108"/>
      <c r="BD61" s="108"/>
      <c r="BE61" s="108"/>
      <c r="BF61" s="108"/>
      <c r="BG61" s="109"/>
      <c r="BH61" s="110"/>
      <c r="BI61" s="107"/>
      <c r="BJ61" s="108"/>
      <c r="BK61" s="108"/>
      <c r="BL61" s="108"/>
      <c r="BM61" s="108"/>
      <c r="BN61" s="109"/>
      <c r="BO61" s="110"/>
      <c r="BP61" s="107"/>
      <c r="BQ61" s="108"/>
      <c r="BR61" s="108"/>
      <c r="BS61" s="108"/>
      <c r="BT61" s="108"/>
      <c r="BU61" s="109"/>
      <c r="BV61" s="110"/>
      <c r="BW61" s="107"/>
      <c r="BX61" s="108"/>
      <c r="BY61" s="108"/>
      <c r="BZ61" s="108"/>
      <c r="CA61" s="108"/>
      <c r="CB61" s="109"/>
      <c r="CC61" s="110"/>
      <c r="CD61" s="107"/>
      <c r="CE61" s="108"/>
      <c r="CF61" s="108"/>
      <c r="CG61" s="108"/>
      <c r="CH61" s="108"/>
      <c r="CI61" s="109"/>
      <c r="CJ61" s="110"/>
      <c r="CK61" s="107"/>
      <c r="CL61" s="108"/>
      <c r="CM61" s="108"/>
      <c r="CN61" s="108"/>
      <c r="CO61" s="108"/>
      <c r="CP61" s="109"/>
      <c r="CQ61" s="110"/>
    </row>
    <row r="62" spans="1:99" ht="14.25" customHeight="1" x14ac:dyDescent="0.2">
      <c r="L62" s="107" t="s">
        <v>86</v>
      </c>
      <c r="M62" s="108"/>
      <c r="N62" s="108"/>
      <c r="O62" s="108"/>
      <c r="P62" s="108"/>
      <c r="Q62" s="109"/>
      <c r="R62" s="110">
        <f>354.31</f>
        <v>354.31</v>
      </c>
      <c r="S62" s="107" t="s">
        <v>86</v>
      </c>
      <c r="T62" s="108"/>
      <c r="U62" s="108"/>
      <c r="V62" s="108"/>
      <c r="W62" s="108"/>
      <c r="X62" s="109"/>
      <c r="Y62" s="114">
        <f>279.59</f>
        <v>279.58999999999997</v>
      </c>
      <c r="Z62" s="107" t="s">
        <v>86</v>
      </c>
      <c r="AA62" s="108"/>
      <c r="AB62" s="108"/>
      <c r="AC62" s="108"/>
      <c r="AD62" s="108"/>
      <c r="AE62" s="109"/>
      <c r="AF62" s="110">
        <f>362.27</f>
        <v>362.27</v>
      </c>
      <c r="AG62" s="107" t="s">
        <v>86</v>
      </c>
      <c r="AH62" s="108"/>
      <c r="AI62" s="108"/>
      <c r="AJ62" s="108"/>
      <c r="AK62" s="108"/>
      <c r="AL62" s="109"/>
      <c r="AM62" s="110">
        <f>338.1</f>
        <v>338.1</v>
      </c>
      <c r="AN62" s="107"/>
      <c r="AO62" s="108"/>
      <c r="AP62" s="108"/>
      <c r="AQ62" s="108"/>
      <c r="AR62" s="108"/>
      <c r="AS62" s="109"/>
      <c r="AT62" s="110"/>
      <c r="AU62" s="107"/>
      <c r="AV62" s="108"/>
      <c r="AW62" s="108"/>
      <c r="AX62" s="108"/>
      <c r="AY62" s="108"/>
      <c r="AZ62" s="109"/>
      <c r="BA62" s="110"/>
      <c r="BB62" s="107"/>
      <c r="BC62" s="108"/>
      <c r="BD62" s="108"/>
      <c r="BE62" s="108"/>
      <c r="BF62" s="108"/>
      <c r="BG62" s="109"/>
      <c r="BH62" s="110"/>
      <c r="BI62" s="107"/>
      <c r="BJ62" s="108"/>
      <c r="BK62" s="108"/>
      <c r="BL62" s="108"/>
      <c r="BM62" s="108"/>
      <c r="BN62" s="109"/>
      <c r="BO62" s="110"/>
      <c r="BP62" s="107"/>
      <c r="BQ62" s="108"/>
      <c r="BR62" s="108"/>
      <c r="BS62" s="108"/>
      <c r="BT62" s="108"/>
      <c r="BU62" s="109"/>
      <c r="BV62" s="110"/>
      <c r="BW62" s="107"/>
      <c r="BX62" s="108"/>
      <c r="BY62" s="108"/>
      <c r="BZ62" s="108"/>
      <c r="CA62" s="108"/>
      <c r="CB62" s="109"/>
      <c r="CC62" s="110"/>
      <c r="CD62" s="107"/>
      <c r="CE62" s="108"/>
      <c r="CF62" s="108"/>
      <c r="CG62" s="108"/>
      <c r="CH62" s="108"/>
      <c r="CI62" s="109"/>
      <c r="CJ62" s="110"/>
      <c r="CK62" s="107"/>
      <c r="CL62" s="108"/>
      <c r="CM62" s="108"/>
      <c r="CN62" s="108"/>
      <c r="CO62" s="108"/>
      <c r="CP62" s="109"/>
      <c r="CQ62" s="110"/>
    </row>
    <row r="63" spans="1:99" ht="14.25" customHeight="1" x14ac:dyDescent="0.2">
      <c r="L63" s="107" t="s">
        <v>87</v>
      </c>
      <c r="M63" s="108"/>
      <c r="N63" s="108"/>
      <c r="O63" s="108"/>
      <c r="P63" s="108"/>
      <c r="Q63" s="109"/>
      <c r="R63" s="110">
        <f>538.74</f>
        <v>538.74</v>
      </c>
      <c r="S63" s="107" t="s">
        <v>87</v>
      </c>
      <c r="T63" s="108"/>
      <c r="U63" s="108"/>
      <c r="V63" s="108"/>
      <c r="W63" s="108"/>
      <c r="X63" s="109"/>
      <c r="Y63" s="114">
        <f>340.98</f>
        <v>340.98</v>
      </c>
      <c r="Z63" s="107" t="s">
        <v>87</v>
      </c>
      <c r="AA63" s="108"/>
      <c r="AB63" s="108"/>
      <c r="AC63" s="108"/>
      <c r="AD63" s="108"/>
      <c r="AE63" s="109"/>
      <c r="AF63" s="110">
        <f>569.24</f>
        <v>569.24</v>
      </c>
      <c r="AG63" s="107" t="s">
        <v>87</v>
      </c>
      <c r="AH63" s="108"/>
      <c r="AI63" s="108"/>
      <c r="AJ63" s="108"/>
      <c r="AK63" s="108"/>
      <c r="AL63" s="109"/>
      <c r="AM63" s="110">
        <f>305.34+120</f>
        <v>425.34</v>
      </c>
      <c r="AN63" s="107"/>
      <c r="AO63" s="108"/>
      <c r="AP63" s="108"/>
      <c r="AQ63" s="108"/>
      <c r="AR63" s="108"/>
      <c r="AS63" s="109"/>
      <c r="AT63" s="110"/>
      <c r="AU63" s="107"/>
      <c r="AV63" s="108"/>
      <c r="AW63" s="108"/>
      <c r="AX63" s="108"/>
      <c r="AY63" s="108"/>
      <c r="AZ63" s="109"/>
      <c r="BA63" s="110"/>
      <c r="BB63" s="107"/>
      <c r="BC63" s="108"/>
      <c r="BD63" s="108"/>
      <c r="BE63" s="108"/>
      <c r="BF63" s="108"/>
      <c r="BG63" s="109"/>
      <c r="BH63" s="110"/>
      <c r="BI63" s="107"/>
      <c r="BJ63" s="108"/>
      <c r="BK63" s="108"/>
      <c r="BL63" s="108"/>
      <c r="BM63" s="108"/>
      <c r="BN63" s="109"/>
      <c r="BO63" s="110"/>
      <c r="BP63" s="107"/>
      <c r="BQ63" s="108"/>
      <c r="BR63" s="108"/>
      <c r="BS63" s="108"/>
      <c r="BT63" s="108"/>
      <c r="BU63" s="109"/>
      <c r="BV63" s="110"/>
      <c r="BW63" s="107"/>
      <c r="BX63" s="108"/>
      <c r="BY63" s="108"/>
      <c r="BZ63" s="108"/>
      <c r="CA63" s="108"/>
      <c r="CB63" s="109"/>
      <c r="CC63" s="110"/>
      <c r="CD63" s="107"/>
      <c r="CE63" s="108"/>
      <c r="CF63" s="108"/>
      <c r="CG63" s="108"/>
      <c r="CH63" s="108"/>
      <c r="CI63" s="109"/>
      <c r="CJ63" s="110"/>
      <c r="CK63" s="107"/>
      <c r="CL63" s="108"/>
      <c r="CM63" s="108"/>
      <c r="CN63" s="108"/>
      <c r="CO63" s="108"/>
      <c r="CP63" s="109"/>
      <c r="CQ63" s="110"/>
    </row>
    <row r="64" spans="1:99" ht="14.25" customHeight="1" x14ac:dyDescent="0.2">
      <c r="L64" s="107" t="s">
        <v>159</v>
      </c>
      <c r="M64" s="108"/>
      <c r="N64" s="108"/>
      <c r="O64" s="108"/>
      <c r="P64" s="108"/>
      <c r="Q64" s="109"/>
      <c r="R64" s="110">
        <f>100.47+551.4</f>
        <v>651.87</v>
      </c>
      <c r="S64" s="107" t="s">
        <v>159</v>
      </c>
      <c r="T64" s="108"/>
      <c r="U64" s="108"/>
      <c r="V64" s="108"/>
      <c r="W64" s="108"/>
      <c r="X64" s="109"/>
      <c r="Y64" s="110">
        <f>751.51+134.32</f>
        <v>885.82999999999993</v>
      </c>
      <c r="Z64" s="107" t="s">
        <v>159</v>
      </c>
      <c r="AA64" s="108"/>
      <c r="AB64" s="108"/>
      <c r="AC64" s="108"/>
      <c r="AD64" s="108"/>
      <c r="AE64" s="109"/>
      <c r="AF64" s="110"/>
      <c r="AG64" s="107" t="s">
        <v>159</v>
      </c>
      <c r="AH64" s="108"/>
      <c r="AI64" s="108"/>
      <c r="AJ64" s="108"/>
      <c r="AK64" s="108"/>
      <c r="AL64" s="109"/>
      <c r="AM64" s="110">
        <f>134.22+371.28</f>
        <v>505.5</v>
      </c>
      <c r="AN64" s="107"/>
      <c r="AO64" s="108"/>
      <c r="AP64" s="108"/>
      <c r="AQ64" s="108"/>
      <c r="AR64" s="108"/>
      <c r="AS64" s="109"/>
      <c r="AT64" s="110"/>
      <c r="AU64" s="107"/>
      <c r="AV64" s="108"/>
      <c r="AW64" s="108"/>
      <c r="AX64" s="108"/>
      <c r="AY64" s="108"/>
      <c r="AZ64" s="109"/>
      <c r="BA64" s="110"/>
      <c r="BB64" s="107"/>
      <c r="BC64" s="108"/>
      <c r="BD64" s="108"/>
      <c r="BE64" s="108"/>
      <c r="BF64" s="108"/>
      <c r="BG64" s="109"/>
      <c r="BH64" s="110"/>
      <c r="BI64" s="107"/>
      <c r="BJ64" s="108"/>
      <c r="BK64" s="108"/>
      <c r="BL64" s="108"/>
      <c r="BM64" s="108"/>
      <c r="BN64" s="109"/>
      <c r="BO64" s="110"/>
      <c r="BP64" s="107"/>
      <c r="BQ64" s="108"/>
      <c r="BR64" s="108"/>
      <c r="BS64" s="108"/>
      <c r="BT64" s="108"/>
      <c r="BU64" s="109"/>
      <c r="BV64" s="110"/>
      <c r="BW64" s="107"/>
      <c r="BX64" s="108"/>
      <c r="BY64" s="108"/>
      <c r="BZ64" s="108"/>
      <c r="CA64" s="108"/>
      <c r="CB64" s="109"/>
      <c r="CC64" s="110"/>
      <c r="CD64" s="107"/>
      <c r="CE64" s="108"/>
      <c r="CF64" s="108"/>
      <c r="CG64" s="108"/>
      <c r="CH64" s="108"/>
      <c r="CI64" s="109"/>
      <c r="CJ64" s="110"/>
      <c r="CK64" s="107"/>
      <c r="CL64" s="108"/>
      <c r="CM64" s="108"/>
      <c r="CN64" s="108"/>
      <c r="CO64" s="108"/>
      <c r="CP64" s="109"/>
      <c r="CQ64" s="110"/>
    </row>
    <row r="65" spans="12:99" ht="14.25" customHeight="1" x14ac:dyDescent="0.2">
      <c r="L65" s="107" t="s">
        <v>109</v>
      </c>
      <c r="M65" s="108"/>
      <c r="N65" s="108"/>
      <c r="O65" s="108"/>
      <c r="P65" s="108"/>
      <c r="Q65" s="109"/>
      <c r="R65" s="110">
        <f>25</f>
        <v>25</v>
      </c>
      <c r="S65" s="107" t="s">
        <v>109</v>
      </c>
      <c r="T65" s="108"/>
      <c r="U65" s="108"/>
      <c r="V65" s="108"/>
      <c r="W65" s="108"/>
      <c r="X65" s="109"/>
      <c r="Y65" s="110">
        <f>50</f>
        <v>50</v>
      </c>
      <c r="Z65" s="107" t="s">
        <v>109</v>
      </c>
      <c r="AA65" s="108"/>
      <c r="AB65" s="108"/>
      <c r="AC65" s="108"/>
      <c r="AD65" s="108"/>
      <c r="AE65" s="109"/>
      <c r="AF65" s="110"/>
      <c r="AG65" s="107" t="s">
        <v>109</v>
      </c>
      <c r="AH65" s="108"/>
      <c r="AI65" s="108"/>
      <c r="AJ65" s="108"/>
      <c r="AK65" s="108"/>
      <c r="AL65" s="109"/>
      <c r="AM65" s="110">
        <f>25+25</f>
        <v>50</v>
      </c>
      <c r="AN65" s="107"/>
      <c r="AO65" s="108"/>
      <c r="AP65" s="108"/>
      <c r="AQ65" s="108"/>
      <c r="AR65" s="108"/>
      <c r="AS65" s="109"/>
      <c r="AT65" s="110"/>
      <c r="AU65" s="107"/>
      <c r="AV65" s="108"/>
      <c r="AW65" s="108"/>
      <c r="AX65" s="108"/>
      <c r="AY65" s="108"/>
      <c r="AZ65" s="109"/>
      <c r="BA65" s="110"/>
      <c r="BB65" s="107"/>
      <c r="BC65" s="108"/>
      <c r="BD65" s="108"/>
      <c r="BE65" s="108"/>
      <c r="BF65" s="108"/>
      <c r="BG65" s="109"/>
      <c r="BH65" s="110"/>
      <c r="BI65" s="107"/>
      <c r="BJ65" s="108"/>
      <c r="BK65" s="108"/>
      <c r="BL65" s="108"/>
      <c r="BM65" s="108"/>
      <c r="BN65" s="109"/>
      <c r="BO65" s="110"/>
      <c r="BP65" s="107"/>
      <c r="BQ65" s="108"/>
      <c r="BR65" s="108"/>
      <c r="BS65" s="108"/>
      <c r="BT65" s="108"/>
      <c r="BU65" s="109"/>
      <c r="BV65" s="110"/>
      <c r="BW65" s="107"/>
      <c r="BX65" s="108"/>
      <c r="BY65" s="108"/>
      <c r="BZ65" s="108"/>
      <c r="CA65" s="108"/>
      <c r="CB65" s="109"/>
      <c r="CC65" s="110"/>
      <c r="CD65" s="107"/>
      <c r="CE65" s="108"/>
      <c r="CF65" s="108"/>
      <c r="CG65" s="108"/>
      <c r="CH65" s="108"/>
      <c r="CI65" s="109"/>
      <c r="CJ65" s="110"/>
      <c r="CK65" s="107"/>
      <c r="CL65" s="108"/>
      <c r="CM65" s="108"/>
      <c r="CN65" s="108"/>
      <c r="CO65" s="108"/>
      <c r="CP65" s="109"/>
      <c r="CQ65" s="110"/>
    </row>
    <row r="66" spans="12:99" ht="14.25" customHeight="1" x14ac:dyDescent="0.2">
      <c r="L66" s="107" t="s">
        <v>160</v>
      </c>
      <c r="M66" s="108"/>
      <c r="N66" s="108"/>
      <c r="O66" s="108"/>
      <c r="P66" s="108"/>
      <c r="Q66" s="109"/>
      <c r="R66" s="110">
        <v>30</v>
      </c>
      <c r="S66" s="107" t="s">
        <v>160</v>
      </c>
      <c r="T66" s="108"/>
      <c r="U66" s="108"/>
      <c r="V66" s="108"/>
      <c r="W66" s="108"/>
      <c r="X66" s="109"/>
      <c r="Y66" s="110"/>
      <c r="Z66" s="107" t="s">
        <v>160</v>
      </c>
      <c r="AA66" s="108"/>
      <c r="AB66" s="108"/>
      <c r="AC66" s="108"/>
      <c r="AD66" s="108"/>
      <c r="AE66" s="109"/>
      <c r="AF66" s="110"/>
      <c r="AG66" s="107" t="s">
        <v>161</v>
      </c>
      <c r="AH66" s="108"/>
      <c r="AI66" s="108"/>
      <c r="AJ66" s="108"/>
      <c r="AK66" s="108"/>
      <c r="AL66" s="109"/>
      <c r="AM66" s="110">
        <f>116</f>
        <v>116</v>
      </c>
      <c r="AN66" s="107"/>
      <c r="AO66" s="108"/>
      <c r="AP66" s="108"/>
      <c r="AQ66" s="108"/>
      <c r="AR66" s="108"/>
      <c r="AS66" s="109"/>
      <c r="AT66" s="110"/>
      <c r="AU66" s="107"/>
      <c r="AV66" s="108"/>
      <c r="AW66" s="108"/>
      <c r="AX66" s="108"/>
      <c r="AY66" s="108"/>
      <c r="AZ66" s="109"/>
      <c r="BA66" s="110"/>
      <c r="BB66" s="107"/>
      <c r="BC66" s="108"/>
      <c r="BD66" s="108"/>
      <c r="BE66" s="108"/>
      <c r="BF66" s="108"/>
      <c r="BG66" s="109"/>
      <c r="BH66" s="110"/>
      <c r="BI66" s="107"/>
      <c r="BJ66" s="108"/>
      <c r="BK66" s="108"/>
      <c r="BL66" s="108"/>
      <c r="BM66" s="108"/>
      <c r="BN66" s="109"/>
      <c r="BO66" s="110"/>
      <c r="BP66" s="107"/>
      <c r="BQ66" s="108"/>
      <c r="BR66" s="108"/>
      <c r="BS66" s="108"/>
      <c r="BT66" s="108"/>
      <c r="BU66" s="109"/>
      <c r="BV66" s="110"/>
      <c r="BW66" s="107"/>
      <c r="BX66" s="108"/>
      <c r="BY66" s="108"/>
      <c r="BZ66" s="108"/>
      <c r="CA66" s="108"/>
      <c r="CB66" s="109"/>
      <c r="CC66" s="110"/>
      <c r="CD66" s="107"/>
      <c r="CE66" s="108"/>
      <c r="CF66" s="108"/>
      <c r="CG66" s="108"/>
      <c r="CH66" s="108"/>
      <c r="CI66" s="109"/>
      <c r="CJ66" s="110"/>
      <c r="CK66" s="107"/>
      <c r="CL66" s="108"/>
      <c r="CM66" s="108"/>
      <c r="CN66" s="108"/>
      <c r="CO66" s="108"/>
      <c r="CP66" s="109"/>
      <c r="CQ66" s="110"/>
    </row>
    <row r="67" spans="12:99" ht="14.25" customHeight="1" x14ac:dyDescent="0.2">
      <c r="L67" s="107" t="s">
        <v>94</v>
      </c>
      <c r="M67" s="108"/>
      <c r="N67" s="108"/>
      <c r="O67" s="108"/>
      <c r="P67" s="108"/>
      <c r="Q67" s="109"/>
      <c r="R67" s="110">
        <f>107.66</f>
        <v>107.66</v>
      </c>
      <c r="S67" s="107" t="s">
        <v>94</v>
      </c>
      <c r="T67" s="108"/>
      <c r="U67" s="108"/>
      <c r="V67" s="108"/>
      <c r="W67" s="108"/>
      <c r="X67" s="109"/>
      <c r="Y67" s="110"/>
      <c r="Z67" s="107" t="s">
        <v>94</v>
      </c>
      <c r="AA67" s="108"/>
      <c r="AB67" s="108"/>
      <c r="AC67" s="108"/>
      <c r="AD67" s="108"/>
      <c r="AE67" s="109"/>
      <c r="AF67" s="110"/>
      <c r="AG67" s="107" t="s">
        <v>94</v>
      </c>
      <c r="AH67" s="108"/>
      <c r="AI67" s="108"/>
      <c r="AJ67" s="108"/>
      <c r="AK67" s="108"/>
      <c r="AL67" s="109"/>
      <c r="AM67" s="110"/>
      <c r="AN67" s="107"/>
      <c r="AO67" s="108"/>
      <c r="AP67" s="108"/>
      <c r="AQ67" s="108"/>
      <c r="AR67" s="108"/>
      <c r="AS67" s="109"/>
      <c r="AT67" s="110"/>
      <c r="AU67" s="107"/>
      <c r="AV67" s="108"/>
      <c r="AW67" s="108"/>
      <c r="AX67" s="108"/>
      <c r="AY67" s="108"/>
      <c r="AZ67" s="109"/>
      <c r="BA67" s="110"/>
      <c r="BB67" s="107"/>
      <c r="BC67" s="108"/>
      <c r="BD67" s="108"/>
      <c r="BE67" s="108"/>
      <c r="BF67" s="108"/>
      <c r="BG67" s="109"/>
      <c r="BH67" s="110"/>
      <c r="BI67" s="107"/>
      <c r="BJ67" s="108"/>
      <c r="BK67" s="108"/>
      <c r="BL67" s="108"/>
      <c r="BM67" s="108"/>
      <c r="BN67" s="109"/>
      <c r="BO67" s="110"/>
      <c r="BP67" s="107"/>
      <c r="BQ67" s="108"/>
      <c r="BR67" s="108"/>
      <c r="BS67" s="108"/>
      <c r="BT67" s="108"/>
      <c r="BU67" s="109"/>
      <c r="BV67" s="110"/>
      <c r="BW67" s="107"/>
      <c r="BX67" s="108"/>
      <c r="BY67" s="108"/>
      <c r="BZ67" s="108"/>
      <c r="CA67" s="108"/>
      <c r="CB67" s="109"/>
      <c r="CC67" s="110"/>
      <c r="CD67" s="107"/>
      <c r="CE67" s="108"/>
      <c r="CF67" s="108"/>
      <c r="CG67" s="108"/>
      <c r="CH67" s="108"/>
      <c r="CI67" s="109"/>
      <c r="CJ67" s="110"/>
      <c r="CK67" s="107"/>
      <c r="CL67" s="108"/>
      <c r="CM67" s="108"/>
      <c r="CN67" s="108"/>
      <c r="CO67" s="108"/>
      <c r="CP67" s="109"/>
      <c r="CQ67" s="110"/>
    </row>
    <row r="68" spans="12:99" ht="14.25" customHeight="1" x14ac:dyDescent="0.2">
      <c r="L68" s="107" t="s">
        <v>95</v>
      </c>
      <c r="M68" s="108"/>
      <c r="N68" s="108"/>
      <c r="O68" s="108"/>
      <c r="P68" s="108"/>
      <c r="Q68" s="109"/>
      <c r="R68" s="110">
        <f>540</f>
        <v>540</v>
      </c>
      <c r="S68" s="107" t="s">
        <v>95</v>
      </c>
      <c r="T68" s="108"/>
      <c r="U68" s="108"/>
      <c r="V68" s="108"/>
      <c r="W68" s="108"/>
      <c r="X68" s="109"/>
      <c r="Y68" s="110"/>
      <c r="Z68" s="107" t="s">
        <v>95</v>
      </c>
      <c r="AA68" s="108"/>
      <c r="AB68" s="108"/>
      <c r="AC68" s="108"/>
      <c r="AD68" s="108"/>
      <c r="AE68" s="109"/>
      <c r="AF68" s="110">
        <f>510</f>
        <v>510</v>
      </c>
      <c r="AG68" s="107" t="s">
        <v>95</v>
      </c>
      <c r="AH68" s="108"/>
      <c r="AI68" s="108"/>
      <c r="AJ68" s="108"/>
      <c r="AK68" s="108"/>
      <c r="AL68" s="109"/>
      <c r="AM68" s="110">
        <f>510</f>
        <v>510</v>
      </c>
      <c r="AN68" s="107"/>
      <c r="AO68" s="108"/>
      <c r="AP68" s="108"/>
      <c r="AQ68" s="108"/>
      <c r="AR68" s="108"/>
      <c r="AS68" s="109"/>
      <c r="AT68" s="110"/>
      <c r="AU68" s="107"/>
      <c r="AV68" s="108"/>
      <c r="AW68" s="108"/>
      <c r="AX68" s="108"/>
      <c r="AY68" s="108"/>
      <c r="AZ68" s="109"/>
      <c r="BA68" s="110"/>
      <c r="BB68" s="107"/>
      <c r="BC68" s="108"/>
      <c r="BD68" s="108"/>
      <c r="BE68" s="108"/>
      <c r="BF68" s="108"/>
      <c r="BG68" s="109"/>
      <c r="BH68" s="110"/>
      <c r="BI68" s="107"/>
      <c r="BJ68" s="108"/>
      <c r="BK68" s="108"/>
      <c r="BL68" s="108"/>
      <c r="BM68" s="108"/>
      <c r="BN68" s="109"/>
      <c r="BO68" s="110"/>
      <c r="BP68" s="107"/>
      <c r="BQ68" s="108"/>
      <c r="BR68" s="108"/>
      <c r="BS68" s="108"/>
      <c r="BT68" s="108"/>
      <c r="BU68" s="109"/>
      <c r="BV68" s="110"/>
      <c r="BW68" s="107"/>
      <c r="BX68" s="108"/>
      <c r="BY68" s="108"/>
      <c r="BZ68" s="108"/>
      <c r="CA68" s="108"/>
      <c r="CB68" s="109"/>
      <c r="CC68" s="110"/>
      <c r="CD68" s="107"/>
      <c r="CE68" s="108"/>
      <c r="CF68" s="108"/>
      <c r="CG68" s="108"/>
      <c r="CH68" s="108"/>
      <c r="CI68" s="109"/>
      <c r="CJ68" s="110"/>
      <c r="CK68" s="107"/>
      <c r="CL68" s="108"/>
      <c r="CM68" s="108"/>
      <c r="CN68" s="108"/>
      <c r="CO68" s="108"/>
      <c r="CP68" s="109"/>
      <c r="CQ68" s="110"/>
    </row>
    <row r="69" spans="12:99" ht="14.25" customHeight="1" x14ac:dyDescent="0.2">
      <c r="L69" s="107" t="s">
        <v>98</v>
      </c>
      <c r="M69" s="108"/>
      <c r="N69" s="108"/>
      <c r="O69" s="108"/>
      <c r="P69" s="108"/>
      <c r="Q69" s="109"/>
      <c r="R69" s="110">
        <v>47.15</v>
      </c>
      <c r="S69" s="107" t="s">
        <v>98</v>
      </c>
      <c r="T69" s="108"/>
      <c r="U69" s="108"/>
      <c r="V69" s="108"/>
      <c r="W69" s="108"/>
      <c r="X69" s="109"/>
      <c r="Y69" s="114">
        <f>46.8</f>
        <v>46.8</v>
      </c>
      <c r="Z69" s="107" t="s">
        <v>98</v>
      </c>
      <c r="AA69" s="108"/>
      <c r="AB69" s="108"/>
      <c r="AC69" s="108"/>
      <c r="AD69" s="108"/>
      <c r="AE69" s="109"/>
      <c r="AF69" s="110">
        <f>93.28</f>
        <v>93.28</v>
      </c>
      <c r="AG69" s="107" t="s">
        <v>98</v>
      </c>
      <c r="AH69" s="108"/>
      <c r="AI69" s="108"/>
      <c r="AJ69" s="108"/>
      <c r="AK69" s="108"/>
      <c r="AL69" s="109"/>
      <c r="AM69" s="110">
        <v>46.11</v>
      </c>
      <c r="AN69" s="107"/>
      <c r="AO69" s="108"/>
      <c r="AP69" s="108"/>
      <c r="AQ69" s="108"/>
      <c r="AR69" s="108"/>
      <c r="AS69" s="109"/>
      <c r="AT69" s="110"/>
      <c r="AU69" s="107"/>
      <c r="AV69" s="108"/>
      <c r="AW69" s="108"/>
      <c r="AX69" s="108"/>
      <c r="AY69" s="108"/>
      <c r="AZ69" s="109"/>
      <c r="BA69" s="110"/>
      <c r="BB69" s="107"/>
      <c r="BC69" s="108"/>
      <c r="BD69" s="108"/>
      <c r="BE69" s="108"/>
      <c r="BF69" s="108"/>
      <c r="BG69" s="109"/>
      <c r="BH69" s="110"/>
      <c r="BI69" s="107"/>
      <c r="BJ69" s="108"/>
      <c r="BK69" s="108"/>
      <c r="BL69" s="108"/>
      <c r="BM69" s="108"/>
      <c r="BN69" s="109"/>
      <c r="BO69" s="110"/>
      <c r="BP69" s="107"/>
      <c r="BQ69" s="108"/>
      <c r="BR69" s="108"/>
      <c r="BS69" s="108"/>
      <c r="BT69" s="108"/>
      <c r="BU69" s="109"/>
      <c r="BV69" s="110"/>
      <c r="BW69" s="107"/>
      <c r="BX69" s="108"/>
      <c r="BY69" s="108"/>
      <c r="BZ69" s="108"/>
      <c r="CA69" s="108"/>
      <c r="CB69" s="109"/>
      <c r="CC69" s="110"/>
      <c r="CD69" s="107"/>
      <c r="CE69" s="108"/>
      <c r="CF69" s="108"/>
      <c r="CG69" s="108"/>
      <c r="CH69" s="108"/>
      <c r="CI69" s="109"/>
      <c r="CJ69" s="110"/>
      <c r="CK69" s="107"/>
      <c r="CL69" s="108"/>
      <c r="CM69" s="108"/>
      <c r="CN69" s="108"/>
      <c r="CO69" s="108"/>
      <c r="CP69" s="109"/>
      <c r="CQ69" s="110"/>
    </row>
    <row r="70" spans="12:99" ht="14.25" customHeight="1" x14ac:dyDescent="0.2">
      <c r="L70" s="107" t="s">
        <v>162</v>
      </c>
      <c r="M70" s="108"/>
      <c r="N70" s="108"/>
      <c r="O70" s="108"/>
      <c r="P70" s="108"/>
      <c r="Q70" s="109"/>
      <c r="R70" s="110">
        <v>348.48</v>
      </c>
      <c r="S70" s="107" t="s">
        <v>162</v>
      </c>
      <c r="T70" s="108"/>
      <c r="U70" s="108"/>
      <c r="V70" s="108"/>
      <c r="W70" s="108"/>
      <c r="X70" s="109"/>
      <c r="Y70" s="110"/>
      <c r="Z70" s="107" t="s">
        <v>153</v>
      </c>
      <c r="AA70" s="108"/>
      <c r="AB70" s="108"/>
      <c r="AC70" s="108"/>
      <c r="AD70" s="108"/>
      <c r="AE70" s="109"/>
      <c r="AF70" s="110">
        <v>692.4</v>
      </c>
      <c r="AG70" s="107" t="s">
        <v>153</v>
      </c>
      <c r="AH70" s="108"/>
      <c r="AI70" s="108"/>
      <c r="AJ70" s="108"/>
      <c r="AK70" s="108"/>
      <c r="AL70" s="109"/>
      <c r="AM70" s="110"/>
      <c r="AN70" s="107"/>
      <c r="AO70" s="108"/>
      <c r="AP70" s="108"/>
      <c r="AQ70" s="108"/>
      <c r="AR70" s="108"/>
      <c r="AS70" s="109"/>
      <c r="AT70" s="110"/>
      <c r="AU70" s="107"/>
      <c r="AV70" s="108"/>
      <c r="AW70" s="108"/>
      <c r="AX70" s="108"/>
      <c r="AY70" s="108"/>
      <c r="AZ70" s="109"/>
      <c r="BA70" s="110"/>
      <c r="BB70" s="107"/>
      <c r="BC70" s="108"/>
      <c r="BD70" s="108"/>
      <c r="BE70" s="108"/>
      <c r="BF70" s="108"/>
      <c r="BG70" s="109"/>
      <c r="BH70" s="110"/>
      <c r="BI70" s="107"/>
      <c r="BJ70" s="108"/>
      <c r="BK70" s="108"/>
      <c r="BL70" s="108"/>
      <c r="BM70" s="108"/>
      <c r="BN70" s="109"/>
      <c r="BO70" s="110"/>
      <c r="BP70" s="107"/>
      <c r="BQ70" s="108"/>
      <c r="BR70" s="108"/>
      <c r="BS70" s="108"/>
      <c r="BT70" s="108"/>
      <c r="BU70" s="109"/>
      <c r="BV70" s="110"/>
      <c r="BW70" s="107"/>
      <c r="BX70" s="108"/>
      <c r="BY70" s="108"/>
      <c r="BZ70" s="108"/>
      <c r="CA70" s="108"/>
      <c r="CB70" s="109"/>
      <c r="CC70" s="110"/>
      <c r="CD70" s="107"/>
      <c r="CE70" s="108"/>
      <c r="CF70" s="108"/>
      <c r="CG70" s="108"/>
      <c r="CH70" s="108"/>
      <c r="CI70" s="109"/>
      <c r="CJ70" s="110"/>
      <c r="CK70" s="107"/>
      <c r="CL70" s="108"/>
      <c r="CM70" s="108"/>
      <c r="CN70" s="108"/>
      <c r="CO70" s="108"/>
      <c r="CP70" s="109"/>
      <c r="CQ70" s="110"/>
    </row>
    <row r="71" spans="12:99" ht="14.25" customHeight="1" x14ac:dyDescent="0.2">
      <c r="L71" s="107" t="s">
        <v>163</v>
      </c>
      <c r="M71" s="108"/>
      <c r="N71" s="108"/>
      <c r="O71" s="108"/>
      <c r="P71" s="108"/>
      <c r="Q71" s="109"/>
      <c r="R71" s="110">
        <f>205.92</f>
        <v>205.92</v>
      </c>
      <c r="S71" s="107" t="s">
        <v>163</v>
      </c>
      <c r="T71" s="108"/>
      <c r="U71" s="108"/>
      <c r="V71" s="108"/>
      <c r="W71" s="108"/>
      <c r="X71" s="109"/>
      <c r="Y71" s="110"/>
      <c r="Z71" s="107" t="s">
        <v>163</v>
      </c>
      <c r="AA71" s="108"/>
      <c r="AB71" s="108"/>
      <c r="AC71" s="108"/>
      <c r="AD71" s="108"/>
      <c r="AE71" s="109"/>
      <c r="AF71" s="110"/>
      <c r="AG71" s="107" t="s">
        <v>163</v>
      </c>
      <c r="AH71" s="108"/>
      <c r="AI71" s="108"/>
      <c r="AJ71" s="108"/>
      <c r="AK71" s="108"/>
      <c r="AL71" s="109"/>
      <c r="AM71" s="110"/>
      <c r="AN71" s="107"/>
      <c r="AO71" s="108"/>
      <c r="AP71" s="108"/>
      <c r="AQ71" s="108"/>
      <c r="AR71" s="108"/>
      <c r="AS71" s="109"/>
      <c r="AT71" s="110"/>
      <c r="AU71" s="107"/>
      <c r="AV71" s="108"/>
      <c r="AW71" s="108"/>
      <c r="AX71" s="108"/>
      <c r="AY71" s="108"/>
      <c r="AZ71" s="109"/>
      <c r="BA71" s="110"/>
      <c r="BB71" s="107"/>
      <c r="BC71" s="108"/>
      <c r="BD71" s="108"/>
      <c r="BE71" s="108"/>
      <c r="BF71" s="108"/>
      <c r="BG71" s="109"/>
      <c r="BH71" s="110"/>
      <c r="BI71" s="107"/>
      <c r="BJ71" s="108"/>
      <c r="BK71" s="108"/>
      <c r="BL71" s="108"/>
      <c r="BM71" s="108"/>
      <c r="BN71" s="109"/>
      <c r="BO71" s="110"/>
      <c r="BP71" s="107"/>
      <c r="BQ71" s="108"/>
      <c r="BR71" s="108"/>
      <c r="BS71" s="108"/>
      <c r="BT71" s="108"/>
      <c r="BU71" s="109"/>
      <c r="BV71" s="110"/>
      <c r="BW71" s="107"/>
      <c r="BX71" s="108"/>
      <c r="BY71" s="108"/>
      <c r="BZ71" s="108"/>
      <c r="CA71" s="108"/>
      <c r="CB71" s="109"/>
      <c r="CC71" s="110"/>
      <c r="CD71" s="107"/>
      <c r="CE71" s="108"/>
      <c r="CF71" s="108"/>
      <c r="CG71" s="108"/>
      <c r="CH71" s="108"/>
      <c r="CI71" s="109"/>
      <c r="CJ71" s="110"/>
      <c r="CK71" s="107"/>
      <c r="CL71" s="108"/>
      <c r="CM71" s="108"/>
      <c r="CN71" s="108"/>
      <c r="CO71" s="108"/>
      <c r="CP71" s="109"/>
      <c r="CQ71" s="110"/>
    </row>
    <row r="72" spans="12:99" ht="14.25" customHeight="1" x14ac:dyDescent="0.2">
      <c r="L72" s="107"/>
      <c r="M72" s="108"/>
      <c r="N72" s="108"/>
      <c r="O72" s="108"/>
      <c r="P72" s="108"/>
      <c r="Q72" s="109"/>
      <c r="R72" s="110"/>
      <c r="S72" s="107" t="s">
        <v>131</v>
      </c>
      <c r="T72" s="108"/>
      <c r="U72" s="108"/>
      <c r="V72" s="108"/>
      <c r="W72" s="108"/>
      <c r="X72" s="109"/>
      <c r="Y72" s="110">
        <f>628.26+145.02</f>
        <v>773.28</v>
      </c>
      <c r="Z72" s="107" t="s">
        <v>131</v>
      </c>
      <c r="AA72" s="108"/>
      <c r="AB72" s="108"/>
      <c r="AC72" s="108"/>
      <c r="AD72" s="108"/>
      <c r="AE72" s="109"/>
      <c r="AF72" s="110">
        <f>644.7</f>
        <v>644.70000000000005</v>
      </c>
      <c r="AG72" s="107" t="s">
        <v>131</v>
      </c>
      <c r="AH72" s="108"/>
      <c r="AI72" s="108"/>
      <c r="AJ72" s="108"/>
      <c r="AK72" s="108"/>
      <c r="AL72" s="109"/>
      <c r="AM72" s="110">
        <f>713.64</f>
        <v>713.64</v>
      </c>
      <c r="AN72" s="107"/>
      <c r="AO72" s="108"/>
      <c r="AP72" s="108"/>
      <c r="AQ72" s="108"/>
      <c r="AR72" s="108"/>
      <c r="AS72" s="109"/>
      <c r="AT72" s="110"/>
      <c r="AU72" s="107"/>
      <c r="AV72" s="108"/>
      <c r="AW72" s="108"/>
      <c r="AX72" s="108"/>
      <c r="AY72" s="108"/>
      <c r="AZ72" s="109"/>
      <c r="BA72" s="110"/>
      <c r="BB72" s="107"/>
      <c r="BC72" s="108"/>
      <c r="BD72" s="108"/>
      <c r="BE72" s="108"/>
      <c r="BF72" s="108"/>
      <c r="BG72" s="109"/>
      <c r="BH72" s="110"/>
      <c r="BI72" s="107"/>
      <c r="BJ72" s="108"/>
      <c r="BK72" s="108"/>
      <c r="BL72" s="108"/>
      <c r="BM72" s="108"/>
      <c r="BN72" s="109"/>
      <c r="BO72" s="110"/>
      <c r="BP72" s="107"/>
      <c r="BQ72" s="108"/>
      <c r="BR72" s="108"/>
      <c r="BS72" s="108"/>
      <c r="BT72" s="108"/>
      <c r="BU72" s="109"/>
      <c r="BV72" s="110"/>
      <c r="BW72" s="107"/>
      <c r="BX72" s="108"/>
      <c r="BY72" s="108"/>
      <c r="BZ72" s="108"/>
      <c r="CA72" s="108"/>
      <c r="CB72" s="109"/>
      <c r="CC72" s="110"/>
      <c r="CD72" s="107"/>
      <c r="CE72" s="108"/>
      <c r="CF72" s="108"/>
      <c r="CG72" s="108"/>
      <c r="CH72" s="108"/>
      <c r="CI72" s="109"/>
      <c r="CJ72" s="110"/>
      <c r="CK72" s="107"/>
      <c r="CL72" s="108"/>
      <c r="CM72" s="108"/>
      <c r="CN72" s="108"/>
      <c r="CO72" s="108"/>
      <c r="CP72" s="109"/>
      <c r="CQ72" s="110"/>
    </row>
    <row r="73" spans="12:99" ht="14.25" customHeight="1" x14ac:dyDescent="0.2">
      <c r="L73" s="107"/>
      <c r="M73" s="108"/>
      <c r="N73" s="108"/>
      <c r="O73" s="108"/>
      <c r="P73" s="108"/>
      <c r="Q73" s="109"/>
      <c r="R73" s="110"/>
      <c r="S73" s="107" t="s">
        <v>164</v>
      </c>
      <c r="T73" s="108"/>
      <c r="U73" s="108"/>
      <c r="V73" s="108"/>
      <c r="W73" s="108"/>
      <c r="X73" s="109"/>
      <c r="Y73" s="110">
        <f>173.2</f>
        <v>173.2</v>
      </c>
      <c r="Z73" s="107" t="s">
        <v>164</v>
      </c>
      <c r="AA73" s="108"/>
      <c r="AB73" s="108"/>
      <c r="AC73" s="108"/>
      <c r="AD73" s="108"/>
      <c r="AE73" s="109"/>
      <c r="AF73" s="110"/>
      <c r="AG73" s="107" t="s">
        <v>164</v>
      </c>
      <c r="AH73" s="108"/>
      <c r="AI73" s="108"/>
      <c r="AJ73" s="108"/>
      <c r="AK73" s="108"/>
      <c r="AL73" s="109"/>
      <c r="AM73" s="110"/>
      <c r="AN73" s="107"/>
      <c r="AO73" s="108"/>
      <c r="AP73" s="108"/>
      <c r="AQ73" s="108"/>
      <c r="AR73" s="108"/>
      <c r="AS73" s="109"/>
      <c r="AT73" s="110"/>
      <c r="AU73" s="107"/>
      <c r="AV73" s="108"/>
      <c r="AW73" s="108"/>
      <c r="AX73" s="108"/>
      <c r="AY73" s="108"/>
      <c r="AZ73" s="109"/>
      <c r="BA73" s="110"/>
      <c r="BB73" s="107"/>
      <c r="BC73" s="108"/>
      <c r="BD73" s="108"/>
      <c r="BE73" s="108"/>
      <c r="BF73" s="108"/>
      <c r="BG73" s="109"/>
      <c r="BH73" s="110"/>
      <c r="BI73" s="107"/>
      <c r="BJ73" s="108"/>
      <c r="BK73" s="108"/>
      <c r="BL73" s="108"/>
      <c r="BM73" s="108"/>
      <c r="BN73" s="109"/>
      <c r="BO73" s="110"/>
      <c r="BP73" s="107"/>
      <c r="BQ73" s="108"/>
      <c r="BR73" s="108"/>
      <c r="BS73" s="108"/>
      <c r="BT73" s="108"/>
      <c r="BU73" s="109"/>
      <c r="BV73" s="110"/>
      <c r="BW73" s="107"/>
      <c r="BX73" s="108"/>
      <c r="BY73" s="108"/>
      <c r="BZ73" s="108"/>
      <c r="CA73" s="108"/>
      <c r="CB73" s="109"/>
      <c r="CC73" s="110"/>
      <c r="CD73" s="107"/>
      <c r="CE73" s="108"/>
      <c r="CF73" s="108"/>
      <c r="CG73" s="108"/>
      <c r="CH73" s="108"/>
      <c r="CI73" s="109"/>
      <c r="CJ73" s="110"/>
      <c r="CK73" s="107"/>
      <c r="CL73" s="108"/>
      <c r="CM73" s="108"/>
      <c r="CN73" s="108"/>
      <c r="CO73" s="108"/>
      <c r="CP73" s="109"/>
      <c r="CQ73" s="110"/>
    </row>
    <row r="74" spans="12:99" ht="14.25" customHeight="1" x14ac:dyDescent="0.2">
      <c r="L74" s="107"/>
      <c r="M74" s="108"/>
      <c r="N74" s="108"/>
      <c r="O74" s="108"/>
      <c r="P74" s="108"/>
      <c r="Q74" s="109"/>
      <c r="R74" s="110"/>
      <c r="S74" s="107" t="s">
        <v>165</v>
      </c>
      <c r="T74" s="108"/>
      <c r="U74" s="108"/>
      <c r="V74" s="108"/>
      <c r="W74" s="108"/>
      <c r="X74" s="109"/>
      <c r="Y74" s="110">
        <v>1000</v>
      </c>
      <c r="Z74" s="107" t="s">
        <v>165</v>
      </c>
      <c r="AA74" s="108"/>
      <c r="AB74" s="108"/>
      <c r="AC74" s="108"/>
      <c r="AD74" s="108"/>
      <c r="AE74" s="109"/>
      <c r="AF74" s="110"/>
      <c r="AG74" s="107" t="s">
        <v>165</v>
      </c>
      <c r="AH74" s="108"/>
      <c r="AI74" s="108"/>
      <c r="AJ74" s="108"/>
      <c r="AK74" s="108"/>
      <c r="AL74" s="109"/>
      <c r="AM74" s="110"/>
      <c r="AN74" s="107"/>
      <c r="AO74" s="108"/>
      <c r="AP74" s="108"/>
      <c r="AQ74" s="108"/>
      <c r="AR74" s="108"/>
      <c r="AS74" s="109"/>
      <c r="AT74" s="110"/>
      <c r="AU74" s="107"/>
      <c r="AV74" s="108"/>
      <c r="AW74" s="108"/>
      <c r="AX74" s="108"/>
      <c r="AY74" s="108"/>
      <c r="AZ74" s="109"/>
      <c r="BA74" s="110"/>
      <c r="BB74" s="107"/>
      <c r="BC74" s="108"/>
      <c r="BD74" s="108"/>
      <c r="BE74" s="108"/>
      <c r="BF74" s="108"/>
      <c r="BG74" s="109"/>
      <c r="BH74" s="110"/>
      <c r="BI74" s="107"/>
      <c r="BJ74" s="108"/>
      <c r="BK74" s="108"/>
      <c r="BL74" s="108"/>
      <c r="BM74" s="108"/>
      <c r="BN74" s="109"/>
      <c r="BO74" s="110"/>
      <c r="BP74" s="107"/>
      <c r="BQ74" s="108"/>
      <c r="BR74" s="108"/>
      <c r="BS74" s="108"/>
      <c r="BT74" s="108"/>
      <c r="BU74" s="109"/>
      <c r="BV74" s="110"/>
      <c r="BW74" s="107"/>
      <c r="BX74" s="108"/>
      <c r="BY74" s="108"/>
      <c r="BZ74" s="108"/>
      <c r="CA74" s="108"/>
      <c r="CB74" s="109"/>
      <c r="CC74" s="110"/>
      <c r="CD74" s="107"/>
      <c r="CE74" s="108"/>
      <c r="CF74" s="108"/>
      <c r="CG74" s="108"/>
      <c r="CH74" s="108"/>
      <c r="CI74" s="109"/>
      <c r="CJ74" s="110"/>
      <c r="CK74" s="107"/>
      <c r="CL74" s="108"/>
      <c r="CM74" s="108"/>
      <c r="CN74" s="108"/>
      <c r="CO74" s="108"/>
      <c r="CP74" s="109"/>
      <c r="CQ74" s="110"/>
    </row>
    <row r="75" spans="12:99" ht="14.25" customHeight="1" x14ac:dyDescent="0.2">
      <c r="L75" s="107"/>
      <c r="M75" s="108"/>
      <c r="N75" s="108"/>
      <c r="O75" s="108"/>
      <c r="P75" s="108"/>
      <c r="Q75" s="109"/>
      <c r="R75" s="110"/>
      <c r="S75" s="107" t="s">
        <v>90</v>
      </c>
      <c r="T75" s="108"/>
      <c r="U75" s="108"/>
      <c r="V75" s="108"/>
      <c r="W75" s="108"/>
      <c r="X75" s="109"/>
      <c r="Y75" s="110">
        <f>237.4+3450</f>
        <v>3687.4</v>
      </c>
      <c r="Z75" s="107" t="s">
        <v>90</v>
      </c>
      <c r="AA75" s="108"/>
      <c r="AB75" s="108"/>
      <c r="AC75" s="108"/>
      <c r="AD75" s="108"/>
      <c r="AE75" s="109"/>
      <c r="AF75" s="110">
        <f>77.8</f>
        <v>77.8</v>
      </c>
      <c r="AG75" s="107" t="s">
        <v>90</v>
      </c>
      <c r="AH75" s="108"/>
      <c r="AI75" s="108"/>
      <c r="AJ75" s="108"/>
      <c r="AK75" s="108"/>
      <c r="AL75" s="109"/>
      <c r="AM75" s="110">
        <f>1280+309</f>
        <v>1589</v>
      </c>
      <c r="AN75" s="107"/>
      <c r="AO75" s="108"/>
      <c r="AP75" s="108"/>
      <c r="AQ75" s="108"/>
      <c r="AR75" s="108"/>
      <c r="AS75" s="109"/>
      <c r="AT75" s="110"/>
      <c r="AU75" s="107"/>
      <c r="AV75" s="108"/>
      <c r="AW75" s="108"/>
      <c r="AX75" s="108"/>
      <c r="AY75" s="108"/>
      <c r="AZ75" s="109"/>
      <c r="BA75" s="110"/>
      <c r="BB75" s="107"/>
      <c r="BC75" s="108"/>
      <c r="BD75" s="108"/>
      <c r="BE75" s="108"/>
      <c r="BF75" s="108"/>
      <c r="BG75" s="109"/>
      <c r="BH75" s="110"/>
      <c r="BI75" s="107"/>
      <c r="BJ75" s="108"/>
      <c r="BK75" s="108"/>
      <c r="BL75" s="108"/>
      <c r="BM75" s="108"/>
      <c r="BN75" s="109"/>
      <c r="BO75" s="110"/>
      <c r="BP75" s="107"/>
      <c r="BQ75" s="108"/>
      <c r="BR75" s="108"/>
      <c r="BS75" s="108"/>
      <c r="BT75" s="108"/>
      <c r="BU75" s="109"/>
      <c r="BV75" s="110"/>
      <c r="BW75" s="107"/>
      <c r="BX75" s="108"/>
      <c r="BY75" s="108"/>
      <c r="BZ75" s="108"/>
      <c r="CA75" s="108"/>
      <c r="CB75" s="109"/>
      <c r="CC75" s="110"/>
      <c r="CD75" s="107"/>
      <c r="CE75" s="108"/>
      <c r="CF75" s="108"/>
      <c r="CG75" s="108"/>
      <c r="CH75" s="108"/>
      <c r="CI75" s="109"/>
      <c r="CJ75" s="110"/>
      <c r="CK75" s="107"/>
      <c r="CL75" s="108"/>
      <c r="CM75" s="108"/>
      <c r="CN75" s="108"/>
      <c r="CO75" s="108"/>
      <c r="CP75" s="109"/>
      <c r="CQ75" s="110"/>
    </row>
    <row r="76" spans="12:99" ht="14.25" customHeight="1" x14ac:dyDescent="0.2">
      <c r="L76" s="107"/>
      <c r="M76" s="108"/>
      <c r="N76" s="108"/>
      <c r="O76" s="108"/>
      <c r="P76" s="108"/>
      <c r="Q76" s="109"/>
      <c r="R76" s="110"/>
      <c r="S76" s="107" t="s">
        <v>122</v>
      </c>
      <c r="T76" s="108"/>
      <c r="U76" s="108"/>
      <c r="V76" s="108"/>
      <c r="W76" s="108"/>
      <c r="X76" s="109"/>
      <c r="Y76" s="110">
        <f>62.5</f>
        <v>62.5</v>
      </c>
      <c r="Z76" s="107" t="s">
        <v>166</v>
      </c>
      <c r="AA76" s="108"/>
      <c r="AB76" s="108"/>
      <c r="AC76" s="108"/>
      <c r="AD76" s="108"/>
      <c r="AE76" s="109"/>
      <c r="AF76" s="110">
        <v>1746</v>
      </c>
      <c r="AG76" s="107" t="s">
        <v>122</v>
      </c>
      <c r="AH76" s="108"/>
      <c r="AI76" s="108"/>
      <c r="AJ76" s="108"/>
      <c r="AK76" s="108"/>
      <c r="AL76" s="109"/>
      <c r="AM76" s="110">
        <f>25+163.2</f>
        <v>188.2</v>
      </c>
      <c r="AN76" s="107"/>
      <c r="AO76" s="108"/>
      <c r="AP76" s="108"/>
      <c r="AQ76" s="108"/>
      <c r="AR76" s="108"/>
      <c r="AS76" s="109"/>
      <c r="AT76" s="110"/>
      <c r="AU76" s="107"/>
      <c r="AV76" s="108"/>
      <c r="AW76" s="108"/>
      <c r="AX76" s="108"/>
      <c r="AY76" s="108"/>
      <c r="AZ76" s="109"/>
      <c r="BA76" s="110"/>
      <c r="BB76" s="107"/>
      <c r="BC76" s="108"/>
      <c r="BD76" s="108"/>
      <c r="BE76" s="108"/>
      <c r="BF76" s="108"/>
      <c r="BG76" s="109"/>
      <c r="BH76" s="110"/>
      <c r="BI76" s="107"/>
      <c r="BJ76" s="108"/>
      <c r="BK76" s="108"/>
      <c r="BL76" s="108"/>
      <c r="BM76" s="108"/>
      <c r="BN76" s="109"/>
      <c r="BO76" s="110"/>
      <c r="BP76" s="107"/>
      <c r="BQ76" s="108"/>
      <c r="BR76" s="108"/>
      <c r="BS76" s="108"/>
      <c r="BT76" s="108"/>
      <c r="BU76" s="109"/>
      <c r="BV76" s="110"/>
      <c r="BW76" s="107"/>
      <c r="BX76" s="108"/>
      <c r="BY76" s="108"/>
      <c r="BZ76" s="108"/>
      <c r="CA76" s="108"/>
      <c r="CB76" s="109"/>
      <c r="CC76" s="110"/>
      <c r="CD76" s="107"/>
      <c r="CE76" s="108"/>
      <c r="CF76" s="108"/>
      <c r="CG76" s="108"/>
      <c r="CH76" s="108"/>
      <c r="CI76" s="109"/>
      <c r="CJ76" s="110"/>
      <c r="CK76" s="107"/>
      <c r="CL76" s="108"/>
      <c r="CM76" s="108"/>
      <c r="CN76" s="108"/>
      <c r="CO76" s="108"/>
      <c r="CP76" s="109"/>
      <c r="CQ76" s="110"/>
    </row>
    <row r="77" spans="12:99" ht="14.25" customHeight="1" x14ac:dyDescent="0.2">
      <c r="L77" s="107"/>
      <c r="M77" s="108"/>
      <c r="N77" s="108"/>
      <c r="O77" s="108"/>
      <c r="P77" s="108"/>
      <c r="Q77" s="109"/>
      <c r="R77" s="110"/>
      <c r="S77" s="107" t="s">
        <v>129</v>
      </c>
      <c r="T77" s="108"/>
      <c r="U77" s="108"/>
      <c r="V77" s="108"/>
      <c r="W77" s="108"/>
      <c r="X77" s="109"/>
      <c r="Y77" s="110">
        <f>238.74</f>
        <v>238.74</v>
      </c>
      <c r="Z77" s="107" t="s">
        <v>129</v>
      </c>
      <c r="AA77" s="108"/>
      <c r="AB77" s="108"/>
      <c r="AC77" s="108"/>
      <c r="AD77" s="108"/>
      <c r="AE77" s="109"/>
      <c r="AF77" s="110"/>
      <c r="AG77" s="107" t="s">
        <v>129</v>
      </c>
      <c r="AH77" s="108"/>
      <c r="AI77" s="108"/>
      <c r="AJ77" s="108"/>
      <c r="AK77" s="108"/>
      <c r="AL77" s="109"/>
      <c r="AM77" s="110">
        <f>238.74</f>
        <v>238.74</v>
      </c>
      <c r="AN77" s="107"/>
      <c r="AO77" s="108"/>
      <c r="AP77" s="108"/>
      <c r="AQ77" s="108"/>
      <c r="AR77" s="108"/>
      <c r="AS77" s="109"/>
      <c r="AT77" s="110"/>
      <c r="AU77" s="107"/>
      <c r="AV77" s="108"/>
      <c r="AW77" s="108"/>
      <c r="AX77" s="108"/>
      <c r="AY77" s="108"/>
      <c r="AZ77" s="109"/>
      <c r="BA77" s="110"/>
      <c r="BB77" s="107"/>
      <c r="BC77" s="108"/>
      <c r="BD77" s="108"/>
      <c r="BE77" s="108"/>
      <c r="BF77" s="108"/>
      <c r="BG77" s="109"/>
      <c r="BH77" s="110"/>
      <c r="BI77" s="107"/>
      <c r="BJ77" s="108"/>
      <c r="BK77" s="108"/>
      <c r="BL77" s="108"/>
      <c r="BM77" s="108"/>
      <c r="BN77" s="109"/>
      <c r="BO77" s="110"/>
      <c r="BP77" s="107"/>
      <c r="BQ77" s="108"/>
      <c r="BR77" s="108"/>
      <c r="BS77" s="108"/>
      <c r="BT77" s="108"/>
      <c r="BU77" s="109"/>
      <c r="BV77" s="110"/>
      <c r="BW77" s="107"/>
      <c r="BX77" s="108"/>
      <c r="BY77" s="108"/>
      <c r="BZ77" s="108"/>
      <c r="CA77" s="108"/>
      <c r="CB77" s="109"/>
      <c r="CC77" s="110"/>
      <c r="CD77" s="107"/>
      <c r="CE77" s="108"/>
      <c r="CF77" s="108"/>
      <c r="CG77" s="108"/>
      <c r="CH77" s="108"/>
      <c r="CI77" s="109"/>
      <c r="CJ77" s="110"/>
      <c r="CK77" s="107"/>
      <c r="CL77" s="108"/>
      <c r="CM77" s="108"/>
      <c r="CN77" s="108"/>
      <c r="CO77" s="108"/>
      <c r="CP77" s="109"/>
      <c r="CQ77" s="110"/>
    </row>
    <row r="78" spans="12:99" ht="14.25" customHeight="1" x14ac:dyDescent="0.2">
      <c r="L78" s="107"/>
      <c r="M78" s="108"/>
      <c r="N78" s="108"/>
      <c r="O78" s="108"/>
      <c r="P78" s="108"/>
      <c r="Q78" s="109"/>
      <c r="R78" s="110"/>
      <c r="S78" s="107"/>
      <c r="T78" s="108"/>
      <c r="U78" s="108"/>
      <c r="V78" s="108"/>
      <c r="W78" s="108"/>
      <c r="X78" s="109"/>
      <c r="Y78" s="110"/>
      <c r="Z78" s="107"/>
      <c r="AA78" s="108"/>
      <c r="AB78" s="108"/>
      <c r="AC78" s="108"/>
      <c r="AD78" s="108"/>
      <c r="AE78" s="109"/>
      <c r="AF78" s="110"/>
      <c r="AG78" s="107"/>
      <c r="AH78" s="108"/>
      <c r="AI78" s="108"/>
      <c r="AJ78" s="108"/>
      <c r="AK78" s="108"/>
      <c r="AL78" s="109"/>
      <c r="AM78" s="110"/>
      <c r="AN78" s="107"/>
      <c r="AO78" s="108"/>
      <c r="AP78" s="108"/>
      <c r="AQ78" s="108"/>
      <c r="AR78" s="108"/>
      <c r="AS78" s="109"/>
      <c r="AT78" s="110"/>
      <c r="AU78" s="107"/>
      <c r="AV78" s="108"/>
      <c r="AW78" s="108"/>
      <c r="AX78" s="108"/>
      <c r="AY78" s="108"/>
      <c r="AZ78" s="109"/>
      <c r="BA78" s="110"/>
      <c r="BB78" s="107"/>
      <c r="BC78" s="108"/>
      <c r="BD78" s="108"/>
      <c r="BE78" s="108"/>
      <c r="BF78" s="108"/>
      <c r="BG78" s="109"/>
      <c r="BH78" s="110"/>
      <c r="BI78" s="107"/>
      <c r="BJ78" s="108"/>
      <c r="BK78" s="108"/>
      <c r="BL78" s="108"/>
      <c r="BM78" s="108"/>
      <c r="BN78" s="109"/>
      <c r="BO78" s="110"/>
      <c r="BP78" s="107"/>
      <c r="BQ78" s="108"/>
      <c r="BR78" s="108"/>
      <c r="BS78" s="108"/>
      <c r="BT78" s="108"/>
      <c r="BU78" s="109"/>
      <c r="BV78" s="110"/>
      <c r="BW78" s="107"/>
      <c r="BX78" s="108"/>
      <c r="BY78" s="108"/>
      <c r="BZ78" s="108"/>
      <c r="CA78" s="108"/>
      <c r="CB78" s="109"/>
      <c r="CC78" s="110"/>
      <c r="CD78" s="107"/>
      <c r="CE78" s="108"/>
      <c r="CF78" s="108"/>
      <c r="CG78" s="108"/>
      <c r="CH78" s="108"/>
      <c r="CI78" s="109"/>
      <c r="CJ78" s="110"/>
      <c r="CK78" s="107"/>
      <c r="CL78" s="108"/>
      <c r="CM78" s="108"/>
      <c r="CN78" s="108"/>
      <c r="CO78" s="108"/>
      <c r="CP78" s="109"/>
      <c r="CQ78" s="110"/>
    </row>
    <row r="79" spans="12:99" ht="14.25" customHeight="1" x14ac:dyDescent="0.2">
      <c r="L79" s="107" t="s">
        <v>82</v>
      </c>
      <c r="M79" s="108"/>
      <c r="N79" s="108"/>
      <c r="O79" s="108"/>
      <c r="P79" s="108"/>
      <c r="Q79" s="109"/>
      <c r="R79" s="168">
        <f>SUM(R61:R78)</f>
        <v>6387.2199999999993</v>
      </c>
      <c r="S79" s="107" t="s">
        <v>82</v>
      </c>
      <c r="T79" s="108"/>
      <c r="U79" s="108"/>
      <c r="V79" s="108"/>
      <c r="W79" s="108"/>
      <c r="X79" s="109"/>
      <c r="Y79" s="168">
        <f>SUM(Y61:Y78)</f>
        <v>9721.2099999999991</v>
      </c>
      <c r="Z79" s="172" t="s">
        <v>82</v>
      </c>
      <c r="AA79" s="173"/>
      <c r="AB79" s="173"/>
      <c r="AC79" s="108"/>
      <c r="AD79" s="108"/>
      <c r="AE79" s="109"/>
      <c r="AF79" s="168">
        <f>SUM(AF61:AF78)</f>
        <v>6125.9800000000005</v>
      </c>
      <c r="AG79" s="107" t="s">
        <v>82</v>
      </c>
      <c r="AH79" s="108"/>
      <c r="AI79" s="108"/>
      <c r="AJ79" s="108"/>
      <c r="AK79" s="108"/>
      <c r="AL79" s="109"/>
      <c r="AM79" s="168">
        <f>SUM(AM61:AM78)</f>
        <v>7010.03</v>
      </c>
      <c r="AN79" s="107"/>
      <c r="AO79" s="108"/>
      <c r="AP79" s="108"/>
      <c r="AQ79" s="108"/>
      <c r="AR79" s="108"/>
      <c r="AS79" s="109"/>
      <c r="AT79" s="168"/>
      <c r="AU79" s="107"/>
      <c r="AV79" s="108"/>
      <c r="AW79" s="108"/>
      <c r="AX79" s="108"/>
      <c r="AY79" s="108"/>
      <c r="AZ79" s="109"/>
      <c r="BA79" s="168"/>
      <c r="BB79" s="107"/>
      <c r="BC79" s="108"/>
      <c r="BD79" s="108"/>
      <c r="BE79" s="108"/>
      <c r="BF79" s="108"/>
      <c r="BG79" s="109"/>
      <c r="BH79" s="168"/>
      <c r="BI79" s="107"/>
      <c r="BJ79" s="108"/>
      <c r="BK79" s="108"/>
      <c r="BL79" s="108"/>
      <c r="BM79" s="108"/>
      <c r="BN79" s="109"/>
      <c r="BO79" s="168"/>
      <c r="BP79" s="107"/>
      <c r="BQ79" s="108"/>
      <c r="BR79" s="108"/>
      <c r="BS79" s="108"/>
      <c r="BT79" s="108"/>
      <c r="BU79" s="109"/>
      <c r="BV79" s="168"/>
      <c r="BW79" s="107"/>
      <c r="BX79" s="108"/>
      <c r="BY79" s="108"/>
      <c r="BZ79" s="108"/>
      <c r="CA79" s="108"/>
      <c r="CB79" s="109"/>
      <c r="CC79" s="168"/>
      <c r="CD79" s="107"/>
      <c r="CE79" s="108"/>
      <c r="CF79" s="108"/>
      <c r="CG79" s="108"/>
      <c r="CH79" s="108"/>
      <c r="CI79" s="109"/>
      <c r="CJ79" s="168"/>
      <c r="CK79" s="107"/>
      <c r="CL79" s="108"/>
      <c r="CM79" s="108"/>
      <c r="CN79" s="108"/>
      <c r="CO79" s="108"/>
      <c r="CP79" s="109"/>
      <c r="CQ79" s="168"/>
    </row>
    <row r="80" spans="12:99" ht="14.25" customHeight="1" x14ac:dyDescent="0.2">
      <c r="CU80" s="154"/>
    </row>
    <row r="81" spans="46:99" ht="14.25" customHeight="1" x14ac:dyDescent="0.2">
      <c r="CU81" s="154"/>
    </row>
    <row r="82" spans="46:99" ht="14.25" customHeight="1" x14ac:dyDescent="0.2">
      <c r="CU82" s="154"/>
    </row>
    <row r="83" spans="46:99" ht="14.25" customHeight="1" x14ac:dyDescent="0.2">
      <c r="AT83" s="139"/>
      <c r="BA83" s="140"/>
      <c r="CU83" s="154"/>
    </row>
    <row r="84" spans="46:99" ht="14.25" customHeight="1" x14ac:dyDescent="0.2">
      <c r="AT84" s="139"/>
      <c r="BA84" s="139"/>
      <c r="CU84" s="154"/>
    </row>
    <row r="85" spans="46:99" ht="14.25" customHeight="1" x14ac:dyDescent="0.2">
      <c r="AT85" s="139"/>
      <c r="BA85" s="139"/>
    </row>
    <row r="86" spans="46:99" ht="14.25" customHeight="1" x14ac:dyDescent="0.2">
      <c r="AT86" s="140"/>
      <c r="BA86" s="139"/>
    </row>
    <row r="87" spans="46:99" ht="14.25" customHeight="1" x14ac:dyDescent="0.2"/>
    <row r="88" spans="46:99" ht="14.25" customHeight="1" x14ac:dyDescent="0.2"/>
    <row r="89" spans="46:99" ht="14.25" customHeight="1" x14ac:dyDescent="0.2">
      <c r="BA89" s="139"/>
    </row>
    <row r="90" spans="46:99" ht="14.25" customHeight="1" x14ac:dyDescent="0.2">
      <c r="BA90" s="139"/>
    </row>
    <row r="91" spans="46:99" ht="14.25" customHeight="1" x14ac:dyDescent="0.2">
      <c r="BA91" s="139"/>
    </row>
    <row r="92" spans="46:99" ht="14.25" customHeight="1" x14ac:dyDescent="0.2">
      <c r="BA92" s="139"/>
    </row>
    <row r="93" spans="46:99" ht="14.25" customHeight="1" x14ac:dyDescent="0.2">
      <c r="BA93" s="139"/>
    </row>
    <row r="94" spans="46:99" ht="14.25" customHeight="1" x14ac:dyDescent="0.2"/>
    <row r="95" spans="46:99" ht="14.25" customHeight="1" x14ac:dyDescent="0.2"/>
    <row r="96" spans="46:99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spans="99:99" ht="14.25" customHeight="1" x14ac:dyDescent="0.2"/>
    <row r="194" spans="99:99" ht="14.25" customHeight="1" x14ac:dyDescent="0.2"/>
    <row r="195" spans="99:99" ht="14.25" customHeight="1" x14ac:dyDescent="0.2"/>
    <row r="196" spans="99:99" ht="14.25" customHeight="1" x14ac:dyDescent="0.2"/>
    <row r="197" spans="99:99" ht="14.25" customHeight="1" x14ac:dyDescent="0.2"/>
    <row r="198" spans="99:99" ht="14.25" customHeight="1" x14ac:dyDescent="0.2"/>
    <row r="199" spans="99:99" ht="14.25" customHeight="1" x14ac:dyDescent="0.2"/>
    <row r="200" spans="99:99" ht="14.25" customHeight="1" x14ac:dyDescent="0.2"/>
    <row r="201" spans="99:99" ht="14.25" customHeight="1" x14ac:dyDescent="0.2"/>
    <row r="202" spans="99:99" ht="14.25" customHeight="1" x14ac:dyDescent="0.2">
      <c r="CU202" s="154"/>
    </row>
    <row r="203" spans="99:99" ht="14.25" customHeight="1" x14ac:dyDescent="0.2">
      <c r="CU203" s="154"/>
    </row>
    <row r="204" spans="99:99" ht="14.25" customHeight="1" x14ac:dyDescent="0.2">
      <c r="CU204" s="154"/>
    </row>
    <row r="205" spans="99:99" ht="14.25" customHeight="1" x14ac:dyDescent="0.2">
      <c r="CU205" s="154"/>
    </row>
    <row r="206" spans="99:99" ht="14.25" customHeight="1" x14ac:dyDescent="0.2">
      <c r="CU206" s="154"/>
    </row>
    <row r="207" spans="99:99" ht="14.25" customHeight="1" x14ac:dyDescent="0.2">
      <c r="CU207" s="154"/>
    </row>
    <row r="208" spans="99:99" ht="14.25" customHeight="1" x14ac:dyDescent="0.2">
      <c r="CU208" s="154"/>
    </row>
    <row r="209" spans="99:99" ht="14.25" customHeight="1" x14ac:dyDescent="0.2">
      <c r="CU209" s="154"/>
    </row>
    <row r="210" spans="99:99" ht="14.25" customHeight="1" x14ac:dyDescent="0.2">
      <c r="CU210" s="154"/>
    </row>
    <row r="211" spans="99:99" ht="14.25" customHeight="1" x14ac:dyDescent="0.2">
      <c r="CU211" s="154"/>
    </row>
    <row r="212" spans="99:99" ht="14.25" customHeight="1" x14ac:dyDescent="0.2">
      <c r="CU212" s="154"/>
    </row>
    <row r="213" spans="99:99" ht="14.25" customHeight="1" x14ac:dyDescent="0.2">
      <c r="CU213" s="154"/>
    </row>
    <row r="214" spans="99:99" ht="14.25" customHeight="1" x14ac:dyDescent="0.2">
      <c r="CU214" s="154"/>
    </row>
    <row r="215" spans="99:99" ht="14.25" customHeight="1" x14ac:dyDescent="0.2">
      <c r="CU215" s="154"/>
    </row>
    <row r="216" spans="99:99" ht="14.25" customHeight="1" x14ac:dyDescent="0.2">
      <c r="CU216" s="154"/>
    </row>
    <row r="217" spans="99:99" ht="14.25" customHeight="1" x14ac:dyDescent="0.2">
      <c r="CU217" s="154"/>
    </row>
    <row r="218" spans="99:99" ht="14.25" customHeight="1" x14ac:dyDescent="0.2">
      <c r="CU218" s="154"/>
    </row>
    <row r="219" spans="99:99" ht="14.25" customHeight="1" x14ac:dyDescent="0.2">
      <c r="CU219" s="154"/>
    </row>
    <row r="220" spans="99:99" ht="14.25" customHeight="1" x14ac:dyDescent="0.2">
      <c r="CU220" s="154"/>
    </row>
    <row r="221" spans="99:99" ht="14.25" customHeight="1" x14ac:dyDescent="0.2">
      <c r="CU221" s="154"/>
    </row>
    <row r="222" spans="99:99" ht="14.25" customHeight="1" x14ac:dyDescent="0.2">
      <c r="CU222" s="154"/>
    </row>
    <row r="223" spans="99:99" ht="14.25" customHeight="1" x14ac:dyDescent="0.2">
      <c r="CU223" s="154"/>
    </row>
    <row r="224" spans="99:99" ht="14.25" customHeight="1" x14ac:dyDescent="0.2">
      <c r="CU224" s="154"/>
    </row>
    <row r="225" spans="99:99" ht="14.25" customHeight="1" x14ac:dyDescent="0.2">
      <c r="CU225" s="154"/>
    </row>
    <row r="226" spans="99:99" ht="14.25" customHeight="1" x14ac:dyDescent="0.2">
      <c r="CU226" s="154"/>
    </row>
    <row r="227" spans="99:99" ht="14.25" customHeight="1" x14ac:dyDescent="0.2">
      <c r="CU227" s="154"/>
    </row>
    <row r="228" spans="99:99" ht="14.25" customHeight="1" x14ac:dyDescent="0.2">
      <c r="CU228" s="154"/>
    </row>
    <row r="229" spans="99:99" ht="14.25" customHeight="1" x14ac:dyDescent="0.2">
      <c r="CU229" s="154"/>
    </row>
    <row r="230" spans="99:99" ht="14.25" customHeight="1" x14ac:dyDescent="0.2">
      <c r="CU230" s="154"/>
    </row>
    <row r="231" spans="99:99" ht="14.25" customHeight="1" x14ac:dyDescent="0.2">
      <c r="CU231" s="154"/>
    </row>
    <row r="232" spans="99:99" ht="14.25" customHeight="1" x14ac:dyDescent="0.2">
      <c r="CU232" s="154"/>
    </row>
    <row r="233" spans="99:99" ht="14.25" customHeight="1" x14ac:dyDescent="0.2">
      <c r="CU233" s="154"/>
    </row>
    <row r="234" spans="99:99" ht="14.25" customHeight="1" x14ac:dyDescent="0.2">
      <c r="CU234" s="154"/>
    </row>
    <row r="235" spans="99:99" ht="14.25" customHeight="1" x14ac:dyDescent="0.2">
      <c r="CU235" s="154"/>
    </row>
    <row r="236" spans="99:99" ht="14.25" customHeight="1" x14ac:dyDescent="0.2">
      <c r="CU236" s="154"/>
    </row>
    <row r="237" spans="99:99" ht="14.25" customHeight="1" x14ac:dyDescent="0.2">
      <c r="CU237" s="154"/>
    </row>
    <row r="238" spans="99:99" ht="14.25" customHeight="1" x14ac:dyDescent="0.2">
      <c r="CU238" s="154"/>
    </row>
    <row r="239" spans="99:99" ht="14.25" customHeight="1" x14ac:dyDescent="0.2">
      <c r="CU239" s="154"/>
    </row>
    <row r="240" spans="99:99" ht="14.25" customHeight="1" x14ac:dyDescent="0.2">
      <c r="CU240" s="154"/>
    </row>
    <row r="241" spans="99:99" ht="14.25" customHeight="1" x14ac:dyDescent="0.2">
      <c r="CU241" s="154"/>
    </row>
    <row r="242" spans="99:99" ht="14.25" customHeight="1" x14ac:dyDescent="0.2">
      <c r="CU242" s="154"/>
    </row>
    <row r="243" spans="99:99" ht="14.25" customHeight="1" x14ac:dyDescent="0.2">
      <c r="CU243" s="154"/>
    </row>
    <row r="244" spans="99:99" ht="14.25" customHeight="1" x14ac:dyDescent="0.2">
      <c r="CU244" s="154"/>
    </row>
    <row r="245" spans="99:99" ht="14.25" customHeight="1" x14ac:dyDescent="0.2">
      <c r="CU245" s="154"/>
    </row>
    <row r="246" spans="99:99" ht="14.25" customHeight="1" x14ac:dyDescent="0.2">
      <c r="CU246" s="154"/>
    </row>
    <row r="247" spans="99:99" ht="14.25" customHeight="1" x14ac:dyDescent="0.2">
      <c r="CU247" s="154"/>
    </row>
    <row r="248" spans="99:99" ht="14.25" customHeight="1" x14ac:dyDescent="0.2">
      <c r="CU248" s="154"/>
    </row>
    <row r="249" spans="99:99" ht="14.25" customHeight="1" x14ac:dyDescent="0.2">
      <c r="CU249" s="154"/>
    </row>
    <row r="250" spans="99:99" ht="14.25" customHeight="1" x14ac:dyDescent="0.2">
      <c r="CU250" s="154"/>
    </row>
    <row r="251" spans="99:99" ht="14.25" customHeight="1" x14ac:dyDescent="0.2">
      <c r="CU251" s="154"/>
    </row>
    <row r="252" spans="99:99" ht="14.25" customHeight="1" x14ac:dyDescent="0.2">
      <c r="CU252" s="154"/>
    </row>
    <row r="253" spans="99:99" ht="14.25" customHeight="1" x14ac:dyDescent="0.2">
      <c r="CU253" s="154"/>
    </row>
    <row r="254" spans="99:99" ht="14.25" customHeight="1" x14ac:dyDescent="0.2">
      <c r="CU254" s="154"/>
    </row>
    <row r="255" spans="99:99" ht="14.25" customHeight="1" x14ac:dyDescent="0.2">
      <c r="CU255" s="154"/>
    </row>
    <row r="256" spans="99:99" ht="14.25" customHeight="1" x14ac:dyDescent="0.2">
      <c r="CU256" s="154"/>
    </row>
    <row r="257" spans="99:99" ht="14.25" customHeight="1" x14ac:dyDescent="0.2">
      <c r="CU257" s="154"/>
    </row>
    <row r="258" spans="99:99" ht="14.25" customHeight="1" x14ac:dyDescent="0.2">
      <c r="CU258" s="154"/>
    </row>
    <row r="259" spans="99:99" ht="14.25" customHeight="1" x14ac:dyDescent="0.2">
      <c r="CU259" s="154"/>
    </row>
    <row r="260" spans="99:99" ht="14.25" customHeight="1" x14ac:dyDescent="0.2">
      <c r="CU260" s="154"/>
    </row>
    <row r="261" spans="99:99" ht="14.25" customHeight="1" x14ac:dyDescent="0.2">
      <c r="CU261" s="154"/>
    </row>
    <row r="262" spans="99:99" ht="14.25" customHeight="1" x14ac:dyDescent="0.2">
      <c r="CU262" s="154"/>
    </row>
    <row r="263" spans="99:99" ht="14.25" customHeight="1" x14ac:dyDescent="0.2">
      <c r="CU263" s="154"/>
    </row>
    <row r="264" spans="99:99" ht="14.25" customHeight="1" x14ac:dyDescent="0.2">
      <c r="CU264" s="154"/>
    </row>
    <row r="265" spans="99:99" ht="14.25" customHeight="1" x14ac:dyDescent="0.2">
      <c r="CU265" s="154"/>
    </row>
    <row r="266" spans="99:99" ht="14.25" customHeight="1" x14ac:dyDescent="0.2">
      <c r="CU266" s="154"/>
    </row>
    <row r="267" spans="99:99" ht="14.25" customHeight="1" x14ac:dyDescent="0.2">
      <c r="CU267" s="154"/>
    </row>
    <row r="268" spans="99:99" ht="14.25" customHeight="1" x14ac:dyDescent="0.2">
      <c r="CU268" s="154"/>
    </row>
    <row r="269" spans="99:99" ht="14.25" customHeight="1" x14ac:dyDescent="0.2">
      <c r="CU269" s="154"/>
    </row>
    <row r="270" spans="99:99" ht="14.25" customHeight="1" x14ac:dyDescent="0.2">
      <c r="CU270" s="154"/>
    </row>
    <row r="271" spans="99:99" ht="14.25" customHeight="1" x14ac:dyDescent="0.2">
      <c r="CU271" s="154"/>
    </row>
    <row r="272" spans="99:99" ht="14.25" customHeight="1" x14ac:dyDescent="0.2">
      <c r="CU272" s="154"/>
    </row>
    <row r="273" spans="99:99" ht="14.25" customHeight="1" x14ac:dyDescent="0.2">
      <c r="CU273" s="154"/>
    </row>
    <row r="274" spans="99:99" ht="14.25" customHeight="1" x14ac:dyDescent="0.2">
      <c r="CU274" s="154"/>
    </row>
    <row r="275" spans="99:99" ht="14.25" customHeight="1" x14ac:dyDescent="0.2">
      <c r="CU275" s="154"/>
    </row>
    <row r="276" spans="99:99" ht="14.25" customHeight="1" x14ac:dyDescent="0.2">
      <c r="CU276" s="154"/>
    </row>
    <row r="277" spans="99:99" ht="14.25" customHeight="1" x14ac:dyDescent="0.2">
      <c r="CU277" s="154"/>
    </row>
    <row r="278" spans="99:99" ht="14.25" customHeight="1" x14ac:dyDescent="0.2">
      <c r="CU278" s="154"/>
    </row>
    <row r="279" spans="99:99" ht="14.25" customHeight="1" x14ac:dyDescent="0.2">
      <c r="CU279" s="154"/>
    </row>
    <row r="280" spans="99:99" ht="14.25" customHeight="1" x14ac:dyDescent="0.2">
      <c r="CU280" s="154"/>
    </row>
    <row r="281" spans="99:99" ht="14.25" customHeight="1" x14ac:dyDescent="0.2">
      <c r="CU281" s="154"/>
    </row>
    <row r="282" spans="99:99" ht="14.25" customHeight="1" x14ac:dyDescent="0.2">
      <c r="CU282" s="154"/>
    </row>
    <row r="283" spans="99:99" ht="14.25" customHeight="1" x14ac:dyDescent="0.2">
      <c r="CU283" s="154"/>
    </row>
    <row r="284" spans="99:99" ht="14.25" customHeight="1" x14ac:dyDescent="0.2">
      <c r="CU284" s="154"/>
    </row>
    <row r="285" spans="99:99" ht="14.25" customHeight="1" x14ac:dyDescent="0.2">
      <c r="CU285" s="154"/>
    </row>
    <row r="286" spans="99:99" ht="14.25" customHeight="1" x14ac:dyDescent="0.2">
      <c r="CU286" s="154"/>
    </row>
    <row r="287" spans="99:99" ht="14.25" customHeight="1" x14ac:dyDescent="0.2">
      <c r="CU287" s="154"/>
    </row>
    <row r="288" spans="99:99" ht="14.25" customHeight="1" x14ac:dyDescent="0.2">
      <c r="CU288" s="154"/>
    </row>
    <row r="289" spans="99:99" ht="14.25" customHeight="1" x14ac:dyDescent="0.2">
      <c r="CU289" s="154"/>
    </row>
    <row r="290" spans="99:99" ht="14.25" customHeight="1" x14ac:dyDescent="0.2">
      <c r="CU290" s="154"/>
    </row>
    <row r="291" spans="99:99" ht="14.25" customHeight="1" x14ac:dyDescent="0.2">
      <c r="CU291" s="154"/>
    </row>
    <row r="292" spans="99:99" ht="14.25" customHeight="1" x14ac:dyDescent="0.2">
      <c r="CU292" s="154"/>
    </row>
    <row r="293" spans="99:99" ht="14.25" customHeight="1" x14ac:dyDescent="0.2">
      <c r="CU293" s="154"/>
    </row>
    <row r="294" spans="99:99" ht="14.25" customHeight="1" x14ac:dyDescent="0.2">
      <c r="CU294" s="154"/>
    </row>
    <row r="295" spans="99:99" ht="14.25" customHeight="1" x14ac:dyDescent="0.2">
      <c r="CU295" s="154"/>
    </row>
    <row r="296" spans="99:99" ht="14.25" customHeight="1" x14ac:dyDescent="0.2">
      <c r="CU296" s="154"/>
    </row>
    <row r="297" spans="99:99" ht="14.25" customHeight="1" x14ac:dyDescent="0.2">
      <c r="CU297" s="154"/>
    </row>
    <row r="298" spans="99:99" ht="14.25" customHeight="1" x14ac:dyDescent="0.2">
      <c r="CU298" s="154"/>
    </row>
    <row r="299" spans="99:99" ht="14.25" customHeight="1" x14ac:dyDescent="0.2">
      <c r="CU299" s="154"/>
    </row>
    <row r="300" spans="99:99" ht="14.25" customHeight="1" x14ac:dyDescent="0.2">
      <c r="CU300" s="154"/>
    </row>
    <row r="301" spans="99:99" ht="14.25" customHeight="1" x14ac:dyDescent="0.2">
      <c r="CU301" s="154"/>
    </row>
    <row r="302" spans="99:99" ht="14.25" customHeight="1" x14ac:dyDescent="0.2">
      <c r="CU302" s="154"/>
    </row>
    <row r="303" spans="99:99" ht="14.25" customHeight="1" x14ac:dyDescent="0.2">
      <c r="CU303" s="154"/>
    </row>
    <row r="304" spans="99:99" ht="14.25" customHeight="1" x14ac:dyDescent="0.2">
      <c r="CU304" s="154"/>
    </row>
    <row r="305" spans="99:99" ht="14.25" customHeight="1" x14ac:dyDescent="0.2">
      <c r="CU305" s="154"/>
    </row>
    <row r="306" spans="99:99" ht="14.25" customHeight="1" x14ac:dyDescent="0.2">
      <c r="CU306" s="154"/>
    </row>
    <row r="307" spans="99:99" ht="14.25" customHeight="1" x14ac:dyDescent="0.2">
      <c r="CU307" s="154"/>
    </row>
    <row r="308" spans="99:99" ht="14.25" customHeight="1" x14ac:dyDescent="0.2">
      <c r="CU308" s="154"/>
    </row>
    <row r="309" spans="99:99" ht="14.25" customHeight="1" x14ac:dyDescent="0.2">
      <c r="CU309" s="154"/>
    </row>
    <row r="310" spans="99:99" ht="14.25" customHeight="1" x14ac:dyDescent="0.2">
      <c r="CU310" s="154"/>
    </row>
    <row r="311" spans="99:99" ht="14.25" customHeight="1" x14ac:dyDescent="0.2">
      <c r="CU311" s="154"/>
    </row>
    <row r="312" spans="99:99" ht="14.25" customHeight="1" x14ac:dyDescent="0.2">
      <c r="CU312" s="154"/>
    </row>
    <row r="313" spans="99:99" ht="14.25" customHeight="1" x14ac:dyDescent="0.2">
      <c r="CU313" s="154"/>
    </row>
    <row r="314" spans="99:99" ht="14.25" customHeight="1" x14ac:dyDescent="0.2">
      <c r="CU314" s="154"/>
    </row>
    <row r="315" spans="99:99" ht="14.25" customHeight="1" x14ac:dyDescent="0.2">
      <c r="CU315" s="154"/>
    </row>
    <row r="316" spans="99:99" ht="14.25" customHeight="1" x14ac:dyDescent="0.2">
      <c r="CU316" s="154"/>
    </row>
    <row r="317" spans="99:99" ht="14.25" customHeight="1" x14ac:dyDescent="0.2">
      <c r="CU317" s="154"/>
    </row>
    <row r="318" spans="99:99" ht="14.25" customHeight="1" x14ac:dyDescent="0.2">
      <c r="CU318" s="154"/>
    </row>
    <row r="319" spans="99:99" ht="14.25" customHeight="1" x14ac:dyDescent="0.2">
      <c r="CU319" s="154"/>
    </row>
    <row r="320" spans="99:99" ht="14.25" customHeight="1" x14ac:dyDescent="0.2">
      <c r="CU320" s="154"/>
    </row>
    <row r="321" spans="99:99" ht="14.25" customHeight="1" x14ac:dyDescent="0.2">
      <c r="CU321" s="154"/>
    </row>
    <row r="322" spans="99:99" ht="14.25" customHeight="1" x14ac:dyDescent="0.2">
      <c r="CU322" s="154"/>
    </row>
    <row r="323" spans="99:99" ht="14.25" customHeight="1" x14ac:dyDescent="0.2">
      <c r="CU323" s="154"/>
    </row>
    <row r="324" spans="99:99" ht="14.25" customHeight="1" x14ac:dyDescent="0.2">
      <c r="CU324" s="154"/>
    </row>
    <row r="325" spans="99:99" ht="14.25" customHeight="1" x14ac:dyDescent="0.2">
      <c r="CU325" s="154"/>
    </row>
    <row r="326" spans="99:99" ht="14.25" customHeight="1" x14ac:dyDescent="0.2">
      <c r="CU326" s="154"/>
    </row>
    <row r="327" spans="99:99" ht="14.25" customHeight="1" x14ac:dyDescent="0.2">
      <c r="CU327" s="154"/>
    </row>
    <row r="328" spans="99:99" ht="14.25" customHeight="1" x14ac:dyDescent="0.2">
      <c r="CU328" s="154"/>
    </row>
    <row r="329" spans="99:99" ht="14.25" customHeight="1" x14ac:dyDescent="0.2">
      <c r="CU329" s="154"/>
    </row>
    <row r="330" spans="99:99" ht="14.25" customHeight="1" x14ac:dyDescent="0.2">
      <c r="CU330" s="154"/>
    </row>
    <row r="331" spans="99:99" ht="14.25" customHeight="1" x14ac:dyDescent="0.2">
      <c r="CU331" s="154"/>
    </row>
    <row r="332" spans="99:99" ht="14.25" customHeight="1" x14ac:dyDescent="0.2">
      <c r="CU332" s="154"/>
    </row>
    <row r="333" spans="99:99" ht="14.25" customHeight="1" x14ac:dyDescent="0.2">
      <c r="CU333" s="154"/>
    </row>
    <row r="334" spans="99:99" ht="14.25" customHeight="1" x14ac:dyDescent="0.2">
      <c r="CU334" s="154"/>
    </row>
    <row r="335" spans="99:99" ht="14.25" customHeight="1" x14ac:dyDescent="0.2">
      <c r="CU335" s="154"/>
    </row>
    <row r="336" spans="99:99" ht="14.25" customHeight="1" x14ac:dyDescent="0.2">
      <c r="CU336" s="154"/>
    </row>
    <row r="337" spans="99:99" ht="14.25" customHeight="1" x14ac:dyDescent="0.2">
      <c r="CU337" s="154"/>
    </row>
    <row r="338" spans="99:99" ht="14.25" customHeight="1" x14ac:dyDescent="0.2">
      <c r="CU338" s="154"/>
    </row>
    <row r="339" spans="99:99" ht="14.25" customHeight="1" x14ac:dyDescent="0.2">
      <c r="CU339" s="154"/>
    </row>
    <row r="340" spans="99:99" ht="14.25" customHeight="1" x14ac:dyDescent="0.2">
      <c r="CU340" s="154"/>
    </row>
    <row r="341" spans="99:99" ht="14.25" customHeight="1" x14ac:dyDescent="0.2">
      <c r="CU341" s="154"/>
    </row>
    <row r="342" spans="99:99" ht="14.25" customHeight="1" x14ac:dyDescent="0.2">
      <c r="CU342" s="154"/>
    </row>
    <row r="343" spans="99:99" ht="14.25" customHeight="1" x14ac:dyDescent="0.2">
      <c r="CU343" s="154"/>
    </row>
    <row r="344" spans="99:99" ht="14.25" customHeight="1" x14ac:dyDescent="0.2">
      <c r="CU344" s="154"/>
    </row>
    <row r="345" spans="99:99" ht="14.25" customHeight="1" x14ac:dyDescent="0.2">
      <c r="CU345" s="154"/>
    </row>
    <row r="346" spans="99:99" ht="14.25" customHeight="1" x14ac:dyDescent="0.2">
      <c r="CU346" s="154"/>
    </row>
    <row r="347" spans="99:99" ht="14.25" customHeight="1" x14ac:dyDescent="0.2">
      <c r="CU347" s="154"/>
    </row>
    <row r="348" spans="99:99" ht="14.25" customHeight="1" x14ac:dyDescent="0.2">
      <c r="CU348" s="154"/>
    </row>
    <row r="349" spans="99:99" ht="14.25" customHeight="1" x14ac:dyDescent="0.2">
      <c r="CU349" s="154"/>
    </row>
    <row r="350" spans="99:99" ht="14.25" customHeight="1" x14ac:dyDescent="0.2">
      <c r="CU350" s="154"/>
    </row>
    <row r="351" spans="99:99" ht="14.25" customHeight="1" x14ac:dyDescent="0.2">
      <c r="CU351" s="154"/>
    </row>
    <row r="352" spans="99:99" ht="14.25" customHeight="1" x14ac:dyDescent="0.2">
      <c r="CU352" s="154"/>
    </row>
    <row r="353" spans="99:99" ht="14.25" customHeight="1" x14ac:dyDescent="0.2">
      <c r="CU353" s="154"/>
    </row>
    <row r="354" spans="99:99" ht="14.25" customHeight="1" x14ac:dyDescent="0.2">
      <c r="CU354" s="154"/>
    </row>
    <row r="355" spans="99:99" ht="14.25" customHeight="1" x14ac:dyDescent="0.2">
      <c r="CU355" s="154"/>
    </row>
    <row r="356" spans="99:99" ht="14.25" customHeight="1" x14ac:dyDescent="0.2">
      <c r="CU356" s="154"/>
    </row>
    <row r="357" spans="99:99" ht="14.25" customHeight="1" x14ac:dyDescent="0.2">
      <c r="CU357" s="154"/>
    </row>
    <row r="358" spans="99:99" ht="14.25" customHeight="1" x14ac:dyDescent="0.2">
      <c r="CU358" s="154"/>
    </row>
    <row r="359" spans="99:99" ht="14.25" customHeight="1" x14ac:dyDescent="0.2">
      <c r="CU359" s="154"/>
    </row>
    <row r="360" spans="99:99" ht="14.25" customHeight="1" x14ac:dyDescent="0.2">
      <c r="CU360" s="154"/>
    </row>
    <row r="361" spans="99:99" ht="14.25" customHeight="1" x14ac:dyDescent="0.2">
      <c r="CU361" s="154"/>
    </row>
    <row r="362" spans="99:99" ht="14.25" customHeight="1" x14ac:dyDescent="0.2">
      <c r="CU362" s="154"/>
    </row>
    <row r="363" spans="99:99" ht="14.25" customHeight="1" x14ac:dyDescent="0.2">
      <c r="CU363" s="154"/>
    </row>
    <row r="364" spans="99:99" ht="14.25" customHeight="1" x14ac:dyDescent="0.2">
      <c r="CU364" s="154"/>
    </row>
    <row r="365" spans="99:99" ht="14.25" customHeight="1" x14ac:dyDescent="0.2">
      <c r="CU365" s="154"/>
    </row>
    <row r="366" spans="99:99" ht="14.25" customHeight="1" x14ac:dyDescent="0.2">
      <c r="CU366" s="154"/>
    </row>
    <row r="367" spans="99:99" ht="14.25" customHeight="1" x14ac:dyDescent="0.2">
      <c r="CU367" s="154"/>
    </row>
    <row r="368" spans="99:99" ht="14.25" customHeight="1" x14ac:dyDescent="0.2">
      <c r="CU368" s="154"/>
    </row>
    <row r="369" spans="99:99" ht="14.25" customHeight="1" x14ac:dyDescent="0.2">
      <c r="CU369" s="154"/>
    </row>
    <row r="370" spans="99:99" ht="14.25" customHeight="1" x14ac:dyDescent="0.2">
      <c r="CU370" s="154"/>
    </row>
    <row r="371" spans="99:99" ht="14.25" customHeight="1" x14ac:dyDescent="0.2">
      <c r="CU371" s="154"/>
    </row>
    <row r="372" spans="99:99" ht="14.25" customHeight="1" x14ac:dyDescent="0.2">
      <c r="CU372" s="154"/>
    </row>
    <row r="373" spans="99:99" ht="14.25" customHeight="1" x14ac:dyDescent="0.2">
      <c r="CU373" s="154"/>
    </row>
    <row r="374" spans="99:99" ht="14.25" customHeight="1" x14ac:dyDescent="0.2">
      <c r="CU374" s="154"/>
    </row>
    <row r="375" spans="99:99" ht="14.25" customHeight="1" x14ac:dyDescent="0.2">
      <c r="CU375" s="154"/>
    </row>
    <row r="376" spans="99:99" ht="14.25" customHeight="1" x14ac:dyDescent="0.2">
      <c r="CU376" s="154"/>
    </row>
    <row r="377" spans="99:99" ht="14.25" customHeight="1" x14ac:dyDescent="0.2">
      <c r="CU377" s="154"/>
    </row>
    <row r="378" spans="99:99" ht="14.25" customHeight="1" x14ac:dyDescent="0.2">
      <c r="CU378" s="154"/>
    </row>
    <row r="379" spans="99:99" ht="14.25" customHeight="1" x14ac:dyDescent="0.2">
      <c r="CU379" s="154"/>
    </row>
    <row r="380" spans="99:99" ht="14.25" customHeight="1" x14ac:dyDescent="0.2">
      <c r="CU380" s="154"/>
    </row>
    <row r="381" spans="99:99" ht="14.25" customHeight="1" x14ac:dyDescent="0.2">
      <c r="CU381" s="154"/>
    </row>
    <row r="382" spans="99:99" ht="14.25" customHeight="1" x14ac:dyDescent="0.2">
      <c r="CU382" s="154"/>
    </row>
    <row r="383" spans="99:99" ht="14.25" customHeight="1" x14ac:dyDescent="0.2">
      <c r="CU383" s="154"/>
    </row>
    <row r="384" spans="99:99" ht="14.25" customHeight="1" x14ac:dyDescent="0.2">
      <c r="CU384" s="154"/>
    </row>
    <row r="385" spans="99:99" ht="14.25" customHeight="1" x14ac:dyDescent="0.2">
      <c r="CU385" s="154"/>
    </row>
    <row r="386" spans="99:99" ht="14.25" customHeight="1" x14ac:dyDescent="0.2">
      <c r="CU386" s="154"/>
    </row>
    <row r="387" spans="99:99" ht="14.25" customHeight="1" x14ac:dyDescent="0.2">
      <c r="CU387" s="154"/>
    </row>
    <row r="388" spans="99:99" ht="14.25" customHeight="1" x14ac:dyDescent="0.2">
      <c r="CU388" s="154"/>
    </row>
    <row r="389" spans="99:99" ht="14.25" customHeight="1" x14ac:dyDescent="0.2">
      <c r="CU389" s="154"/>
    </row>
    <row r="390" spans="99:99" ht="14.25" customHeight="1" x14ac:dyDescent="0.2">
      <c r="CU390" s="154"/>
    </row>
    <row r="391" spans="99:99" ht="14.25" customHeight="1" x14ac:dyDescent="0.2">
      <c r="CU391" s="154"/>
    </row>
    <row r="392" spans="99:99" ht="14.25" customHeight="1" x14ac:dyDescent="0.2">
      <c r="CU392" s="154"/>
    </row>
    <row r="393" spans="99:99" ht="14.25" customHeight="1" x14ac:dyDescent="0.2">
      <c r="CU393" s="154"/>
    </row>
    <row r="394" spans="99:99" ht="14.25" customHeight="1" x14ac:dyDescent="0.2">
      <c r="CU394" s="154"/>
    </row>
    <row r="395" spans="99:99" ht="14.25" customHeight="1" x14ac:dyDescent="0.2">
      <c r="CU395" s="154"/>
    </row>
    <row r="396" spans="99:99" ht="14.25" customHeight="1" x14ac:dyDescent="0.2">
      <c r="CU396" s="154"/>
    </row>
    <row r="397" spans="99:99" ht="14.25" customHeight="1" x14ac:dyDescent="0.2">
      <c r="CU397" s="154"/>
    </row>
    <row r="398" spans="99:99" ht="14.25" customHeight="1" x14ac:dyDescent="0.2">
      <c r="CU398" s="154"/>
    </row>
    <row r="399" spans="99:99" ht="14.25" customHeight="1" x14ac:dyDescent="0.2">
      <c r="CU399" s="154"/>
    </row>
    <row r="400" spans="99:99" ht="14.25" customHeight="1" x14ac:dyDescent="0.2">
      <c r="CU400" s="154"/>
    </row>
    <row r="401" spans="99:99" ht="14.25" customHeight="1" x14ac:dyDescent="0.2">
      <c r="CU401" s="154"/>
    </row>
    <row r="402" spans="99:99" ht="14.25" customHeight="1" x14ac:dyDescent="0.2">
      <c r="CU402" s="154"/>
    </row>
    <row r="403" spans="99:99" ht="14.25" customHeight="1" x14ac:dyDescent="0.2">
      <c r="CU403" s="154"/>
    </row>
    <row r="404" spans="99:99" ht="14.25" customHeight="1" x14ac:dyDescent="0.2">
      <c r="CU404" s="154"/>
    </row>
    <row r="405" spans="99:99" ht="14.25" customHeight="1" x14ac:dyDescent="0.2">
      <c r="CU405" s="154"/>
    </row>
    <row r="406" spans="99:99" ht="14.25" customHeight="1" x14ac:dyDescent="0.2">
      <c r="CU406" s="154"/>
    </row>
    <row r="407" spans="99:99" ht="14.25" customHeight="1" x14ac:dyDescent="0.2">
      <c r="CU407" s="154"/>
    </row>
    <row r="408" spans="99:99" ht="14.25" customHeight="1" x14ac:dyDescent="0.2">
      <c r="CU408" s="154"/>
    </row>
    <row r="409" spans="99:99" ht="14.25" customHeight="1" x14ac:dyDescent="0.2">
      <c r="CU409" s="154"/>
    </row>
    <row r="410" spans="99:99" ht="14.25" customHeight="1" x14ac:dyDescent="0.2">
      <c r="CU410" s="154"/>
    </row>
    <row r="411" spans="99:99" ht="14.25" customHeight="1" x14ac:dyDescent="0.2">
      <c r="CU411" s="154"/>
    </row>
    <row r="412" spans="99:99" ht="14.25" customHeight="1" x14ac:dyDescent="0.2">
      <c r="CU412" s="154"/>
    </row>
    <row r="413" spans="99:99" ht="14.25" customHeight="1" x14ac:dyDescent="0.2">
      <c r="CU413" s="154"/>
    </row>
    <row r="414" spans="99:99" ht="14.25" customHeight="1" x14ac:dyDescent="0.2">
      <c r="CU414" s="154"/>
    </row>
    <row r="415" spans="99:99" ht="14.25" customHeight="1" x14ac:dyDescent="0.2">
      <c r="CU415" s="154"/>
    </row>
    <row r="416" spans="99:99" ht="14.25" customHeight="1" x14ac:dyDescent="0.2">
      <c r="CU416" s="154"/>
    </row>
    <row r="417" spans="99:99" ht="14.25" customHeight="1" x14ac:dyDescent="0.2">
      <c r="CU417" s="154"/>
    </row>
    <row r="418" spans="99:99" ht="14.25" customHeight="1" x14ac:dyDescent="0.2">
      <c r="CU418" s="154"/>
    </row>
    <row r="419" spans="99:99" ht="14.25" customHeight="1" x14ac:dyDescent="0.2">
      <c r="CU419" s="154"/>
    </row>
    <row r="420" spans="99:99" ht="14.25" customHeight="1" x14ac:dyDescent="0.2">
      <c r="CU420" s="154"/>
    </row>
    <row r="421" spans="99:99" ht="14.25" customHeight="1" x14ac:dyDescent="0.2">
      <c r="CU421" s="154"/>
    </row>
    <row r="422" spans="99:99" ht="14.25" customHeight="1" x14ac:dyDescent="0.2">
      <c r="CU422" s="154"/>
    </row>
    <row r="423" spans="99:99" ht="14.25" customHeight="1" x14ac:dyDescent="0.2">
      <c r="CU423" s="154"/>
    </row>
    <row r="424" spans="99:99" ht="14.25" customHeight="1" x14ac:dyDescent="0.2">
      <c r="CU424" s="154"/>
    </row>
    <row r="425" spans="99:99" ht="14.25" customHeight="1" x14ac:dyDescent="0.2">
      <c r="CU425" s="154"/>
    </row>
    <row r="426" spans="99:99" ht="14.25" customHeight="1" x14ac:dyDescent="0.2">
      <c r="CU426" s="154"/>
    </row>
    <row r="427" spans="99:99" ht="14.25" customHeight="1" x14ac:dyDescent="0.2">
      <c r="CU427" s="154"/>
    </row>
    <row r="428" spans="99:99" ht="14.25" customHeight="1" x14ac:dyDescent="0.2">
      <c r="CU428" s="154"/>
    </row>
    <row r="429" spans="99:99" ht="14.25" customHeight="1" x14ac:dyDescent="0.2">
      <c r="CU429" s="154"/>
    </row>
    <row r="430" spans="99:99" ht="14.25" customHeight="1" x14ac:dyDescent="0.2">
      <c r="CU430" s="154"/>
    </row>
    <row r="431" spans="99:99" ht="14.25" customHeight="1" x14ac:dyDescent="0.2">
      <c r="CU431" s="154"/>
    </row>
    <row r="432" spans="99:99" ht="14.25" customHeight="1" x14ac:dyDescent="0.2">
      <c r="CU432" s="154"/>
    </row>
    <row r="433" spans="99:99" ht="14.25" customHeight="1" x14ac:dyDescent="0.2">
      <c r="CU433" s="154"/>
    </row>
    <row r="434" spans="99:99" ht="14.25" customHeight="1" x14ac:dyDescent="0.2">
      <c r="CU434" s="154"/>
    </row>
    <row r="435" spans="99:99" ht="14.25" customHeight="1" x14ac:dyDescent="0.2">
      <c r="CU435" s="154"/>
    </row>
    <row r="436" spans="99:99" ht="14.25" customHeight="1" x14ac:dyDescent="0.2">
      <c r="CU436" s="154"/>
    </row>
    <row r="437" spans="99:99" ht="14.25" customHeight="1" x14ac:dyDescent="0.2">
      <c r="CU437" s="154"/>
    </row>
    <row r="438" spans="99:99" ht="14.25" customHeight="1" x14ac:dyDescent="0.2">
      <c r="CU438" s="154"/>
    </row>
    <row r="439" spans="99:99" ht="14.25" customHeight="1" x14ac:dyDescent="0.2">
      <c r="CU439" s="154"/>
    </row>
    <row r="440" spans="99:99" ht="14.25" customHeight="1" x14ac:dyDescent="0.2">
      <c r="CU440" s="154"/>
    </row>
    <row r="441" spans="99:99" ht="14.25" customHeight="1" x14ac:dyDescent="0.2">
      <c r="CU441" s="154"/>
    </row>
    <row r="442" spans="99:99" ht="14.25" customHeight="1" x14ac:dyDescent="0.2">
      <c r="CU442" s="154"/>
    </row>
    <row r="443" spans="99:99" ht="14.25" customHeight="1" x14ac:dyDescent="0.2">
      <c r="CU443" s="154"/>
    </row>
    <row r="444" spans="99:99" ht="14.25" customHeight="1" x14ac:dyDescent="0.2">
      <c r="CU444" s="154"/>
    </row>
    <row r="445" spans="99:99" ht="14.25" customHeight="1" x14ac:dyDescent="0.2">
      <c r="CU445" s="154"/>
    </row>
    <row r="446" spans="99:99" ht="14.25" customHeight="1" x14ac:dyDescent="0.2">
      <c r="CU446" s="154"/>
    </row>
    <row r="447" spans="99:99" ht="14.25" customHeight="1" x14ac:dyDescent="0.2">
      <c r="CU447" s="154"/>
    </row>
    <row r="448" spans="99:99" ht="14.25" customHeight="1" x14ac:dyDescent="0.2">
      <c r="CU448" s="154"/>
    </row>
    <row r="449" spans="99:99" ht="14.25" customHeight="1" x14ac:dyDescent="0.2">
      <c r="CU449" s="154"/>
    </row>
    <row r="450" spans="99:99" ht="14.25" customHeight="1" x14ac:dyDescent="0.2">
      <c r="CU450" s="154"/>
    </row>
    <row r="451" spans="99:99" ht="14.25" customHeight="1" x14ac:dyDescent="0.2">
      <c r="CU451" s="154"/>
    </row>
    <row r="452" spans="99:99" ht="14.25" customHeight="1" x14ac:dyDescent="0.2">
      <c r="CU452" s="154"/>
    </row>
    <row r="453" spans="99:99" ht="14.25" customHeight="1" x14ac:dyDescent="0.2">
      <c r="CU453" s="154"/>
    </row>
    <row r="454" spans="99:99" ht="14.25" customHeight="1" x14ac:dyDescent="0.2">
      <c r="CU454" s="154"/>
    </row>
    <row r="455" spans="99:99" ht="14.25" customHeight="1" x14ac:dyDescent="0.2">
      <c r="CU455" s="154"/>
    </row>
    <row r="456" spans="99:99" ht="14.25" customHeight="1" x14ac:dyDescent="0.2">
      <c r="CU456" s="154"/>
    </row>
    <row r="457" spans="99:99" ht="14.25" customHeight="1" x14ac:dyDescent="0.2">
      <c r="CU457" s="154"/>
    </row>
    <row r="458" spans="99:99" ht="14.25" customHeight="1" x14ac:dyDescent="0.2">
      <c r="CU458" s="154"/>
    </row>
    <row r="459" spans="99:99" ht="14.25" customHeight="1" x14ac:dyDescent="0.2">
      <c r="CU459" s="154"/>
    </row>
    <row r="460" spans="99:99" ht="14.25" customHeight="1" x14ac:dyDescent="0.2">
      <c r="CU460" s="154"/>
    </row>
    <row r="461" spans="99:99" ht="14.25" customHeight="1" x14ac:dyDescent="0.2">
      <c r="CU461" s="154"/>
    </row>
    <row r="462" spans="99:99" ht="14.25" customHeight="1" x14ac:dyDescent="0.2">
      <c r="CU462" s="154"/>
    </row>
    <row r="463" spans="99:99" ht="14.25" customHeight="1" x14ac:dyDescent="0.2">
      <c r="CU463" s="154"/>
    </row>
    <row r="464" spans="99:99" ht="14.25" customHeight="1" x14ac:dyDescent="0.2">
      <c r="CU464" s="154"/>
    </row>
    <row r="465" spans="99:99" ht="14.25" customHeight="1" x14ac:dyDescent="0.2">
      <c r="CU465" s="154"/>
    </row>
    <row r="466" spans="99:99" ht="14.25" customHeight="1" x14ac:dyDescent="0.2">
      <c r="CU466" s="154"/>
    </row>
    <row r="467" spans="99:99" ht="14.25" customHeight="1" x14ac:dyDescent="0.2">
      <c r="CU467" s="154"/>
    </row>
    <row r="468" spans="99:99" ht="14.25" customHeight="1" x14ac:dyDescent="0.2">
      <c r="CU468" s="154"/>
    </row>
    <row r="469" spans="99:99" ht="14.25" customHeight="1" x14ac:dyDescent="0.2">
      <c r="CU469" s="154"/>
    </row>
    <row r="470" spans="99:99" ht="14.25" customHeight="1" x14ac:dyDescent="0.2">
      <c r="CU470" s="154"/>
    </row>
    <row r="471" spans="99:99" ht="14.25" customHeight="1" x14ac:dyDescent="0.2">
      <c r="CU471" s="154"/>
    </row>
    <row r="472" spans="99:99" ht="14.25" customHeight="1" x14ac:dyDescent="0.2">
      <c r="CU472" s="154"/>
    </row>
    <row r="473" spans="99:99" ht="14.25" customHeight="1" x14ac:dyDescent="0.2">
      <c r="CU473" s="154"/>
    </row>
    <row r="474" spans="99:99" ht="14.25" customHeight="1" x14ac:dyDescent="0.2">
      <c r="CU474" s="154"/>
    </row>
    <row r="475" spans="99:99" ht="14.25" customHeight="1" x14ac:dyDescent="0.2">
      <c r="CU475" s="154"/>
    </row>
    <row r="476" spans="99:99" ht="14.25" customHeight="1" x14ac:dyDescent="0.2">
      <c r="CU476" s="154"/>
    </row>
    <row r="477" spans="99:99" ht="14.25" customHeight="1" x14ac:dyDescent="0.2">
      <c r="CU477" s="154"/>
    </row>
    <row r="478" spans="99:99" ht="14.25" customHeight="1" x14ac:dyDescent="0.2">
      <c r="CU478" s="154"/>
    </row>
    <row r="479" spans="99:99" ht="14.25" customHeight="1" x14ac:dyDescent="0.2">
      <c r="CU479" s="154"/>
    </row>
    <row r="480" spans="99:99" ht="14.25" customHeight="1" x14ac:dyDescent="0.2">
      <c r="CU480" s="154"/>
    </row>
    <row r="481" spans="99:99" ht="14.25" customHeight="1" x14ac:dyDescent="0.2">
      <c r="CU481" s="154"/>
    </row>
    <row r="482" spans="99:99" ht="14.25" customHeight="1" x14ac:dyDescent="0.2">
      <c r="CU482" s="154"/>
    </row>
    <row r="483" spans="99:99" ht="14.25" customHeight="1" x14ac:dyDescent="0.2">
      <c r="CU483" s="154"/>
    </row>
    <row r="484" spans="99:99" ht="14.25" customHeight="1" x14ac:dyDescent="0.2">
      <c r="CU484" s="154"/>
    </row>
    <row r="485" spans="99:99" ht="14.25" customHeight="1" x14ac:dyDescent="0.2">
      <c r="CU485" s="154"/>
    </row>
    <row r="486" spans="99:99" ht="14.25" customHeight="1" x14ac:dyDescent="0.2">
      <c r="CU486" s="154"/>
    </row>
    <row r="487" spans="99:99" ht="14.25" customHeight="1" x14ac:dyDescent="0.2">
      <c r="CU487" s="154"/>
    </row>
    <row r="488" spans="99:99" ht="14.25" customHeight="1" x14ac:dyDescent="0.2">
      <c r="CU488" s="154"/>
    </row>
    <row r="489" spans="99:99" ht="14.25" customHeight="1" x14ac:dyDescent="0.2">
      <c r="CU489" s="154"/>
    </row>
    <row r="490" spans="99:99" ht="14.25" customHeight="1" x14ac:dyDescent="0.2">
      <c r="CU490" s="154"/>
    </row>
    <row r="491" spans="99:99" ht="14.25" customHeight="1" x14ac:dyDescent="0.2">
      <c r="CU491" s="154"/>
    </row>
    <row r="492" spans="99:99" ht="14.25" customHeight="1" x14ac:dyDescent="0.2">
      <c r="CU492" s="154"/>
    </row>
    <row r="493" spans="99:99" ht="14.25" customHeight="1" x14ac:dyDescent="0.2">
      <c r="CU493" s="154"/>
    </row>
    <row r="494" spans="99:99" ht="14.25" customHeight="1" x14ac:dyDescent="0.2">
      <c r="CU494" s="154"/>
    </row>
    <row r="495" spans="99:99" ht="14.25" customHeight="1" x14ac:dyDescent="0.2">
      <c r="CU495" s="154"/>
    </row>
    <row r="496" spans="99:99" ht="14.25" customHeight="1" x14ac:dyDescent="0.2">
      <c r="CU496" s="154"/>
    </row>
    <row r="497" spans="99:99" ht="14.25" customHeight="1" x14ac:dyDescent="0.2">
      <c r="CU497" s="154"/>
    </row>
    <row r="498" spans="99:99" ht="14.25" customHeight="1" x14ac:dyDescent="0.2">
      <c r="CU498" s="154"/>
    </row>
    <row r="499" spans="99:99" ht="14.25" customHeight="1" x14ac:dyDescent="0.2">
      <c r="CU499" s="154"/>
    </row>
    <row r="500" spans="99:99" ht="14.25" customHeight="1" x14ac:dyDescent="0.2">
      <c r="CU500" s="154"/>
    </row>
    <row r="501" spans="99:99" ht="14.25" customHeight="1" x14ac:dyDescent="0.2">
      <c r="CU501" s="154"/>
    </row>
    <row r="502" spans="99:99" ht="14.25" customHeight="1" x14ac:dyDescent="0.2">
      <c r="CU502" s="154"/>
    </row>
    <row r="503" spans="99:99" ht="14.25" customHeight="1" x14ac:dyDescent="0.2">
      <c r="CU503" s="154"/>
    </row>
    <row r="504" spans="99:99" ht="14.25" customHeight="1" x14ac:dyDescent="0.2">
      <c r="CU504" s="154"/>
    </row>
    <row r="505" spans="99:99" ht="14.25" customHeight="1" x14ac:dyDescent="0.2">
      <c r="CU505" s="154"/>
    </row>
    <row r="506" spans="99:99" ht="14.25" customHeight="1" x14ac:dyDescent="0.2">
      <c r="CU506" s="154"/>
    </row>
    <row r="507" spans="99:99" ht="14.25" customHeight="1" x14ac:dyDescent="0.2">
      <c r="CU507" s="154"/>
    </row>
    <row r="508" spans="99:99" ht="14.25" customHeight="1" x14ac:dyDescent="0.2">
      <c r="CU508" s="154"/>
    </row>
    <row r="509" spans="99:99" ht="14.25" customHeight="1" x14ac:dyDescent="0.2">
      <c r="CU509" s="154"/>
    </row>
    <row r="510" spans="99:99" ht="14.25" customHeight="1" x14ac:dyDescent="0.2">
      <c r="CU510" s="154"/>
    </row>
    <row r="511" spans="99:99" ht="14.25" customHeight="1" x14ac:dyDescent="0.2">
      <c r="CU511" s="154"/>
    </row>
    <row r="512" spans="99:99" ht="14.25" customHeight="1" x14ac:dyDescent="0.2">
      <c r="CU512" s="154"/>
    </row>
    <row r="513" spans="99:99" ht="14.25" customHeight="1" x14ac:dyDescent="0.2">
      <c r="CU513" s="154"/>
    </row>
    <row r="514" spans="99:99" ht="14.25" customHeight="1" x14ac:dyDescent="0.2">
      <c r="CU514" s="154"/>
    </row>
    <row r="515" spans="99:99" ht="14.25" customHeight="1" x14ac:dyDescent="0.2">
      <c r="CU515" s="154"/>
    </row>
    <row r="516" spans="99:99" ht="14.25" customHeight="1" x14ac:dyDescent="0.2">
      <c r="CU516" s="154"/>
    </row>
    <row r="517" spans="99:99" ht="14.25" customHeight="1" x14ac:dyDescent="0.2">
      <c r="CU517" s="154"/>
    </row>
    <row r="518" spans="99:99" ht="14.25" customHeight="1" x14ac:dyDescent="0.2">
      <c r="CU518" s="154"/>
    </row>
    <row r="519" spans="99:99" ht="14.25" customHeight="1" x14ac:dyDescent="0.2">
      <c r="CU519" s="154"/>
    </row>
    <row r="520" spans="99:99" ht="14.25" customHeight="1" x14ac:dyDescent="0.2">
      <c r="CU520" s="154"/>
    </row>
    <row r="521" spans="99:99" ht="14.25" customHeight="1" x14ac:dyDescent="0.2">
      <c r="CU521" s="154"/>
    </row>
    <row r="522" spans="99:99" ht="14.25" customHeight="1" x14ac:dyDescent="0.2">
      <c r="CU522" s="154"/>
    </row>
    <row r="523" spans="99:99" ht="14.25" customHeight="1" x14ac:dyDescent="0.2">
      <c r="CU523" s="154"/>
    </row>
    <row r="524" spans="99:99" ht="14.25" customHeight="1" x14ac:dyDescent="0.2">
      <c r="CU524" s="154"/>
    </row>
    <row r="525" spans="99:99" ht="14.25" customHeight="1" x14ac:dyDescent="0.2">
      <c r="CU525" s="154"/>
    </row>
    <row r="526" spans="99:99" ht="14.25" customHeight="1" x14ac:dyDescent="0.2">
      <c r="CU526" s="154"/>
    </row>
    <row r="527" spans="99:99" ht="14.25" customHeight="1" x14ac:dyDescent="0.2">
      <c r="CU527" s="154"/>
    </row>
    <row r="528" spans="99:99" ht="14.25" customHeight="1" x14ac:dyDescent="0.2">
      <c r="CU528" s="154"/>
    </row>
    <row r="529" spans="99:99" ht="14.25" customHeight="1" x14ac:dyDescent="0.2">
      <c r="CU529" s="154"/>
    </row>
    <row r="530" spans="99:99" ht="14.25" customHeight="1" x14ac:dyDescent="0.2">
      <c r="CU530" s="154"/>
    </row>
    <row r="531" spans="99:99" ht="14.25" customHeight="1" x14ac:dyDescent="0.2">
      <c r="CU531" s="154"/>
    </row>
    <row r="532" spans="99:99" ht="14.25" customHeight="1" x14ac:dyDescent="0.2">
      <c r="CU532" s="154"/>
    </row>
    <row r="533" spans="99:99" ht="14.25" customHeight="1" x14ac:dyDescent="0.2">
      <c r="CU533" s="154"/>
    </row>
    <row r="534" spans="99:99" ht="14.25" customHeight="1" x14ac:dyDescent="0.2">
      <c r="CU534" s="154"/>
    </row>
    <row r="535" spans="99:99" ht="14.25" customHeight="1" x14ac:dyDescent="0.2">
      <c r="CU535" s="154"/>
    </row>
    <row r="536" spans="99:99" ht="14.25" customHeight="1" x14ac:dyDescent="0.2">
      <c r="CU536" s="154"/>
    </row>
    <row r="537" spans="99:99" ht="14.25" customHeight="1" x14ac:dyDescent="0.2">
      <c r="CU537" s="154"/>
    </row>
    <row r="538" spans="99:99" ht="14.25" customHeight="1" x14ac:dyDescent="0.2">
      <c r="CU538" s="154"/>
    </row>
    <row r="539" spans="99:99" ht="14.25" customHeight="1" x14ac:dyDescent="0.2">
      <c r="CU539" s="154"/>
    </row>
    <row r="540" spans="99:99" ht="14.25" customHeight="1" x14ac:dyDescent="0.2">
      <c r="CU540" s="154"/>
    </row>
    <row r="541" spans="99:99" ht="14.25" customHeight="1" x14ac:dyDescent="0.2">
      <c r="CU541" s="154"/>
    </row>
    <row r="542" spans="99:99" ht="14.25" customHeight="1" x14ac:dyDescent="0.2">
      <c r="CU542" s="154"/>
    </row>
    <row r="543" spans="99:99" ht="14.25" customHeight="1" x14ac:dyDescent="0.2">
      <c r="CU543" s="154"/>
    </row>
    <row r="544" spans="99:99" ht="14.25" customHeight="1" x14ac:dyDescent="0.2">
      <c r="CU544" s="154"/>
    </row>
    <row r="545" spans="99:99" ht="14.25" customHeight="1" x14ac:dyDescent="0.2">
      <c r="CU545" s="154"/>
    </row>
    <row r="546" spans="99:99" ht="14.25" customHeight="1" x14ac:dyDescent="0.2">
      <c r="CU546" s="154"/>
    </row>
    <row r="547" spans="99:99" ht="14.25" customHeight="1" x14ac:dyDescent="0.2">
      <c r="CU547" s="154"/>
    </row>
    <row r="548" spans="99:99" ht="14.25" customHeight="1" x14ac:dyDescent="0.2">
      <c r="CU548" s="154"/>
    </row>
    <row r="549" spans="99:99" ht="14.25" customHeight="1" x14ac:dyDescent="0.2">
      <c r="CU549" s="154"/>
    </row>
    <row r="550" spans="99:99" ht="14.25" customHeight="1" x14ac:dyDescent="0.2">
      <c r="CU550" s="154"/>
    </row>
    <row r="551" spans="99:99" ht="14.25" customHeight="1" x14ac:dyDescent="0.2">
      <c r="CU551" s="154"/>
    </row>
    <row r="552" spans="99:99" ht="14.25" customHeight="1" x14ac:dyDescent="0.2">
      <c r="CU552" s="154"/>
    </row>
    <row r="553" spans="99:99" ht="14.25" customHeight="1" x14ac:dyDescent="0.2">
      <c r="CU553" s="154"/>
    </row>
    <row r="554" spans="99:99" ht="14.25" customHeight="1" x14ac:dyDescent="0.2">
      <c r="CU554" s="154"/>
    </row>
    <row r="555" spans="99:99" ht="14.25" customHeight="1" x14ac:dyDescent="0.2">
      <c r="CU555" s="154"/>
    </row>
    <row r="556" spans="99:99" ht="14.25" customHeight="1" x14ac:dyDescent="0.2">
      <c r="CU556" s="154"/>
    </row>
    <row r="557" spans="99:99" ht="14.25" customHeight="1" x14ac:dyDescent="0.2">
      <c r="CU557" s="154"/>
    </row>
    <row r="558" spans="99:99" ht="14.25" customHeight="1" x14ac:dyDescent="0.2">
      <c r="CU558" s="154"/>
    </row>
    <row r="559" spans="99:99" ht="14.25" customHeight="1" x14ac:dyDescent="0.2">
      <c r="CU559" s="154"/>
    </row>
    <row r="560" spans="99:99" ht="14.25" customHeight="1" x14ac:dyDescent="0.2">
      <c r="CU560" s="154"/>
    </row>
    <row r="561" spans="99:99" ht="14.25" customHeight="1" x14ac:dyDescent="0.2">
      <c r="CU561" s="154"/>
    </row>
    <row r="562" spans="99:99" ht="14.25" customHeight="1" x14ac:dyDescent="0.2">
      <c r="CU562" s="154"/>
    </row>
    <row r="563" spans="99:99" ht="14.25" customHeight="1" x14ac:dyDescent="0.2">
      <c r="CU563" s="154"/>
    </row>
    <row r="564" spans="99:99" ht="14.25" customHeight="1" x14ac:dyDescent="0.2">
      <c r="CU564" s="154"/>
    </row>
    <row r="565" spans="99:99" ht="14.25" customHeight="1" x14ac:dyDescent="0.2">
      <c r="CU565" s="154"/>
    </row>
    <row r="566" spans="99:99" ht="14.25" customHeight="1" x14ac:dyDescent="0.2">
      <c r="CU566" s="154"/>
    </row>
    <row r="567" spans="99:99" ht="14.25" customHeight="1" x14ac:dyDescent="0.2">
      <c r="CU567" s="154"/>
    </row>
    <row r="568" spans="99:99" ht="14.25" customHeight="1" x14ac:dyDescent="0.2">
      <c r="CU568" s="154"/>
    </row>
    <row r="569" spans="99:99" ht="14.25" customHeight="1" x14ac:dyDescent="0.2">
      <c r="CU569" s="154"/>
    </row>
    <row r="570" spans="99:99" ht="14.25" customHeight="1" x14ac:dyDescent="0.2">
      <c r="CU570" s="154"/>
    </row>
    <row r="571" spans="99:99" ht="14.25" customHeight="1" x14ac:dyDescent="0.2">
      <c r="CU571" s="154"/>
    </row>
    <row r="572" spans="99:99" ht="14.25" customHeight="1" x14ac:dyDescent="0.2">
      <c r="CU572" s="154"/>
    </row>
    <row r="573" spans="99:99" ht="14.25" customHeight="1" x14ac:dyDescent="0.2">
      <c r="CU573" s="154"/>
    </row>
    <row r="574" spans="99:99" ht="14.25" customHeight="1" x14ac:dyDescent="0.2">
      <c r="CU574" s="154"/>
    </row>
    <row r="575" spans="99:99" ht="14.25" customHeight="1" x14ac:dyDescent="0.2">
      <c r="CU575" s="154"/>
    </row>
    <row r="576" spans="99:99" ht="14.25" customHeight="1" x14ac:dyDescent="0.2">
      <c r="CU576" s="154"/>
    </row>
    <row r="577" spans="99:99" ht="14.25" customHeight="1" x14ac:dyDescent="0.2">
      <c r="CU577" s="154"/>
    </row>
    <row r="578" spans="99:99" ht="14.25" customHeight="1" x14ac:dyDescent="0.2">
      <c r="CU578" s="154"/>
    </row>
    <row r="579" spans="99:99" ht="14.25" customHeight="1" x14ac:dyDescent="0.2">
      <c r="CU579" s="154"/>
    </row>
    <row r="580" spans="99:99" ht="14.25" customHeight="1" x14ac:dyDescent="0.2">
      <c r="CU580" s="154"/>
    </row>
    <row r="581" spans="99:99" ht="14.25" customHeight="1" x14ac:dyDescent="0.2">
      <c r="CU581" s="154"/>
    </row>
    <row r="582" spans="99:99" ht="14.25" customHeight="1" x14ac:dyDescent="0.2">
      <c r="CU582" s="154"/>
    </row>
    <row r="583" spans="99:99" ht="14.25" customHeight="1" x14ac:dyDescent="0.2">
      <c r="CU583" s="154"/>
    </row>
    <row r="584" spans="99:99" ht="14.25" customHeight="1" x14ac:dyDescent="0.2">
      <c r="CU584" s="154"/>
    </row>
    <row r="585" spans="99:99" ht="14.25" customHeight="1" x14ac:dyDescent="0.2">
      <c r="CU585" s="154"/>
    </row>
    <row r="586" spans="99:99" ht="14.25" customHeight="1" x14ac:dyDescent="0.2">
      <c r="CU586" s="154"/>
    </row>
    <row r="587" spans="99:99" ht="14.25" customHeight="1" x14ac:dyDescent="0.2">
      <c r="CU587" s="154"/>
    </row>
    <row r="588" spans="99:99" ht="14.25" customHeight="1" x14ac:dyDescent="0.2">
      <c r="CU588" s="154"/>
    </row>
    <row r="589" spans="99:99" ht="14.25" customHeight="1" x14ac:dyDescent="0.2">
      <c r="CU589" s="154"/>
    </row>
    <row r="590" spans="99:99" ht="14.25" customHeight="1" x14ac:dyDescent="0.2">
      <c r="CU590" s="154"/>
    </row>
    <row r="591" spans="99:99" ht="14.25" customHeight="1" x14ac:dyDescent="0.2">
      <c r="CU591" s="154"/>
    </row>
    <row r="592" spans="99:99" ht="14.25" customHeight="1" x14ac:dyDescent="0.2">
      <c r="CU592" s="154"/>
    </row>
    <row r="593" spans="99:99" ht="14.25" customHeight="1" x14ac:dyDescent="0.2">
      <c r="CU593" s="154"/>
    </row>
    <row r="594" spans="99:99" ht="14.25" customHeight="1" x14ac:dyDescent="0.2">
      <c r="CU594" s="154"/>
    </row>
    <row r="595" spans="99:99" ht="14.25" customHeight="1" x14ac:dyDescent="0.2">
      <c r="CU595" s="154"/>
    </row>
    <row r="596" spans="99:99" ht="14.25" customHeight="1" x14ac:dyDescent="0.2">
      <c r="CU596" s="154"/>
    </row>
    <row r="597" spans="99:99" ht="14.25" customHeight="1" x14ac:dyDescent="0.2">
      <c r="CU597" s="154"/>
    </row>
    <row r="598" spans="99:99" ht="14.25" customHeight="1" x14ac:dyDescent="0.2">
      <c r="CU598" s="154"/>
    </row>
    <row r="599" spans="99:99" ht="14.25" customHeight="1" x14ac:dyDescent="0.2">
      <c r="CU599" s="154"/>
    </row>
    <row r="600" spans="99:99" ht="14.25" customHeight="1" x14ac:dyDescent="0.2">
      <c r="CU600" s="154"/>
    </row>
    <row r="601" spans="99:99" ht="14.25" customHeight="1" x14ac:dyDescent="0.2">
      <c r="CU601" s="154"/>
    </row>
    <row r="602" spans="99:99" ht="14.25" customHeight="1" x14ac:dyDescent="0.2">
      <c r="CU602" s="154"/>
    </row>
    <row r="603" spans="99:99" ht="14.25" customHeight="1" x14ac:dyDescent="0.2">
      <c r="CU603" s="154"/>
    </row>
    <row r="604" spans="99:99" ht="14.25" customHeight="1" x14ac:dyDescent="0.2">
      <c r="CU604" s="154"/>
    </row>
    <row r="605" spans="99:99" ht="14.25" customHeight="1" x14ac:dyDescent="0.2">
      <c r="CU605" s="154"/>
    </row>
    <row r="606" spans="99:99" ht="14.25" customHeight="1" x14ac:dyDescent="0.2">
      <c r="CU606" s="154"/>
    </row>
    <row r="607" spans="99:99" ht="14.25" customHeight="1" x14ac:dyDescent="0.2">
      <c r="CU607" s="154"/>
    </row>
    <row r="608" spans="99:99" ht="14.25" customHeight="1" x14ac:dyDescent="0.2">
      <c r="CU608" s="154"/>
    </row>
    <row r="609" spans="99:99" ht="14.25" customHeight="1" x14ac:dyDescent="0.2">
      <c r="CU609" s="154"/>
    </row>
    <row r="610" spans="99:99" ht="14.25" customHeight="1" x14ac:dyDescent="0.2">
      <c r="CU610" s="154"/>
    </row>
    <row r="611" spans="99:99" ht="14.25" customHeight="1" x14ac:dyDescent="0.2">
      <c r="CU611" s="154"/>
    </row>
    <row r="612" spans="99:99" ht="14.25" customHeight="1" x14ac:dyDescent="0.2">
      <c r="CU612" s="154"/>
    </row>
    <row r="613" spans="99:99" ht="14.25" customHeight="1" x14ac:dyDescent="0.2">
      <c r="CU613" s="154"/>
    </row>
    <row r="614" spans="99:99" ht="14.25" customHeight="1" x14ac:dyDescent="0.2">
      <c r="CU614" s="154"/>
    </row>
    <row r="615" spans="99:99" ht="14.25" customHeight="1" x14ac:dyDescent="0.2">
      <c r="CU615" s="154"/>
    </row>
    <row r="616" spans="99:99" ht="14.25" customHeight="1" x14ac:dyDescent="0.2">
      <c r="CU616" s="154"/>
    </row>
    <row r="617" spans="99:99" ht="14.25" customHeight="1" x14ac:dyDescent="0.2">
      <c r="CU617" s="154"/>
    </row>
    <row r="618" spans="99:99" ht="14.25" customHeight="1" x14ac:dyDescent="0.2">
      <c r="CU618" s="154"/>
    </row>
    <row r="619" spans="99:99" ht="14.25" customHeight="1" x14ac:dyDescent="0.2">
      <c r="CU619" s="154"/>
    </row>
    <row r="620" spans="99:99" ht="14.25" customHeight="1" x14ac:dyDescent="0.2">
      <c r="CU620" s="154"/>
    </row>
    <row r="621" spans="99:99" ht="14.25" customHeight="1" x14ac:dyDescent="0.2">
      <c r="CU621" s="154"/>
    </row>
    <row r="622" spans="99:99" ht="14.25" customHeight="1" x14ac:dyDescent="0.2">
      <c r="CU622" s="154"/>
    </row>
    <row r="623" spans="99:99" ht="14.25" customHeight="1" x14ac:dyDescent="0.2">
      <c r="CU623" s="154"/>
    </row>
    <row r="624" spans="99:99" ht="14.25" customHeight="1" x14ac:dyDescent="0.2">
      <c r="CU624" s="154"/>
    </row>
    <row r="625" spans="99:99" ht="14.25" customHeight="1" x14ac:dyDescent="0.2">
      <c r="CU625" s="154"/>
    </row>
    <row r="626" spans="99:99" ht="14.25" customHeight="1" x14ac:dyDescent="0.2">
      <c r="CU626" s="154"/>
    </row>
    <row r="627" spans="99:99" ht="14.25" customHeight="1" x14ac:dyDescent="0.2">
      <c r="CU627" s="154"/>
    </row>
    <row r="628" spans="99:99" ht="14.25" customHeight="1" x14ac:dyDescent="0.2">
      <c r="CU628" s="154"/>
    </row>
    <row r="629" spans="99:99" ht="14.25" customHeight="1" x14ac:dyDescent="0.2">
      <c r="CU629" s="154"/>
    </row>
    <row r="630" spans="99:99" ht="14.25" customHeight="1" x14ac:dyDescent="0.2">
      <c r="CU630" s="154"/>
    </row>
    <row r="631" spans="99:99" ht="14.25" customHeight="1" x14ac:dyDescent="0.2">
      <c r="CU631" s="154"/>
    </row>
    <row r="632" spans="99:99" ht="14.25" customHeight="1" x14ac:dyDescent="0.2">
      <c r="CU632" s="154"/>
    </row>
    <row r="633" spans="99:99" ht="14.25" customHeight="1" x14ac:dyDescent="0.2">
      <c r="CU633" s="154"/>
    </row>
    <row r="634" spans="99:99" ht="14.25" customHeight="1" x14ac:dyDescent="0.2">
      <c r="CU634" s="154"/>
    </row>
    <row r="635" spans="99:99" ht="14.25" customHeight="1" x14ac:dyDescent="0.2">
      <c r="CU635" s="154"/>
    </row>
    <row r="636" spans="99:99" ht="14.25" customHeight="1" x14ac:dyDescent="0.2">
      <c r="CU636" s="154"/>
    </row>
    <row r="637" spans="99:99" ht="14.25" customHeight="1" x14ac:dyDescent="0.2">
      <c r="CU637" s="154"/>
    </row>
    <row r="638" spans="99:99" ht="14.25" customHeight="1" x14ac:dyDescent="0.2">
      <c r="CU638" s="154"/>
    </row>
    <row r="639" spans="99:99" ht="14.25" customHeight="1" x14ac:dyDescent="0.2">
      <c r="CU639" s="154"/>
    </row>
    <row r="640" spans="99:99" ht="14.25" customHeight="1" x14ac:dyDescent="0.2">
      <c r="CU640" s="154"/>
    </row>
    <row r="641" spans="99:99" ht="14.25" customHeight="1" x14ac:dyDescent="0.2">
      <c r="CU641" s="154"/>
    </row>
    <row r="642" spans="99:99" ht="14.25" customHeight="1" x14ac:dyDescent="0.2">
      <c r="CU642" s="154"/>
    </row>
    <row r="643" spans="99:99" ht="14.25" customHeight="1" x14ac:dyDescent="0.2">
      <c r="CU643" s="154"/>
    </row>
    <row r="644" spans="99:99" ht="14.25" customHeight="1" x14ac:dyDescent="0.2">
      <c r="CU644" s="154"/>
    </row>
    <row r="645" spans="99:99" ht="14.25" customHeight="1" x14ac:dyDescent="0.2">
      <c r="CU645" s="154"/>
    </row>
    <row r="646" spans="99:99" ht="14.25" customHeight="1" x14ac:dyDescent="0.2">
      <c r="CU646" s="154"/>
    </row>
    <row r="647" spans="99:99" ht="14.25" customHeight="1" x14ac:dyDescent="0.2">
      <c r="CU647" s="154"/>
    </row>
    <row r="648" spans="99:99" ht="14.25" customHeight="1" x14ac:dyDescent="0.2">
      <c r="CU648" s="154"/>
    </row>
    <row r="649" spans="99:99" ht="14.25" customHeight="1" x14ac:dyDescent="0.2">
      <c r="CU649" s="154"/>
    </row>
    <row r="650" spans="99:99" ht="14.25" customHeight="1" x14ac:dyDescent="0.2">
      <c r="CU650" s="154"/>
    </row>
    <row r="651" spans="99:99" ht="14.25" customHeight="1" x14ac:dyDescent="0.2">
      <c r="CU651" s="154"/>
    </row>
    <row r="652" spans="99:99" ht="14.25" customHeight="1" x14ac:dyDescent="0.2">
      <c r="CU652" s="154"/>
    </row>
    <row r="653" spans="99:99" ht="14.25" customHeight="1" x14ac:dyDescent="0.2">
      <c r="CU653" s="154"/>
    </row>
    <row r="654" spans="99:99" ht="14.25" customHeight="1" x14ac:dyDescent="0.2">
      <c r="CU654" s="154"/>
    </row>
    <row r="655" spans="99:99" ht="14.25" customHeight="1" x14ac:dyDescent="0.2">
      <c r="CU655" s="154"/>
    </row>
    <row r="656" spans="99:99" ht="14.25" customHeight="1" x14ac:dyDescent="0.2">
      <c r="CU656" s="154"/>
    </row>
    <row r="657" spans="99:99" ht="14.25" customHeight="1" x14ac:dyDescent="0.2">
      <c r="CU657" s="154"/>
    </row>
    <row r="658" spans="99:99" ht="14.25" customHeight="1" x14ac:dyDescent="0.2">
      <c r="CU658" s="154"/>
    </row>
    <row r="659" spans="99:99" ht="14.25" customHeight="1" x14ac:dyDescent="0.2">
      <c r="CU659" s="154"/>
    </row>
    <row r="660" spans="99:99" ht="14.25" customHeight="1" x14ac:dyDescent="0.2">
      <c r="CU660" s="154"/>
    </row>
    <row r="661" spans="99:99" ht="14.25" customHeight="1" x14ac:dyDescent="0.2">
      <c r="CU661" s="154"/>
    </row>
    <row r="662" spans="99:99" ht="14.25" customHeight="1" x14ac:dyDescent="0.2">
      <c r="CU662" s="154"/>
    </row>
    <row r="663" spans="99:99" ht="14.25" customHeight="1" x14ac:dyDescent="0.2">
      <c r="CU663" s="154"/>
    </row>
    <row r="664" spans="99:99" ht="14.25" customHeight="1" x14ac:dyDescent="0.2">
      <c r="CU664" s="154"/>
    </row>
    <row r="665" spans="99:99" ht="14.25" customHeight="1" x14ac:dyDescent="0.2">
      <c r="CU665" s="154"/>
    </row>
    <row r="666" spans="99:99" ht="14.25" customHeight="1" x14ac:dyDescent="0.2">
      <c r="CU666" s="154"/>
    </row>
    <row r="667" spans="99:99" ht="14.25" customHeight="1" x14ac:dyDescent="0.2">
      <c r="CU667" s="154"/>
    </row>
    <row r="668" spans="99:99" ht="14.25" customHeight="1" x14ac:dyDescent="0.2">
      <c r="CU668" s="154"/>
    </row>
    <row r="669" spans="99:99" ht="14.25" customHeight="1" x14ac:dyDescent="0.2">
      <c r="CU669" s="154"/>
    </row>
    <row r="670" spans="99:99" ht="14.25" customHeight="1" x14ac:dyDescent="0.2">
      <c r="CU670" s="154"/>
    </row>
    <row r="671" spans="99:99" ht="14.25" customHeight="1" x14ac:dyDescent="0.2">
      <c r="CU671" s="154"/>
    </row>
    <row r="672" spans="99:99" ht="14.25" customHeight="1" x14ac:dyDescent="0.2">
      <c r="CU672" s="154"/>
    </row>
    <row r="673" spans="99:99" ht="14.25" customHeight="1" x14ac:dyDescent="0.2">
      <c r="CU673" s="154"/>
    </row>
    <row r="674" spans="99:99" ht="14.25" customHeight="1" x14ac:dyDescent="0.2">
      <c r="CU674" s="154"/>
    </row>
    <row r="675" spans="99:99" ht="14.25" customHeight="1" x14ac:dyDescent="0.2">
      <c r="CU675" s="154"/>
    </row>
    <row r="676" spans="99:99" ht="14.25" customHeight="1" x14ac:dyDescent="0.2">
      <c r="CU676" s="154"/>
    </row>
    <row r="677" spans="99:99" ht="14.25" customHeight="1" x14ac:dyDescent="0.2">
      <c r="CU677" s="154"/>
    </row>
    <row r="678" spans="99:99" ht="14.25" customHeight="1" x14ac:dyDescent="0.2">
      <c r="CU678" s="154"/>
    </row>
    <row r="679" spans="99:99" ht="14.25" customHeight="1" x14ac:dyDescent="0.2">
      <c r="CU679" s="154"/>
    </row>
    <row r="680" spans="99:99" ht="14.25" customHeight="1" x14ac:dyDescent="0.2">
      <c r="CU680" s="154"/>
    </row>
    <row r="681" spans="99:99" ht="14.25" customHeight="1" x14ac:dyDescent="0.2">
      <c r="CU681" s="154"/>
    </row>
    <row r="682" spans="99:99" ht="14.25" customHeight="1" x14ac:dyDescent="0.2">
      <c r="CU682" s="154"/>
    </row>
    <row r="683" spans="99:99" ht="14.25" customHeight="1" x14ac:dyDescent="0.2">
      <c r="CU683" s="154"/>
    </row>
    <row r="684" spans="99:99" ht="14.25" customHeight="1" x14ac:dyDescent="0.2">
      <c r="CU684" s="154"/>
    </row>
    <row r="685" spans="99:99" ht="14.25" customHeight="1" x14ac:dyDescent="0.2">
      <c r="CU685" s="154"/>
    </row>
    <row r="686" spans="99:99" ht="14.25" customHeight="1" x14ac:dyDescent="0.2">
      <c r="CU686" s="154"/>
    </row>
    <row r="687" spans="99:99" ht="14.25" customHeight="1" x14ac:dyDescent="0.2">
      <c r="CU687" s="154"/>
    </row>
    <row r="688" spans="99:99" ht="14.25" customHeight="1" x14ac:dyDescent="0.2">
      <c r="CU688" s="154"/>
    </row>
    <row r="689" spans="99:99" ht="14.25" customHeight="1" x14ac:dyDescent="0.2">
      <c r="CU689" s="154"/>
    </row>
    <row r="690" spans="99:99" ht="14.25" customHeight="1" x14ac:dyDescent="0.2">
      <c r="CU690" s="154"/>
    </row>
    <row r="691" spans="99:99" ht="14.25" customHeight="1" x14ac:dyDescent="0.2">
      <c r="CU691" s="154"/>
    </row>
    <row r="692" spans="99:99" ht="14.25" customHeight="1" x14ac:dyDescent="0.2">
      <c r="CU692" s="154"/>
    </row>
    <row r="693" spans="99:99" ht="14.25" customHeight="1" x14ac:dyDescent="0.2">
      <c r="CU693" s="154"/>
    </row>
    <row r="694" spans="99:99" ht="14.25" customHeight="1" x14ac:dyDescent="0.2">
      <c r="CU694" s="154"/>
    </row>
    <row r="695" spans="99:99" ht="14.25" customHeight="1" x14ac:dyDescent="0.2">
      <c r="CU695" s="154"/>
    </row>
    <row r="696" spans="99:99" ht="14.25" customHeight="1" x14ac:dyDescent="0.2">
      <c r="CU696" s="154"/>
    </row>
    <row r="697" spans="99:99" ht="14.25" customHeight="1" x14ac:dyDescent="0.2">
      <c r="CU697" s="154"/>
    </row>
    <row r="698" spans="99:99" ht="14.25" customHeight="1" x14ac:dyDescent="0.2">
      <c r="CU698" s="154"/>
    </row>
    <row r="699" spans="99:99" ht="14.25" customHeight="1" x14ac:dyDescent="0.2">
      <c r="CU699" s="154"/>
    </row>
    <row r="700" spans="99:99" ht="14.25" customHeight="1" x14ac:dyDescent="0.2">
      <c r="CU700" s="154"/>
    </row>
    <row r="701" spans="99:99" ht="14.25" customHeight="1" x14ac:dyDescent="0.2">
      <c r="CU701" s="154"/>
    </row>
    <row r="702" spans="99:99" ht="14.25" customHeight="1" x14ac:dyDescent="0.2">
      <c r="CU702" s="154"/>
    </row>
    <row r="703" spans="99:99" ht="14.25" customHeight="1" x14ac:dyDescent="0.2">
      <c r="CU703" s="154"/>
    </row>
    <row r="704" spans="99:99" ht="14.25" customHeight="1" x14ac:dyDescent="0.2">
      <c r="CU704" s="154"/>
    </row>
    <row r="705" spans="99:99" ht="14.25" customHeight="1" x14ac:dyDescent="0.2">
      <c r="CU705" s="154"/>
    </row>
    <row r="706" spans="99:99" ht="14.25" customHeight="1" x14ac:dyDescent="0.2">
      <c r="CU706" s="154"/>
    </row>
    <row r="707" spans="99:99" ht="14.25" customHeight="1" x14ac:dyDescent="0.2">
      <c r="CU707" s="154"/>
    </row>
    <row r="708" spans="99:99" ht="14.25" customHeight="1" x14ac:dyDescent="0.2">
      <c r="CU708" s="154"/>
    </row>
    <row r="709" spans="99:99" ht="14.25" customHeight="1" x14ac:dyDescent="0.2">
      <c r="CU709" s="154"/>
    </row>
    <row r="710" spans="99:99" ht="14.25" customHeight="1" x14ac:dyDescent="0.2">
      <c r="CU710" s="154"/>
    </row>
    <row r="711" spans="99:99" ht="14.25" customHeight="1" x14ac:dyDescent="0.2">
      <c r="CU711" s="154"/>
    </row>
    <row r="712" spans="99:99" ht="14.25" customHeight="1" x14ac:dyDescent="0.2">
      <c r="CU712" s="154"/>
    </row>
    <row r="713" spans="99:99" ht="14.25" customHeight="1" x14ac:dyDescent="0.2">
      <c r="CU713" s="154"/>
    </row>
    <row r="714" spans="99:99" ht="14.25" customHeight="1" x14ac:dyDescent="0.2">
      <c r="CU714" s="154"/>
    </row>
    <row r="715" spans="99:99" ht="14.25" customHeight="1" x14ac:dyDescent="0.2">
      <c r="CU715" s="154"/>
    </row>
    <row r="716" spans="99:99" ht="14.25" customHeight="1" x14ac:dyDescent="0.2">
      <c r="CU716" s="154"/>
    </row>
    <row r="717" spans="99:99" ht="14.25" customHeight="1" x14ac:dyDescent="0.2">
      <c r="CU717" s="154"/>
    </row>
    <row r="718" spans="99:99" ht="14.25" customHeight="1" x14ac:dyDescent="0.2">
      <c r="CU718" s="154"/>
    </row>
    <row r="719" spans="99:99" ht="14.25" customHeight="1" x14ac:dyDescent="0.2">
      <c r="CU719" s="154"/>
    </row>
    <row r="720" spans="99:99" ht="14.25" customHeight="1" x14ac:dyDescent="0.2">
      <c r="CU720" s="154"/>
    </row>
    <row r="721" spans="99:99" ht="14.25" customHeight="1" x14ac:dyDescent="0.2">
      <c r="CU721" s="154"/>
    </row>
    <row r="722" spans="99:99" ht="14.25" customHeight="1" x14ac:dyDescent="0.2">
      <c r="CU722" s="154"/>
    </row>
    <row r="723" spans="99:99" ht="14.25" customHeight="1" x14ac:dyDescent="0.2">
      <c r="CU723" s="154"/>
    </row>
    <row r="724" spans="99:99" ht="14.25" customHeight="1" x14ac:dyDescent="0.2">
      <c r="CU724" s="154"/>
    </row>
    <row r="725" spans="99:99" ht="14.25" customHeight="1" x14ac:dyDescent="0.2">
      <c r="CU725" s="154"/>
    </row>
    <row r="726" spans="99:99" ht="14.25" customHeight="1" x14ac:dyDescent="0.2">
      <c r="CU726" s="154"/>
    </row>
    <row r="727" spans="99:99" ht="14.25" customHeight="1" x14ac:dyDescent="0.2">
      <c r="CU727" s="154"/>
    </row>
    <row r="728" spans="99:99" ht="14.25" customHeight="1" x14ac:dyDescent="0.2">
      <c r="CU728" s="154"/>
    </row>
    <row r="729" spans="99:99" ht="14.25" customHeight="1" x14ac:dyDescent="0.2">
      <c r="CU729" s="154"/>
    </row>
    <row r="730" spans="99:99" ht="14.25" customHeight="1" x14ac:dyDescent="0.2">
      <c r="CU730" s="154"/>
    </row>
    <row r="731" spans="99:99" ht="14.25" customHeight="1" x14ac:dyDescent="0.2">
      <c r="CU731" s="154"/>
    </row>
    <row r="732" spans="99:99" ht="14.25" customHeight="1" x14ac:dyDescent="0.2">
      <c r="CU732" s="154"/>
    </row>
    <row r="733" spans="99:99" ht="14.25" customHeight="1" x14ac:dyDescent="0.2">
      <c r="CU733" s="154"/>
    </row>
    <row r="734" spans="99:99" ht="14.25" customHeight="1" x14ac:dyDescent="0.2">
      <c r="CU734" s="154"/>
    </row>
    <row r="735" spans="99:99" ht="14.25" customHeight="1" x14ac:dyDescent="0.2">
      <c r="CU735" s="154"/>
    </row>
    <row r="736" spans="99:99" ht="14.25" customHeight="1" x14ac:dyDescent="0.2">
      <c r="CU736" s="154"/>
    </row>
    <row r="737" spans="99:99" ht="14.25" customHeight="1" x14ac:dyDescent="0.2">
      <c r="CU737" s="154"/>
    </row>
    <row r="738" spans="99:99" ht="14.25" customHeight="1" x14ac:dyDescent="0.2">
      <c r="CU738" s="154"/>
    </row>
    <row r="739" spans="99:99" ht="14.25" customHeight="1" x14ac:dyDescent="0.2">
      <c r="CU739" s="154"/>
    </row>
    <row r="740" spans="99:99" ht="14.25" customHeight="1" x14ac:dyDescent="0.2">
      <c r="CU740" s="154"/>
    </row>
    <row r="741" spans="99:99" ht="14.25" customHeight="1" x14ac:dyDescent="0.2">
      <c r="CU741" s="154"/>
    </row>
    <row r="742" spans="99:99" ht="14.25" customHeight="1" x14ac:dyDescent="0.2">
      <c r="CU742" s="154"/>
    </row>
    <row r="743" spans="99:99" ht="14.25" customHeight="1" x14ac:dyDescent="0.2">
      <c r="CU743" s="154"/>
    </row>
    <row r="744" spans="99:99" ht="14.25" customHeight="1" x14ac:dyDescent="0.2">
      <c r="CU744" s="154"/>
    </row>
    <row r="745" spans="99:99" ht="14.25" customHeight="1" x14ac:dyDescent="0.2">
      <c r="CU745" s="154"/>
    </row>
    <row r="746" spans="99:99" ht="14.25" customHeight="1" x14ac:dyDescent="0.2">
      <c r="CU746" s="154"/>
    </row>
    <row r="747" spans="99:99" ht="14.25" customHeight="1" x14ac:dyDescent="0.2">
      <c r="CU747" s="154"/>
    </row>
    <row r="748" spans="99:99" ht="14.25" customHeight="1" x14ac:dyDescent="0.2">
      <c r="CU748" s="154"/>
    </row>
    <row r="749" spans="99:99" ht="14.25" customHeight="1" x14ac:dyDescent="0.2">
      <c r="CU749" s="154"/>
    </row>
    <row r="750" spans="99:99" ht="14.25" customHeight="1" x14ac:dyDescent="0.2">
      <c r="CU750" s="154"/>
    </row>
    <row r="751" spans="99:99" ht="14.25" customHeight="1" x14ac:dyDescent="0.2">
      <c r="CU751" s="154"/>
    </row>
    <row r="752" spans="99:99" ht="14.25" customHeight="1" x14ac:dyDescent="0.2">
      <c r="CU752" s="154"/>
    </row>
    <row r="753" spans="99:99" ht="14.25" customHeight="1" x14ac:dyDescent="0.2">
      <c r="CU753" s="154"/>
    </row>
    <row r="754" spans="99:99" ht="14.25" customHeight="1" x14ac:dyDescent="0.2">
      <c r="CU754" s="154"/>
    </row>
    <row r="755" spans="99:99" ht="14.25" customHeight="1" x14ac:dyDescent="0.2">
      <c r="CU755" s="154"/>
    </row>
    <row r="756" spans="99:99" ht="14.25" customHeight="1" x14ac:dyDescent="0.2">
      <c r="CU756" s="154"/>
    </row>
    <row r="757" spans="99:99" ht="14.25" customHeight="1" x14ac:dyDescent="0.2">
      <c r="CU757" s="154"/>
    </row>
    <row r="758" spans="99:99" ht="14.25" customHeight="1" x14ac:dyDescent="0.2">
      <c r="CU758" s="154"/>
    </row>
    <row r="759" spans="99:99" ht="14.25" customHeight="1" x14ac:dyDescent="0.2">
      <c r="CU759" s="154"/>
    </row>
    <row r="760" spans="99:99" ht="14.25" customHeight="1" x14ac:dyDescent="0.2">
      <c r="CU760" s="154"/>
    </row>
    <row r="761" spans="99:99" ht="14.25" customHeight="1" x14ac:dyDescent="0.2">
      <c r="CU761" s="154"/>
    </row>
    <row r="762" spans="99:99" ht="14.25" customHeight="1" x14ac:dyDescent="0.2">
      <c r="CU762" s="154"/>
    </row>
    <row r="763" spans="99:99" ht="14.25" customHeight="1" x14ac:dyDescent="0.2">
      <c r="CU763" s="154"/>
    </row>
    <row r="764" spans="99:99" ht="14.25" customHeight="1" x14ac:dyDescent="0.2">
      <c r="CU764" s="154"/>
    </row>
    <row r="765" spans="99:99" ht="14.25" customHeight="1" x14ac:dyDescent="0.2">
      <c r="CU765" s="154"/>
    </row>
    <row r="766" spans="99:99" ht="14.25" customHeight="1" x14ac:dyDescent="0.2">
      <c r="CU766" s="154"/>
    </row>
    <row r="767" spans="99:99" ht="14.25" customHeight="1" x14ac:dyDescent="0.2">
      <c r="CU767" s="154"/>
    </row>
    <row r="768" spans="99:99" ht="14.25" customHeight="1" x14ac:dyDescent="0.2">
      <c r="CU768" s="154"/>
    </row>
    <row r="769" spans="99:99" ht="14.25" customHeight="1" x14ac:dyDescent="0.2">
      <c r="CU769" s="154"/>
    </row>
    <row r="770" spans="99:99" ht="14.25" customHeight="1" x14ac:dyDescent="0.2">
      <c r="CU770" s="154"/>
    </row>
    <row r="771" spans="99:99" ht="14.25" customHeight="1" x14ac:dyDescent="0.2">
      <c r="CU771" s="154"/>
    </row>
    <row r="772" spans="99:99" ht="14.25" customHeight="1" x14ac:dyDescent="0.2">
      <c r="CU772" s="154"/>
    </row>
    <row r="773" spans="99:99" ht="14.25" customHeight="1" x14ac:dyDescent="0.2">
      <c r="CU773" s="154"/>
    </row>
    <row r="774" spans="99:99" ht="14.25" customHeight="1" x14ac:dyDescent="0.2">
      <c r="CU774" s="154"/>
    </row>
    <row r="775" spans="99:99" ht="14.25" customHeight="1" x14ac:dyDescent="0.2">
      <c r="CU775" s="154"/>
    </row>
    <row r="776" spans="99:99" ht="14.25" customHeight="1" x14ac:dyDescent="0.2">
      <c r="CU776" s="154"/>
    </row>
    <row r="777" spans="99:99" ht="14.25" customHeight="1" x14ac:dyDescent="0.2">
      <c r="CU777" s="154"/>
    </row>
    <row r="778" spans="99:99" ht="14.25" customHeight="1" x14ac:dyDescent="0.2">
      <c r="CU778" s="154"/>
    </row>
    <row r="779" spans="99:99" ht="14.25" customHeight="1" x14ac:dyDescent="0.2">
      <c r="CU779" s="154"/>
    </row>
    <row r="780" spans="99:99" ht="14.25" customHeight="1" x14ac:dyDescent="0.2">
      <c r="CU780" s="154"/>
    </row>
    <row r="781" spans="99:99" ht="14.25" customHeight="1" x14ac:dyDescent="0.2">
      <c r="CU781" s="154"/>
    </row>
    <row r="782" spans="99:99" ht="14.25" customHeight="1" x14ac:dyDescent="0.2">
      <c r="CU782" s="154"/>
    </row>
    <row r="783" spans="99:99" ht="14.25" customHeight="1" x14ac:dyDescent="0.2">
      <c r="CU783" s="154"/>
    </row>
    <row r="784" spans="99:99" ht="14.25" customHeight="1" x14ac:dyDescent="0.2">
      <c r="CU784" s="154"/>
    </row>
    <row r="785" spans="99:99" ht="14.25" customHeight="1" x14ac:dyDescent="0.2">
      <c r="CU785" s="154"/>
    </row>
    <row r="786" spans="99:99" ht="14.25" customHeight="1" x14ac:dyDescent="0.2">
      <c r="CU786" s="154"/>
    </row>
    <row r="787" spans="99:99" ht="14.25" customHeight="1" x14ac:dyDescent="0.2">
      <c r="CU787" s="154"/>
    </row>
    <row r="788" spans="99:99" ht="14.25" customHeight="1" x14ac:dyDescent="0.2">
      <c r="CU788" s="154"/>
    </row>
    <row r="789" spans="99:99" ht="14.25" customHeight="1" x14ac:dyDescent="0.2">
      <c r="CU789" s="154"/>
    </row>
    <row r="790" spans="99:99" ht="14.25" customHeight="1" x14ac:dyDescent="0.2">
      <c r="CU790" s="154"/>
    </row>
    <row r="791" spans="99:99" ht="14.25" customHeight="1" x14ac:dyDescent="0.2">
      <c r="CU791" s="154"/>
    </row>
    <row r="792" spans="99:99" ht="14.25" customHeight="1" x14ac:dyDescent="0.2">
      <c r="CU792" s="154"/>
    </row>
    <row r="793" spans="99:99" ht="14.25" customHeight="1" x14ac:dyDescent="0.2">
      <c r="CU793" s="154"/>
    </row>
    <row r="794" spans="99:99" ht="14.25" customHeight="1" x14ac:dyDescent="0.2">
      <c r="CU794" s="154"/>
    </row>
    <row r="795" spans="99:99" ht="14.25" customHeight="1" x14ac:dyDescent="0.2">
      <c r="CU795" s="154"/>
    </row>
    <row r="796" spans="99:99" ht="14.25" customHeight="1" x14ac:dyDescent="0.2">
      <c r="CU796" s="154"/>
    </row>
    <row r="797" spans="99:99" ht="14.25" customHeight="1" x14ac:dyDescent="0.2">
      <c r="CU797" s="154"/>
    </row>
    <row r="798" spans="99:99" ht="14.25" customHeight="1" x14ac:dyDescent="0.2">
      <c r="CU798" s="154"/>
    </row>
    <row r="799" spans="99:99" ht="14.25" customHeight="1" x14ac:dyDescent="0.2">
      <c r="CU799" s="154"/>
    </row>
    <row r="800" spans="99:99" ht="14.25" customHeight="1" x14ac:dyDescent="0.2">
      <c r="CU800" s="154"/>
    </row>
    <row r="801" spans="99:99" ht="14.25" customHeight="1" x14ac:dyDescent="0.2">
      <c r="CU801" s="154"/>
    </row>
    <row r="802" spans="99:99" ht="14.25" customHeight="1" x14ac:dyDescent="0.2">
      <c r="CU802" s="154"/>
    </row>
    <row r="803" spans="99:99" ht="14.25" customHeight="1" x14ac:dyDescent="0.2">
      <c r="CU803" s="154"/>
    </row>
    <row r="804" spans="99:99" ht="14.25" customHeight="1" x14ac:dyDescent="0.2">
      <c r="CU804" s="154"/>
    </row>
    <row r="805" spans="99:99" ht="14.25" customHeight="1" x14ac:dyDescent="0.2">
      <c r="CU805" s="154"/>
    </row>
    <row r="806" spans="99:99" ht="14.25" customHeight="1" x14ac:dyDescent="0.2">
      <c r="CU806" s="154"/>
    </row>
    <row r="807" spans="99:99" ht="14.25" customHeight="1" x14ac:dyDescent="0.2">
      <c r="CU807" s="154"/>
    </row>
    <row r="808" spans="99:99" ht="14.25" customHeight="1" x14ac:dyDescent="0.2">
      <c r="CU808" s="154"/>
    </row>
    <row r="809" spans="99:99" ht="14.25" customHeight="1" x14ac:dyDescent="0.2">
      <c r="CU809" s="154"/>
    </row>
    <row r="810" spans="99:99" ht="14.25" customHeight="1" x14ac:dyDescent="0.2">
      <c r="CU810" s="154"/>
    </row>
    <row r="811" spans="99:99" ht="14.25" customHeight="1" x14ac:dyDescent="0.2">
      <c r="CU811" s="154"/>
    </row>
    <row r="812" spans="99:99" ht="14.25" customHeight="1" x14ac:dyDescent="0.2">
      <c r="CU812" s="154"/>
    </row>
    <row r="813" spans="99:99" ht="14.25" customHeight="1" x14ac:dyDescent="0.2">
      <c r="CU813" s="154"/>
    </row>
    <row r="814" spans="99:99" ht="14.25" customHeight="1" x14ac:dyDescent="0.2">
      <c r="CU814" s="154"/>
    </row>
    <row r="815" spans="99:99" ht="14.25" customHeight="1" x14ac:dyDescent="0.2">
      <c r="CU815" s="154"/>
    </row>
    <row r="816" spans="99:99" ht="14.25" customHeight="1" x14ac:dyDescent="0.2">
      <c r="CU816" s="154"/>
    </row>
    <row r="817" spans="99:99" ht="14.25" customHeight="1" x14ac:dyDescent="0.2">
      <c r="CU817" s="154"/>
    </row>
    <row r="818" spans="99:99" ht="14.25" customHeight="1" x14ac:dyDescent="0.2">
      <c r="CU818" s="154"/>
    </row>
    <row r="819" spans="99:99" ht="14.25" customHeight="1" x14ac:dyDescent="0.2">
      <c r="CU819" s="154"/>
    </row>
    <row r="820" spans="99:99" ht="14.25" customHeight="1" x14ac:dyDescent="0.2">
      <c r="CU820" s="154"/>
    </row>
    <row r="821" spans="99:99" ht="14.25" customHeight="1" x14ac:dyDescent="0.2">
      <c r="CU821" s="154"/>
    </row>
    <row r="822" spans="99:99" ht="14.25" customHeight="1" x14ac:dyDescent="0.2">
      <c r="CU822" s="154"/>
    </row>
    <row r="823" spans="99:99" ht="14.25" customHeight="1" x14ac:dyDescent="0.2">
      <c r="CU823" s="154"/>
    </row>
    <row r="824" spans="99:99" ht="14.25" customHeight="1" x14ac:dyDescent="0.2">
      <c r="CU824" s="154"/>
    </row>
    <row r="825" spans="99:99" ht="14.25" customHeight="1" x14ac:dyDescent="0.2">
      <c r="CU825" s="154"/>
    </row>
    <row r="826" spans="99:99" ht="14.25" customHeight="1" x14ac:dyDescent="0.2">
      <c r="CU826" s="154"/>
    </row>
    <row r="827" spans="99:99" ht="14.25" customHeight="1" x14ac:dyDescent="0.2">
      <c r="CU827" s="154"/>
    </row>
    <row r="828" spans="99:99" ht="14.25" customHeight="1" x14ac:dyDescent="0.2">
      <c r="CU828" s="154"/>
    </row>
    <row r="829" spans="99:99" ht="14.25" customHeight="1" x14ac:dyDescent="0.2">
      <c r="CU829" s="154"/>
    </row>
    <row r="830" spans="99:99" ht="14.25" customHeight="1" x14ac:dyDescent="0.2">
      <c r="CU830" s="154"/>
    </row>
    <row r="831" spans="99:99" ht="14.25" customHeight="1" x14ac:dyDescent="0.2">
      <c r="CU831" s="154"/>
    </row>
    <row r="832" spans="99:99" ht="14.25" customHeight="1" x14ac:dyDescent="0.2">
      <c r="CU832" s="154"/>
    </row>
    <row r="833" spans="99:99" ht="14.25" customHeight="1" x14ac:dyDescent="0.2">
      <c r="CU833" s="154"/>
    </row>
    <row r="834" spans="99:99" ht="14.25" customHeight="1" x14ac:dyDescent="0.2">
      <c r="CU834" s="154"/>
    </row>
    <row r="835" spans="99:99" ht="14.25" customHeight="1" x14ac:dyDescent="0.2">
      <c r="CU835" s="154"/>
    </row>
    <row r="836" spans="99:99" ht="14.25" customHeight="1" x14ac:dyDescent="0.2">
      <c r="CU836" s="154"/>
    </row>
    <row r="837" spans="99:99" ht="14.25" customHeight="1" x14ac:dyDescent="0.2">
      <c r="CU837" s="154"/>
    </row>
    <row r="838" spans="99:99" ht="14.25" customHeight="1" x14ac:dyDescent="0.2">
      <c r="CU838" s="154"/>
    </row>
    <row r="839" spans="99:99" ht="14.25" customHeight="1" x14ac:dyDescent="0.2">
      <c r="CU839" s="154"/>
    </row>
    <row r="840" spans="99:99" ht="14.25" customHeight="1" x14ac:dyDescent="0.2">
      <c r="CU840" s="154"/>
    </row>
    <row r="841" spans="99:99" ht="14.25" customHeight="1" x14ac:dyDescent="0.2">
      <c r="CU841" s="154"/>
    </row>
    <row r="842" spans="99:99" ht="14.25" customHeight="1" x14ac:dyDescent="0.2">
      <c r="CU842" s="154"/>
    </row>
    <row r="843" spans="99:99" ht="14.25" customHeight="1" x14ac:dyDescent="0.2">
      <c r="CU843" s="154"/>
    </row>
    <row r="844" spans="99:99" ht="14.25" customHeight="1" x14ac:dyDescent="0.2">
      <c r="CU844" s="154"/>
    </row>
    <row r="845" spans="99:99" ht="14.25" customHeight="1" x14ac:dyDescent="0.2">
      <c r="CU845" s="154"/>
    </row>
    <row r="846" spans="99:99" ht="14.25" customHeight="1" x14ac:dyDescent="0.2">
      <c r="CU846" s="154"/>
    </row>
    <row r="847" spans="99:99" ht="14.25" customHeight="1" x14ac:dyDescent="0.2">
      <c r="CU847" s="154"/>
    </row>
    <row r="848" spans="99:99" ht="14.25" customHeight="1" x14ac:dyDescent="0.2">
      <c r="CU848" s="154"/>
    </row>
    <row r="849" spans="99:99" ht="14.25" customHeight="1" x14ac:dyDescent="0.2">
      <c r="CU849" s="154"/>
    </row>
    <row r="850" spans="99:99" ht="14.25" customHeight="1" x14ac:dyDescent="0.2">
      <c r="CU850" s="154"/>
    </row>
    <row r="851" spans="99:99" ht="14.25" customHeight="1" x14ac:dyDescent="0.2">
      <c r="CU851" s="154"/>
    </row>
    <row r="852" spans="99:99" ht="14.25" customHeight="1" x14ac:dyDescent="0.2">
      <c r="CU852" s="154"/>
    </row>
    <row r="853" spans="99:99" ht="14.25" customHeight="1" x14ac:dyDescent="0.2">
      <c r="CU853" s="154"/>
    </row>
    <row r="854" spans="99:99" ht="14.25" customHeight="1" x14ac:dyDescent="0.2">
      <c r="CU854" s="154"/>
    </row>
    <row r="855" spans="99:99" ht="14.25" customHeight="1" x14ac:dyDescent="0.2">
      <c r="CU855" s="154"/>
    </row>
    <row r="856" spans="99:99" ht="14.25" customHeight="1" x14ac:dyDescent="0.2">
      <c r="CU856" s="154"/>
    </row>
    <row r="857" spans="99:99" ht="14.25" customHeight="1" x14ac:dyDescent="0.2">
      <c r="CU857" s="154"/>
    </row>
    <row r="858" spans="99:99" ht="14.25" customHeight="1" x14ac:dyDescent="0.2">
      <c r="CU858" s="154"/>
    </row>
    <row r="859" spans="99:99" ht="14.25" customHeight="1" x14ac:dyDescent="0.2">
      <c r="CU859" s="154"/>
    </row>
    <row r="860" spans="99:99" ht="14.25" customHeight="1" x14ac:dyDescent="0.2">
      <c r="CU860" s="154"/>
    </row>
    <row r="861" spans="99:99" ht="14.25" customHeight="1" x14ac:dyDescent="0.2">
      <c r="CU861" s="154"/>
    </row>
    <row r="862" spans="99:99" ht="14.25" customHeight="1" x14ac:dyDescent="0.2">
      <c r="CU862" s="154"/>
    </row>
    <row r="863" spans="99:99" ht="14.25" customHeight="1" x14ac:dyDescent="0.2">
      <c r="CU863" s="154"/>
    </row>
    <row r="864" spans="99:99" ht="14.25" customHeight="1" x14ac:dyDescent="0.2">
      <c r="CU864" s="154"/>
    </row>
    <row r="865" spans="99:99" ht="14.25" customHeight="1" x14ac:dyDescent="0.2">
      <c r="CU865" s="154"/>
    </row>
    <row r="866" spans="99:99" ht="14.25" customHeight="1" x14ac:dyDescent="0.2">
      <c r="CU866" s="154"/>
    </row>
    <row r="867" spans="99:99" ht="14.25" customHeight="1" x14ac:dyDescent="0.2">
      <c r="CU867" s="154"/>
    </row>
    <row r="868" spans="99:99" ht="14.25" customHeight="1" x14ac:dyDescent="0.2">
      <c r="CU868" s="154"/>
    </row>
    <row r="869" spans="99:99" ht="14.25" customHeight="1" x14ac:dyDescent="0.2">
      <c r="CU869" s="154"/>
    </row>
    <row r="870" spans="99:99" ht="14.25" customHeight="1" x14ac:dyDescent="0.2">
      <c r="CU870" s="154"/>
    </row>
    <row r="871" spans="99:99" ht="14.25" customHeight="1" x14ac:dyDescent="0.2">
      <c r="CU871" s="154"/>
    </row>
    <row r="872" spans="99:99" ht="14.25" customHeight="1" x14ac:dyDescent="0.2">
      <c r="CU872" s="154"/>
    </row>
    <row r="873" spans="99:99" ht="14.25" customHeight="1" x14ac:dyDescent="0.2">
      <c r="CU873" s="154"/>
    </row>
    <row r="874" spans="99:99" ht="14.25" customHeight="1" x14ac:dyDescent="0.2">
      <c r="CU874" s="154"/>
    </row>
    <row r="875" spans="99:99" ht="14.25" customHeight="1" x14ac:dyDescent="0.2">
      <c r="CU875" s="154"/>
    </row>
    <row r="876" spans="99:99" ht="14.25" customHeight="1" x14ac:dyDescent="0.2">
      <c r="CU876" s="154"/>
    </row>
    <row r="877" spans="99:99" ht="14.25" customHeight="1" x14ac:dyDescent="0.2">
      <c r="CU877" s="154"/>
    </row>
    <row r="878" spans="99:99" ht="14.25" customHeight="1" x14ac:dyDescent="0.2">
      <c r="CU878" s="154"/>
    </row>
    <row r="879" spans="99:99" ht="14.25" customHeight="1" x14ac:dyDescent="0.2">
      <c r="CU879" s="154"/>
    </row>
    <row r="880" spans="99:99" ht="14.25" customHeight="1" x14ac:dyDescent="0.2">
      <c r="CU880" s="154"/>
    </row>
    <row r="881" spans="99:99" ht="14.25" customHeight="1" x14ac:dyDescent="0.2">
      <c r="CU881" s="154"/>
    </row>
    <row r="882" spans="99:99" ht="14.25" customHeight="1" x14ac:dyDescent="0.2">
      <c r="CU882" s="154"/>
    </row>
    <row r="883" spans="99:99" ht="14.25" customHeight="1" x14ac:dyDescent="0.2">
      <c r="CU883" s="154"/>
    </row>
    <row r="884" spans="99:99" ht="14.25" customHeight="1" x14ac:dyDescent="0.2">
      <c r="CU884" s="154"/>
    </row>
    <row r="885" spans="99:99" ht="14.25" customHeight="1" x14ac:dyDescent="0.2">
      <c r="CU885" s="154"/>
    </row>
    <row r="886" spans="99:99" ht="14.25" customHeight="1" x14ac:dyDescent="0.2">
      <c r="CU886" s="154"/>
    </row>
    <row r="887" spans="99:99" ht="14.25" customHeight="1" x14ac:dyDescent="0.2">
      <c r="CU887" s="154"/>
    </row>
    <row r="888" spans="99:99" ht="14.25" customHeight="1" x14ac:dyDescent="0.2">
      <c r="CU888" s="154"/>
    </row>
    <row r="889" spans="99:99" ht="14.25" customHeight="1" x14ac:dyDescent="0.2">
      <c r="CU889" s="154"/>
    </row>
    <row r="890" spans="99:99" ht="14.25" customHeight="1" x14ac:dyDescent="0.2">
      <c r="CU890" s="154"/>
    </row>
    <row r="891" spans="99:99" ht="14.25" customHeight="1" x14ac:dyDescent="0.2">
      <c r="CU891" s="154"/>
    </row>
    <row r="892" spans="99:99" ht="14.25" customHeight="1" x14ac:dyDescent="0.2">
      <c r="CU892" s="154"/>
    </row>
    <row r="893" spans="99:99" ht="14.25" customHeight="1" x14ac:dyDescent="0.2">
      <c r="CU893" s="154"/>
    </row>
    <row r="894" spans="99:99" ht="14.25" customHeight="1" x14ac:dyDescent="0.2">
      <c r="CU894" s="154"/>
    </row>
    <row r="895" spans="99:99" ht="14.25" customHeight="1" x14ac:dyDescent="0.2">
      <c r="CU895" s="154"/>
    </row>
    <row r="896" spans="99:99" ht="14.25" customHeight="1" x14ac:dyDescent="0.2">
      <c r="CU896" s="154"/>
    </row>
    <row r="897" spans="99:99" ht="14.25" customHeight="1" x14ac:dyDescent="0.2">
      <c r="CU897" s="154"/>
    </row>
    <row r="898" spans="99:99" ht="14.25" customHeight="1" x14ac:dyDescent="0.2">
      <c r="CU898" s="154"/>
    </row>
    <row r="899" spans="99:99" ht="14.25" customHeight="1" x14ac:dyDescent="0.2">
      <c r="CU899" s="154"/>
    </row>
    <row r="900" spans="99:99" ht="14.25" customHeight="1" x14ac:dyDescent="0.2">
      <c r="CU900" s="154"/>
    </row>
    <row r="901" spans="99:99" ht="14.25" customHeight="1" x14ac:dyDescent="0.2">
      <c r="CU901" s="154"/>
    </row>
    <row r="902" spans="99:99" ht="14.25" customHeight="1" x14ac:dyDescent="0.2">
      <c r="CU902" s="154"/>
    </row>
    <row r="903" spans="99:99" ht="14.25" customHeight="1" x14ac:dyDescent="0.2">
      <c r="CU903" s="154"/>
    </row>
    <row r="904" spans="99:99" ht="14.25" customHeight="1" x14ac:dyDescent="0.2">
      <c r="CU904" s="154"/>
    </row>
    <row r="905" spans="99:99" ht="14.25" customHeight="1" x14ac:dyDescent="0.2">
      <c r="CU905" s="154"/>
    </row>
    <row r="906" spans="99:99" ht="14.25" customHeight="1" x14ac:dyDescent="0.2">
      <c r="CU906" s="154"/>
    </row>
    <row r="907" spans="99:99" ht="14.25" customHeight="1" x14ac:dyDescent="0.2">
      <c r="CU907" s="154"/>
    </row>
    <row r="908" spans="99:99" ht="14.25" customHeight="1" x14ac:dyDescent="0.2">
      <c r="CU908" s="154"/>
    </row>
    <row r="909" spans="99:99" ht="14.25" customHeight="1" x14ac:dyDescent="0.2">
      <c r="CU909" s="154"/>
    </row>
    <row r="910" spans="99:99" ht="14.25" customHeight="1" x14ac:dyDescent="0.2">
      <c r="CU910" s="154"/>
    </row>
    <row r="911" spans="99:99" ht="14.25" customHeight="1" x14ac:dyDescent="0.2">
      <c r="CU911" s="154"/>
    </row>
    <row r="912" spans="99:99" ht="14.25" customHeight="1" x14ac:dyDescent="0.2">
      <c r="CU912" s="154"/>
    </row>
    <row r="913" spans="99:99" ht="14.25" customHeight="1" x14ac:dyDescent="0.2">
      <c r="CU913" s="154"/>
    </row>
    <row r="914" spans="99:99" ht="14.25" customHeight="1" x14ac:dyDescent="0.2">
      <c r="CU914" s="154"/>
    </row>
    <row r="915" spans="99:99" ht="14.25" customHeight="1" x14ac:dyDescent="0.2">
      <c r="CU915" s="154"/>
    </row>
    <row r="916" spans="99:99" ht="14.25" customHeight="1" x14ac:dyDescent="0.2">
      <c r="CU916" s="154"/>
    </row>
    <row r="917" spans="99:99" ht="14.25" customHeight="1" x14ac:dyDescent="0.2">
      <c r="CU917" s="154"/>
    </row>
    <row r="918" spans="99:99" ht="14.25" customHeight="1" x14ac:dyDescent="0.2">
      <c r="CU918" s="154"/>
    </row>
    <row r="919" spans="99:99" ht="14.25" customHeight="1" x14ac:dyDescent="0.2">
      <c r="CU919" s="154"/>
    </row>
    <row r="920" spans="99:99" ht="14.25" customHeight="1" x14ac:dyDescent="0.2">
      <c r="CU920" s="154"/>
    </row>
    <row r="921" spans="99:99" ht="14.25" customHeight="1" x14ac:dyDescent="0.2">
      <c r="CU921" s="154"/>
    </row>
    <row r="922" spans="99:99" ht="14.25" customHeight="1" x14ac:dyDescent="0.2">
      <c r="CU922" s="154"/>
    </row>
    <row r="923" spans="99:99" ht="14.25" customHeight="1" x14ac:dyDescent="0.2">
      <c r="CU923" s="154"/>
    </row>
    <row r="924" spans="99:99" ht="14.25" customHeight="1" x14ac:dyDescent="0.2">
      <c r="CU924" s="154"/>
    </row>
    <row r="925" spans="99:99" ht="14.25" customHeight="1" x14ac:dyDescent="0.2">
      <c r="CU925" s="154"/>
    </row>
    <row r="926" spans="99:99" ht="14.25" customHeight="1" x14ac:dyDescent="0.2">
      <c r="CU926" s="154"/>
    </row>
    <row r="927" spans="99:99" ht="14.25" customHeight="1" x14ac:dyDescent="0.2">
      <c r="CU927" s="154"/>
    </row>
    <row r="928" spans="99:99" ht="14.25" customHeight="1" x14ac:dyDescent="0.2">
      <c r="CU928" s="154"/>
    </row>
    <row r="929" spans="99:99" ht="14.25" customHeight="1" x14ac:dyDescent="0.2">
      <c r="CU929" s="154"/>
    </row>
    <row r="930" spans="99:99" ht="14.25" customHeight="1" x14ac:dyDescent="0.2">
      <c r="CU930" s="154"/>
    </row>
    <row r="931" spans="99:99" ht="14.25" customHeight="1" x14ac:dyDescent="0.2">
      <c r="CU931" s="154"/>
    </row>
    <row r="932" spans="99:99" ht="14.25" customHeight="1" x14ac:dyDescent="0.2">
      <c r="CU932" s="154"/>
    </row>
    <row r="933" spans="99:99" ht="14.25" customHeight="1" x14ac:dyDescent="0.2">
      <c r="CU933" s="154"/>
    </row>
    <row r="934" spans="99:99" ht="14.25" customHeight="1" x14ac:dyDescent="0.2">
      <c r="CU934" s="154"/>
    </row>
    <row r="935" spans="99:99" ht="14.25" customHeight="1" x14ac:dyDescent="0.2">
      <c r="CU935" s="154"/>
    </row>
    <row r="936" spans="99:99" ht="14.25" customHeight="1" x14ac:dyDescent="0.2">
      <c r="CU936" s="154"/>
    </row>
    <row r="937" spans="99:99" ht="14.25" customHeight="1" x14ac:dyDescent="0.2">
      <c r="CU937" s="154"/>
    </row>
    <row r="938" spans="99:99" ht="14.25" customHeight="1" x14ac:dyDescent="0.2">
      <c r="CU938" s="154"/>
    </row>
    <row r="939" spans="99:99" ht="14.25" customHeight="1" x14ac:dyDescent="0.2">
      <c r="CU939" s="154"/>
    </row>
    <row r="940" spans="99:99" ht="14.25" customHeight="1" x14ac:dyDescent="0.2">
      <c r="CU940" s="154"/>
    </row>
    <row r="941" spans="99:99" ht="14.25" customHeight="1" x14ac:dyDescent="0.2">
      <c r="CU941" s="154"/>
    </row>
    <row r="942" spans="99:99" ht="14.25" customHeight="1" x14ac:dyDescent="0.2">
      <c r="CU942" s="154"/>
    </row>
    <row r="943" spans="99:99" ht="14.25" customHeight="1" x14ac:dyDescent="0.2">
      <c r="CU943" s="154"/>
    </row>
    <row r="944" spans="99:99" ht="14.25" customHeight="1" x14ac:dyDescent="0.2">
      <c r="CU944" s="154"/>
    </row>
    <row r="945" spans="99:99" ht="14.25" customHeight="1" x14ac:dyDescent="0.2">
      <c r="CU945" s="154"/>
    </row>
    <row r="946" spans="99:99" ht="14.25" customHeight="1" x14ac:dyDescent="0.2">
      <c r="CU946" s="154"/>
    </row>
    <row r="947" spans="99:99" ht="14.25" customHeight="1" x14ac:dyDescent="0.2">
      <c r="CU947" s="154"/>
    </row>
    <row r="948" spans="99:99" ht="14.25" customHeight="1" x14ac:dyDescent="0.2">
      <c r="CU948" s="154"/>
    </row>
    <row r="949" spans="99:99" ht="14.25" customHeight="1" x14ac:dyDescent="0.2">
      <c r="CU949" s="154"/>
    </row>
    <row r="950" spans="99:99" ht="14.25" customHeight="1" x14ac:dyDescent="0.2">
      <c r="CU950" s="154"/>
    </row>
    <row r="951" spans="99:99" ht="14.25" customHeight="1" x14ac:dyDescent="0.2">
      <c r="CU951" s="154"/>
    </row>
    <row r="952" spans="99:99" ht="14.25" customHeight="1" x14ac:dyDescent="0.2">
      <c r="CU952" s="154"/>
    </row>
    <row r="953" spans="99:99" ht="14.25" customHeight="1" x14ac:dyDescent="0.2">
      <c r="CU953" s="154"/>
    </row>
    <row r="954" spans="99:99" ht="14.25" customHeight="1" x14ac:dyDescent="0.2">
      <c r="CU954" s="154"/>
    </row>
    <row r="955" spans="99:99" ht="14.25" customHeight="1" x14ac:dyDescent="0.2">
      <c r="CU955" s="154"/>
    </row>
    <row r="956" spans="99:99" ht="14.25" customHeight="1" x14ac:dyDescent="0.2">
      <c r="CU956" s="154"/>
    </row>
    <row r="957" spans="99:99" ht="14.25" customHeight="1" x14ac:dyDescent="0.2">
      <c r="CU957" s="154"/>
    </row>
    <row r="958" spans="99:99" ht="14.25" customHeight="1" x14ac:dyDescent="0.2">
      <c r="CU958" s="154"/>
    </row>
    <row r="959" spans="99:99" ht="14.25" customHeight="1" x14ac:dyDescent="0.2">
      <c r="CU959" s="154"/>
    </row>
    <row r="960" spans="99:99" ht="14.25" customHeight="1" x14ac:dyDescent="0.2">
      <c r="CU960" s="154"/>
    </row>
    <row r="961" spans="99:99" ht="14.25" customHeight="1" x14ac:dyDescent="0.2">
      <c r="CU961" s="154"/>
    </row>
    <row r="962" spans="99:99" ht="14.25" customHeight="1" x14ac:dyDescent="0.2">
      <c r="CU962" s="154"/>
    </row>
    <row r="963" spans="99:99" ht="14.25" customHeight="1" x14ac:dyDescent="0.2">
      <c r="CU963" s="154"/>
    </row>
    <row r="964" spans="99:99" ht="14.25" customHeight="1" x14ac:dyDescent="0.2">
      <c r="CU964" s="154"/>
    </row>
    <row r="965" spans="99:99" ht="14.25" customHeight="1" x14ac:dyDescent="0.2">
      <c r="CU965" s="154"/>
    </row>
    <row r="966" spans="99:99" ht="14.25" customHeight="1" x14ac:dyDescent="0.2">
      <c r="CU966" s="154"/>
    </row>
    <row r="967" spans="99:99" ht="14.25" customHeight="1" x14ac:dyDescent="0.2">
      <c r="CU967" s="154"/>
    </row>
    <row r="968" spans="99:99" ht="14.25" customHeight="1" x14ac:dyDescent="0.2">
      <c r="CU968" s="154"/>
    </row>
    <row r="969" spans="99:99" ht="14.25" customHeight="1" x14ac:dyDescent="0.2">
      <c r="CU969" s="154"/>
    </row>
    <row r="970" spans="99:99" ht="14.25" customHeight="1" x14ac:dyDescent="0.2">
      <c r="CU970" s="154"/>
    </row>
    <row r="971" spans="99:99" ht="14.25" customHeight="1" x14ac:dyDescent="0.2">
      <c r="CU971" s="154"/>
    </row>
    <row r="972" spans="99:99" ht="14.25" customHeight="1" x14ac:dyDescent="0.2">
      <c r="CU972" s="154"/>
    </row>
    <row r="973" spans="99:99" ht="14.25" customHeight="1" x14ac:dyDescent="0.2">
      <c r="CU973" s="154"/>
    </row>
    <row r="974" spans="99:99" ht="14.25" customHeight="1" x14ac:dyDescent="0.2">
      <c r="CU974" s="154"/>
    </row>
    <row r="975" spans="99:99" ht="14.25" customHeight="1" x14ac:dyDescent="0.2">
      <c r="CU975" s="154"/>
    </row>
    <row r="976" spans="99:99" ht="14.25" customHeight="1" x14ac:dyDescent="0.2">
      <c r="CU976" s="154"/>
    </row>
    <row r="977" spans="99:99" ht="14.25" customHeight="1" x14ac:dyDescent="0.2">
      <c r="CU977" s="154"/>
    </row>
    <row r="978" spans="99:99" ht="14.25" customHeight="1" x14ac:dyDescent="0.2">
      <c r="CU978" s="154"/>
    </row>
    <row r="979" spans="99:99" ht="14.25" customHeight="1" x14ac:dyDescent="0.2">
      <c r="CU979" s="154"/>
    </row>
    <row r="980" spans="99:99" ht="14.25" customHeight="1" x14ac:dyDescent="0.2">
      <c r="CU980" s="154"/>
    </row>
    <row r="981" spans="99:99" ht="14.25" customHeight="1" x14ac:dyDescent="0.2">
      <c r="CU981" s="154"/>
    </row>
    <row r="982" spans="99:99" ht="14.25" customHeight="1" x14ac:dyDescent="0.2">
      <c r="CU982" s="154"/>
    </row>
    <row r="983" spans="99:99" ht="14.25" customHeight="1" x14ac:dyDescent="0.2">
      <c r="CU983" s="154"/>
    </row>
    <row r="984" spans="99:99" ht="14.25" customHeight="1" x14ac:dyDescent="0.2">
      <c r="CU984" s="154"/>
    </row>
    <row r="985" spans="99:99" ht="14.25" customHeight="1" x14ac:dyDescent="0.2">
      <c r="CU985" s="154"/>
    </row>
    <row r="986" spans="99:99" ht="14.25" customHeight="1" x14ac:dyDescent="0.2">
      <c r="CU986" s="154"/>
    </row>
    <row r="987" spans="99:99" ht="14.25" customHeight="1" x14ac:dyDescent="0.2">
      <c r="CU987" s="154"/>
    </row>
    <row r="988" spans="99:99" ht="14.25" customHeight="1" x14ac:dyDescent="0.2">
      <c r="CU988" s="154"/>
    </row>
    <row r="989" spans="99:99" ht="14.25" customHeight="1" x14ac:dyDescent="0.2">
      <c r="CU989" s="154"/>
    </row>
    <row r="990" spans="99:99" ht="14.25" customHeight="1" x14ac:dyDescent="0.2">
      <c r="CU990" s="154"/>
    </row>
    <row r="991" spans="99:99" ht="14.25" customHeight="1" x14ac:dyDescent="0.2">
      <c r="CU991" s="154"/>
    </row>
    <row r="992" spans="99:99" ht="14.25" customHeight="1" x14ac:dyDescent="0.2">
      <c r="CU992" s="154"/>
    </row>
    <row r="993" spans="99:99" ht="14.25" customHeight="1" x14ac:dyDescent="0.2">
      <c r="CU993" s="154"/>
    </row>
    <row r="994" spans="99:99" ht="14.25" customHeight="1" x14ac:dyDescent="0.2">
      <c r="CU994" s="154"/>
    </row>
    <row r="995" spans="99:99" ht="14.25" customHeight="1" x14ac:dyDescent="0.2">
      <c r="CU995" s="154"/>
    </row>
    <row r="996" spans="99:99" ht="14.25" customHeight="1" x14ac:dyDescent="0.2">
      <c r="CU996" s="154"/>
    </row>
    <row r="997" spans="99:99" ht="14.25" customHeight="1" x14ac:dyDescent="0.2">
      <c r="CU997" s="154"/>
    </row>
    <row r="998" spans="99:99" ht="14.25" customHeight="1" x14ac:dyDescent="0.2">
      <c r="CU998" s="154"/>
    </row>
    <row r="999" spans="99:99" ht="14.25" customHeight="1" x14ac:dyDescent="0.2">
      <c r="CU999" s="154"/>
    </row>
    <row r="1000" spans="99:99" ht="14.25" customHeight="1" x14ac:dyDescent="0.2">
      <c r="CU1000" s="154"/>
    </row>
  </sheetData>
  <mergeCells count="25">
    <mergeCell ref="BP2:BV2"/>
    <mergeCell ref="BW2:CC2"/>
    <mergeCell ref="CD2:CJ2"/>
    <mergeCell ref="B2:K2"/>
    <mergeCell ref="L2:R2"/>
    <mergeCell ref="S2:Y2"/>
    <mergeCell ref="Z2:AF2"/>
    <mergeCell ref="AG2:AM2"/>
    <mergeCell ref="AN2:AT2"/>
    <mergeCell ref="BW60:CC60"/>
    <mergeCell ref="CD60:CJ60"/>
    <mergeCell ref="CK60:CQ60"/>
    <mergeCell ref="CK2:CQ2"/>
    <mergeCell ref="L60:R60"/>
    <mergeCell ref="S60:Y60"/>
    <mergeCell ref="Z60:AF60"/>
    <mergeCell ref="AG60:AM60"/>
    <mergeCell ref="AN60:AT60"/>
    <mergeCell ref="AU60:BA60"/>
    <mergeCell ref="BB60:BH60"/>
    <mergeCell ref="BI60:BO60"/>
    <mergeCell ref="BP60:BV60"/>
    <mergeCell ref="AU2:BA2"/>
    <mergeCell ref="BB2:BH2"/>
    <mergeCell ref="BI2:BO2"/>
  </mergeCells>
  <printOptions horizontalCentered="1"/>
  <pageMargins left="9.8425196850393706E-2" right="9.8425196850393706E-2" top="0.59055118110236227" bottom="0.39370078740157483" header="0" footer="0"/>
  <pageSetup paperSize="9" scale="43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6BEF17-417A-594C-9F05-A1F04601D7C3}">
  <sheetPr>
    <pageSetUpPr fitToPage="1"/>
  </sheetPr>
  <dimension ref="A1:CU1000"/>
  <sheetViews>
    <sheetView zoomScale="70" zoomScaleNormal="70" workbookViewId="0">
      <pane xSplit="1" ySplit="3" topLeftCell="AU4" activePane="bottomRight" state="frozen"/>
      <selection pane="topRight" activeCell="B1" sqref="B1"/>
      <selection pane="bottomLeft" activeCell="A4" sqref="A4"/>
      <selection pane="bottomRight" activeCell="AZ56" sqref="AZ56:AZ57"/>
    </sheetView>
  </sheetViews>
  <sheetFormatPr baseColWidth="10" defaultColWidth="14.5" defaultRowHeight="15" customHeight="1" x14ac:dyDescent="0.2"/>
  <cols>
    <col min="1" max="1" width="32.33203125" customWidth="1"/>
    <col min="2" max="96" width="11.5" customWidth="1"/>
    <col min="97" max="98" width="10.5" customWidth="1"/>
    <col min="99" max="99" width="2.6640625" customWidth="1"/>
  </cols>
  <sheetData>
    <row r="1" spans="1:99" ht="20" customHeight="1" thickBot="1" x14ac:dyDescent="0.25">
      <c r="A1" s="1" t="s">
        <v>167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45"/>
    </row>
    <row r="2" spans="1:99" ht="14.25" customHeight="1" thickBot="1" x14ac:dyDescent="0.25">
      <c r="A2" s="5"/>
      <c r="B2" s="245"/>
      <c r="C2" s="246"/>
      <c r="D2" s="246"/>
      <c r="E2" s="247"/>
      <c r="F2" s="247"/>
      <c r="G2" s="247"/>
      <c r="H2" s="247"/>
      <c r="I2" s="247"/>
      <c r="J2" s="247"/>
      <c r="K2" s="248"/>
      <c r="L2" s="245" t="s">
        <v>2</v>
      </c>
      <c r="M2" s="246"/>
      <c r="N2" s="246"/>
      <c r="O2" s="246"/>
      <c r="P2" s="246"/>
      <c r="Q2" s="247"/>
      <c r="R2" s="248"/>
      <c r="S2" s="245" t="s">
        <v>3</v>
      </c>
      <c r="T2" s="246"/>
      <c r="U2" s="246"/>
      <c r="V2" s="246"/>
      <c r="W2" s="246"/>
      <c r="X2" s="247"/>
      <c r="Y2" s="248"/>
      <c r="Z2" s="245" t="s">
        <v>4</v>
      </c>
      <c r="AA2" s="246"/>
      <c r="AB2" s="246"/>
      <c r="AC2" s="246"/>
      <c r="AD2" s="246"/>
      <c r="AE2" s="247"/>
      <c r="AF2" s="248"/>
      <c r="AG2" s="245" t="s">
        <v>5</v>
      </c>
      <c r="AH2" s="246"/>
      <c r="AI2" s="246"/>
      <c r="AJ2" s="246"/>
      <c r="AK2" s="246"/>
      <c r="AL2" s="247"/>
      <c r="AM2" s="248"/>
      <c r="AN2" s="245" t="s">
        <v>6</v>
      </c>
      <c r="AO2" s="246"/>
      <c r="AP2" s="246"/>
      <c r="AQ2" s="246"/>
      <c r="AR2" s="246"/>
      <c r="AS2" s="247"/>
      <c r="AT2" s="248"/>
      <c r="AU2" s="245" t="s">
        <v>7</v>
      </c>
      <c r="AV2" s="246"/>
      <c r="AW2" s="246"/>
      <c r="AX2" s="246"/>
      <c r="AY2" s="246"/>
      <c r="AZ2" s="247"/>
      <c r="BA2" s="248"/>
      <c r="BB2" s="245" t="s">
        <v>8</v>
      </c>
      <c r="BC2" s="246"/>
      <c r="BD2" s="246"/>
      <c r="BE2" s="246"/>
      <c r="BF2" s="246"/>
      <c r="BG2" s="247"/>
      <c r="BH2" s="248"/>
      <c r="BI2" s="245" t="s">
        <v>9</v>
      </c>
      <c r="BJ2" s="246"/>
      <c r="BK2" s="246"/>
      <c r="BL2" s="246"/>
      <c r="BM2" s="246"/>
      <c r="BN2" s="247"/>
      <c r="BO2" s="248"/>
      <c r="BP2" s="245" t="s">
        <v>10</v>
      </c>
      <c r="BQ2" s="246"/>
      <c r="BR2" s="246"/>
      <c r="BS2" s="246"/>
      <c r="BT2" s="246"/>
      <c r="BU2" s="247"/>
      <c r="BV2" s="248"/>
      <c r="BW2" s="245" t="s">
        <v>11</v>
      </c>
      <c r="BX2" s="246"/>
      <c r="BY2" s="246"/>
      <c r="BZ2" s="246"/>
      <c r="CA2" s="246"/>
      <c r="CB2" s="247"/>
      <c r="CC2" s="248"/>
      <c r="CD2" s="245" t="s">
        <v>12</v>
      </c>
      <c r="CE2" s="246"/>
      <c r="CF2" s="246"/>
      <c r="CG2" s="246"/>
      <c r="CH2" s="246"/>
      <c r="CI2" s="247"/>
      <c r="CJ2" s="248"/>
      <c r="CK2" s="245" t="s">
        <v>13</v>
      </c>
      <c r="CL2" s="246"/>
      <c r="CM2" s="246"/>
      <c r="CN2" s="246"/>
      <c r="CO2" s="246"/>
      <c r="CP2" s="247"/>
      <c r="CQ2" s="248"/>
    </row>
    <row r="3" spans="1:99" ht="45" customHeight="1" thickBot="1" x14ac:dyDescent="0.25">
      <c r="A3" s="5"/>
      <c r="B3" s="8" t="s">
        <v>14</v>
      </c>
      <c r="C3" s="9" t="s">
        <v>15</v>
      </c>
      <c r="D3" s="10" t="s">
        <v>16</v>
      </c>
      <c r="E3" s="8" t="s">
        <v>17</v>
      </c>
      <c r="F3" s="11" t="s">
        <v>18</v>
      </c>
      <c r="G3" s="12" t="s">
        <v>19</v>
      </c>
      <c r="H3" s="13" t="s">
        <v>20</v>
      </c>
      <c r="I3" s="14" t="s">
        <v>21</v>
      </c>
      <c r="J3" s="14" t="s">
        <v>22</v>
      </c>
      <c r="K3" s="15" t="s">
        <v>23</v>
      </c>
      <c r="L3" s="6" t="s">
        <v>24</v>
      </c>
      <c r="M3" s="14" t="s">
        <v>25</v>
      </c>
      <c r="N3" s="14" t="s">
        <v>26</v>
      </c>
      <c r="O3" s="14" t="s">
        <v>20</v>
      </c>
      <c r="P3" s="14" t="s">
        <v>21</v>
      </c>
      <c r="Q3" s="14" t="s">
        <v>22</v>
      </c>
      <c r="R3" s="15" t="s">
        <v>23</v>
      </c>
      <c r="S3" s="6" t="s">
        <v>24</v>
      </c>
      <c r="T3" s="14" t="s">
        <v>25</v>
      </c>
      <c r="U3" s="14" t="s">
        <v>26</v>
      </c>
      <c r="V3" s="14" t="s">
        <v>20</v>
      </c>
      <c r="W3" s="14" t="s">
        <v>21</v>
      </c>
      <c r="X3" s="14" t="s">
        <v>22</v>
      </c>
      <c r="Y3" s="15" t="s">
        <v>23</v>
      </c>
      <c r="Z3" s="6" t="s">
        <v>24</v>
      </c>
      <c r="AA3" s="14" t="s">
        <v>25</v>
      </c>
      <c r="AB3" s="14" t="s">
        <v>26</v>
      </c>
      <c r="AC3" s="14" t="s">
        <v>20</v>
      </c>
      <c r="AD3" s="14" t="s">
        <v>21</v>
      </c>
      <c r="AE3" s="14" t="s">
        <v>22</v>
      </c>
      <c r="AF3" s="15" t="s">
        <v>23</v>
      </c>
      <c r="AG3" s="6" t="s">
        <v>24</v>
      </c>
      <c r="AH3" s="14" t="s">
        <v>25</v>
      </c>
      <c r="AI3" s="14" t="s">
        <v>26</v>
      </c>
      <c r="AJ3" s="14" t="s">
        <v>20</v>
      </c>
      <c r="AK3" s="14" t="s">
        <v>21</v>
      </c>
      <c r="AL3" s="14" t="s">
        <v>22</v>
      </c>
      <c r="AM3" s="15" t="s">
        <v>23</v>
      </c>
      <c r="AN3" s="6" t="s">
        <v>24</v>
      </c>
      <c r="AO3" s="14" t="s">
        <v>25</v>
      </c>
      <c r="AP3" s="14" t="s">
        <v>26</v>
      </c>
      <c r="AQ3" s="14" t="s">
        <v>20</v>
      </c>
      <c r="AR3" s="14" t="s">
        <v>21</v>
      </c>
      <c r="AS3" s="14" t="s">
        <v>22</v>
      </c>
      <c r="AT3" s="15" t="s">
        <v>23</v>
      </c>
      <c r="AU3" s="6" t="s">
        <v>24</v>
      </c>
      <c r="AV3" s="14" t="s">
        <v>25</v>
      </c>
      <c r="AW3" s="14" t="s">
        <v>26</v>
      </c>
      <c r="AX3" s="14" t="s">
        <v>20</v>
      </c>
      <c r="AY3" s="14" t="s">
        <v>21</v>
      </c>
      <c r="AZ3" s="14" t="s">
        <v>22</v>
      </c>
      <c r="BA3" s="15" t="s">
        <v>23</v>
      </c>
      <c r="BB3" s="6" t="s">
        <v>24</v>
      </c>
      <c r="BC3" s="14" t="s">
        <v>25</v>
      </c>
      <c r="BD3" s="14" t="s">
        <v>26</v>
      </c>
      <c r="BE3" s="14" t="s">
        <v>20</v>
      </c>
      <c r="BF3" s="14" t="s">
        <v>21</v>
      </c>
      <c r="BG3" s="14" t="s">
        <v>22</v>
      </c>
      <c r="BH3" s="15" t="s">
        <v>23</v>
      </c>
      <c r="BI3" s="6" t="s">
        <v>24</v>
      </c>
      <c r="BJ3" s="14" t="s">
        <v>25</v>
      </c>
      <c r="BK3" s="14" t="s">
        <v>26</v>
      </c>
      <c r="BL3" s="14" t="s">
        <v>20</v>
      </c>
      <c r="BM3" s="14" t="s">
        <v>21</v>
      </c>
      <c r="BN3" s="14" t="s">
        <v>22</v>
      </c>
      <c r="BO3" s="15" t="s">
        <v>23</v>
      </c>
      <c r="BP3" s="6" t="s">
        <v>24</v>
      </c>
      <c r="BQ3" s="14" t="s">
        <v>25</v>
      </c>
      <c r="BR3" s="14" t="s">
        <v>26</v>
      </c>
      <c r="BS3" s="14" t="s">
        <v>20</v>
      </c>
      <c r="BT3" s="14" t="s">
        <v>21</v>
      </c>
      <c r="BU3" s="14" t="s">
        <v>22</v>
      </c>
      <c r="BV3" s="15" t="s">
        <v>23</v>
      </c>
      <c r="BW3" s="6" t="s">
        <v>24</v>
      </c>
      <c r="BX3" s="14" t="s">
        <v>25</v>
      </c>
      <c r="BY3" s="14" t="s">
        <v>26</v>
      </c>
      <c r="BZ3" s="14" t="s">
        <v>20</v>
      </c>
      <c r="CA3" s="14" t="s">
        <v>21</v>
      </c>
      <c r="CB3" s="14" t="s">
        <v>22</v>
      </c>
      <c r="CC3" s="15" t="s">
        <v>23</v>
      </c>
      <c r="CD3" s="6" t="s">
        <v>24</v>
      </c>
      <c r="CE3" s="14" t="s">
        <v>25</v>
      </c>
      <c r="CF3" s="14" t="s">
        <v>26</v>
      </c>
      <c r="CG3" s="14" t="s">
        <v>20</v>
      </c>
      <c r="CH3" s="14" t="s">
        <v>21</v>
      </c>
      <c r="CI3" s="14" t="s">
        <v>22</v>
      </c>
      <c r="CJ3" s="15" t="s">
        <v>23</v>
      </c>
      <c r="CK3" s="6" t="s">
        <v>24</v>
      </c>
      <c r="CL3" s="14" t="s">
        <v>25</v>
      </c>
      <c r="CM3" s="14" t="s">
        <v>26</v>
      </c>
      <c r="CN3" s="14" t="s">
        <v>20</v>
      </c>
      <c r="CO3" s="14" t="s">
        <v>21</v>
      </c>
      <c r="CP3" s="14" t="s">
        <v>22</v>
      </c>
      <c r="CQ3" s="15" t="s">
        <v>23</v>
      </c>
    </row>
    <row r="4" spans="1:99" s="26" customFormat="1" ht="14.25" customHeight="1" thickBot="1" x14ac:dyDescent="0.25">
      <c r="A4" s="16" t="s">
        <v>28</v>
      </c>
      <c r="B4" s="17">
        <f t="shared" ref="B4:D35" si="0">+L4+S4+Z4+AG4+AN4+AU4+BB4+BI4+BP4+BW4+CD4+CK4</f>
        <v>752850.0755040003</v>
      </c>
      <c r="C4" s="18">
        <f t="shared" si="0"/>
        <v>719574.10216672334</v>
      </c>
      <c r="D4" s="19">
        <f t="shared" si="0"/>
        <v>33275.973337276802</v>
      </c>
      <c r="E4" s="17">
        <f>+L4+S4+Z4+AG4</f>
        <v>266548.95984000002</v>
      </c>
      <c r="F4" s="20">
        <f>+M4+T4+AA4+AH4</f>
        <v>254767.495815072</v>
      </c>
      <c r="G4" s="21">
        <f>+N4+U4+AB4+AI4</f>
        <v>11781.464024928</v>
      </c>
      <c r="H4" s="18">
        <f t="shared" ref="H4:J35" si="1">+O4+V4+AC4+AJ4+AQ4+AX4+BE4+BL4+BS4+BZ4+CG4+CN4</f>
        <v>296057.63541600003</v>
      </c>
      <c r="I4" s="20">
        <f t="shared" si="1"/>
        <v>13690.884583999999</v>
      </c>
      <c r="J4" s="20">
        <f t="shared" si="1"/>
        <v>309748.52</v>
      </c>
      <c r="K4" s="25">
        <f t="shared" ref="K4:K54" si="2">IF(E4=0,"",(+J4/E4-1))</f>
        <v>0.1620698883459577</v>
      </c>
      <c r="L4" s="23">
        <f>[1]MJ!$E4</f>
        <v>57892.989960000006</v>
      </c>
      <c r="M4" s="18">
        <f>L4-N4</f>
        <v>55334.119803768008</v>
      </c>
      <c r="N4" s="18">
        <f>+L4*4.42%</f>
        <v>2558.8701562320002</v>
      </c>
      <c r="O4" s="18">
        <f>+Q4-P4</f>
        <v>52206.264342000009</v>
      </c>
      <c r="P4" s="18">
        <f>+Q4*4.42%</f>
        <v>2414.2256580000003</v>
      </c>
      <c r="Q4" s="18">
        <f>82391.63-Q5-Q6-Q7-Q8-Q9</f>
        <v>54620.490000000013</v>
      </c>
      <c r="R4" s="18">
        <f t="shared" ref="R4:R54" si="3">IF(L4=0,"",(+Q4/L4-1))</f>
        <v>-5.6526704912996606E-2</v>
      </c>
      <c r="S4" s="18">
        <f>[1]MJ!$F4</f>
        <v>92869.989960000006</v>
      </c>
      <c r="T4" s="18">
        <f>S4-U4</f>
        <v>88765.136403768003</v>
      </c>
      <c r="U4" s="18">
        <f>+S4*4.42%</f>
        <v>4104.8535562320003</v>
      </c>
      <c r="V4" s="18">
        <f>+X4-W4</f>
        <v>28947.846258000001</v>
      </c>
      <c r="W4" s="18">
        <f>+X4*4.42%</f>
        <v>1338.663742</v>
      </c>
      <c r="X4" s="18">
        <f>62551.39-X5-X6-X7-X8-X9</f>
        <v>30286.510000000002</v>
      </c>
      <c r="Y4" s="18">
        <f t="shared" ref="Y4:Y54" si="4">IF(S4=0,"",(+X4/S4-1))</f>
        <v>-0.67388270405709427</v>
      </c>
      <c r="Z4" s="18">
        <f>[1]MJ!$G4</f>
        <v>57892.989960000006</v>
      </c>
      <c r="AA4" s="18">
        <f>Z4-AB4</f>
        <v>55334.119803768008</v>
      </c>
      <c r="AB4" s="18">
        <f>+Z4*4.42%</f>
        <v>2558.8701562320002</v>
      </c>
      <c r="AC4" s="18">
        <f>+AE4-AD4</f>
        <v>55380.390120000018</v>
      </c>
      <c r="AD4" s="18">
        <f>+AE4*4.42%</f>
        <v>2561.0098800000005</v>
      </c>
      <c r="AE4" s="18">
        <f>75774.77-AE5-AE6-AE7-AE8-AE9</f>
        <v>57941.400000000016</v>
      </c>
      <c r="AF4" s="18">
        <f t="shared" ref="AF4:AF54" si="5">IF(Z4=0,"",(+AE4/Z4-1))</f>
        <v>8.3619864915340791E-4</v>
      </c>
      <c r="AG4" s="18">
        <f>[1]MJ!$H4</f>
        <v>57892.989960000006</v>
      </c>
      <c r="AH4" s="18">
        <f>AG4-AI4</f>
        <v>55334.119803768008</v>
      </c>
      <c r="AI4" s="18">
        <f>+AG4*4.42%</f>
        <v>2558.8701562320002</v>
      </c>
      <c r="AJ4" s="18">
        <f>+AL4-AK4</f>
        <v>47944.017611999996</v>
      </c>
      <c r="AK4" s="18">
        <f>+AL4*4.42%</f>
        <v>2217.1223879999998</v>
      </c>
      <c r="AL4" s="18">
        <f>74632.72-AL5-AL6-AL7-AL8-AL9</f>
        <v>50161.14</v>
      </c>
      <c r="AM4" s="18">
        <f t="shared" ref="AM4:AM54" si="6">IF(AG4=0,"",(+AL4/AG4-1))</f>
        <v>-0.1335541654584117</v>
      </c>
      <c r="AN4" s="18">
        <f>[1]MJ!$I4</f>
        <v>57892.989960000006</v>
      </c>
      <c r="AO4" s="18">
        <f>AN4-AP4</f>
        <v>55334.119803768008</v>
      </c>
      <c r="AP4" s="18">
        <f>+AN4*4.42%</f>
        <v>2558.8701562320002</v>
      </c>
      <c r="AQ4" s="18">
        <f>+AS4-AR4</f>
        <v>60679.135044000002</v>
      </c>
      <c r="AR4" s="18">
        <f>+AS4*4.42%</f>
        <v>2806.0449559999997</v>
      </c>
      <c r="AS4" s="20">
        <v>63485.18</v>
      </c>
      <c r="AT4" s="25">
        <f t="shared" ref="AT4:AT54" si="7">IF(AN4=0,"",(+AS4/AN4-1))</f>
        <v>9.659528802820172E-2</v>
      </c>
      <c r="AU4" s="23">
        <f>[1]MJ!$J4</f>
        <v>57892.989960000006</v>
      </c>
      <c r="AV4" s="18">
        <f>AU4-AW4</f>
        <v>55334.119803768008</v>
      </c>
      <c r="AW4" s="18">
        <f>+AU4*4.42%</f>
        <v>2558.8701562320002</v>
      </c>
      <c r="AX4" s="18">
        <f>+AZ4-AY4</f>
        <v>50899.982039999995</v>
      </c>
      <c r="AY4" s="18">
        <f>+AZ4*4.42%</f>
        <v>2353.8179599999994</v>
      </c>
      <c r="AZ4" s="20">
        <v>53253.799999999996</v>
      </c>
      <c r="BA4" s="25">
        <f t="shared" ref="BA4:BA54" si="8">IF(AU4=0,"",(+AZ4/AU4-1))</f>
        <v>-8.0133880858552442E-2</v>
      </c>
      <c r="BB4" s="23">
        <f>[1]MJ!$K4</f>
        <v>57892.989960000006</v>
      </c>
      <c r="BC4" s="18">
        <f>BB4-BD4</f>
        <v>55334.119803768008</v>
      </c>
      <c r="BD4" s="18">
        <f>+BB4*4.42%</f>
        <v>2558.8701562320002</v>
      </c>
      <c r="BE4" s="18">
        <f>+BG4-BF4</f>
        <v>0</v>
      </c>
      <c r="BF4" s="18">
        <f>+BG4*4.42%</f>
        <v>0</v>
      </c>
      <c r="BG4" s="24"/>
      <c r="BH4" s="25">
        <f t="shared" ref="BH4:BH54" si="9">IF(BB4=0,"",(+BG4/BB4-1))</f>
        <v>-1</v>
      </c>
      <c r="BI4" s="23">
        <f>[1]MJ!$L4</f>
        <v>62524.429156800012</v>
      </c>
      <c r="BJ4" s="18">
        <f>BI4-BK4</f>
        <v>59760.849388069451</v>
      </c>
      <c r="BK4" s="18">
        <f>+BI4*4.42%</f>
        <v>2763.5797687305603</v>
      </c>
      <c r="BL4" s="18">
        <f>+BN4-BM4</f>
        <v>0</v>
      </c>
      <c r="BM4" s="18">
        <f>+BN4*4.42%</f>
        <v>0</v>
      </c>
      <c r="BN4" s="20"/>
      <c r="BO4" s="25">
        <f t="shared" ref="BO4:BO54" si="10">IF(BI4=0,"",(+BN4/BI4-1))</f>
        <v>-1</v>
      </c>
      <c r="BP4" s="23">
        <f>[1]MJ!$M4</f>
        <v>62524.429156800012</v>
      </c>
      <c r="BQ4" s="18">
        <f>BP4-BR4</f>
        <v>59760.849388069451</v>
      </c>
      <c r="BR4" s="18">
        <f>+BP4*4.42%</f>
        <v>2763.5797687305603</v>
      </c>
      <c r="BS4" s="18">
        <f>+BU4-BT4</f>
        <v>0</v>
      </c>
      <c r="BT4" s="18">
        <f>+BU4*4.42%</f>
        <v>0</v>
      </c>
      <c r="BU4" s="20"/>
      <c r="BV4" s="25">
        <f t="shared" ref="BV4:BV54" si="11">IF(BP4=0,"",(+BU4/BP4-1))</f>
        <v>-1</v>
      </c>
      <c r="BW4" s="23">
        <f>[1]MJ!$N4</f>
        <v>62524.429156800012</v>
      </c>
      <c r="BX4" s="18">
        <f>BW4-BY4</f>
        <v>59760.849388069451</v>
      </c>
      <c r="BY4" s="18">
        <f>+BW4*4.42%</f>
        <v>2763.5797687305603</v>
      </c>
      <c r="BZ4" s="18">
        <f>+CB4-CA4</f>
        <v>0</v>
      </c>
      <c r="CA4" s="18">
        <f>+CB4*4.42%</f>
        <v>0</v>
      </c>
      <c r="CB4" s="20"/>
      <c r="CC4" s="25">
        <f t="shared" ref="CC4:CC54" si="12">IF(BW4=0,"",(+CB4/BW4-1))</f>
        <v>-1</v>
      </c>
      <c r="CD4" s="23">
        <f>[1]MJ!$O4</f>
        <v>62524.429156800012</v>
      </c>
      <c r="CE4" s="18">
        <f>CD4-CF4</f>
        <v>59760.849388069451</v>
      </c>
      <c r="CF4" s="18">
        <f>+CD4*4.42%</f>
        <v>2763.5797687305603</v>
      </c>
      <c r="CG4" s="18">
        <f>+CI4-CH4</f>
        <v>0</v>
      </c>
      <c r="CH4" s="18">
        <f>+CI4*4.42%</f>
        <v>0</v>
      </c>
      <c r="CI4" s="20"/>
      <c r="CJ4" s="25">
        <f t="shared" ref="CJ4:CJ54" si="13">IF(CD4=0,"",(+CI4/CD4-1))</f>
        <v>-1</v>
      </c>
      <c r="CK4" s="23">
        <f>[1]MJ!$P4</f>
        <v>62524.429156800012</v>
      </c>
      <c r="CL4" s="18">
        <f>CK4-CM4</f>
        <v>59760.849388069451</v>
      </c>
      <c r="CM4" s="18">
        <f>+CK4*4.42%</f>
        <v>2763.5797687305603</v>
      </c>
      <c r="CN4" s="18">
        <f>+CP4-CO4</f>
        <v>0</v>
      </c>
      <c r="CO4" s="18">
        <f>+CP4*4.42%</f>
        <v>0</v>
      </c>
      <c r="CP4" s="20"/>
      <c r="CQ4" s="25">
        <f t="shared" ref="CQ4:CQ54" si="14">IF(CK4=0,"",(+CP4/CK4-1))</f>
        <v>-1</v>
      </c>
    </row>
    <row r="5" spans="1:99" s="26" customFormat="1" ht="14.25" customHeight="1" thickBot="1" x14ac:dyDescent="0.25">
      <c r="A5" s="29" t="s">
        <v>29</v>
      </c>
      <c r="B5" s="30">
        <f t="shared" si="0"/>
        <v>35000.000000000007</v>
      </c>
      <c r="C5" s="31">
        <f t="shared" si="0"/>
        <v>33453</v>
      </c>
      <c r="D5" s="32">
        <f t="shared" si="0"/>
        <v>1547.0000000000002</v>
      </c>
      <c r="E5" s="30">
        <f t="shared" ref="E5:G36" si="15">+L5+S5+Z5+AG5</f>
        <v>11666.666666666666</v>
      </c>
      <c r="F5" s="33">
        <f t="shared" si="15"/>
        <v>11151</v>
      </c>
      <c r="G5" s="34">
        <f t="shared" si="15"/>
        <v>515.66666666666663</v>
      </c>
      <c r="H5" s="31">
        <f t="shared" si="1"/>
        <v>12025.942505999999</v>
      </c>
      <c r="I5" s="33">
        <f t="shared" si="1"/>
        <v>556.12749399999996</v>
      </c>
      <c r="J5" s="33">
        <f t="shared" si="1"/>
        <v>12582.07</v>
      </c>
      <c r="K5" s="37">
        <f t="shared" si="2"/>
        <v>7.8463142857142953E-2</v>
      </c>
      <c r="L5" s="36">
        <f>[1]MJ!$E5</f>
        <v>2916.6666666666665</v>
      </c>
      <c r="M5" s="31">
        <f t="shared" ref="M5:M54" si="16">L5-N5</f>
        <v>2787.75</v>
      </c>
      <c r="N5" s="31">
        <f t="shared" ref="N5:N58" si="17">+L5*4.42%</f>
        <v>128.91666666666666</v>
      </c>
      <c r="O5" s="31">
        <f t="shared" ref="O5:O54" si="18">+Q5-P5</f>
        <v>2343.5738099999999</v>
      </c>
      <c r="P5" s="31">
        <f t="shared" ref="P5:P54" si="19">+Q5*4.42%</f>
        <v>108.37618999999998</v>
      </c>
      <c r="Q5" s="31">
        <f>2451.95</f>
        <v>2451.9499999999998</v>
      </c>
      <c r="R5" s="31">
        <f t="shared" si="3"/>
        <v>-0.15933142857142857</v>
      </c>
      <c r="S5" s="31">
        <f>[1]MJ!$F5</f>
        <v>2916.6666666666665</v>
      </c>
      <c r="T5" s="31">
        <f t="shared" ref="T5:T54" si="20">S5-U5</f>
        <v>2787.75</v>
      </c>
      <c r="U5" s="31">
        <f t="shared" ref="U5:U58" si="21">+S5*4.42%</f>
        <v>128.91666666666666</v>
      </c>
      <c r="V5" s="31">
        <f t="shared" ref="V5:V54" si="22">+X5-W5</f>
        <v>339.825132</v>
      </c>
      <c r="W5" s="31">
        <f t="shared" ref="W5:W54" si="23">+X5*4.42%</f>
        <v>15.714867999999999</v>
      </c>
      <c r="X5" s="31">
        <v>355.54</v>
      </c>
      <c r="Y5" s="31">
        <f t="shared" si="4"/>
        <v>-0.87810057142857145</v>
      </c>
      <c r="Z5" s="31">
        <f>[1]MJ!$G5</f>
        <v>2916.6666666666665</v>
      </c>
      <c r="AA5" s="31">
        <f t="shared" ref="AA5:AA54" si="24">Z5-AB5</f>
        <v>2787.75</v>
      </c>
      <c r="AB5" s="31">
        <f t="shared" ref="AB5:AB58" si="25">+Z5*4.42%</f>
        <v>128.91666666666666</v>
      </c>
      <c r="AC5" s="31">
        <f t="shared" ref="AC5:AC54" si="26">+AE5-AD5</f>
        <v>3927.688056</v>
      </c>
      <c r="AD5" s="31">
        <f t="shared" ref="AD5:AD54" si="27">+AE5*4.42%</f>
        <v>181.63194399999998</v>
      </c>
      <c r="AE5" s="31">
        <f>3685.9+423.42</f>
        <v>4109.32</v>
      </c>
      <c r="AF5" s="31">
        <f t="shared" si="5"/>
        <v>0.40890971428571432</v>
      </c>
      <c r="AG5" s="31">
        <f>[1]MJ!$H5</f>
        <v>2916.6666666666665</v>
      </c>
      <c r="AH5" s="31">
        <f t="shared" ref="AH5:AH54" si="28">AG5-AI5</f>
        <v>2787.75</v>
      </c>
      <c r="AI5" s="31">
        <f t="shared" ref="AI5:AI58" si="29">+AG5*4.42%</f>
        <v>128.91666666666666</v>
      </c>
      <c r="AJ5" s="31">
        <f t="shared" ref="AJ5:AJ54" si="30">+AL5-AK5</f>
        <v>4729.7954159999999</v>
      </c>
      <c r="AK5" s="31">
        <f t="shared" ref="AK5:AK54" si="31">+AL5*4.42%</f>
        <v>218.72458399999996</v>
      </c>
      <c r="AL5" s="31">
        <f>3564.16+1384.36</f>
        <v>4948.5199999999995</v>
      </c>
      <c r="AM5" s="31">
        <f t="shared" si="6"/>
        <v>0.69663542857142846</v>
      </c>
      <c r="AN5" s="31">
        <f>[1]MJ!$I5</f>
        <v>2916.6666666666665</v>
      </c>
      <c r="AO5" s="31">
        <f t="shared" ref="AO5:AO54" si="32">AN5-AP5</f>
        <v>2787.75</v>
      </c>
      <c r="AP5" s="31">
        <f t="shared" ref="AP5:AP58" si="33">+AN5*4.42%</f>
        <v>128.91666666666666</v>
      </c>
      <c r="AQ5" s="31">
        <f t="shared" ref="AQ5:AQ54" si="34">+AS5-AR5</f>
        <v>342.53004600000003</v>
      </c>
      <c r="AR5" s="31">
        <f t="shared" ref="AR5:AR54" si="35">+AS5*4.42%</f>
        <v>15.839953999999999</v>
      </c>
      <c r="AS5" s="33">
        <v>358.37</v>
      </c>
      <c r="AT5" s="37">
        <f t="shared" si="7"/>
        <v>-0.87713028571428575</v>
      </c>
      <c r="AU5" s="36">
        <f>[1]MJ!$J5</f>
        <v>2916.6666666666665</v>
      </c>
      <c r="AV5" s="31">
        <f t="shared" ref="AV5:AV54" si="36">AU5-AW5</f>
        <v>2787.75</v>
      </c>
      <c r="AW5" s="18">
        <f t="shared" ref="AW5:AW58" si="37">+AU5*4.42%</f>
        <v>128.91666666666666</v>
      </c>
      <c r="AX5" s="31">
        <f t="shared" ref="AX5:AX54" si="38">+AZ5-AY5</f>
        <v>342.53004600000003</v>
      </c>
      <c r="AY5" s="31">
        <f t="shared" ref="AY5:AY54" si="39">+AZ5*4.42%</f>
        <v>15.839953999999999</v>
      </c>
      <c r="AZ5" s="33">
        <v>358.37</v>
      </c>
      <c r="BA5" s="37">
        <f t="shared" si="8"/>
        <v>-0.87713028571428575</v>
      </c>
      <c r="BB5" s="36">
        <f>[1]MJ!$K5</f>
        <v>2916.6666666666665</v>
      </c>
      <c r="BC5" s="31">
        <f t="shared" ref="BC5:BC54" si="40">BB5-BD5</f>
        <v>2787.75</v>
      </c>
      <c r="BD5" s="18">
        <f t="shared" ref="BD5:BD58" si="41">+BB5*4.42%</f>
        <v>128.91666666666666</v>
      </c>
      <c r="BE5" s="31">
        <f t="shared" ref="BE5:BE54" si="42">+BG5-BF5</f>
        <v>0</v>
      </c>
      <c r="BF5" s="31">
        <f t="shared" ref="BF5:BF54" si="43">+BG5*4.42%</f>
        <v>0</v>
      </c>
      <c r="BG5" s="27"/>
      <c r="BH5" s="37">
        <f t="shared" si="9"/>
        <v>-1</v>
      </c>
      <c r="BI5" s="36">
        <f>[1]MJ!$L5</f>
        <v>2916.6666666666665</v>
      </c>
      <c r="BJ5" s="31">
        <f t="shared" ref="BJ5:BJ54" si="44">BI5-BK5</f>
        <v>2787.75</v>
      </c>
      <c r="BK5" s="18">
        <f t="shared" ref="BK5:BK58" si="45">+BI5*4.42%</f>
        <v>128.91666666666666</v>
      </c>
      <c r="BL5" s="31">
        <f t="shared" ref="BL5:BL54" si="46">+BN5-BM5</f>
        <v>0</v>
      </c>
      <c r="BM5" s="31">
        <f t="shared" ref="BM5:BM54" si="47">+BN5*4.42%</f>
        <v>0</v>
      </c>
      <c r="BN5" s="33"/>
      <c r="BO5" s="37">
        <f t="shared" si="10"/>
        <v>-1</v>
      </c>
      <c r="BP5" s="36">
        <f>[1]MJ!$M5</f>
        <v>2916.6666666666665</v>
      </c>
      <c r="BQ5" s="31">
        <f t="shared" ref="BQ5:BQ54" si="48">BP5-BR5</f>
        <v>2787.75</v>
      </c>
      <c r="BR5" s="18">
        <f t="shared" ref="BR5:BR58" si="49">+BP5*4.42%</f>
        <v>128.91666666666666</v>
      </c>
      <c r="BS5" s="31">
        <f t="shared" ref="BS5:BS54" si="50">+BU5-BT5</f>
        <v>0</v>
      </c>
      <c r="BT5" s="31">
        <f t="shared" ref="BT5:BT54" si="51">+BU5*4.42%</f>
        <v>0</v>
      </c>
      <c r="BU5" s="33"/>
      <c r="BV5" s="37">
        <f t="shared" si="11"/>
        <v>-1</v>
      </c>
      <c r="BW5" s="36">
        <f>[1]MJ!$N5</f>
        <v>2916.6666666666665</v>
      </c>
      <c r="BX5" s="31">
        <f t="shared" ref="BX5:BX54" si="52">BW5-BY5</f>
        <v>2787.75</v>
      </c>
      <c r="BY5" s="18">
        <f t="shared" ref="BY5:BY58" si="53">+BW5*4.42%</f>
        <v>128.91666666666666</v>
      </c>
      <c r="BZ5" s="31">
        <f t="shared" ref="BZ5:BZ54" si="54">+CB5-CA5</f>
        <v>0</v>
      </c>
      <c r="CA5" s="31">
        <f t="shared" ref="CA5:CA54" si="55">+CB5*4.42%</f>
        <v>0</v>
      </c>
      <c r="CB5" s="33"/>
      <c r="CC5" s="37">
        <f t="shared" si="12"/>
        <v>-1</v>
      </c>
      <c r="CD5" s="36">
        <f>[1]MJ!$O5</f>
        <v>2916.6666666666665</v>
      </c>
      <c r="CE5" s="31">
        <f t="shared" ref="CE5:CE54" si="56">CD5-CF5</f>
        <v>2787.75</v>
      </c>
      <c r="CF5" s="18">
        <f t="shared" ref="CF5:CF58" si="57">+CD5*4.42%</f>
        <v>128.91666666666666</v>
      </c>
      <c r="CG5" s="31">
        <f t="shared" ref="CG5:CG54" si="58">+CI5-CH5</f>
        <v>0</v>
      </c>
      <c r="CH5" s="31">
        <f t="shared" ref="CH5:CH54" si="59">+CI5*4.42%</f>
        <v>0</v>
      </c>
      <c r="CI5" s="33"/>
      <c r="CJ5" s="37">
        <f t="shared" si="13"/>
        <v>-1</v>
      </c>
      <c r="CK5" s="36">
        <f>[1]MJ!$P5</f>
        <v>2916.6666666666665</v>
      </c>
      <c r="CL5" s="31">
        <f t="shared" ref="CL5:CL54" si="60">CK5-CM5</f>
        <v>2787.75</v>
      </c>
      <c r="CM5" s="18">
        <f t="shared" ref="CM5:CM58" si="61">+CK5*4.42%</f>
        <v>128.91666666666666</v>
      </c>
      <c r="CN5" s="31">
        <f t="shared" ref="CN5:CN54" si="62">+CP5-CO5</f>
        <v>0</v>
      </c>
      <c r="CO5" s="31">
        <f t="shared" ref="CO5:CO54" si="63">+CP5*4.42%</f>
        <v>0</v>
      </c>
      <c r="CP5" s="33"/>
      <c r="CQ5" s="37">
        <f t="shared" si="14"/>
        <v>-1</v>
      </c>
    </row>
    <row r="6" spans="1:99" s="26" customFormat="1" ht="14.25" customHeight="1" thickBot="1" x14ac:dyDescent="0.25">
      <c r="A6" s="29" t="s">
        <v>30</v>
      </c>
      <c r="B6" s="30">
        <f t="shared" si="0"/>
        <v>94574.431259200035</v>
      </c>
      <c r="C6" s="31">
        <f t="shared" si="0"/>
        <v>90394.241397543359</v>
      </c>
      <c r="D6" s="32">
        <f t="shared" si="0"/>
        <v>4180.1898616566405</v>
      </c>
      <c r="E6" s="30">
        <f t="shared" si="15"/>
        <v>30551.536965333336</v>
      </c>
      <c r="F6" s="33">
        <f t="shared" si="15"/>
        <v>29201.159031465602</v>
      </c>
      <c r="G6" s="34">
        <f t="shared" si="15"/>
        <v>1350.3779338677334</v>
      </c>
      <c r="H6" s="31">
        <f t="shared" si="1"/>
        <v>34342.362342</v>
      </c>
      <c r="I6" s="33">
        <f t="shared" si="1"/>
        <v>1588.1276579999999</v>
      </c>
      <c r="J6" s="33">
        <f t="shared" si="1"/>
        <v>35930.49</v>
      </c>
      <c r="K6" s="37">
        <f t="shared" si="2"/>
        <v>0.17606161813627019</v>
      </c>
      <c r="L6" s="36">
        <f>[1]MJ!$E6</f>
        <v>7637.8842413333341</v>
      </c>
      <c r="M6" s="31">
        <f t="shared" si="16"/>
        <v>7300.2897578664006</v>
      </c>
      <c r="N6" s="31">
        <f t="shared" si="17"/>
        <v>337.59448346693335</v>
      </c>
      <c r="O6" s="31">
        <f t="shared" si="18"/>
        <v>6669.0084779999997</v>
      </c>
      <c r="P6" s="31">
        <f t="shared" si="19"/>
        <v>308.40152199999994</v>
      </c>
      <c r="Q6" s="31">
        <f>6977.41</f>
        <v>6977.41</v>
      </c>
      <c r="R6" s="31">
        <f t="shared" si="3"/>
        <v>-8.6473455274315159E-2</v>
      </c>
      <c r="S6" s="31">
        <f>[1]MJ!$F6</f>
        <v>7637.8842413333341</v>
      </c>
      <c r="T6" s="31">
        <f t="shared" si="20"/>
        <v>7300.2897578664006</v>
      </c>
      <c r="U6" s="31">
        <f t="shared" si="21"/>
        <v>337.59448346693335</v>
      </c>
      <c r="V6" s="31">
        <f t="shared" si="22"/>
        <v>5826.3369660000008</v>
      </c>
      <c r="W6" s="31">
        <f t="shared" si="23"/>
        <v>269.43303400000002</v>
      </c>
      <c r="X6" s="31">
        <v>6095.77</v>
      </c>
      <c r="Y6" s="31">
        <f t="shared" si="4"/>
        <v>-0.20190332723138116</v>
      </c>
      <c r="Z6" s="31">
        <f>[1]MJ!$G6</f>
        <v>7637.8842413333341</v>
      </c>
      <c r="AA6" s="31">
        <f t="shared" si="24"/>
        <v>7300.2897578664006</v>
      </c>
      <c r="AB6" s="31">
        <f t="shared" si="25"/>
        <v>337.59448346693335</v>
      </c>
      <c r="AC6" s="31">
        <f t="shared" si="26"/>
        <v>6696.6980039999999</v>
      </c>
      <c r="AD6" s="31">
        <f t="shared" si="27"/>
        <v>309.68199599999997</v>
      </c>
      <c r="AE6" s="31">
        <v>7006.38</v>
      </c>
      <c r="AF6" s="31">
        <f t="shared" si="5"/>
        <v>-8.2680520073330266E-2</v>
      </c>
      <c r="AG6" s="31">
        <f>[1]MJ!$H6</f>
        <v>7637.8842413333341</v>
      </c>
      <c r="AH6" s="31">
        <f t="shared" si="28"/>
        <v>7300.2897578664006</v>
      </c>
      <c r="AI6" s="31">
        <f t="shared" si="29"/>
        <v>337.59448346693335</v>
      </c>
      <c r="AJ6" s="31">
        <f t="shared" si="30"/>
        <v>6689.2523220000003</v>
      </c>
      <c r="AK6" s="31">
        <f t="shared" si="31"/>
        <v>309.33767799999998</v>
      </c>
      <c r="AL6" s="31">
        <v>6998.59</v>
      </c>
      <c r="AM6" s="31">
        <f t="shared" si="6"/>
        <v>-8.3700436028306902E-2</v>
      </c>
      <c r="AN6" s="31">
        <f>[1]MJ!$I6</f>
        <v>7637.8842413333341</v>
      </c>
      <c r="AO6" s="31">
        <f t="shared" si="32"/>
        <v>7300.2897578664006</v>
      </c>
      <c r="AP6" s="31">
        <f t="shared" si="33"/>
        <v>337.59448346693335</v>
      </c>
      <c r="AQ6" s="31">
        <f t="shared" si="34"/>
        <v>3186.7996860000003</v>
      </c>
      <c r="AR6" s="31">
        <f t="shared" si="35"/>
        <v>147.37031399999998</v>
      </c>
      <c r="AS6" s="33">
        <v>3334.17</v>
      </c>
      <c r="AT6" s="37">
        <f t="shared" si="7"/>
        <v>-0.56346942495452657</v>
      </c>
      <c r="AU6" s="36">
        <f>[1]MJ!$J6</f>
        <v>7637.8842413333341</v>
      </c>
      <c r="AV6" s="31">
        <f t="shared" si="36"/>
        <v>7300.2897578664006</v>
      </c>
      <c r="AW6" s="18">
        <f t="shared" si="37"/>
        <v>337.59448346693335</v>
      </c>
      <c r="AX6" s="31">
        <f t="shared" si="38"/>
        <v>5274.2668860000003</v>
      </c>
      <c r="AY6" s="31">
        <f t="shared" si="39"/>
        <v>243.90311399999999</v>
      </c>
      <c r="AZ6" s="33">
        <v>5518.17</v>
      </c>
      <c r="BA6" s="37">
        <f t="shared" si="8"/>
        <v>-0.27752636389305874</v>
      </c>
      <c r="BB6" s="36">
        <f>[1]MJ!$K6</f>
        <v>7637.8842413333341</v>
      </c>
      <c r="BC6" s="31">
        <f t="shared" si="40"/>
        <v>7300.2897578664006</v>
      </c>
      <c r="BD6" s="18">
        <f t="shared" si="41"/>
        <v>337.59448346693335</v>
      </c>
      <c r="BE6" s="31">
        <f t="shared" si="42"/>
        <v>0</v>
      </c>
      <c r="BF6" s="31">
        <f t="shared" si="43"/>
        <v>0</v>
      </c>
      <c r="BG6" s="27"/>
      <c r="BH6" s="37">
        <f t="shared" si="9"/>
        <v>-1</v>
      </c>
      <c r="BI6" s="36">
        <f>[1]MJ!$L6</f>
        <v>8221.8483139733362</v>
      </c>
      <c r="BJ6" s="31">
        <f t="shared" si="44"/>
        <v>7858.4426184957147</v>
      </c>
      <c r="BK6" s="18">
        <f t="shared" si="45"/>
        <v>363.40569547762141</v>
      </c>
      <c r="BL6" s="31">
        <f t="shared" si="46"/>
        <v>0</v>
      </c>
      <c r="BM6" s="31">
        <f t="shared" si="47"/>
        <v>0</v>
      </c>
      <c r="BN6" s="33"/>
      <c r="BO6" s="37">
        <f t="shared" si="10"/>
        <v>-1</v>
      </c>
      <c r="BP6" s="36">
        <f>[1]MJ!$M6</f>
        <v>8221.8483139733362</v>
      </c>
      <c r="BQ6" s="31">
        <f t="shared" si="48"/>
        <v>7858.4426184957147</v>
      </c>
      <c r="BR6" s="18">
        <f t="shared" si="49"/>
        <v>363.40569547762141</v>
      </c>
      <c r="BS6" s="31">
        <f t="shared" si="50"/>
        <v>0</v>
      </c>
      <c r="BT6" s="31">
        <f t="shared" si="51"/>
        <v>0</v>
      </c>
      <c r="BU6" s="33"/>
      <c r="BV6" s="37">
        <f t="shared" si="11"/>
        <v>-1</v>
      </c>
      <c r="BW6" s="36">
        <f>[1]MJ!$N6</f>
        <v>8221.8483139733362</v>
      </c>
      <c r="BX6" s="31">
        <f t="shared" si="52"/>
        <v>7858.4426184957147</v>
      </c>
      <c r="BY6" s="18">
        <f t="shared" si="53"/>
        <v>363.40569547762141</v>
      </c>
      <c r="BZ6" s="31">
        <f t="shared" si="54"/>
        <v>0</v>
      </c>
      <c r="CA6" s="31">
        <f t="shared" si="55"/>
        <v>0</v>
      </c>
      <c r="CB6" s="33"/>
      <c r="CC6" s="37">
        <f t="shared" si="12"/>
        <v>-1</v>
      </c>
      <c r="CD6" s="36">
        <f>[1]MJ!$O6</f>
        <v>8221.8483139733362</v>
      </c>
      <c r="CE6" s="31">
        <f t="shared" si="56"/>
        <v>7858.4426184957147</v>
      </c>
      <c r="CF6" s="18">
        <f t="shared" si="57"/>
        <v>363.40569547762141</v>
      </c>
      <c r="CG6" s="31">
        <f t="shared" si="58"/>
        <v>0</v>
      </c>
      <c r="CH6" s="31">
        <f t="shared" si="59"/>
        <v>0</v>
      </c>
      <c r="CI6" s="33"/>
      <c r="CJ6" s="37">
        <f t="shared" si="13"/>
        <v>-1</v>
      </c>
      <c r="CK6" s="36">
        <f>[1]MJ!$P6</f>
        <v>8221.8483139733362</v>
      </c>
      <c r="CL6" s="31">
        <f t="shared" si="60"/>
        <v>7858.4426184957147</v>
      </c>
      <c r="CM6" s="18">
        <f t="shared" si="61"/>
        <v>363.40569547762141</v>
      </c>
      <c r="CN6" s="31">
        <f t="shared" si="62"/>
        <v>0</v>
      </c>
      <c r="CO6" s="31">
        <f t="shared" si="63"/>
        <v>0</v>
      </c>
      <c r="CP6" s="33"/>
      <c r="CQ6" s="37">
        <f t="shared" si="14"/>
        <v>-1</v>
      </c>
    </row>
    <row r="7" spans="1:99" s="26" customFormat="1" ht="14.25" customHeight="1" thickBot="1" x14ac:dyDescent="0.25">
      <c r="A7" s="29" t="s">
        <v>31</v>
      </c>
      <c r="B7" s="30">
        <f t="shared" si="0"/>
        <v>73376.713908000005</v>
      </c>
      <c r="C7" s="31">
        <f t="shared" si="0"/>
        <v>70133.463153266392</v>
      </c>
      <c r="D7" s="32">
        <f t="shared" si="0"/>
        <v>3243.2507547336008</v>
      </c>
      <c r="E7" s="30">
        <f t="shared" si="15"/>
        <v>23703.778679999999</v>
      </c>
      <c r="F7" s="33">
        <f t="shared" si="15"/>
        <v>22656.071662343998</v>
      </c>
      <c r="G7" s="34">
        <f t="shared" si="15"/>
        <v>1047.7070176559998</v>
      </c>
      <c r="H7" s="31">
        <f t="shared" si="1"/>
        <v>25195.547502000001</v>
      </c>
      <c r="I7" s="33">
        <f t="shared" si="1"/>
        <v>1165.1424979999999</v>
      </c>
      <c r="J7" s="33">
        <f t="shared" si="1"/>
        <v>26360.690000000002</v>
      </c>
      <c r="K7" s="37">
        <f t="shared" si="2"/>
        <v>0.11208809177086043</v>
      </c>
      <c r="L7" s="36">
        <f>[1]MJ!$E7</f>
        <v>5925.9446699999999</v>
      </c>
      <c r="M7" s="31">
        <f t="shared" si="16"/>
        <v>5664.0179155859996</v>
      </c>
      <c r="N7" s="31">
        <f t="shared" si="17"/>
        <v>261.92675441399996</v>
      </c>
      <c r="O7" s="31">
        <f t="shared" si="18"/>
        <v>4480.379406</v>
      </c>
      <c r="P7" s="31">
        <f t="shared" si="19"/>
        <v>207.19059399999998</v>
      </c>
      <c r="Q7" s="31">
        <f>4687.57</f>
        <v>4687.57</v>
      </c>
      <c r="R7" s="31">
        <f t="shared" si="3"/>
        <v>-0.20897506456130988</v>
      </c>
      <c r="S7" s="31">
        <f>[1]MJ!$F7</f>
        <v>5925.9446699999999</v>
      </c>
      <c r="T7" s="31">
        <f t="shared" si="20"/>
        <v>5664.0179155859996</v>
      </c>
      <c r="U7" s="31">
        <f t="shared" si="21"/>
        <v>261.92675441399996</v>
      </c>
      <c r="V7" s="31">
        <f t="shared" si="22"/>
        <v>4059.6935940000003</v>
      </c>
      <c r="W7" s="31">
        <f t="shared" si="23"/>
        <v>187.73640599999999</v>
      </c>
      <c r="X7" s="31">
        <v>4247.43</v>
      </c>
      <c r="Y7" s="31">
        <f t="shared" si="4"/>
        <v>-0.28324845462993486</v>
      </c>
      <c r="Z7" s="31">
        <f>[1]MJ!$G7</f>
        <v>5925.9446699999999</v>
      </c>
      <c r="AA7" s="31">
        <f t="shared" si="24"/>
        <v>5664.0179155859996</v>
      </c>
      <c r="AB7" s="31">
        <f t="shared" si="25"/>
        <v>261.92675441399996</v>
      </c>
      <c r="AC7" s="31">
        <f t="shared" si="26"/>
        <v>4525.1012879999998</v>
      </c>
      <c r="AD7" s="31">
        <f t="shared" si="27"/>
        <v>209.25871199999997</v>
      </c>
      <c r="AE7" s="31">
        <v>4734.3599999999997</v>
      </c>
      <c r="AF7" s="31">
        <f t="shared" si="5"/>
        <v>-0.20107927703617934</v>
      </c>
      <c r="AG7" s="31">
        <f>[1]MJ!$H7</f>
        <v>5925.9446699999999</v>
      </c>
      <c r="AH7" s="31">
        <f t="shared" si="28"/>
        <v>5664.0179155859996</v>
      </c>
      <c r="AI7" s="31">
        <f t="shared" si="29"/>
        <v>261.92675441399996</v>
      </c>
      <c r="AJ7" s="31">
        <f t="shared" si="30"/>
        <v>4420.0684259999998</v>
      </c>
      <c r="AK7" s="31">
        <f t="shared" si="31"/>
        <v>204.40157399999998</v>
      </c>
      <c r="AL7" s="31">
        <v>4624.47</v>
      </c>
      <c r="AM7" s="31">
        <f t="shared" si="6"/>
        <v>-0.21962315588073145</v>
      </c>
      <c r="AN7" s="31">
        <f>[1]MJ!$I7</f>
        <v>5925.9446699999999</v>
      </c>
      <c r="AO7" s="31">
        <f t="shared" si="32"/>
        <v>5664.0179155859996</v>
      </c>
      <c r="AP7" s="31">
        <f t="shared" si="33"/>
        <v>261.92675441399996</v>
      </c>
      <c r="AQ7" s="31">
        <f t="shared" si="34"/>
        <v>4114.652094</v>
      </c>
      <c r="AR7" s="31">
        <f t="shared" si="35"/>
        <v>190.277906</v>
      </c>
      <c r="AS7" s="33">
        <v>4304.93</v>
      </c>
      <c r="AT7" s="37">
        <f t="shared" si="7"/>
        <v>-0.27354536032142862</v>
      </c>
      <c r="AU7" s="36">
        <f>[1]MJ!$J7</f>
        <v>5925.9446699999999</v>
      </c>
      <c r="AV7" s="31">
        <f t="shared" si="36"/>
        <v>5664.0179155859996</v>
      </c>
      <c r="AW7" s="18">
        <f t="shared" si="37"/>
        <v>261.92675441399996</v>
      </c>
      <c r="AX7" s="31">
        <f t="shared" si="38"/>
        <v>3595.6526939999999</v>
      </c>
      <c r="AY7" s="31">
        <f t="shared" si="39"/>
        <v>166.27730599999998</v>
      </c>
      <c r="AZ7" s="33">
        <v>3761.93</v>
      </c>
      <c r="BA7" s="37">
        <f t="shared" si="8"/>
        <v>-0.36517632048697479</v>
      </c>
      <c r="BB7" s="36">
        <f>[1]MJ!$K7</f>
        <v>5925.9446699999999</v>
      </c>
      <c r="BC7" s="31">
        <f t="shared" si="40"/>
        <v>5664.0179155859996</v>
      </c>
      <c r="BD7" s="18">
        <f t="shared" si="41"/>
        <v>261.92675441399996</v>
      </c>
      <c r="BE7" s="31">
        <f t="shared" si="42"/>
        <v>0</v>
      </c>
      <c r="BF7" s="31">
        <f t="shared" si="43"/>
        <v>0</v>
      </c>
      <c r="BG7" s="27"/>
      <c r="BH7" s="37">
        <f t="shared" si="9"/>
        <v>-1</v>
      </c>
      <c r="BI7" s="36">
        <f>[1]MJ!$L7</f>
        <v>6379.0202436000009</v>
      </c>
      <c r="BJ7" s="31">
        <f t="shared" si="44"/>
        <v>6097.0675488328807</v>
      </c>
      <c r="BK7" s="18">
        <f t="shared" si="45"/>
        <v>281.95269476712002</v>
      </c>
      <c r="BL7" s="31">
        <f t="shared" si="46"/>
        <v>0</v>
      </c>
      <c r="BM7" s="31">
        <f t="shared" si="47"/>
        <v>0</v>
      </c>
      <c r="BN7" s="33"/>
      <c r="BO7" s="37">
        <f t="shared" si="10"/>
        <v>-1</v>
      </c>
      <c r="BP7" s="36">
        <f>[1]MJ!$M7</f>
        <v>6379.0202436000009</v>
      </c>
      <c r="BQ7" s="31">
        <f t="shared" si="48"/>
        <v>6097.0675488328807</v>
      </c>
      <c r="BR7" s="18">
        <f t="shared" si="49"/>
        <v>281.95269476712002</v>
      </c>
      <c r="BS7" s="31">
        <f t="shared" si="50"/>
        <v>0</v>
      </c>
      <c r="BT7" s="31">
        <f t="shared" si="51"/>
        <v>0</v>
      </c>
      <c r="BU7" s="33"/>
      <c r="BV7" s="37">
        <f t="shared" si="11"/>
        <v>-1</v>
      </c>
      <c r="BW7" s="36">
        <f>[1]MJ!$N7</f>
        <v>6379.0202436000009</v>
      </c>
      <c r="BX7" s="31">
        <f t="shared" si="52"/>
        <v>6097.0675488328807</v>
      </c>
      <c r="BY7" s="18">
        <f t="shared" si="53"/>
        <v>281.95269476712002</v>
      </c>
      <c r="BZ7" s="31">
        <f t="shared" si="54"/>
        <v>0</v>
      </c>
      <c r="CA7" s="31">
        <f t="shared" si="55"/>
        <v>0</v>
      </c>
      <c r="CB7" s="33"/>
      <c r="CC7" s="37">
        <f t="shared" si="12"/>
        <v>-1</v>
      </c>
      <c r="CD7" s="36">
        <f>[1]MJ!$O7</f>
        <v>6379.0202436000009</v>
      </c>
      <c r="CE7" s="31">
        <f t="shared" si="56"/>
        <v>6097.0675488328807</v>
      </c>
      <c r="CF7" s="18">
        <f t="shared" si="57"/>
        <v>281.95269476712002</v>
      </c>
      <c r="CG7" s="31">
        <f t="shared" si="58"/>
        <v>0</v>
      </c>
      <c r="CH7" s="31">
        <f t="shared" si="59"/>
        <v>0</v>
      </c>
      <c r="CI7" s="33"/>
      <c r="CJ7" s="37">
        <f t="shared" si="13"/>
        <v>-1</v>
      </c>
      <c r="CK7" s="36">
        <f>[1]MJ!$P7</f>
        <v>6379.0202436000009</v>
      </c>
      <c r="CL7" s="31">
        <f t="shared" si="60"/>
        <v>6097.0675488328807</v>
      </c>
      <c r="CM7" s="18">
        <f t="shared" si="61"/>
        <v>281.95269476712002</v>
      </c>
      <c r="CN7" s="31">
        <f t="shared" si="62"/>
        <v>0</v>
      </c>
      <c r="CO7" s="31">
        <f t="shared" si="63"/>
        <v>0</v>
      </c>
      <c r="CP7" s="33"/>
      <c r="CQ7" s="37">
        <f t="shared" si="14"/>
        <v>-1</v>
      </c>
    </row>
    <row r="8" spans="1:99" s="26" customFormat="1" ht="14.25" customHeight="1" thickBot="1" x14ac:dyDescent="0.25">
      <c r="A8" s="38" t="s">
        <v>32</v>
      </c>
      <c r="B8" s="30">
        <f t="shared" si="0"/>
        <v>66936.136984200013</v>
      </c>
      <c r="C8" s="31">
        <f t="shared" si="0"/>
        <v>63977.559729498375</v>
      </c>
      <c r="D8" s="32">
        <f t="shared" si="0"/>
        <v>2958.5772547016404</v>
      </c>
      <c r="E8" s="30">
        <f t="shared" si="15"/>
        <v>0</v>
      </c>
      <c r="F8" s="33">
        <f t="shared" si="15"/>
        <v>0</v>
      </c>
      <c r="G8" s="34">
        <f t="shared" si="15"/>
        <v>0</v>
      </c>
      <c r="H8" s="31">
        <f t="shared" si="1"/>
        <v>0</v>
      </c>
      <c r="I8" s="33">
        <f t="shared" si="1"/>
        <v>0</v>
      </c>
      <c r="J8" s="33">
        <f t="shared" si="1"/>
        <v>0</v>
      </c>
      <c r="K8" s="37" t="str">
        <f t="shared" si="2"/>
        <v/>
      </c>
      <c r="L8" s="36">
        <f>[1]MJ!$E8</f>
        <v>0</v>
      </c>
      <c r="M8" s="31">
        <f t="shared" si="16"/>
        <v>0</v>
      </c>
      <c r="N8" s="31">
        <f t="shared" si="17"/>
        <v>0</v>
      </c>
      <c r="O8" s="31">
        <f t="shared" si="18"/>
        <v>0</v>
      </c>
      <c r="P8" s="31">
        <f t="shared" si="19"/>
        <v>0</v>
      </c>
      <c r="Q8" s="31"/>
      <c r="R8" s="31" t="str">
        <f t="shared" si="3"/>
        <v/>
      </c>
      <c r="S8" s="31">
        <f>[1]MJ!$F8</f>
        <v>0</v>
      </c>
      <c r="T8" s="31">
        <f t="shared" si="20"/>
        <v>0</v>
      </c>
      <c r="U8" s="31">
        <f t="shared" si="21"/>
        <v>0</v>
      </c>
      <c r="V8" s="31">
        <f t="shared" si="22"/>
        <v>0</v>
      </c>
      <c r="W8" s="31">
        <f t="shared" si="23"/>
        <v>0</v>
      </c>
      <c r="X8" s="31"/>
      <c r="Y8" s="31" t="str">
        <f t="shared" si="4"/>
        <v/>
      </c>
      <c r="Z8" s="31">
        <f>[1]MJ!$G8</f>
        <v>0</v>
      </c>
      <c r="AA8" s="31">
        <f t="shared" si="24"/>
        <v>0</v>
      </c>
      <c r="AB8" s="31">
        <f t="shared" si="25"/>
        <v>0</v>
      </c>
      <c r="AC8" s="31">
        <f t="shared" si="26"/>
        <v>0</v>
      </c>
      <c r="AD8" s="31">
        <f t="shared" si="27"/>
        <v>0</v>
      </c>
      <c r="AE8" s="31"/>
      <c r="AF8" s="31" t="str">
        <f t="shared" si="5"/>
        <v/>
      </c>
      <c r="AG8" s="31">
        <f>[1]MJ!$H8</f>
        <v>0</v>
      </c>
      <c r="AH8" s="31">
        <f t="shared" si="28"/>
        <v>0</v>
      </c>
      <c r="AI8" s="31">
        <f t="shared" si="29"/>
        <v>0</v>
      </c>
      <c r="AJ8" s="31">
        <f t="shared" si="30"/>
        <v>0</v>
      </c>
      <c r="AK8" s="31">
        <f t="shared" si="31"/>
        <v>0</v>
      </c>
      <c r="AL8" s="31"/>
      <c r="AM8" s="31" t="str">
        <f t="shared" si="6"/>
        <v/>
      </c>
      <c r="AN8" s="31">
        <f>[1]MJ!$I8</f>
        <v>0</v>
      </c>
      <c r="AO8" s="31">
        <f t="shared" si="32"/>
        <v>0</v>
      </c>
      <c r="AP8" s="31">
        <f t="shared" si="33"/>
        <v>0</v>
      </c>
      <c r="AQ8" s="31">
        <f t="shared" si="34"/>
        <v>0</v>
      </c>
      <c r="AR8" s="31">
        <f t="shared" si="35"/>
        <v>0</v>
      </c>
      <c r="AS8" s="33"/>
      <c r="AT8" s="37" t="str">
        <f t="shared" si="7"/>
        <v/>
      </c>
      <c r="AU8" s="36">
        <f>[1]MJ!$J8</f>
        <v>0</v>
      </c>
      <c r="AV8" s="31">
        <f t="shared" si="36"/>
        <v>0</v>
      </c>
      <c r="AW8" s="18">
        <f t="shared" si="37"/>
        <v>0</v>
      </c>
      <c r="AX8" s="31">
        <f t="shared" si="38"/>
        <v>0</v>
      </c>
      <c r="AY8" s="31">
        <f t="shared" si="39"/>
        <v>0</v>
      </c>
      <c r="AZ8" s="33"/>
      <c r="BA8" s="37" t="str">
        <f t="shared" si="8"/>
        <v/>
      </c>
      <c r="BB8" s="36">
        <f>[1]MJ!$K8</f>
        <v>66936.136984200013</v>
      </c>
      <c r="BC8" s="31">
        <f t="shared" si="40"/>
        <v>63977.559729498375</v>
      </c>
      <c r="BD8" s="18">
        <f t="shared" si="41"/>
        <v>2958.5772547016404</v>
      </c>
      <c r="BE8" s="31">
        <f t="shared" si="42"/>
        <v>0</v>
      </c>
      <c r="BF8" s="31">
        <f t="shared" si="43"/>
        <v>0</v>
      </c>
      <c r="BG8" s="27"/>
      <c r="BH8" s="37">
        <f t="shared" si="9"/>
        <v>-1</v>
      </c>
      <c r="BI8" s="36">
        <f>[1]MJ!$L8</f>
        <v>0</v>
      </c>
      <c r="BJ8" s="31">
        <f t="shared" si="44"/>
        <v>0</v>
      </c>
      <c r="BK8" s="18">
        <f t="shared" si="45"/>
        <v>0</v>
      </c>
      <c r="BL8" s="31">
        <f t="shared" si="46"/>
        <v>0</v>
      </c>
      <c r="BM8" s="31">
        <f t="shared" si="47"/>
        <v>0</v>
      </c>
      <c r="BN8" s="33"/>
      <c r="BO8" s="37" t="str">
        <f t="shared" si="10"/>
        <v/>
      </c>
      <c r="BP8" s="36">
        <f>[1]MJ!$M8</f>
        <v>0</v>
      </c>
      <c r="BQ8" s="31">
        <f t="shared" si="48"/>
        <v>0</v>
      </c>
      <c r="BR8" s="18">
        <f t="shared" si="49"/>
        <v>0</v>
      </c>
      <c r="BS8" s="31">
        <f t="shared" si="50"/>
        <v>0</v>
      </c>
      <c r="BT8" s="31">
        <f t="shared" si="51"/>
        <v>0</v>
      </c>
      <c r="BU8" s="33"/>
      <c r="BV8" s="37" t="str">
        <f t="shared" si="11"/>
        <v/>
      </c>
      <c r="BW8" s="36">
        <f>[1]MJ!$N8</f>
        <v>0</v>
      </c>
      <c r="BX8" s="31">
        <f t="shared" si="52"/>
        <v>0</v>
      </c>
      <c r="BY8" s="18">
        <f t="shared" si="53"/>
        <v>0</v>
      </c>
      <c r="BZ8" s="31">
        <f t="shared" si="54"/>
        <v>0</v>
      </c>
      <c r="CA8" s="31">
        <f t="shared" si="55"/>
        <v>0</v>
      </c>
      <c r="CB8" s="33"/>
      <c r="CC8" s="37" t="str">
        <f t="shared" si="12"/>
        <v/>
      </c>
      <c r="CD8" s="36">
        <f>[1]MJ!$O8</f>
        <v>0</v>
      </c>
      <c r="CE8" s="31">
        <f t="shared" si="56"/>
        <v>0</v>
      </c>
      <c r="CF8" s="18">
        <f t="shared" si="57"/>
        <v>0</v>
      </c>
      <c r="CG8" s="31">
        <f t="shared" si="58"/>
        <v>0</v>
      </c>
      <c r="CH8" s="31">
        <f t="shared" si="59"/>
        <v>0</v>
      </c>
      <c r="CI8" s="33"/>
      <c r="CJ8" s="37" t="str">
        <f t="shared" si="13"/>
        <v/>
      </c>
      <c r="CK8" s="36">
        <f>[1]MJ!$P8</f>
        <v>0</v>
      </c>
      <c r="CL8" s="31">
        <f t="shared" si="60"/>
        <v>0</v>
      </c>
      <c r="CM8" s="18">
        <f t="shared" si="61"/>
        <v>0</v>
      </c>
      <c r="CN8" s="31">
        <f t="shared" si="62"/>
        <v>0</v>
      </c>
      <c r="CO8" s="31">
        <f t="shared" si="63"/>
        <v>0</v>
      </c>
      <c r="CP8" s="33"/>
      <c r="CQ8" s="37" t="str">
        <f t="shared" si="14"/>
        <v/>
      </c>
    </row>
    <row r="9" spans="1:99" s="26" customFormat="1" ht="14.25" customHeight="1" thickBot="1" x14ac:dyDescent="0.25">
      <c r="A9" s="38" t="s">
        <v>33</v>
      </c>
      <c r="B9" s="30">
        <f t="shared" si="0"/>
        <v>76474.84182856002</v>
      </c>
      <c r="C9" s="31">
        <f t="shared" si="0"/>
        <v>73094.653819737679</v>
      </c>
      <c r="D9" s="32">
        <f t="shared" si="0"/>
        <v>3380.1880088223529</v>
      </c>
      <c r="E9" s="30">
        <f t="shared" si="15"/>
        <v>24704.604890933337</v>
      </c>
      <c r="F9" s="33">
        <f t="shared" si="15"/>
        <v>23612.661354754084</v>
      </c>
      <c r="G9" s="34">
        <f t="shared" si="15"/>
        <v>1091.9435361792534</v>
      </c>
      <c r="H9" s="31">
        <f t="shared" si="1"/>
        <v>43110.078227999998</v>
      </c>
      <c r="I9" s="33">
        <f t="shared" si="1"/>
        <v>1993.5817719999995</v>
      </c>
      <c r="J9" s="33">
        <f t="shared" si="1"/>
        <v>45103.659999999996</v>
      </c>
      <c r="K9" s="37">
        <f t="shared" si="2"/>
        <v>0.82571873539872609</v>
      </c>
      <c r="L9" s="36">
        <f>[1]MJ!$E9</f>
        <v>6176.1512227333342</v>
      </c>
      <c r="M9" s="31">
        <f t="shared" si="16"/>
        <v>5903.1653386885209</v>
      </c>
      <c r="N9" s="31">
        <f t="shared" si="17"/>
        <v>272.98588404481336</v>
      </c>
      <c r="O9" s="31">
        <f t="shared" si="18"/>
        <v>13050.693917999999</v>
      </c>
      <c r="P9" s="31">
        <f t="shared" si="19"/>
        <v>603.51608199999987</v>
      </c>
      <c r="Q9" s="31">
        <v>13654.21</v>
      </c>
      <c r="R9" s="31">
        <f t="shared" si="3"/>
        <v>1.210795932220901</v>
      </c>
      <c r="S9" s="31">
        <f>[1]MJ!$F9</f>
        <v>6176.1512227333342</v>
      </c>
      <c r="T9" s="31">
        <f t="shared" si="20"/>
        <v>5903.1653386885209</v>
      </c>
      <c r="U9" s="31">
        <f t="shared" si="21"/>
        <v>272.98588404481336</v>
      </c>
      <c r="V9" s="31">
        <f t="shared" si="22"/>
        <v>20612.916612000001</v>
      </c>
      <c r="W9" s="31">
        <f t="shared" si="23"/>
        <v>953.22338799999989</v>
      </c>
      <c r="X9" s="31">
        <v>21566.14</v>
      </c>
      <c r="Y9" s="31">
        <f t="shared" si="4"/>
        <v>2.491841313829688</v>
      </c>
      <c r="Z9" s="31">
        <f>[1]MJ!$G9</f>
        <v>6176.1512227333342</v>
      </c>
      <c r="AA9" s="31">
        <f t="shared" si="24"/>
        <v>5903.1653386885209</v>
      </c>
      <c r="AB9" s="31">
        <f t="shared" si="25"/>
        <v>272.98588404481336</v>
      </c>
      <c r="AC9" s="31">
        <f t="shared" si="26"/>
        <v>1895.647698</v>
      </c>
      <c r="AD9" s="31">
        <f t="shared" si="27"/>
        <v>87.662301999999997</v>
      </c>
      <c r="AE9" s="31">
        <f>1983.31</f>
        <v>1983.31</v>
      </c>
      <c r="AF9" s="31">
        <f t="shared" si="5"/>
        <v>-0.67887606237687603</v>
      </c>
      <c r="AG9" s="31">
        <f>[1]MJ!$H9</f>
        <v>6176.1512227333342</v>
      </c>
      <c r="AH9" s="31">
        <f t="shared" si="28"/>
        <v>5903.1653386885209</v>
      </c>
      <c r="AI9" s="31">
        <f t="shared" si="29"/>
        <v>272.98588404481336</v>
      </c>
      <c r="AJ9" s="31">
        <f t="shared" si="30"/>
        <v>7550.82</v>
      </c>
      <c r="AK9" s="31">
        <f t="shared" si="31"/>
        <v>349.17999999999995</v>
      </c>
      <c r="AL9" s="31">
        <v>7900</v>
      </c>
      <c r="AM9" s="31">
        <f t="shared" si="6"/>
        <v>0.27911375792119197</v>
      </c>
      <c r="AN9" s="31">
        <f>[1]MJ!$I9</f>
        <v>6176.1512227333342</v>
      </c>
      <c r="AO9" s="31">
        <f t="shared" si="32"/>
        <v>5903.1653386885209</v>
      </c>
      <c r="AP9" s="31">
        <f t="shared" si="33"/>
        <v>272.98588404481336</v>
      </c>
      <c r="AQ9" s="31">
        <f t="shared" si="34"/>
        <v>0</v>
      </c>
      <c r="AR9" s="31">
        <f t="shared" si="35"/>
        <v>0</v>
      </c>
      <c r="AS9" s="33"/>
      <c r="AT9" s="37">
        <f t="shared" si="7"/>
        <v>-1</v>
      </c>
      <c r="AU9" s="36">
        <f>[1]MJ!$J9</f>
        <v>6176.1512227333342</v>
      </c>
      <c r="AV9" s="31">
        <f t="shared" si="36"/>
        <v>5903.1653386885209</v>
      </c>
      <c r="AW9" s="18">
        <f t="shared" si="37"/>
        <v>272.98588404481336</v>
      </c>
      <c r="AX9" s="31">
        <f t="shared" si="38"/>
        <v>0</v>
      </c>
      <c r="AY9" s="31">
        <f t="shared" si="39"/>
        <v>0</v>
      </c>
      <c r="AZ9" s="33"/>
      <c r="BA9" s="37">
        <f t="shared" si="8"/>
        <v>-1</v>
      </c>
      <c r="BB9" s="36">
        <f>[1]MJ!$K9</f>
        <v>6176.1512227333342</v>
      </c>
      <c r="BC9" s="31">
        <f t="shared" si="40"/>
        <v>5903.1653386885209</v>
      </c>
      <c r="BD9" s="18">
        <f t="shared" si="41"/>
        <v>272.98588404481336</v>
      </c>
      <c r="BE9" s="31">
        <f t="shared" si="42"/>
        <v>0</v>
      </c>
      <c r="BF9" s="31">
        <f t="shared" si="43"/>
        <v>0</v>
      </c>
      <c r="BG9" s="27"/>
      <c r="BH9" s="37">
        <f t="shared" si="9"/>
        <v>-1</v>
      </c>
      <c r="BI9" s="36">
        <f>[1]MJ!$L9</f>
        <v>6648.3566538853347</v>
      </c>
      <c r="BJ9" s="31">
        <f t="shared" si="44"/>
        <v>6354.4992897836028</v>
      </c>
      <c r="BK9" s="18">
        <f t="shared" si="45"/>
        <v>293.85736410173178</v>
      </c>
      <c r="BL9" s="31">
        <f t="shared" si="46"/>
        <v>0</v>
      </c>
      <c r="BM9" s="31">
        <f t="shared" si="47"/>
        <v>0</v>
      </c>
      <c r="BN9" s="33"/>
      <c r="BO9" s="37">
        <f t="shared" si="10"/>
        <v>-1</v>
      </c>
      <c r="BP9" s="36">
        <f>[1]MJ!$M9</f>
        <v>6648.3566538853347</v>
      </c>
      <c r="BQ9" s="31">
        <f t="shared" si="48"/>
        <v>6354.4992897836028</v>
      </c>
      <c r="BR9" s="18">
        <f t="shared" si="49"/>
        <v>293.85736410173178</v>
      </c>
      <c r="BS9" s="31">
        <f t="shared" si="50"/>
        <v>0</v>
      </c>
      <c r="BT9" s="31">
        <f t="shared" si="51"/>
        <v>0</v>
      </c>
      <c r="BU9" s="33"/>
      <c r="BV9" s="37">
        <f t="shared" si="11"/>
        <v>-1</v>
      </c>
      <c r="BW9" s="36">
        <f>[1]MJ!$N9</f>
        <v>6648.3566538853347</v>
      </c>
      <c r="BX9" s="31">
        <f t="shared" si="52"/>
        <v>6354.4992897836028</v>
      </c>
      <c r="BY9" s="18">
        <f t="shared" si="53"/>
        <v>293.85736410173178</v>
      </c>
      <c r="BZ9" s="31">
        <f t="shared" si="54"/>
        <v>0</v>
      </c>
      <c r="CA9" s="31">
        <f t="shared" si="55"/>
        <v>0</v>
      </c>
      <c r="CB9" s="33"/>
      <c r="CC9" s="37">
        <f t="shared" si="12"/>
        <v>-1</v>
      </c>
      <c r="CD9" s="36">
        <f>[1]MJ!$O9</f>
        <v>6648.3566538853347</v>
      </c>
      <c r="CE9" s="31">
        <f t="shared" si="56"/>
        <v>6354.4992897836028</v>
      </c>
      <c r="CF9" s="18">
        <f t="shared" si="57"/>
        <v>293.85736410173178</v>
      </c>
      <c r="CG9" s="31">
        <f t="shared" si="58"/>
        <v>0</v>
      </c>
      <c r="CH9" s="31">
        <f t="shared" si="59"/>
        <v>0</v>
      </c>
      <c r="CI9" s="33"/>
      <c r="CJ9" s="37">
        <f t="shared" si="13"/>
        <v>-1</v>
      </c>
      <c r="CK9" s="36">
        <f>[1]MJ!$P9</f>
        <v>6648.3566538853347</v>
      </c>
      <c r="CL9" s="31">
        <f t="shared" si="60"/>
        <v>6354.4992897836028</v>
      </c>
      <c r="CM9" s="18">
        <f t="shared" si="61"/>
        <v>293.85736410173178</v>
      </c>
      <c r="CN9" s="31">
        <f t="shared" si="62"/>
        <v>0</v>
      </c>
      <c r="CO9" s="31">
        <f t="shared" si="63"/>
        <v>0</v>
      </c>
      <c r="CP9" s="33"/>
      <c r="CQ9" s="37">
        <f t="shared" si="14"/>
        <v>-1</v>
      </c>
    </row>
    <row r="10" spans="1:99" s="26" customFormat="1" ht="14.25" customHeight="1" thickBot="1" x14ac:dyDescent="0.25">
      <c r="A10" s="38" t="s">
        <v>34</v>
      </c>
      <c r="B10" s="30">
        <f t="shared" si="0"/>
        <v>48000</v>
      </c>
      <c r="C10" s="31">
        <f t="shared" si="0"/>
        <v>45878.399999999994</v>
      </c>
      <c r="D10" s="32">
        <f t="shared" si="0"/>
        <v>2121.6</v>
      </c>
      <c r="E10" s="30">
        <f t="shared" si="15"/>
        <v>16000</v>
      </c>
      <c r="F10" s="33">
        <f t="shared" si="15"/>
        <v>15292.8</v>
      </c>
      <c r="G10" s="34">
        <f t="shared" si="15"/>
        <v>707.19999999999993</v>
      </c>
      <c r="H10" s="31">
        <f t="shared" si="1"/>
        <v>22690.290563999999</v>
      </c>
      <c r="I10" s="33">
        <f t="shared" si="1"/>
        <v>1049.289436</v>
      </c>
      <c r="J10" s="33">
        <f t="shared" si="1"/>
        <v>23739.58</v>
      </c>
      <c r="K10" s="37">
        <f t="shared" si="2"/>
        <v>0.48372375000000001</v>
      </c>
      <c r="L10" s="36">
        <f>[1]MJ!$E10</f>
        <v>4000</v>
      </c>
      <c r="M10" s="31">
        <f t="shared" si="16"/>
        <v>3823.2</v>
      </c>
      <c r="N10" s="31">
        <f t="shared" si="17"/>
        <v>176.79999999999998</v>
      </c>
      <c r="O10" s="31">
        <f t="shared" si="18"/>
        <v>4378.7109599999994</v>
      </c>
      <c r="P10" s="31">
        <f t="shared" si="19"/>
        <v>202.48903999999999</v>
      </c>
      <c r="Q10" s="31">
        <f>3050+1531.2</f>
        <v>4581.2</v>
      </c>
      <c r="R10" s="31">
        <f t="shared" si="3"/>
        <v>0.14529999999999998</v>
      </c>
      <c r="S10" s="31">
        <f>[1]MJ!$F10</f>
        <v>4000</v>
      </c>
      <c r="T10" s="31">
        <f t="shared" si="20"/>
        <v>3823.2</v>
      </c>
      <c r="U10" s="31">
        <f t="shared" si="21"/>
        <v>176.79999999999998</v>
      </c>
      <c r="V10" s="31">
        <f t="shared" si="22"/>
        <v>868.70750399999997</v>
      </c>
      <c r="W10" s="31">
        <f t="shared" si="23"/>
        <v>40.172495999999995</v>
      </c>
      <c r="X10" s="31">
        <f>908.88</f>
        <v>908.88</v>
      </c>
      <c r="Y10" s="31">
        <f t="shared" si="4"/>
        <v>-0.77278000000000002</v>
      </c>
      <c r="Z10" s="31">
        <f>[1]MJ!$G10</f>
        <v>4000</v>
      </c>
      <c r="AA10" s="31">
        <f t="shared" si="24"/>
        <v>3823.2</v>
      </c>
      <c r="AB10" s="31">
        <f t="shared" si="25"/>
        <v>176.79999999999998</v>
      </c>
      <c r="AC10" s="31">
        <f t="shared" si="26"/>
        <v>4249.7257499999996</v>
      </c>
      <c r="AD10" s="31">
        <f t="shared" si="27"/>
        <v>196.52424999999999</v>
      </c>
      <c r="AE10" s="31">
        <f>3290+1156.25</f>
        <v>4446.25</v>
      </c>
      <c r="AF10" s="31">
        <f t="shared" si="5"/>
        <v>0.11156250000000001</v>
      </c>
      <c r="AG10" s="31">
        <f>[1]MJ!$H10</f>
        <v>4000</v>
      </c>
      <c r="AH10" s="31">
        <f t="shared" si="28"/>
        <v>3823.2</v>
      </c>
      <c r="AI10" s="31">
        <f t="shared" si="29"/>
        <v>176.79999999999998</v>
      </c>
      <c r="AJ10" s="31">
        <f t="shared" si="30"/>
        <v>4698.9517500000002</v>
      </c>
      <c r="AK10" s="31">
        <f t="shared" si="31"/>
        <v>217.29824999999997</v>
      </c>
      <c r="AL10" s="31">
        <f>3210+1706.25</f>
        <v>4916.25</v>
      </c>
      <c r="AM10" s="31">
        <f t="shared" si="6"/>
        <v>0.22906249999999995</v>
      </c>
      <c r="AN10" s="31">
        <f>[1]MJ!$I10</f>
        <v>4000</v>
      </c>
      <c r="AO10" s="31">
        <f t="shared" si="32"/>
        <v>3823.2</v>
      </c>
      <c r="AP10" s="31">
        <f t="shared" si="33"/>
        <v>176.79999999999998</v>
      </c>
      <c r="AQ10" s="31">
        <f t="shared" si="34"/>
        <v>2991.654</v>
      </c>
      <c r="AR10" s="31">
        <f t="shared" si="35"/>
        <v>138.34599999999998</v>
      </c>
      <c r="AS10" s="33">
        <v>3130</v>
      </c>
      <c r="AT10" s="37">
        <f t="shared" si="7"/>
        <v>-0.21750000000000003</v>
      </c>
      <c r="AU10" s="36">
        <f>[1]MJ!$J10</f>
        <v>4000</v>
      </c>
      <c r="AV10" s="31">
        <f t="shared" si="36"/>
        <v>3823.2</v>
      </c>
      <c r="AW10" s="18">
        <f t="shared" si="37"/>
        <v>176.79999999999998</v>
      </c>
      <c r="AX10" s="31">
        <f t="shared" si="38"/>
        <v>5502.5406000000003</v>
      </c>
      <c r="AY10" s="31">
        <f t="shared" si="39"/>
        <v>254.45939999999999</v>
      </c>
      <c r="AZ10" s="33">
        <v>5757</v>
      </c>
      <c r="BA10" s="37">
        <f t="shared" si="8"/>
        <v>0.43924999999999992</v>
      </c>
      <c r="BB10" s="36">
        <f>[1]MJ!$K10</f>
        <v>4000</v>
      </c>
      <c r="BC10" s="31">
        <f t="shared" si="40"/>
        <v>3823.2</v>
      </c>
      <c r="BD10" s="18">
        <f t="shared" si="41"/>
        <v>176.79999999999998</v>
      </c>
      <c r="BE10" s="31">
        <f t="shared" si="42"/>
        <v>0</v>
      </c>
      <c r="BF10" s="31">
        <f t="shared" si="43"/>
        <v>0</v>
      </c>
      <c r="BG10" s="27"/>
      <c r="BH10" s="37">
        <f t="shared" si="9"/>
        <v>-1</v>
      </c>
      <c r="BI10" s="36">
        <f>[1]MJ!$L10</f>
        <v>4000</v>
      </c>
      <c r="BJ10" s="31">
        <f t="shared" si="44"/>
        <v>3823.2</v>
      </c>
      <c r="BK10" s="18">
        <f t="shared" si="45"/>
        <v>176.79999999999998</v>
      </c>
      <c r="BL10" s="31">
        <f t="shared" si="46"/>
        <v>0</v>
      </c>
      <c r="BM10" s="31">
        <f t="shared" si="47"/>
        <v>0</v>
      </c>
      <c r="BN10" s="33"/>
      <c r="BO10" s="37">
        <f t="shared" si="10"/>
        <v>-1</v>
      </c>
      <c r="BP10" s="36">
        <f>[1]MJ!$M10</f>
        <v>4000</v>
      </c>
      <c r="BQ10" s="31">
        <f t="shared" si="48"/>
        <v>3823.2</v>
      </c>
      <c r="BR10" s="18">
        <f t="shared" si="49"/>
        <v>176.79999999999998</v>
      </c>
      <c r="BS10" s="31">
        <f t="shared" si="50"/>
        <v>0</v>
      </c>
      <c r="BT10" s="31">
        <f t="shared" si="51"/>
        <v>0</v>
      </c>
      <c r="BU10" s="33"/>
      <c r="BV10" s="37">
        <f t="shared" si="11"/>
        <v>-1</v>
      </c>
      <c r="BW10" s="36">
        <f>[1]MJ!$N10</f>
        <v>4000</v>
      </c>
      <c r="BX10" s="31">
        <f t="shared" si="52"/>
        <v>3823.2</v>
      </c>
      <c r="BY10" s="18">
        <f t="shared" si="53"/>
        <v>176.79999999999998</v>
      </c>
      <c r="BZ10" s="31">
        <f t="shared" si="54"/>
        <v>0</v>
      </c>
      <c r="CA10" s="31">
        <f t="shared" si="55"/>
        <v>0</v>
      </c>
      <c r="CB10" s="33"/>
      <c r="CC10" s="37">
        <f t="shared" si="12"/>
        <v>-1</v>
      </c>
      <c r="CD10" s="36">
        <f>[1]MJ!$O10</f>
        <v>4000</v>
      </c>
      <c r="CE10" s="31">
        <f t="shared" si="56"/>
        <v>3823.2</v>
      </c>
      <c r="CF10" s="18">
        <f t="shared" si="57"/>
        <v>176.79999999999998</v>
      </c>
      <c r="CG10" s="31">
        <f t="shared" si="58"/>
        <v>0</v>
      </c>
      <c r="CH10" s="31">
        <f t="shared" si="59"/>
        <v>0</v>
      </c>
      <c r="CI10" s="33"/>
      <c r="CJ10" s="37">
        <f t="shared" si="13"/>
        <v>-1</v>
      </c>
      <c r="CK10" s="36">
        <f>[1]MJ!$P10</f>
        <v>4000</v>
      </c>
      <c r="CL10" s="31">
        <f t="shared" si="60"/>
        <v>3823.2</v>
      </c>
      <c r="CM10" s="18">
        <f t="shared" si="61"/>
        <v>176.79999999999998</v>
      </c>
      <c r="CN10" s="31">
        <f t="shared" si="62"/>
        <v>0</v>
      </c>
      <c r="CO10" s="31">
        <f t="shared" si="63"/>
        <v>0</v>
      </c>
      <c r="CP10" s="33"/>
      <c r="CQ10" s="37">
        <f t="shared" si="14"/>
        <v>-1</v>
      </c>
    </row>
    <row r="11" spans="1:99" s="26" customFormat="1" ht="14.25" customHeight="1" thickBot="1" x14ac:dyDescent="0.25">
      <c r="A11" s="38" t="s">
        <v>35</v>
      </c>
      <c r="B11" s="30">
        <f t="shared" si="0"/>
        <v>0</v>
      </c>
      <c r="C11" s="31">
        <f t="shared" si="0"/>
        <v>0</v>
      </c>
      <c r="D11" s="32">
        <f t="shared" si="0"/>
        <v>0</v>
      </c>
      <c r="E11" s="30">
        <f t="shared" si="15"/>
        <v>0</v>
      </c>
      <c r="F11" s="33">
        <f t="shared" si="15"/>
        <v>0</v>
      </c>
      <c r="G11" s="34">
        <f t="shared" si="15"/>
        <v>0</v>
      </c>
      <c r="H11" s="31">
        <f t="shared" si="1"/>
        <v>0</v>
      </c>
      <c r="I11" s="33">
        <f t="shared" si="1"/>
        <v>0</v>
      </c>
      <c r="J11" s="33">
        <f t="shared" si="1"/>
        <v>0</v>
      </c>
      <c r="K11" s="37" t="str">
        <f t="shared" si="2"/>
        <v/>
      </c>
      <c r="L11" s="36">
        <f>[1]MJ!$E11</f>
        <v>0</v>
      </c>
      <c r="M11" s="31">
        <f t="shared" si="16"/>
        <v>0</v>
      </c>
      <c r="N11" s="31">
        <f t="shared" si="17"/>
        <v>0</v>
      </c>
      <c r="O11" s="31">
        <f t="shared" si="18"/>
        <v>0</v>
      </c>
      <c r="P11" s="31">
        <f t="shared" si="19"/>
        <v>0</v>
      </c>
      <c r="Q11" s="31"/>
      <c r="R11" s="31" t="str">
        <f t="shared" si="3"/>
        <v/>
      </c>
      <c r="S11" s="31">
        <f>[1]MJ!$F11</f>
        <v>0</v>
      </c>
      <c r="T11" s="31">
        <f t="shared" si="20"/>
        <v>0</v>
      </c>
      <c r="U11" s="31">
        <f t="shared" si="21"/>
        <v>0</v>
      </c>
      <c r="V11" s="31">
        <f t="shared" si="22"/>
        <v>0</v>
      </c>
      <c r="W11" s="31">
        <f t="shared" si="23"/>
        <v>0</v>
      </c>
      <c r="X11" s="31"/>
      <c r="Y11" s="31" t="str">
        <f t="shared" si="4"/>
        <v/>
      </c>
      <c r="Z11" s="31">
        <f>[1]MJ!$G11</f>
        <v>0</v>
      </c>
      <c r="AA11" s="31">
        <f t="shared" si="24"/>
        <v>0</v>
      </c>
      <c r="AB11" s="31">
        <f t="shared" si="25"/>
        <v>0</v>
      </c>
      <c r="AC11" s="31">
        <f t="shared" si="26"/>
        <v>0</v>
      </c>
      <c r="AD11" s="31">
        <f t="shared" si="27"/>
        <v>0</v>
      </c>
      <c r="AE11" s="31"/>
      <c r="AF11" s="31" t="str">
        <f t="shared" si="5"/>
        <v/>
      </c>
      <c r="AG11" s="31">
        <f>[1]MJ!$H11</f>
        <v>0</v>
      </c>
      <c r="AH11" s="31">
        <f t="shared" si="28"/>
        <v>0</v>
      </c>
      <c r="AI11" s="31">
        <f t="shared" si="29"/>
        <v>0</v>
      </c>
      <c r="AJ11" s="31">
        <f t="shared" si="30"/>
        <v>0</v>
      </c>
      <c r="AK11" s="31">
        <f t="shared" si="31"/>
        <v>0</v>
      </c>
      <c r="AL11" s="31"/>
      <c r="AM11" s="31" t="str">
        <f t="shared" si="6"/>
        <v/>
      </c>
      <c r="AN11" s="31">
        <f>[1]MJ!$I11</f>
        <v>0</v>
      </c>
      <c r="AO11" s="31">
        <f t="shared" si="32"/>
        <v>0</v>
      </c>
      <c r="AP11" s="31">
        <f t="shared" si="33"/>
        <v>0</v>
      </c>
      <c r="AQ11" s="31">
        <f t="shared" si="34"/>
        <v>0</v>
      </c>
      <c r="AR11" s="31">
        <f t="shared" si="35"/>
        <v>0</v>
      </c>
      <c r="AS11" s="33"/>
      <c r="AT11" s="37" t="str">
        <f t="shared" si="7"/>
        <v/>
      </c>
      <c r="AU11" s="36">
        <f>[1]MJ!$J11</f>
        <v>0</v>
      </c>
      <c r="AV11" s="31">
        <f t="shared" si="36"/>
        <v>0</v>
      </c>
      <c r="AW11" s="18">
        <f t="shared" si="37"/>
        <v>0</v>
      </c>
      <c r="AX11" s="31">
        <f t="shared" si="38"/>
        <v>0</v>
      </c>
      <c r="AY11" s="31">
        <f t="shared" si="39"/>
        <v>0</v>
      </c>
      <c r="AZ11" s="33"/>
      <c r="BA11" s="37" t="str">
        <f t="shared" si="8"/>
        <v/>
      </c>
      <c r="BB11" s="36">
        <f>[1]MJ!$K11</f>
        <v>0</v>
      </c>
      <c r="BC11" s="31">
        <f t="shared" si="40"/>
        <v>0</v>
      </c>
      <c r="BD11" s="18">
        <f t="shared" si="41"/>
        <v>0</v>
      </c>
      <c r="BE11" s="31">
        <f t="shared" si="42"/>
        <v>0</v>
      </c>
      <c r="BF11" s="31">
        <f t="shared" si="43"/>
        <v>0</v>
      </c>
      <c r="BG11" s="27"/>
      <c r="BH11" s="37" t="str">
        <f t="shared" si="9"/>
        <v/>
      </c>
      <c r="BI11" s="36">
        <f>[1]MJ!$L11</f>
        <v>0</v>
      </c>
      <c r="BJ11" s="31">
        <f t="shared" si="44"/>
        <v>0</v>
      </c>
      <c r="BK11" s="18">
        <f t="shared" si="45"/>
        <v>0</v>
      </c>
      <c r="BL11" s="31">
        <f t="shared" si="46"/>
        <v>0</v>
      </c>
      <c r="BM11" s="31">
        <f t="shared" si="47"/>
        <v>0</v>
      </c>
      <c r="BN11" s="33"/>
      <c r="BO11" s="37" t="str">
        <f t="shared" si="10"/>
        <v/>
      </c>
      <c r="BP11" s="36">
        <f>[1]MJ!$M11</f>
        <v>0</v>
      </c>
      <c r="BQ11" s="31">
        <f t="shared" si="48"/>
        <v>0</v>
      </c>
      <c r="BR11" s="18">
        <f t="shared" si="49"/>
        <v>0</v>
      </c>
      <c r="BS11" s="31">
        <f t="shared" si="50"/>
        <v>0</v>
      </c>
      <c r="BT11" s="31">
        <f t="shared" si="51"/>
        <v>0</v>
      </c>
      <c r="BU11" s="33"/>
      <c r="BV11" s="37" t="str">
        <f t="shared" si="11"/>
        <v/>
      </c>
      <c r="BW11" s="36">
        <f>[1]MJ!$N11</f>
        <v>0</v>
      </c>
      <c r="BX11" s="31">
        <f t="shared" si="52"/>
        <v>0</v>
      </c>
      <c r="BY11" s="18">
        <f t="shared" si="53"/>
        <v>0</v>
      </c>
      <c r="BZ11" s="31">
        <f t="shared" si="54"/>
        <v>0</v>
      </c>
      <c r="CA11" s="31">
        <f t="shared" si="55"/>
        <v>0</v>
      </c>
      <c r="CB11" s="33"/>
      <c r="CC11" s="37" t="str">
        <f t="shared" si="12"/>
        <v/>
      </c>
      <c r="CD11" s="36">
        <f>[1]MJ!$O11</f>
        <v>0</v>
      </c>
      <c r="CE11" s="31">
        <f t="shared" si="56"/>
        <v>0</v>
      </c>
      <c r="CF11" s="18">
        <f t="shared" si="57"/>
        <v>0</v>
      </c>
      <c r="CG11" s="31">
        <f t="shared" si="58"/>
        <v>0</v>
      </c>
      <c r="CH11" s="31">
        <f t="shared" si="59"/>
        <v>0</v>
      </c>
      <c r="CI11" s="33"/>
      <c r="CJ11" s="37" t="str">
        <f t="shared" si="13"/>
        <v/>
      </c>
      <c r="CK11" s="36">
        <f>[1]MJ!$P11</f>
        <v>0</v>
      </c>
      <c r="CL11" s="31">
        <f t="shared" si="60"/>
        <v>0</v>
      </c>
      <c r="CM11" s="18">
        <f t="shared" si="61"/>
        <v>0</v>
      </c>
      <c r="CN11" s="31">
        <f t="shared" si="62"/>
        <v>0</v>
      </c>
      <c r="CO11" s="31">
        <f t="shared" si="63"/>
        <v>0</v>
      </c>
      <c r="CP11" s="33"/>
      <c r="CQ11" s="37" t="str">
        <f t="shared" si="14"/>
        <v/>
      </c>
    </row>
    <row r="12" spans="1:99" s="26" customFormat="1" ht="14.25" customHeight="1" thickBot="1" x14ac:dyDescent="0.25">
      <c r="A12" s="29" t="s">
        <v>36</v>
      </c>
      <c r="B12" s="30">
        <f t="shared" si="0"/>
        <v>37260</v>
      </c>
      <c r="C12" s="31">
        <f t="shared" si="0"/>
        <v>35613.107999999993</v>
      </c>
      <c r="D12" s="32">
        <f t="shared" si="0"/>
        <v>1646.8919999999998</v>
      </c>
      <c r="E12" s="30">
        <f t="shared" si="15"/>
        <v>12420</v>
      </c>
      <c r="F12" s="33">
        <f t="shared" si="15"/>
        <v>11871.036</v>
      </c>
      <c r="G12" s="34">
        <f t="shared" si="15"/>
        <v>548.96399999999994</v>
      </c>
      <c r="H12" s="31">
        <f t="shared" si="1"/>
        <v>17479.957139999999</v>
      </c>
      <c r="I12" s="33">
        <f t="shared" si="1"/>
        <v>808.34285999999997</v>
      </c>
      <c r="J12" s="33">
        <f t="shared" si="1"/>
        <v>18288.3</v>
      </c>
      <c r="K12" s="37">
        <f t="shared" si="2"/>
        <v>0.47248792270531403</v>
      </c>
      <c r="L12" s="36">
        <f>[1]MJ!$E12</f>
        <v>3105</v>
      </c>
      <c r="M12" s="31">
        <f t="shared" si="16"/>
        <v>2967.759</v>
      </c>
      <c r="N12" s="31">
        <f t="shared" si="17"/>
        <v>137.24099999999999</v>
      </c>
      <c r="O12" s="31">
        <f t="shared" si="18"/>
        <v>2766.94542</v>
      </c>
      <c r="P12" s="31">
        <f t="shared" si="19"/>
        <v>127.95457999999999</v>
      </c>
      <c r="Q12" s="31">
        <f>2894.9</f>
        <v>2894.9</v>
      </c>
      <c r="R12" s="31">
        <f t="shared" si="3"/>
        <v>-6.766505636070852E-2</v>
      </c>
      <c r="S12" s="31">
        <f>[1]MJ!$F12</f>
        <v>3105</v>
      </c>
      <c r="T12" s="31">
        <f t="shared" si="20"/>
        <v>2967.759</v>
      </c>
      <c r="U12" s="31">
        <f t="shared" si="21"/>
        <v>137.24099999999999</v>
      </c>
      <c r="V12" s="31">
        <f t="shared" si="22"/>
        <v>92.234700000000004</v>
      </c>
      <c r="W12" s="31">
        <f t="shared" si="23"/>
        <v>4.2652999999999999</v>
      </c>
      <c r="X12" s="31">
        <f>96.5</f>
        <v>96.5</v>
      </c>
      <c r="Y12" s="31">
        <f t="shared" si="4"/>
        <v>-0.96892109500805157</v>
      </c>
      <c r="Z12" s="31">
        <f>[1]MJ!$G12</f>
        <v>3105</v>
      </c>
      <c r="AA12" s="31">
        <f t="shared" si="24"/>
        <v>2967.759</v>
      </c>
      <c r="AB12" s="31">
        <f t="shared" si="25"/>
        <v>137.24099999999999</v>
      </c>
      <c r="AC12" s="31">
        <f t="shared" si="26"/>
        <v>5723.9516699999995</v>
      </c>
      <c r="AD12" s="31">
        <f t="shared" si="27"/>
        <v>264.69832999999994</v>
      </c>
      <c r="AE12" s="31">
        <v>5988.65</v>
      </c>
      <c r="AF12" s="31">
        <f t="shared" si="5"/>
        <v>0.92871175523349425</v>
      </c>
      <c r="AG12" s="31">
        <f>[1]MJ!$H12</f>
        <v>3105</v>
      </c>
      <c r="AH12" s="31">
        <f t="shared" si="28"/>
        <v>2967.759</v>
      </c>
      <c r="AI12" s="31">
        <f t="shared" si="29"/>
        <v>137.24099999999999</v>
      </c>
      <c r="AJ12" s="31">
        <f t="shared" si="30"/>
        <v>2965.6084500000002</v>
      </c>
      <c r="AK12" s="31">
        <f t="shared" si="31"/>
        <v>137.14155</v>
      </c>
      <c r="AL12" s="31">
        <f>3102.75</f>
        <v>3102.75</v>
      </c>
      <c r="AM12" s="31">
        <f t="shared" si="6"/>
        <v>-7.246376811593791E-4</v>
      </c>
      <c r="AN12" s="31">
        <f>[1]MJ!$I12</f>
        <v>3105</v>
      </c>
      <c r="AO12" s="31">
        <f t="shared" si="32"/>
        <v>2967.759</v>
      </c>
      <c r="AP12" s="31">
        <f t="shared" si="33"/>
        <v>137.24099999999999</v>
      </c>
      <c r="AQ12" s="31">
        <f t="shared" si="34"/>
        <v>2965.6084500000002</v>
      </c>
      <c r="AR12" s="31">
        <f t="shared" si="35"/>
        <v>137.14155</v>
      </c>
      <c r="AS12" s="33">
        <v>3102.75</v>
      </c>
      <c r="AT12" s="37">
        <f t="shared" si="7"/>
        <v>-7.246376811593791E-4</v>
      </c>
      <c r="AU12" s="36">
        <f>[1]MJ!$J12</f>
        <v>3105</v>
      </c>
      <c r="AV12" s="31">
        <f t="shared" si="36"/>
        <v>2967.759</v>
      </c>
      <c r="AW12" s="18">
        <f t="shared" si="37"/>
        <v>137.24099999999999</v>
      </c>
      <c r="AX12" s="31">
        <f t="shared" si="38"/>
        <v>2965.6084500000002</v>
      </c>
      <c r="AY12" s="31">
        <f t="shared" si="39"/>
        <v>137.14155</v>
      </c>
      <c r="AZ12" s="33">
        <v>3102.75</v>
      </c>
      <c r="BA12" s="37">
        <f t="shared" si="8"/>
        <v>-7.246376811593791E-4</v>
      </c>
      <c r="BB12" s="36">
        <f>[1]MJ!$K12</f>
        <v>3105</v>
      </c>
      <c r="BC12" s="31">
        <f t="shared" si="40"/>
        <v>2967.759</v>
      </c>
      <c r="BD12" s="18">
        <f t="shared" si="41"/>
        <v>137.24099999999999</v>
      </c>
      <c r="BE12" s="31">
        <f t="shared" si="42"/>
        <v>0</v>
      </c>
      <c r="BF12" s="31">
        <f t="shared" si="43"/>
        <v>0</v>
      </c>
      <c r="BG12" s="27"/>
      <c r="BH12" s="37">
        <f t="shared" si="9"/>
        <v>-1</v>
      </c>
      <c r="BI12" s="36">
        <f>[1]MJ!$L12</f>
        <v>3105</v>
      </c>
      <c r="BJ12" s="31">
        <f t="shared" si="44"/>
        <v>2967.759</v>
      </c>
      <c r="BK12" s="18">
        <f t="shared" si="45"/>
        <v>137.24099999999999</v>
      </c>
      <c r="BL12" s="31">
        <f t="shared" si="46"/>
        <v>0</v>
      </c>
      <c r="BM12" s="31">
        <f t="shared" si="47"/>
        <v>0</v>
      </c>
      <c r="BN12" s="33"/>
      <c r="BO12" s="37">
        <f t="shared" si="10"/>
        <v>-1</v>
      </c>
      <c r="BP12" s="36">
        <f>[1]MJ!$M12</f>
        <v>3105</v>
      </c>
      <c r="BQ12" s="31">
        <f t="shared" si="48"/>
        <v>2967.759</v>
      </c>
      <c r="BR12" s="18">
        <f t="shared" si="49"/>
        <v>137.24099999999999</v>
      </c>
      <c r="BS12" s="31">
        <f t="shared" si="50"/>
        <v>0</v>
      </c>
      <c r="BT12" s="31">
        <f t="shared" si="51"/>
        <v>0</v>
      </c>
      <c r="BU12" s="33"/>
      <c r="BV12" s="37">
        <f t="shared" si="11"/>
        <v>-1</v>
      </c>
      <c r="BW12" s="36">
        <f>[1]MJ!$N12</f>
        <v>3105</v>
      </c>
      <c r="BX12" s="31">
        <f t="shared" si="52"/>
        <v>2967.759</v>
      </c>
      <c r="BY12" s="18">
        <f t="shared" si="53"/>
        <v>137.24099999999999</v>
      </c>
      <c r="BZ12" s="31">
        <f t="shared" si="54"/>
        <v>0</v>
      </c>
      <c r="CA12" s="31">
        <f t="shared" si="55"/>
        <v>0</v>
      </c>
      <c r="CB12" s="33"/>
      <c r="CC12" s="37">
        <f t="shared" si="12"/>
        <v>-1</v>
      </c>
      <c r="CD12" s="36">
        <f>[1]MJ!$O12</f>
        <v>3105</v>
      </c>
      <c r="CE12" s="31">
        <f t="shared" si="56"/>
        <v>2967.759</v>
      </c>
      <c r="CF12" s="18">
        <f t="shared" si="57"/>
        <v>137.24099999999999</v>
      </c>
      <c r="CG12" s="31">
        <f t="shared" si="58"/>
        <v>0</v>
      </c>
      <c r="CH12" s="31">
        <f t="shared" si="59"/>
        <v>0</v>
      </c>
      <c r="CI12" s="33"/>
      <c r="CJ12" s="37">
        <f t="shared" si="13"/>
        <v>-1</v>
      </c>
      <c r="CK12" s="36">
        <f>[1]MJ!$P12</f>
        <v>3105</v>
      </c>
      <c r="CL12" s="31">
        <f t="shared" si="60"/>
        <v>2967.759</v>
      </c>
      <c r="CM12" s="18">
        <f t="shared" si="61"/>
        <v>137.24099999999999</v>
      </c>
      <c r="CN12" s="31">
        <f t="shared" si="62"/>
        <v>0</v>
      </c>
      <c r="CO12" s="31">
        <f t="shared" si="63"/>
        <v>0</v>
      </c>
      <c r="CP12" s="33"/>
      <c r="CQ12" s="37">
        <f t="shared" si="14"/>
        <v>-1</v>
      </c>
    </row>
    <row r="13" spans="1:99" s="26" customFormat="1" ht="16" customHeight="1" thickBot="1" x14ac:dyDescent="0.25">
      <c r="A13" s="38" t="s">
        <v>37</v>
      </c>
      <c r="B13" s="30">
        <f t="shared" si="0"/>
        <v>0</v>
      </c>
      <c r="C13" s="31">
        <f t="shared" si="0"/>
        <v>0</v>
      </c>
      <c r="D13" s="32">
        <f t="shared" si="0"/>
        <v>0</v>
      </c>
      <c r="E13" s="30">
        <f t="shared" si="15"/>
        <v>0</v>
      </c>
      <c r="F13" s="33">
        <f t="shared" si="15"/>
        <v>0</v>
      </c>
      <c r="G13" s="34">
        <f t="shared" si="15"/>
        <v>0</v>
      </c>
      <c r="H13" s="31">
        <f t="shared" si="1"/>
        <v>0</v>
      </c>
      <c r="I13" s="33">
        <f t="shared" si="1"/>
        <v>0</v>
      </c>
      <c r="J13" s="33">
        <f t="shared" si="1"/>
        <v>0</v>
      </c>
      <c r="K13" s="37" t="str">
        <f t="shared" si="2"/>
        <v/>
      </c>
      <c r="L13" s="36">
        <f>[1]MJ!$E13</f>
        <v>0</v>
      </c>
      <c r="M13" s="31">
        <f t="shared" si="16"/>
        <v>0</v>
      </c>
      <c r="N13" s="31">
        <f t="shared" si="17"/>
        <v>0</v>
      </c>
      <c r="O13" s="31">
        <f t="shared" si="18"/>
        <v>0</v>
      </c>
      <c r="P13" s="31">
        <f t="shared" si="19"/>
        <v>0</v>
      </c>
      <c r="Q13" s="31"/>
      <c r="R13" s="31" t="str">
        <f t="shared" si="3"/>
        <v/>
      </c>
      <c r="S13" s="31">
        <f>[1]MJ!$F13</f>
        <v>0</v>
      </c>
      <c r="T13" s="31">
        <f t="shared" si="20"/>
        <v>0</v>
      </c>
      <c r="U13" s="31">
        <f t="shared" si="21"/>
        <v>0</v>
      </c>
      <c r="V13" s="31">
        <f t="shared" si="22"/>
        <v>0</v>
      </c>
      <c r="W13" s="31">
        <f t="shared" si="23"/>
        <v>0</v>
      </c>
      <c r="X13" s="31"/>
      <c r="Y13" s="31" t="str">
        <f t="shared" si="4"/>
        <v/>
      </c>
      <c r="Z13" s="31">
        <f>[1]MJ!$G13</f>
        <v>0</v>
      </c>
      <c r="AA13" s="31">
        <f t="shared" si="24"/>
        <v>0</v>
      </c>
      <c r="AB13" s="31">
        <f t="shared" si="25"/>
        <v>0</v>
      </c>
      <c r="AC13" s="31">
        <f t="shared" si="26"/>
        <v>0</v>
      </c>
      <c r="AD13" s="31">
        <f t="shared" si="27"/>
        <v>0</v>
      </c>
      <c r="AE13" s="31"/>
      <c r="AF13" s="31" t="str">
        <f t="shared" si="5"/>
        <v/>
      </c>
      <c r="AG13" s="31">
        <f>[1]MJ!$H13</f>
        <v>0</v>
      </c>
      <c r="AH13" s="31">
        <f t="shared" si="28"/>
        <v>0</v>
      </c>
      <c r="AI13" s="31">
        <f t="shared" si="29"/>
        <v>0</v>
      </c>
      <c r="AJ13" s="31">
        <f t="shared" si="30"/>
        <v>0</v>
      </c>
      <c r="AK13" s="31">
        <f t="shared" si="31"/>
        <v>0</v>
      </c>
      <c r="AL13" s="31"/>
      <c r="AM13" s="31" t="str">
        <f t="shared" si="6"/>
        <v/>
      </c>
      <c r="AN13" s="31">
        <f>[1]MJ!$I13</f>
        <v>0</v>
      </c>
      <c r="AO13" s="31">
        <f t="shared" si="32"/>
        <v>0</v>
      </c>
      <c r="AP13" s="31">
        <f t="shared" si="33"/>
        <v>0</v>
      </c>
      <c r="AQ13" s="31">
        <f t="shared" si="34"/>
        <v>0</v>
      </c>
      <c r="AR13" s="31">
        <f t="shared" si="35"/>
        <v>0</v>
      </c>
      <c r="AS13" s="33"/>
      <c r="AT13" s="37" t="str">
        <f t="shared" si="7"/>
        <v/>
      </c>
      <c r="AU13" s="36">
        <f>[1]MJ!$J13</f>
        <v>0</v>
      </c>
      <c r="AV13" s="31">
        <f t="shared" si="36"/>
        <v>0</v>
      </c>
      <c r="AW13" s="18">
        <f t="shared" si="37"/>
        <v>0</v>
      </c>
      <c r="AX13" s="31">
        <f t="shared" si="38"/>
        <v>0</v>
      </c>
      <c r="AY13" s="31">
        <f t="shared" si="39"/>
        <v>0</v>
      </c>
      <c r="AZ13" s="33"/>
      <c r="BA13" s="37" t="str">
        <f t="shared" si="8"/>
        <v/>
      </c>
      <c r="BB13" s="36">
        <f>[1]MJ!$K13</f>
        <v>0</v>
      </c>
      <c r="BC13" s="31">
        <f t="shared" si="40"/>
        <v>0</v>
      </c>
      <c r="BD13" s="18">
        <f t="shared" si="41"/>
        <v>0</v>
      </c>
      <c r="BE13" s="31">
        <f t="shared" si="42"/>
        <v>0</v>
      </c>
      <c r="BF13" s="31">
        <f t="shared" si="43"/>
        <v>0</v>
      </c>
      <c r="BG13" s="27"/>
      <c r="BH13" s="37" t="str">
        <f t="shared" si="9"/>
        <v/>
      </c>
      <c r="BI13" s="36">
        <f>[1]MJ!$L13</f>
        <v>0</v>
      </c>
      <c r="BJ13" s="31">
        <f t="shared" si="44"/>
        <v>0</v>
      </c>
      <c r="BK13" s="18">
        <f t="shared" si="45"/>
        <v>0</v>
      </c>
      <c r="BL13" s="31">
        <f t="shared" si="46"/>
        <v>0</v>
      </c>
      <c r="BM13" s="31">
        <f t="shared" si="47"/>
        <v>0</v>
      </c>
      <c r="BN13" s="33"/>
      <c r="BO13" s="37" t="str">
        <f t="shared" si="10"/>
        <v/>
      </c>
      <c r="BP13" s="36">
        <f>[1]MJ!$M13</f>
        <v>0</v>
      </c>
      <c r="BQ13" s="31">
        <f t="shared" si="48"/>
        <v>0</v>
      </c>
      <c r="BR13" s="18">
        <f t="shared" si="49"/>
        <v>0</v>
      </c>
      <c r="BS13" s="31">
        <f t="shared" si="50"/>
        <v>0</v>
      </c>
      <c r="BT13" s="31">
        <f t="shared" si="51"/>
        <v>0</v>
      </c>
      <c r="BU13" s="33"/>
      <c r="BV13" s="37" t="str">
        <f t="shared" si="11"/>
        <v/>
      </c>
      <c r="BW13" s="36">
        <f>[1]MJ!$N13</f>
        <v>0</v>
      </c>
      <c r="BX13" s="31">
        <f t="shared" si="52"/>
        <v>0</v>
      </c>
      <c r="BY13" s="18">
        <f t="shared" si="53"/>
        <v>0</v>
      </c>
      <c r="BZ13" s="31">
        <f t="shared" si="54"/>
        <v>0</v>
      </c>
      <c r="CA13" s="31">
        <f t="shared" si="55"/>
        <v>0</v>
      </c>
      <c r="CB13" s="33"/>
      <c r="CC13" s="37" t="str">
        <f t="shared" si="12"/>
        <v/>
      </c>
      <c r="CD13" s="36">
        <f>[1]MJ!$O13</f>
        <v>0</v>
      </c>
      <c r="CE13" s="31">
        <f t="shared" si="56"/>
        <v>0</v>
      </c>
      <c r="CF13" s="18">
        <f t="shared" si="57"/>
        <v>0</v>
      </c>
      <c r="CG13" s="31">
        <f t="shared" si="58"/>
        <v>0</v>
      </c>
      <c r="CH13" s="31">
        <f t="shared" si="59"/>
        <v>0</v>
      </c>
      <c r="CI13" s="33"/>
      <c r="CJ13" s="37" t="str">
        <f t="shared" si="13"/>
        <v/>
      </c>
      <c r="CK13" s="36">
        <f>[1]MJ!$P13</f>
        <v>0</v>
      </c>
      <c r="CL13" s="31">
        <f t="shared" si="60"/>
        <v>0</v>
      </c>
      <c r="CM13" s="18">
        <f t="shared" si="61"/>
        <v>0</v>
      </c>
      <c r="CN13" s="31">
        <f t="shared" si="62"/>
        <v>0</v>
      </c>
      <c r="CO13" s="31">
        <f t="shared" si="63"/>
        <v>0</v>
      </c>
      <c r="CP13" s="33"/>
      <c r="CQ13" s="37" t="str">
        <f t="shared" si="14"/>
        <v/>
      </c>
    </row>
    <row r="14" spans="1:99" s="26" customFormat="1" ht="16" customHeight="1" thickBot="1" x14ac:dyDescent="0.25">
      <c r="A14" s="39" t="s">
        <v>38</v>
      </c>
      <c r="B14" s="30">
        <f t="shared" si="0"/>
        <v>27000</v>
      </c>
      <c r="C14" s="31">
        <f t="shared" si="0"/>
        <v>25806.599999999995</v>
      </c>
      <c r="D14" s="32">
        <f t="shared" si="0"/>
        <v>1193.4000000000001</v>
      </c>
      <c r="E14" s="30">
        <f t="shared" si="15"/>
        <v>9000</v>
      </c>
      <c r="F14" s="33">
        <f t="shared" si="15"/>
        <v>8602.2000000000007</v>
      </c>
      <c r="G14" s="34">
        <f t="shared" si="15"/>
        <v>397.79999999999995</v>
      </c>
      <c r="H14" s="31">
        <f t="shared" si="1"/>
        <v>16932.685175999999</v>
      </c>
      <c r="I14" s="33">
        <f t="shared" si="1"/>
        <v>783.03482399999996</v>
      </c>
      <c r="J14" s="33">
        <f t="shared" si="1"/>
        <v>17715.72</v>
      </c>
      <c r="K14" s="37">
        <f t="shared" si="2"/>
        <v>0.96841333333333357</v>
      </c>
      <c r="L14" s="36">
        <f>[1]MJ!$E14</f>
        <v>2250</v>
      </c>
      <c r="M14" s="31">
        <f t="shared" si="16"/>
        <v>2150.5500000000002</v>
      </c>
      <c r="N14" s="31">
        <f t="shared" si="17"/>
        <v>99.449999999999989</v>
      </c>
      <c r="O14" s="31">
        <f t="shared" si="18"/>
        <v>1842.3045</v>
      </c>
      <c r="P14" s="31">
        <f t="shared" si="19"/>
        <v>85.195499999999996</v>
      </c>
      <c r="Q14" s="31">
        <f>1927.5</f>
        <v>1927.5</v>
      </c>
      <c r="R14" s="31">
        <f t="shared" si="3"/>
        <v>-0.14333333333333331</v>
      </c>
      <c r="S14" s="31">
        <f>[1]MJ!$F14</f>
        <v>2250</v>
      </c>
      <c r="T14" s="31">
        <f t="shared" si="20"/>
        <v>2150.5500000000002</v>
      </c>
      <c r="U14" s="31">
        <f t="shared" si="21"/>
        <v>99.449999999999989</v>
      </c>
      <c r="V14" s="31">
        <f t="shared" si="22"/>
        <v>6793.4249639999998</v>
      </c>
      <c r="W14" s="31">
        <f t="shared" si="23"/>
        <v>314.155036</v>
      </c>
      <c r="X14" s="31">
        <f>7107.58</f>
        <v>7107.58</v>
      </c>
      <c r="Y14" s="31">
        <f t="shared" si="4"/>
        <v>2.1589244444444442</v>
      </c>
      <c r="Z14" s="31">
        <f>[1]MJ!$G14</f>
        <v>2250</v>
      </c>
      <c r="AA14" s="31">
        <f t="shared" si="24"/>
        <v>2150.5500000000002</v>
      </c>
      <c r="AB14" s="31">
        <f t="shared" si="25"/>
        <v>99.449999999999989</v>
      </c>
      <c r="AC14" s="31">
        <f t="shared" si="26"/>
        <v>2046.0428279999999</v>
      </c>
      <c r="AD14" s="31">
        <f t="shared" si="27"/>
        <v>94.617171999999982</v>
      </c>
      <c r="AE14" s="31">
        <f>2140.66</f>
        <v>2140.66</v>
      </c>
      <c r="AF14" s="31">
        <f t="shared" si="5"/>
        <v>-4.8595555555555614E-2</v>
      </c>
      <c r="AG14" s="31">
        <f>[1]MJ!$H14</f>
        <v>2250</v>
      </c>
      <c r="AH14" s="31">
        <f t="shared" si="28"/>
        <v>2150.5500000000002</v>
      </c>
      <c r="AI14" s="31">
        <f t="shared" si="29"/>
        <v>99.449999999999989</v>
      </c>
      <c r="AJ14" s="31">
        <f t="shared" si="30"/>
        <v>2287.860228</v>
      </c>
      <c r="AK14" s="31">
        <f t="shared" si="31"/>
        <v>105.79977199999999</v>
      </c>
      <c r="AL14" s="31">
        <f>2393.66</f>
        <v>2393.66</v>
      </c>
      <c r="AM14" s="31">
        <f t="shared" si="6"/>
        <v>6.3848888888888844E-2</v>
      </c>
      <c r="AN14" s="31">
        <f>[1]MJ!$I14</f>
        <v>2250</v>
      </c>
      <c r="AO14" s="31">
        <f t="shared" si="32"/>
        <v>2150.5500000000002</v>
      </c>
      <c r="AP14" s="31">
        <f t="shared" si="33"/>
        <v>99.449999999999989</v>
      </c>
      <c r="AQ14" s="31">
        <f t="shared" si="34"/>
        <v>1917.0098280000002</v>
      </c>
      <c r="AR14" s="31">
        <f t="shared" si="35"/>
        <v>88.650171999999998</v>
      </c>
      <c r="AS14" s="33">
        <v>2005.66</v>
      </c>
      <c r="AT14" s="37">
        <f t="shared" si="7"/>
        <v>-0.10859555555555556</v>
      </c>
      <c r="AU14" s="36">
        <f>[1]MJ!$J14</f>
        <v>2250</v>
      </c>
      <c r="AV14" s="31">
        <f t="shared" si="36"/>
        <v>2150.5500000000002</v>
      </c>
      <c r="AW14" s="18">
        <f t="shared" si="37"/>
        <v>99.449999999999989</v>
      </c>
      <c r="AX14" s="31">
        <f t="shared" si="38"/>
        <v>2046.0428279999999</v>
      </c>
      <c r="AY14" s="31">
        <f t="shared" si="39"/>
        <v>94.617171999999982</v>
      </c>
      <c r="AZ14" s="33">
        <v>2140.66</v>
      </c>
      <c r="BA14" s="37">
        <f t="shared" si="8"/>
        <v>-4.8595555555555614E-2</v>
      </c>
      <c r="BB14" s="36">
        <f>[1]MJ!$K14</f>
        <v>2250</v>
      </c>
      <c r="BC14" s="31">
        <f t="shared" si="40"/>
        <v>2150.5500000000002</v>
      </c>
      <c r="BD14" s="18">
        <f t="shared" si="41"/>
        <v>99.449999999999989</v>
      </c>
      <c r="BE14" s="31">
        <f t="shared" si="42"/>
        <v>0</v>
      </c>
      <c r="BF14" s="31">
        <f t="shared" si="43"/>
        <v>0</v>
      </c>
      <c r="BG14" s="27"/>
      <c r="BH14" s="37">
        <f t="shared" si="9"/>
        <v>-1</v>
      </c>
      <c r="BI14" s="36">
        <f>[1]MJ!$L14</f>
        <v>2250</v>
      </c>
      <c r="BJ14" s="31">
        <f t="shared" si="44"/>
        <v>2150.5500000000002</v>
      </c>
      <c r="BK14" s="18">
        <f t="shared" si="45"/>
        <v>99.449999999999989</v>
      </c>
      <c r="BL14" s="31">
        <f t="shared" si="46"/>
        <v>0</v>
      </c>
      <c r="BM14" s="31">
        <f t="shared" si="47"/>
        <v>0</v>
      </c>
      <c r="BN14" s="33"/>
      <c r="BO14" s="37">
        <f t="shared" si="10"/>
        <v>-1</v>
      </c>
      <c r="BP14" s="36">
        <f>[1]MJ!$M14</f>
        <v>2250</v>
      </c>
      <c r="BQ14" s="31">
        <f t="shared" si="48"/>
        <v>2150.5500000000002</v>
      </c>
      <c r="BR14" s="18">
        <f t="shared" si="49"/>
        <v>99.449999999999989</v>
      </c>
      <c r="BS14" s="31">
        <f t="shared" si="50"/>
        <v>0</v>
      </c>
      <c r="BT14" s="31">
        <f t="shared" si="51"/>
        <v>0</v>
      </c>
      <c r="BU14" s="33"/>
      <c r="BV14" s="37">
        <f t="shared" si="11"/>
        <v>-1</v>
      </c>
      <c r="BW14" s="36">
        <f>[1]MJ!$N14</f>
        <v>2250</v>
      </c>
      <c r="BX14" s="31">
        <f t="shared" si="52"/>
        <v>2150.5500000000002</v>
      </c>
      <c r="BY14" s="18">
        <f t="shared" si="53"/>
        <v>99.449999999999989</v>
      </c>
      <c r="BZ14" s="31">
        <f t="shared" si="54"/>
        <v>0</v>
      </c>
      <c r="CA14" s="31">
        <f t="shared" si="55"/>
        <v>0</v>
      </c>
      <c r="CB14" s="33"/>
      <c r="CC14" s="37">
        <f t="shared" si="12"/>
        <v>-1</v>
      </c>
      <c r="CD14" s="36">
        <f>[1]MJ!$O14</f>
        <v>2250</v>
      </c>
      <c r="CE14" s="31">
        <f t="shared" si="56"/>
        <v>2150.5500000000002</v>
      </c>
      <c r="CF14" s="18">
        <f t="shared" si="57"/>
        <v>99.449999999999989</v>
      </c>
      <c r="CG14" s="31">
        <f t="shared" si="58"/>
        <v>0</v>
      </c>
      <c r="CH14" s="31">
        <f t="shared" si="59"/>
        <v>0</v>
      </c>
      <c r="CI14" s="33"/>
      <c r="CJ14" s="37">
        <f t="shared" si="13"/>
        <v>-1</v>
      </c>
      <c r="CK14" s="36">
        <f>[1]MJ!$P14</f>
        <v>2250</v>
      </c>
      <c r="CL14" s="31">
        <f t="shared" si="60"/>
        <v>2150.5500000000002</v>
      </c>
      <c r="CM14" s="18">
        <f t="shared" si="61"/>
        <v>99.449999999999989</v>
      </c>
      <c r="CN14" s="31">
        <f t="shared" si="62"/>
        <v>0</v>
      </c>
      <c r="CO14" s="31">
        <f t="shared" si="63"/>
        <v>0</v>
      </c>
      <c r="CP14" s="33"/>
      <c r="CQ14" s="37">
        <f t="shared" si="14"/>
        <v>-1</v>
      </c>
    </row>
    <row r="15" spans="1:99" s="26" customFormat="1" ht="16" customHeight="1" thickBot="1" x14ac:dyDescent="0.25">
      <c r="A15" s="38" t="s">
        <v>39</v>
      </c>
      <c r="B15" s="30">
        <f t="shared" si="0"/>
        <v>99114.599999999991</v>
      </c>
      <c r="C15" s="31">
        <f t="shared" si="0"/>
        <v>94733.734680000023</v>
      </c>
      <c r="D15" s="32">
        <f t="shared" si="0"/>
        <v>4380.865319999999</v>
      </c>
      <c r="E15" s="30">
        <f t="shared" si="15"/>
        <v>32824.800000000003</v>
      </c>
      <c r="F15" s="33">
        <f t="shared" si="15"/>
        <v>31373.943840000004</v>
      </c>
      <c r="G15" s="34">
        <f t="shared" si="15"/>
        <v>1450.85616</v>
      </c>
      <c r="H15" s="31">
        <f t="shared" si="1"/>
        <v>55292.771934000004</v>
      </c>
      <c r="I15" s="33">
        <f t="shared" si="1"/>
        <v>2556.9580660000001</v>
      </c>
      <c r="J15" s="33">
        <f t="shared" si="1"/>
        <v>57849.73000000001</v>
      </c>
      <c r="K15" s="37">
        <f t="shared" si="2"/>
        <v>0.76237875021325352</v>
      </c>
      <c r="L15" s="36">
        <f>[1]MJ!$E15</f>
        <v>8206.2000000000007</v>
      </c>
      <c r="M15" s="40">
        <f t="shared" si="16"/>
        <v>7843.4859600000009</v>
      </c>
      <c r="N15" s="40">
        <f t="shared" si="17"/>
        <v>362.71404000000001</v>
      </c>
      <c r="O15" s="40">
        <f t="shared" si="18"/>
        <v>7114.898736000001</v>
      </c>
      <c r="P15" s="40">
        <f t="shared" si="19"/>
        <v>329.02126400000003</v>
      </c>
      <c r="Q15" s="40">
        <f>653.52+12137.1-(8.65+5338.05)</f>
        <v>7443.920000000001</v>
      </c>
      <c r="R15" s="40">
        <f t="shared" si="3"/>
        <v>-9.2890741146937628E-2</v>
      </c>
      <c r="S15" s="40">
        <f>[1]MJ!$F15</f>
        <v>8206.2000000000007</v>
      </c>
      <c r="T15" s="40">
        <f t="shared" si="20"/>
        <v>7843.4859600000009</v>
      </c>
      <c r="U15" s="40">
        <f t="shared" si="21"/>
        <v>362.71404000000001</v>
      </c>
      <c r="V15" s="40">
        <f t="shared" si="22"/>
        <v>7002.6304680000057</v>
      </c>
      <c r="W15" s="40">
        <f t="shared" si="23"/>
        <v>323.82953200000026</v>
      </c>
      <c r="X15" s="40">
        <f>570.06+71592.05-(19413.02+45422.63)</f>
        <v>7326.4600000000064</v>
      </c>
      <c r="Y15" s="40">
        <f t="shared" si="4"/>
        <v>-0.10720430893714439</v>
      </c>
      <c r="Z15" s="40">
        <f>[1]MJ!$G15</f>
        <v>8206.2000000000007</v>
      </c>
      <c r="AA15" s="40">
        <f t="shared" si="24"/>
        <v>7843.4859600000009</v>
      </c>
      <c r="AB15" s="40">
        <f t="shared" si="25"/>
        <v>362.71404000000001</v>
      </c>
      <c r="AC15" s="40">
        <f t="shared" si="26"/>
        <v>10498.679244000001</v>
      </c>
      <c r="AD15" s="40">
        <f t="shared" si="27"/>
        <v>485.50075599999997</v>
      </c>
      <c r="AE15" s="40">
        <f>563.52+10420.66</f>
        <v>10984.18</v>
      </c>
      <c r="AF15" s="40">
        <f t="shared" si="5"/>
        <v>0.33852209305159509</v>
      </c>
      <c r="AG15" s="40">
        <f>[1]MJ!$H15</f>
        <v>8206.2000000000007</v>
      </c>
      <c r="AH15" s="40">
        <f t="shared" si="28"/>
        <v>7843.4859600000009</v>
      </c>
      <c r="AI15" s="40">
        <f t="shared" si="29"/>
        <v>362.71404000000001</v>
      </c>
      <c r="AJ15" s="40">
        <f t="shared" si="30"/>
        <v>12382.035354000001</v>
      </c>
      <c r="AK15" s="40">
        <f t="shared" si="31"/>
        <v>572.59464600000001</v>
      </c>
      <c r="AL15" s="40">
        <f>567.69+12386.94</f>
        <v>12954.630000000001</v>
      </c>
      <c r="AM15" s="40">
        <f t="shared" si="6"/>
        <v>0.57863932148863051</v>
      </c>
      <c r="AN15" s="40">
        <f>[1]MJ!$I15</f>
        <v>8206.2000000000007</v>
      </c>
      <c r="AO15" s="40">
        <f t="shared" si="32"/>
        <v>7843.4859600000009</v>
      </c>
      <c r="AP15" s="40">
        <f t="shared" si="33"/>
        <v>362.71404000000001</v>
      </c>
      <c r="AQ15" s="40">
        <f t="shared" si="34"/>
        <v>9937.299672000001</v>
      </c>
      <c r="AR15" s="40">
        <f t="shared" si="35"/>
        <v>459.54032799999999</v>
      </c>
      <c r="AS15" s="115">
        <v>10396.84</v>
      </c>
      <c r="AT15" s="37">
        <f t="shared" si="7"/>
        <v>0.26694937973727173</v>
      </c>
      <c r="AU15" s="36">
        <f>[1]MJ!$J15</f>
        <v>8206.2000000000007</v>
      </c>
      <c r="AV15" s="40">
        <f t="shared" si="36"/>
        <v>7843.4859600000009</v>
      </c>
      <c r="AW15" s="18">
        <f t="shared" si="37"/>
        <v>362.71404000000001</v>
      </c>
      <c r="AX15" s="40">
        <f t="shared" si="38"/>
        <v>8357.2284600000003</v>
      </c>
      <c r="AY15" s="40">
        <f t="shared" si="39"/>
        <v>386.47154</v>
      </c>
      <c r="AZ15" s="115">
        <v>8743.7000000000007</v>
      </c>
      <c r="BA15" s="37">
        <f t="shared" si="8"/>
        <v>6.5499256659598881E-2</v>
      </c>
      <c r="BB15" s="36">
        <f>[1]MJ!$K15</f>
        <v>8846.4</v>
      </c>
      <c r="BC15" s="40">
        <f t="shared" si="40"/>
        <v>8455.3891199999998</v>
      </c>
      <c r="BD15" s="18">
        <f t="shared" si="41"/>
        <v>391.01087999999993</v>
      </c>
      <c r="BE15" s="40">
        <f t="shared" si="42"/>
        <v>0</v>
      </c>
      <c r="BF15" s="40">
        <f t="shared" si="43"/>
        <v>0</v>
      </c>
      <c r="BG15" s="116"/>
      <c r="BH15" s="37">
        <f t="shared" si="9"/>
        <v>-1</v>
      </c>
      <c r="BI15" s="36">
        <f>[1]MJ!$L15</f>
        <v>8206.2000000000007</v>
      </c>
      <c r="BJ15" s="40">
        <f t="shared" si="44"/>
        <v>7843.4859600000009</v>
      </c>
      <c r="BK15" s="18">
        <f t="shared" si="45"/>
        <v>362.71404000000001</v>
      </c>
      <c r="BL15" s="40">
        <f t="shared" si="46"/>
        <v>0</v>
      </c>
      <c r="BM15" s="40">
        <f t="shared" si="47"/>
        <v>0</v>
      </c>
      <c r="BN15" s="115"/>
      <c r="BO15" s="37">
        <f t="shared" si="10"/>
        <v>-1</v>
      </c>
      <c r="BP15" s="36">
        <f>[1]MJ!$M15</f>
        <v>8206.2000000000007</v>
      </c>
      <c r="BQ15" s="40">
        <f t="shared" si="48"/>
        <v>7843.4859600000009</v>
      </c>
      <c r="BR15" s="18">
        <f t="shared" si="49"/>
        <v>362.71404000000001</v>
      </c>
      <c r="BS15" s="40">
        <f t="shared" si="50"/>
        <v>0</v>
      </c>
      <c r="BT15" s="40">
        <f t="shared" si="51"/>
        <v>0</v>
      </c>
      <c r="BU15" s="115"/>
      <c r="BV15" s="37">
        <f t="shared" si="11"/>
        <v>-1</v>
      </c>
      <c r="BW15" s="36">
        <f>[1]MJ!$N15</f>
        <v>8206.2000000000007</v>
      </c>
      <c r="BX15" s="40">
        <f t="shared" si="52"/>
        <v>7843.4859600000009</v>
      </c>
      <c r="BY15" s="18">
        <f t="shared" si="53"/>
        <v>362.71404000000001</v>
      </c>
      <c r="BZ15" s="40">
        <f t="shared" si="54"/>
        <v>0</v>
      </c>
      <c r="CA15" s="40">
        <f t="shared" si="55"/>
        <v>0</v>
      </c>
      <c r="CB15" s="115"/>
      <c r="CC15" s="37">
        <f t="shared" si="12"/>
        <v>-1</v>
      </c>
      <c r="CD15" s="36">
        <f>[1]MJ!$O15</f>
        <v>8206.2000000000007</v>
      </c>
      <c r="CE15" s="40">
        <f t="shared" si="56"/>
        <v>7843.4859600000009</v>
      </c>
      <c r="CF15" s="18">
        <f t="shared" si="57"/>
        <v>362.71404000000001</v>
      </c>
      <c r="CG15" s="40">
        <f t="shared" si="58"/>
        <v>0</v>
      </c>
      <c r="CH15" s="40">
        <f t="shared" si="59"/>
        <v>0</v>
      </c>
      <c r="CI15" s="115"/>
      <c r="CJ15" s="37">
        <f t="shared" si="13"/>
        <v>-1</v>
      </c>
      <c r="CK15" s="36">
        <f>[1]MJ!$P15</f>
        <v>8206.2000000000007</v>
      </c>
      <c r="CL15" s="40">
        <f t="shared" si="60"/>
        <v>7843.4859600000009</v>
      </c>
      <c r="CM15" s="18">
        <f t="shared" si="61"/>
        <v>362.71404000000001</v>
      </c>
      <c r="CN15" s="40">
        <f t="shared" si="62"/>
        <v>0</v>
      </c>
      <c r="CO15" s="40">
        <f t="shared" si="63"/>
        <v>0</v>
      </c>
      <c r="CP15" s="115"/>
      <c r="CQ15" s="37">
        <f t="shared" si="14"/>
        <v>-1</v>
      </c>
    </row>
    <row r="16" spans="1:99" s="26" customFormat="1" ht="16" customHeight="1" thickBot="1" x14ac:dyDescent="0.25">
      <c r="A16" s="29" t="s">
        <v>40</v>
      </c>
      <c r="B16" s="30">
        <f t="shared" si="0"/>
        <v>20000</v>
      </c>
      <c r="C16" s="31">
        <f t="shared" si="0"/>
        <v>19116</v>
      </c>
      <c r="D16" s="32">
        <f t="shared" si="0"/>
        <v>883.99999999999966</v>
      </c>
      <c r="E16" s="30">
        <f t="shared" si="15"/>
        <v>6666.666666666667</v>
      </c>
      <c r="F16" s="33">
        <f t="shared" si="15"/>
        <v>6372</v>
      </c>
      <c r="G16" s="34">
        <f t="shared" si="15"/>
        <v>294.66666666666663</v>
      </c>
      <c r="H16" s="31">
        <f t="shared" si="1"/>
        <v>5590.9521000000004</v>
      </c>
      <c r="I16" s="33">
        <f t="shared" si="1"/>
        <v>258.54789999999997</v>
      </c>
      <c r="J16" s="33">
        <f t="shared" si="1"/>
        <v>5849.5</v>
      </c>
      <c r="K16" s="37">
        <f t="shared" si="2"/>
        <v>-0.12257499999999999</v>
      </c>
      <c r="L16" s="36">
        <f>[1]MJ!$E16</f>
        <v>1666.6666666666667</v>
      </c>
      <c r="M16" s="31">
        <f t="shared" si="16"/>
        <v>1593</v>
      </c>
      <c r="N16" s="31">
        <f t="shared" si="17"/>
        <v>73.666666666666657</v>
      </c>
      <c r="O16" s="31">
        <f t="shared" si="18"/>
        <v>304.34583600000002</v>
      </c>
      <c r="P16" s="31">
        <f t="shared" si="19"/>
        <v>14.074164</v>
      </c>
      <c r="Q16" s="31">
        <f>318.42</f>
        <v>318.42</v>
      </c>
      <c r="R16" s="31">
        <f t="shared" si="3"/>
        <v>-0.808948</v>
      </c>
      <c r="S16" s="31">
        <f>[1]MJ!$F16</f>
        <v>1666.6666666666667</v>
      </c>
      <c r="T16" s="31">
        <f t="shared" si="20"/>
        <v>1593</v>
      </c>
      <c r="U16" s="31">
        <f t="shared" si="21"/>
        <v>73.666666666666657</v>
      </c>
      <c r="V16" s="31">
        <f t="shared" si="22"/>
        <v>1443.6881100000001</v>
      </c>
      <c r="W16" s="31">
        <f t="shared" si="23"/>
        <v>66.761889999999994</v>
      </c>
      <c r="X16" s="31">
        <f>1510.45</f>
        <v>1510.45</v>
      </c>
      <c r="Y16" s="31">
        <f t="shared" si="4"/>
        <v>-9.372999999999998E-2</v>
      </c>
      <c r="Z16" s="31">
        <f>[1]MJ!$G16</f>
        <v>1666.6666666666667</v>
      </c>
      <c r="AA16" s="31">
        <f t="shared" si="24"/>
        <v>1593</v>
      </c>
      <c r="AB16" s="31">
        <f t="shared" si="25"/>
        <v>73.666666666666657</v>
      </c>
      <c r="AC16" s="31">
        <f t="shared" si="26"/>
        <v>1715.7087899999999</v>
      </c>
      <c r="AD16" s="31">
        <f t="shared" si="27"/>
        <v>79.34120999999999</v>
      </c>
      <c r="AE16" s="31">
        <f>1795.05</f>
        <v>1795.05</v>
      </c>
      <c r="AF16" s="31">
        <f t="shared" si="5"/>
        <v>7.7029999999999932E-2</v>
      </c>
      <c r="AG16" s="31">
        <f>[1]MJ!$H16</f>
        <v>1666.6666666666667</v>
      </c>
      <c r="AH16" s="31">
        <f t="shared" si="28"/>
        <v>1593</v>
      </c>
      <c r="AI16" s="31">
        <f t="shared" si="29"/>
        <v>73.666666666666657</v>
      </c>
      <c r="AJ16" s="31">
        <f t="shared" si="30"/>
        <v>85.133105999999998</v>
      </c>
      <c r="AK16" s="31">
        <f t="shared" si="31"/>
        <v>3.9368939999999992</v>
      </c>
      <c r="AL16" s="31">
        <f>89.07</f>
        <v>89.07</v>
      </c>
      <c r="AM16" s="31">
        <f t="shared" si="6"/>
        <v>-0.94655800000000001</v>
      </c>
      <c r="AN16" s="31">
        <f>[1]MJ!$I16</f>
        <v>1666.6666666666667</v>
      </c>
      <c r="AO16" s="31">
        <f t="shared" si="32"/>
        <v>1593</v>
      </c>
      <c r="AP16" s="31">
        <f t="shared" si="33"/>
        <v>73.666666666666657</v>
      </c>
      <c r="AQ16" s="31">
        <f t="shared" si="34"/>
        <v>87.293214000000006</v>
      </c>
      <c r="AR16" s="31">
        <f t="shared" si="35"/>
        <v>4.0367859999999993</v>
      </c>
      <c r="AS16" s="33">
        <v>91.33</v>
      </c>
      <c r="AT16" s="37">
        <f t="shared" si="7"/>
        <v>-0.94520199999999999</v>
      </c>
      <c r="AU16" s="36">
        <f>[1]MJ!$J16</f>
        <v>1666.6666666666667</v>
      </c>
      <c r="AV16" s="31">
        <f t="shared" si="36"/>
        <v>1593</v>
      </c>
      <c r="AW16" s="18">
        <f t="shared" si="37"/>
        <v>73.666666666666657</v>
      </c>
      <c r="AX16" s="31">
        <f t="shared" si="38"/>
        <v>1954.783044</v>
      </c>
      <c r="AY16" s="31">
        <f t="shared" si="39"/>
        <v>90.396955999999989</v>
      </c>
      <c r="AZ16" s="33">
        <v>2045.18</v>
      </c>
      <c r="BA16" s="37">
        <f t="shared" si="8"/>
        <v>0.22710800000000009</v>
      </c>
      <c r="BB16" s="36">
        <f>[1]MJ!$K16</f>
        <v>1666.6666666666667</v>
      </c>
      <c r="BC16" s="31">
        <f t="shared" si="40"/>
        <v>1593</v>
      </c>
      <c r="BD16" s="18">
        <f t="shared" si="41"/>
        <v>73.666666666666657</v>
      </c>
      <c r="BE16" s="31">
        <f t="shared" si="42"/>
        <v>0</v>
      </c>
      <c r="BF16" s="31">
        <f t="shared" si="43"/>
        <v>0</v>
      </c>
      <c r="BG16" s="27"/>
      <c r="BH16" s="37">
        <f t="shared" si="9"/>
        <v>-1</v>
      </c>
      <c r="BI16" s="36">
        <f>[1]MJ!$L16</f>
        <v>1666.6666666666667</v>
      </c>
      <c r="BJ16" s="31">
        <f t="shared" si="44"/>
        <v>1593</v>
      </c>
      <c r="BK16" s="18">
        <f t="shared" si="45"/>
        <v>73.666666666666657</v>
      </c>
      <c r="BL16" s="31">
        <f t="shared" si="46"/>
        <v>0</v>
      </c>
      <c r="BM16" s="31">
        <f t="shared" si="47"/>
        <v>0</v>
      </c>
      <c r="BN16" s="33"/>
      <c r="BO16" s="37">
        <f t="shared" si="10"/>
        <v>-1</v>
      </c>
      <c r="BP16" s="36">
        <f>[1]MJ!$M16</f>
        <v>1666.6666666666667</v>
      </c>
      <c r="BQ16" s="31">
        <f t="shared" si="48"/>
        <v>1593</v>
      </c>
      <c r="BR16" s="18">
        <f t="shared" si="49"/>
        <v>73.666666666666657</v>
      </c>
      <c r="BS16" s="31">
        <f t="shared" si="50"/>
        <v>0</v>
      </c>
      <c r="BT16" s="31">
        <f t="shared" si="51"/>
        <v>0</v>
      </c>
      <c r="BU16" s="33"/>
      <c r="BV16" s="37">
        <f t="shared" si="11"/>
        <v>-1</v>
      </c>
      <c r="BW16" s="36">
        <f>[1]MJ!$N16</f>
        <v>1666.6666666666667</v>
      </c>
      <c r="BX16" s="31">
        <f t="shared" si="52"/>
        <v>1593</v>
      </c>
      <c r="BY16" s="18">
        <f t="shared" si="53"/>
        <v>73.666666666666657</v>
      </c>
      <c r="BZ16" s="31">
        <f t="shared" si="54"/>
        <v>0</v>
      </c>
      <c r="CA16" s="31">
        <f t="shared" si="55"/>
        <v>0</v>
      </c>
      <c r="CB16" s="33"/>
      <c r="CC16" s="37">
        <f t="shared" si="12"/>
        <v>-1</v>
      </c>
      <c r="CD16" s="36">
        <f>[1]MJ!$O16</f>
        <v>1666.6666666666667</v>
      </c>
      <c r="CE16" s="31">
        <f t="shared" si="56"/>
        <v>1593</v>
      </c>
      <c r="CF16" s="18">
        <f t="shared" si="57"/>
        <v>73.666666666666657</v>
      </c>
      <c r="CG16" s="31">
        <f t="shared" si="58"/>
        <v>0</v>
      </c>
      <c r="CH16" s="31">
        <f t="shared" si="59"/>
        <v>0</v>
      </c>
      <c r="CI16" s="33"/>
      <c r="CJ16" s="37">
        <f t="shared" si="13"/>
        <v>-1</v>
      </c>
      <c r="CK16" s="36">
        <f>[1]MJ!$P16</f>
        <v>1666.6666666666667</v>
      </c>
      <c r="CL16" s="31">
        <f t="shared" si="60"/>
        <v>1593</v>
      </c>
      <c r="CM16" s="18">
        <f t="shared" si="61"/>
        <v>73.666666666666657</v>
      </c>
      <c r="CN16" s="31">
        <f t="shared" si="62"/>
        <v>0</v>
      </c>
      <c r="CO16" s="31">
        <f t="shared" si="63"/>
        <v>0</v>
      </c>
      <c r="CP16" s="33"/>
      <c r="CQ16" s="37">
        <f t="shared" si="14"/>
        <v>-1</v>
      </c>
    </row>
    <row r="17" spans="1:95" s="26" customFormat="1" ht="16" customHeight="1" thickBot="1" x14ac:dyDescent="0.25">
      <c r="A17" s="38" t="s">
        <v>41</v>
      </c>
      <c r="B17" s="30">
        <f t="shared" si="0"/>
        <v>453340.8000000001</v>
      </c>
      <c r="C17" s="31">
        <f t="shared" si="0"/>
        <v>433303.13663999998</v>
      </c>
      <c r="D17" s="32">
        <f t="shared" si="0"/>
        <v>20037.663360000002</v>
      </c>
      <c r="E17" s="30">
        <f t="shared" si="15"/>
        <v>151113.60000000001</v>
      </c>
      <c r="F17" s="33">
        <f t="shared" si="15"/>
        <v>144434.37888</v>
      </c>
      <c r="G17" s="34">
        <f t="shared" si="15"/>
        <v>6679.2211199999992</v>
      </c>
      <c r="H17" s="31">
        <f t="shared" si="1"/>
        <v>229442.447124</v>
      </c>
      <c r="I17" s="33">
        <f t="shared" si="1"/>
        <v>10610.332876</v>
      </c>
      <c r="J17" s="33">
        <f t="shared" si="1"/>
        <v>240052.78</v>
      </c>
      <c r="K17" s="37">
        <f t="shared" si="2"/>
        <v>0.58855840903796874</v>
      </c>
      <c r="L17" s="36">
        <f>[1]MJ!$E17</f>
        <v>37778.400000000001</v>
      </c>
      <c r="M17" s="31">
        <f t="shared" si="16"/>
        <v>36108.594720000001</v>
      </c>
      <c r="N17" s="31">
        <f t="shared" si="17"/>
        <v>1669.8052799999998</v>
      </c>
      <c r="O17" s="31">
        <f t="shared" si="18"/>
        <v>35335.734840000005</v>
      </c>
      <c r="P17" s="31">
        <f t="shared" si="19"/>
        <v>1634.0651599999999</v>
      </c>
      <c r="Q17" s="31">
        <v>36969.800000000003</v>
      </c>
      <c r="R17" s="31">
        <f t="shared" si="3"/>
        <v>-2.1403765114456852E-2</v>
      </c>
      <c r="S17" s="31">
        <f>[1]MJ!$F17</f>
        <v>37778.400000000001</v>
      </c>
      <c r="T17" s="31">
        <f t="shared" si="20"/>
        <v>36108.594720000001</v>
      </c>
      <c r="U17" s="31">
        <f t="shared" si="21"/>
        <v>1669.8052799999998</v>
      </c>
      <c r="V17" s="31">
        <f t="shared" si="22"/>
        <v>50344.604891999996</v>
      </c>
      <c r="W17" s="31">
        <f t="shared" si="23"/>
        <v>2328.1351079999995</v>
      </c>
      <c r="X17" s="31">
        <v>52672.74</v>
      </c>
      <c r="Y17" s="31">
        <f t="shared" si="4"/>
        <v>0.39425544755733433</v>
      </c>
      <c r="Z17" s="31">
        <f>[1]MJ!$G17</f>
        <v>37778.400000000001</v>
      </c>
      <c r="AA17" s="31">
        <f t="shared" si="24"/>
        <v>36108.594720000001</v>
      </c>
      <c r="AB17" s="31">
        <f t="shared" si="25"/>
        <v>1669.8052799999998</v>
      </c>
      <c r="AC17" s="31">
        <f t="shared" si="26"/>
        <v>37596.660623999996</v>
      </c>
      <c r="AD17" s="31">
        <f t="shared" si="27"/>
        <v>1738.6193759999999</v>
      </c>
      <c r="AE17" s="31">
        <v>39335.279999999999</v>
      </c>
      <c r="AF17" s="31">
        <f t="shared" si="5"/>
        <v>4.121085064481278E-2</v>
      </c>
      <c r="AG17" s="31">
        <f>[1]MJ!$H17</f>
        <v>37778.400000000001</v>
      </c>
      <c r="AH17" s="31">
        <f t="shared" si="28"/>
        <v>36108.594720000001</v>
      </c>
      <c r="AI17" s="31">
        <f t="shared" si="29"/>
        <v>1669.8052799999998</v>
      </c>
      <c r="AJ17" s="31">
        <f t="shared" si="30"/>
        <v>38573.746290000003</v>
      </c>
      <c r="AK17" s="31">
        <f t="shared" si="31"/>
        <v>1783.8037099999999</v>
      </c>
      <c r="AL17" s="31">
        <v>40357.550000000003</v>
      </c>
      <c r="AM17" s="31">
        <f t="shared" si="6"/>
        <v>6.8270493191876946E-2</v>
      </c>
      <c r="AN17" s="31">
        <f>[1]MJ!$I17</f>
        <v>37778.400000000001</v>
      </c>
      <c r="AO17" s="31">
        <f t="shared" si="32"/>
        <v>36108.594720000001</v>
      </c>
      <c r="AP17" s="31">
        <f t="shared" si="33"/>
        <v>1669.8052799999998</v>
      </c>
      <c r="AQ17" s="31">
        <f t="shared" si="34"/>
        <v>29192.072273999998</v>
      </c>
      <c r="AR17" s="31">
        <f t="shared" si="35"/>
        <v>1349.9577259999999</v>
      </c>
      <c r="AS17" s="33">
        <v>30542.03</v>
      </c>
      <c r="AT17" s="37">
        <f t="shared" si="7"/>
        <v>-0.19154781568303592</v>
      </c>
      <c r="AU17" s="36">
        <f>[1]MJ!$J17</f>
        <v>37778.400000000001</v>
      </c>
      <c r="AV17" s="31">
        <f t="shared" si="36"/>
        <v>36108.594720000001</v>
      </c>
      <c r="AW17" s="18">
        <f t="shared" si="37"/>
        <v>1669.8052799999998</v>
      </c>
      <c r="AX17" s="31">
        <f t="shared" si="38"/>
        <v>38399.628204000001</v>
      </c>
      <c r="AY17" s="31">
        <f t="shared" si="39"/>
        <v>1775.7517959999998</v>
      </c>
      <c r="AZ17" s="33">
        <v>40175.379999999997</v>
      </c>
      <c r="BA17" s="37">
        <f t="shared" si="8"/>
        <v>6.3448425555343579E-2</v>
      </c>
      <c r="BB17" s="36">
        <f>[1]MJ!$K17</f>
        <v>37778.400000000001</v>
      </c>
      <c r="BC17" s="31">
        <f t="shared" si="40"/>
        <v>36108.594720000001</v>
      </c>
      <c r="BD17" s="18">
        <f t="shared" si="41"/>
        <v>1669.8052799999998</v>
      </c>
      <c r="BE17" s="31">
        <f t="shared" si="42"/>
        <v>0</v>
      </c>
      <c r="BF17" s="31">
        <f t="shared" si="43"/>
        <v>0</v>
      </c>
      <c r="BG17" s="27"/>
      <c r="BH17" s="37">
        <f t="shared" si="9"/>
        <v>-1</v>
      </c>
      <c r="BI17" s="36">
        <f>[1]MJ!$L17</f>
        <v>37778.400000000001</v>
      </c>
      <c r="BJ17" s="31">
        <f t="shared" si="44"/>
        <v>36108.594720000001</v>
      </c>
      <c r="BK17" s="18">
        <f t="shared" si="45"/>
        <v>1669.8052799999998</v>
      </c>
      <c r="BL17" s="31">
        <f t="shared" si="46"/>
        <v>0</v>
      </c>
      <c r="BM17" s="31">
        <f t="shared" si="47"/>
        <v>0</v>
      </c>
      <c r="BN17" s="33"/>
      <c r="BO17" s="37">
        <f t="shared" si="10"/>
        <v>-1</v>
      </c>
      <c r="BP17" s="36">
        <f>[1]MJ!$M17</f>
        <v>37778.400000000001</v>
      </c>
      <c r="BQ17" s="31">
        <f t="shared" si="48"/>
        <v>36108.594720000001</v>
      </c>
      <c r="BR17" s="18">
        <f t="shared" si="49"/>
        <v>1669.8052799999998</v>
      </c>
      <c r="BS17" s="31">
        <f t="shared" si="50"/>
        <v>0</v>
      </c>
      <c r="BT17" s="31">
        <f t="shared" si="51"/>
        <v>0</v>
      </c>
      <c r="BU17" s="33"/>
      <c r="BV17" s="37">
        <f t="shared" si="11"/>
        <v>-1</v>
      </c>
      <c r="BW17" s="36">
        <f>[1]MJ!$N17</f>
        <v>37778.400000000001</v>
      </c>
      <c r="BX17" s="31">
        <f t="shared" si="52"/>
        <v>36108.594720000001</v>
      </c>
      <c r="BY17" s="18">
        <f t="shared" si="53"/>
        <v>1669.8052799999998</v>
      </c>
      <c r="BZ17" s="31">
        <f t="shared" si="54"/>
        <v>0</v>
      </c>
      <c r="CA17" s="31">
        <f t="shared" si="55"/>
        <v>0</v>
      </c>
      <c r="CB17" s="33"/>
      <c r="CC17" s="37">
        <f t="shared" si="12"/>
        <v>-1</v>
      </c>
      <c r="CD17" s="36">
        <f>[1]MJ!$O17</f>
        <v>37778.400000000001</v>
      </c>
      <c r="CE17" s="31">
        <f t="shared" si="56"/>
        <v>36108.594720000001</v>
      </c>
      <c r="CF17" s="18">
        <f t="shared" si="57"/>
        <v>1669.8052799999998</v>
      </c>
      <c r="CG17" s="31">
        <f t="shared" si="58"/>
        <v>0</v>
      </c>
      <c r="CH17" s="31">
        <f t="shared" si="59"/>
        <v>0</v>
      </c>
      <c r="CI17" s="33"/>
      <c r="CJ17" s="37">
        <f t="shared" si="13"/>
        <v>-1</v>
      </c>
      <c r="CK17" s="36">
        <f>[1]MJ!$P17</f>
        <v>37778.400000000001</v>
      </c>
      <c r="CL17" s="31">
        <f t="shared" si="60"/>
        <v>36108.594720000001</v>
      </c>
      <c r="CM17" s="18">
        <f t="shared" si="61"/>
        <v>1669.8052799999998</v>
      </c>
      <c r="CN17" s="31">
        <f t="shared" si="62"/>
        <v>0</v>
      </c>
      <c r="CO17" s="31">
        <f t="shared" si="63"/>
        <v>0</v>
      </c>
      <c r="CP17" s="33"/>
      <c r="CQ17" s="37">
        <f t="shared" si="14"/>
        <v>-1</v>
      </c>
    </row>
    <row r="18" spans="1:95" s="26" customFormat="1" ht="16" customHeight="1" thickBot="1" x14ac:dyDescent="0.25">
      <c r="A18" s="38" t="s">
        <v>42</v>
      </c>
      <c r="B18" s="30">
        <f t="shared" si="0"/>
        <v>78020.800000000017</v>
      </c>
      <c r="C18" s="31">
        <f t="shared" si="0"/>
        <v>74572.280640000012</v>
      </c>
      <c r="D18" s="32">
        <f t="shared" si="0"/>
        <v>3448.5193599999998</v>
      </c>
      <c r="E18" s="30">
        <f t="shared" si="15"/>
        <v>26006.933333333334</v>
      </c>
      <c r="F18" s="33">
        <f t="shared" si="15"/>
        <v>24857.426880000003</v>
      </c>
      <c r="G18" s="34">
        <f t="shared" si="15"/>
        <v>1149.5064533333332</v>
      </c>
      <c r="H18" s="31">
        <f t="shared" si="1"/>
        <v>60576.663725999999</v>
      </c>
      <c r="I18" s="33">
        <f t="shared" si="1"/>
        <v>2801.3062739999996</v>
      </c>
      <c r="J18" s="33">
        <f t="shared" si="1"/>
        <v>63377.97</v>
      </c>
      <c r="K18" s="37">
        <f t="shared" si="2"/>
        <v>1.4369643736029367</v>
      </c>
      <c r="L18" s="36">
        <f>[1]MJ!$E18</f>
        <v>6501.7333333333336</v>
      </c>
      <c r="M18" s="31">
        <f t="shared" si="16"/>
        <v>6214.3567200000007</v>
      </c>
      <c r="N18" s="31">
        <f t="shared" si="17"/>
        <v>287.3766133333333</v>
      </c>
      <c r="O18" s="31">
        <f t="shared" si="18"/>
        <v>7772.1450480000003</v>
      </c>
      <c r="P18" s="31">
        <f t="shared" si="19"/>
        <v>359.41495199999997</v>
      </c>
      <c r="Q18" s="31">
        <v>8131.56</v>
      </c>
      <c r="R18" s="31">
        <f t="shared" si="3"/>
        <v>0.25067571724463211</v>
      </c>
      <c r="S18" s="31">
        <f>[1]MJ!$F18</f>
        <v>6501.7333333333336</v>
      </c>
      <c r="T18" s="31">
        <f t="shared" si="20"/>
        <v>6214.3567200000007</v>
      </c>
      <c r="U18" s="31">
        <f t="shared" si="21"/>
        <v>287.3766133333333</v>
      </c>
      <c r="V18" s="31">
        <f t="shared" si="22"/>
        <v>0</v>
      </c>
      <c r="W18" s="31">
        <f t="shared" si="23"/>
        <v>0</v>
      </c>
      <c r="X18" s="31"/>
      <c r="Y18" s="31">
        <f t="shared" si="4"/>
        <v>-1</v>
      </c>
      <c r="Z18" s="31">
        <f>[1]MJ!$G18</f>
        <v>6501.7333333333336</v>
      </c>
      <c r="AA18" s="31">
        <f t="shared" si="24"/>
        <v>6214.3567200000007</v>
      </c>
      <c r="AB18" s="31">
        <f t="shared" si="25"/>
        <v>287.3766133333333</v>
      </c>
      <c r="AC18" s="31">
        <f t="shared" si="26"/>
        <v>26559.894654</v>
      </c>
      <c r="AD18" s="31">
        <f t="shared" si="27"/>
        <v>1228.2353459999999</v>
      </c>
      <c r="AE18" s="31">
        <v>27788.13</v>
      </c>
      <c r="AF18" s="31">
        <f t="shared" si="5"/>
        <v>3.2739572011566143</v>
      </c>
      <c r="AG18" s="31">
        <f>[1]MJ!$H18</f>
        <v>6501.7333333333336</v>
      </c>
      <c r="AH18" s="31">
        <f t="shared" si="28"/>
        <v>6214.3567200000007</v>
      </c>
      <c r="AI18" s="31">
        <f t="shared" si="29"/>
        <v>287.3766133333333</v>
      </c>
      <c r="AJ18" s="31">
        <f t="shared" si="30"/>
        <v>0</v>
      </c>
      <c r="AK18" s="31">
        <f t="shared" si="31"/>
        <v>0</v>
      </c>
      <c r="AL18" s="31"/>
      <c r="AM18" s="31">
        <f t="shared" si="6"/>
        <v>-1</v>
      </c>
      <c r="AN18" s="31">
        <f>[1]MJ!$I18</f>
        <v>6501.7333333333336</v>
      </c>
      <c r="AO18" s="31">
        <f t="shared" si="32"/>
        <v>6214.3567200000007</v>
      </c>
      <c r="AP18" s="31">
        <f t="shared" si="33"/>
        <v>287.3766133333333</v>
      </c>
      <c r="AQ18" s="31">
        <f t="shared" si="34"/>
        <v>26244.624024000001</v>
      </c>
      <c r="AR18" s="31">
        <f t="shared" si="35"/>
        <v>1213.6559759999998</v>
      </c>
      <c r="AS18" s="33">
        <v>27458.28</v>
      </c>
      <c r="AT18" s="37">
        <f t="shared" si="7"/>
        <v>3.2232245760104998</v>
      </c>
      <c r="AU18" s="36">
        <f>[1]MJ!$J18</f>
        <v>6501.7333333333336</v>
      </c>
      <c r="AV18" s="31">
        <f t="shared" si="36"/>
        <v>6214.3567200000007</v>
      </c>
      <c r="AW18" s="18">
        <f t="shared" si="37"/>
        <v>287.3766133333333</v>
      </c>
      <c r="AX18" s="31">
        <f t="shared" si="38"/>
        <v>0</v>
      </c>
      <c r="AY18" s="31">
        <f t="shared" si="39"/>
        <v>0</v>
      </c>
      <c r="AZ18" s="33"/>
      <c r="BA18" s="37">
        <f t="shared" si="8"/>
        <v>-1</v>
      </c>
      <c r="BB18" s="36">
        <f>[1]MJ!$K18</f>
        <v>6501.7333333333336</v>
      </c>
      <c r="BC18" s="31">
        <f t="shared" si="40"/>
        <v>6214.3567200000007</v>
      </c>
      <c r="BD18" s="18">
        <f t="shared" si="41"/>
        <v>287.3766133333333</v>
      </c>
      <c r="BE18" s="31">
        <f t="shared" si="42"/>
        <v>0</v>
      </c>
      <c r="BF18" s="31">
        <f t="shared" si="43"/>
        <v>0</v>
      </c>
      <c r="BG18" s="27"/>
      <c r="BH18" s="37">
        <f t="shared" si="9"/>
        <v>-1</v>
      </c>
      <c r="BI18" s="36">
        <f>[1]MJ!$L18</f>
        <v>6501.7333333333336</v>
      </c>
      <c r="BJ18" s="31">
        <f t="shared" si="44"/>
        <v>6214.3567200000007</v>
      </c>
      <c r="BK18" s="18">
        <f t="shared" si="45"/>
        <v>287.3766133333333</v>
      </c>
      <c r="BL18" s="31">
        <f t="shared" si="46"/>
        <v>0</v>
      </c>
      <c r="BM18" s="31">
        <f t="shared" si="47"/>
        <v>0</v>
      </c>
      <c r="BN18" s="33"/>
      <c r="BO18" s="37">
        <f t="shared" si="10"/>
        <v>-1</v>
      </c>
      <c r="BP18" s="36">
        <f>[1]MJ!$M18</f>
        <v>6501.7333333333336</v>
      </c>
      <c r="BQ18" s="31">
        <f t="shared" si="48"/>
        <v>6214.3567200000007</v>
      </c>
      <c r="BR18" s="18">
        <f t="shared" si="49"/>
        <v>287.3766133333333</v>
      </c>
      <c r="BS18" s="31">
        <f t="shared" si="50"/>
        <v>0</v>
      </c>
      <c r="BT18" s="31">
        <f t="shared" si="51"/>
        <v>0</v>
      </c>
      <c r="BU18" s="33"/>
      <c r="BV18" s="37">
        <f t="shared" si="11"/>
        <v>-1</v>
      </c>
      <c r="BW18" s="36">
        <f>[1]MJ!$N18</f>
        <v>6501.7333333333336</v>
      </c>
      <c r="BX18" s="31">
        <f t="shared" si="52"/>
        <v>6214.3567200000007</v>
      </c>
      <c r="BY18" s="18">
        <f t="shared" si="53"/>
        <v>287.3766133333333</v>
      </c>
      <c r="BZ18" s="31">
        <f t="shared" si="54"/>
        <v>0</v>
      </c>
      <c r="CA18" s="31">
        <f t="shared" si="55"/>
        <v>0</v>
      </c>
      <c r="CB18" s="33"/>
      <c r="CC18" s="37">
        <f t="shared" si="12"/>
        <v>-1</v>
      </c>
      <c r="CD18" s="36">
        <f>[1]MJ!$O18</f>
        <v>6501.7333333333336</v>
      </c>
      <c r="CE18" s="31">
        <f t="shared" si="56"/>
        <v>6214.3567200000007</v>
      </c>
      <c r="CF18" s="18">
        <f t="shared" si="57"/>
        <v>287.3766133333333</v>
      </c>
      <c r="CG18" s="31">
        <f t="shared" si="58"/>
        <v>0</v>
      </c>
      <c r="CH18" s="31">
        <f t="shared" si="59"/>
        <v>0</v>
      </c>
      <c r="CI18" s="33"/>
      <c r="CJ18" s="37">
        <f t="shared" si="13"/>
        <v>-1</v>
      </c>
      <c r="CK18" s="36">
        <f>[1]MJ!$P18</f>
        <v>6501.7333333333336</v>
      </c>
      <c r="CL18" s="31">
        <f t="shared" si="60"/>
        <v>6214.3567200000007</v>
      </c>
      <c r="CM18" s="18">
        <f t="shared" si="61"/>
        <v>287.3766133333333</v>
      </c>
      <c r="CN18" s="31">
        <f t="shared" si="62"/>
        <v>0</v>
      </c>
      <c r="CO18" s="31">
        <f t="shared" si="63"/>
        <v>0</v>
      </c>
      <c r="CP18" s="33"/>
      <c r="CQ18" s="37">
        <f t="shared" si="14"/>
        <v>-1</v>
      </c>
    </row>
    <row r="19" spans="1:95" s="26" customFormat="1" ht="16" customHeight="1" thickBot="1" x14ac:dyDescent="0.25">
      <c r="A19" s="38" t="s">
        <v>43</v>
      </c>
      <c r="B19" s="30">
        <f t="shared" si="0"/>
        <v>30000</v>
      </c>
      <c r="C19" s="31">
        <f t="shared" si="0"/>
        <v>28674</v>
      </c>
      <c r="D19" s="32">
        <f t="shared" si="0"/>
        <v>1325.9999999999998</v>
      </c>
      <c r="E19" s="30">
        <f t="shared" si="15"/>
        <v>10000</v>
      </c>
      <c r="F19" s="33">
        <f t="shared" si="15"/>
        <v>9558</v>
      </c>
      <c r="G19" s="34">
        <f t="shared" si="15"/>
        <v>441.99999999999994</v>
      </c>
      <c r="H19" s="31">
        <f t="shared" si="1"/>
        <v>21361.403591999999</v>
      </c>
      <c r="I19" s="33">
        <f t="shared" si="1"/>
        <v>987.83640799999989</v>
      </c>
      <c r="J19" s="33">
        <f t="shared" si="1"/>
        <v>22349.239999999998</v>
      </c>
      <c r="K19" s="37">
        <f t="shared" si="2"/>
        <v>1.2349239999999999</v>
      </c>
      <c r="L19" s="36">
        <f>[1]MJ!$E19</f>
        <v>2500</v>
      </c>
      <c r="M19" s="31">
        <f t="shared" si="16"/>
        <v>2389.5</v>
      </c>
      <c r="N19" s="31">
        <f t="shared" si="17"/>
        <v>110.49999999999999</v>
      </c>
      <c r="O19" s="31">
        <f t="shared" si="18"/>
        <v>6562.1118059999999</v>
      </c>
      <c r="P19" s="31">
        <f t="shared" si="19"/>
        <v>303.45819399999993</v>
      </c>
      <c r="Q19" s="31">
        <v>6865.57</v>
      </c>
      <c r="R19" s="31">
        <f t="shared" si="3"/>
        <v>1.7462279999999999</v>
      </c>
      <c r="S19" s="31">
        <f>[1]MJ!$F19</f>
        <v>2500</v>
      </c>
      <c r="T19" s="31">
        <f t="shared" si="20"/>
        <v>2389.5</v>
      </c>
      <c r="U19" s="31">
        <f t="shared" si="21"/>
        <v>110.49999999999999</v>
      </c>
      <c r="V19" s="31">
        <f t="shared" si="22"/>
        <v>2129.7326759999996</v>
      </c>
      <c r="W19" s="31">
        <f t="shared" si="23"/>
        <v>98.487323999999987</v>
      </c>
      <c r="X19" s="31">
        <v>2228.2199999999998</v>
      </c>
      <c r="Y19" s="31">
        <f t="shared" si="4"/>
        <v>-0.10871200000000003</v>
      </c>
      <c r="Z19" s="31">
        <f>[1]MJ!$G19</f>
        <v>2500</v>
      </c>
      <c r="AA19" s="31">
        <f t="shared" si="24"/>
        <v>2389.5</v>
      </c>
      <c r="AB19" s="31">
        <f t="shared" si="25"/>
        <v>110.49999999999999</v>
      </c>
      <c r="AC19" s="31">
        <f t="shared" si="26"/>
        <v>3883.023522</v>
      </c>
      <c r="AD19" s="31">
        <f t="shared" si="27"/>
        <v>179.56647799999999</v>
      </c>
      <c r="AE19" s="31">
        <v>4062.59</v>
      </c>
      <c r="AF19" s="31">
        <f t="shared" si="5"/>
        <v>0.62503600000000015</v>
      </c>
      <c r="AG19" s="31">
        <f>[1]MJ!$H19</f>
        <v>2500</v>
      </c>
      <c r="AH19" s="31">
        <f t="shared" si="28"/>
        <v>2389.5</v>
      </c>
      <c r="AI19" s="31">
        <f t="shared" si="29"/>
        <v>110.49999999999999</v>
      </c>
      <c r="AJ19" s="31">
        <f t="shared" si="30"/>
        <v>3706.3630080000003</v>
      </c>
      <c r="AK19" s="31">
        <f t="shared" si="31"/>
        <v>171.39699199999998</v>
      </c>
      <c r="AL19" s="31">
        <v>3877.76</v>
      </c>
      <c r="AM19" s="31">
        <f t="shared" si="6"/>
        <v>0.55110400000000004</v>
      </c>
      <c r="AN19" s="31">
        <f>[1]MJ!$I19</f>
        <v>2500</v>
      </c>
      <c r="AO19" s="31">
        <f t="shared" si="32"/>
        <v>2389.5</v>
      </c>
      <c r="AP19" s="31">
        <f t="shared" si="33"/>
        <v>110.49999999999999</v>
      </c>
      <c r="AQ19" s="31">
        <f t="shared" si="34"/>
        <v>2342.6944740000004</v>
      </c>
      <c r="AR19" s="31">
        <f t="shared" si="35"/>
        <v>108.335526</v>
      </c>
      <c r="AS19" s="33">
        <v>2451.0300000000002</v>
      </c>
      <c r="AT19" s="37">
        <f t="shared" si="7"/>
        <v>-1.9587999999999939E-2</v>
      </c>
      <c r="AU19" s="36">
        <f>[1]MJ!$J19</f>
        <v>2500</v>
      </c>
      <c r="AV19" s="31">
        <f t="shared" si="36"/>
        <v>2389.5</v>
      </c>
      <c r="AW19" s="18">
        <f t="shared" si="37"/>
        <v>110.49999999999999</v>
      </c>
      <c r="AX19" s="31">
        <f t="shared" si="38"/>
        <v>2737.478106</v>
      </c>
      <c r="AY19" s="31">
        <f t="shared" si="39"/>
        <v>126.591894</v>
      </c>
      <c r="AZ19" s="33">
        <v>2864.07</v>
      </c>
      <c r="BA19" s="37">
        <f t="shared" si="8"/>
        <v>0.14562800000000009</v>
      </c>
      <c r="BB19" s="36">
        <f>[1]MJ!$K19</f>
        <v>2500</v>
      </c>
      <c r="BC19" s="31">
        <f t="shared" si="40"/>
        <v>2389.5</v>
      </c>
      <c r="BD19" s="18">
        <f t="shared" si="41"/>
        <v>110.49999999999999</v>
      </c>
      <c r="BE19" s="31">
        <f t="shared" si="42"/>
        <v>0</v>
      </c>
      <c r="BF19" s="31">
        <f t="shared" si="43"/>
        <v>0</v>
      </c>
      <c r="BG19" s="27"/>
      <c r="BH19" s="37">
        <f t="shared" si="9"/>
        <v>-1</v>
      </c>
      <c r="BI19" s="36">
        <f>[1]MJ!$L19</f>
        <v>2500</v>
      </c>
      <c r="BJ19" s="31">
        <f t="shared" si="44"/>
        <v>2389.5</v>
      </c>
      <c r="BK19" s="18">
        <f t="shared" si="45"/>
        <v>110.49999999999999</v>
      </c>
      <c r="BL19" s="31">
        <f t="shared" si="46"/>
        <v>0</v>
      </c>
      <c r="BM19" s="31">
        <f t="shared" si="47"/>
        <v>0</v>
      </c>
      <c r="BN19" s="33"/>
      <c r="BO19" s="37">
        <f t="shared" si="10"/>
        <v>-1</v>
      </c>
      <c r="BP19" s="36">
        <f>[1]MJ!$M19</f>
        <v>2500</v>
      </c>
      <c r="BQ19" s="31">
        <f t="shared" si="48"/>
        <v>2389.5</v>
      </c>
      <c r="BR19" s="18">
        <f t="shared" si="49"/>
        <v>110.49999999999999</v>
      </c>
      <c r="BS19" s="31">
        <f t="shared" si="50"/>
        <v>0</v>
      </c>
      <c r="BT19" s="31">
        <f t="shared" si="51"/>
        <v>0</v>
      </c>
      <c r="BU19" s="33"/>
      <c r="BV19" s="37">
        <f t="shared" si="11"/>
        <v>-1</v>
      </c>
      <c r="BW19" s="36">
        <f>[1]MJ!$N19</f>
        <v>2500</v>
      </c>
      <c r="BX19" s="31">
        <f t="shared" si="52"/>
        <v>2389.5</v>
      </c>
      <c r="BY19" s="18">
        <f t="shared" si="53"/>
        <v>110.49999999999999</v>
      </c>
      <c r="BZ19" s="31">
        <f t="shared" si="54"/>
        <v>0</v>
      </c>
      <c r="CA19" s="31">
        <f t="shared" si="55"/>
        <v>0</v>
      </c>
      <c r="CB19" s="33"/>
      <c r="CC19" s="37">
        <f t="shared" si="12"/>
        <v>-1</v>
      </c>
      <c r="CD19" s="36">
        <f>[1]MJ!$O19</f>
        <v>2500</v>
      </c>
      <c r="CE19" s="31">
        <f t="shared" si="56"/>
        <v>2389.5</v>
      </c>
      <c r="CF19" s="18">
        <f t="shared" si="57"/>
        <v>110.49999999999999</v>
      </c>
      <c r="CG19" s="31">
        <f t="shared" si="58"/>
        <v>0</v>
      </c>
      <c r="CH19" s="31">
        <f t="shared" si="59"/>
        <v>0</v>
      </c>
      <c r="CI19" s="33"/>
      <c r="CJ19" s="37">
        <f t="shared" si="13"/>
        <v>-1</v>
      </c>
      <c r="CK19" s="36">
        <f>[1]MJ!$P19</f>
        <v>2500</v>
      </c>
      <c r="CL19" s="31">
        <f t="shared" si="60"/>
        <v>2389.5</v>
      </c>
      <c r="CM19" s="18">
        <f t="shared" si="61"/>
        <v>110.49999999999999</v>
      </c>
      <c r="CN19" s="31">
        <f t="shared" si="62"/>
        <v>0</v>
      </c>
      <c r="CO19" s="31">
        <f t="shared" si="63"/>
        <v>0</v>
      </c>
      <c r="CP19" s="33"/>
      <c r="CQ19" s="37">
        <f t="shared" si="14"/>
        <v>-1</v>
      </c>
    </row>
    <row r="20" spans="1:95" s="26" customFormat="1" ht="16" customHeight="1" thickBot="1" x14ac:dyDescent="0.25">
      <c r="A20" s="29" t="s">
        <v>44</v>
      </c>
      <c r="B20" s="30">
        <f t="shared" si="0"/>
        <v>587164.72980571399</v>
      </c>
      <c r="C20" s="31">
        <f t="shared" si="0"/>
        <v>561212.04874830146</v>
      </c>
      <c r="D20" s="32">
        <f t="shared" si="0"/>
        <v>25952.681057412559</v>
      </c>
      <c r="E20" s="30">
        <f t="shared" si="15"/>
        <v>335465.90490285697</v>
      </c>
      <c r="F20" s="33">
        <f t="shared" si="15"/>
        <v>320638.31190615072</v>
      </c>
      <c r="G20" s="34">
        <f t="shared" si="15"/>
        <v>14827.592996706277</v>
      </c>
      <c r="H20" s="31">
        <f t="shared" si="1"/>
        <v>333511.37526600005</v>
      </c>
      <c r="I20" s="33">
        <f t="shared" si="1"/>
        <v>15422.894733999998</v>
      </c>
      <c r="J20" s="33">
        <f t="shared" si="1"/>
        <v>348934.26999999996</v>
      </c>
      <c r="K20" s="37">
        <f t="shared" si="2"/>
        <v>4.0148238316627394E-2</v>
      </c>
      <c r="L20" s="36">
        <f>[1]MJ!$E20</f>
        <v>0</v>
      </c>
      <c r="M20" s="31">
        <f t="shared" si="16"/>
        <v>0</v>
      </c>
      <c r="N20" s="31">
        <f t="shared" si="17"/>
        <v>0</v>
      </c>
      <c r="O20" s="31">
        <f t="shared" si="18"/>
        <v>0</v>
      </c>
      <c r="P20" s="31">
        <f t="shared" si="19"/>
        <v>0</v>
      </c>
      <c r="Q20" s="31"/>
      <c r="R20" s="31" t="str">
        <f t="shared" si="3"/>
        <v/>
      </c>
      <c r="S20" s="31">
        <f>[1]MJ!$F20</f>
        <v>0</v>
      </c>
      <c r="T20" s="31">
        <f t="shared" si="20"/>
        <v>0</v>
      </c>
      <c r="U20" s="31">
        <f t="shared" si="21"/>
        <v>0</v>
      </c>
      <c r="V20" s="31">
        <f t="shared" si="22"/>
        <v>0</v>
      </c>
      <c r="W20" s="31">
        <f t="shared" si="23"/>
        <v>0</v>
      </c>
      <c r="X20" s="31"/>
      <c r="Y20" s="31" t="str">
        <f t="shared" si="4"/>
        <v/>
      </c>
      <c r="Z20" s="31">
        <f>[1]MJ!$G20</f>
        <v>335465.90490285697</v>
      </c>
      <c r="AA20" s="31">
        <f t="shared" si="24"/>
        <v>320638.31190615072</v>
      </c>
      <c r="AB20" s="31">
        <f t="shared" si="25"/>
        <v>14827.592996706277</v>
      </c>
      <c r="AC20" s="31">
        <f t="shared" si="26"/>
        <v>148607.54505000002</v>
      </c>
      <c r="AD20" s="31">
        <f t="shared" si="27"/>
        <v>6872.2049499999994</v>
      </c>
      <c r="AE20" s="31">
        <v>155479.75</v>
      </c>
      <c r="AF20" s="31">
        <f t="shared" si="5"/>
        <v>-0.53652592490726203</v>
      </c>
      <c r="AG20" s="31">
        <f>[1]MJ!$H20</f>
        <v>0</v>
      </c>
      <c r="AH20" s="31">
        <f t="shared" si="28"/>
        <v>0</v>
      </c>
      <c r="AI20" s="31">
        <f t="shared" si="29"/>
        <v>0</v>
      </c>
      <c r="AJ20" s="31">
        <f t="shared" si="30"/>
        <v>36824.269086</v>
      </c>
      <c r="AK20" s="31">
        <f t="shared" si="31"/>
        <v>1702.9009139999998</v>
      </c>
      <c r="AL20" s="31">
        <v>38527.17</v>
      </c>
      <c r="AM20" s="31" t="str">
        <f t="shared" si="6"/>
        <v/>
      </c>
      <c r="AN20" s="31">
        <f>[1]MJ!$I20</f>
        <v>8079.24</v>
      </c>
      <c r="AO20" s="31">
        <f t="shared" si="32"/>
        <v>7722.137592</v>
      </c>
      <c r="AP20" s="31">
        <f t="shared" si="33"/>
        <v>357.10240799999997</v>
      </c>
      <c r="AQ20" s="31">
        <f t="shared" si="34"/>
        <v>120669.98895</v>
      </c>
      <c r="AR20" s="31">
        <f t="shared" si="35"/>
        <v>5580.2610499999992</v>
      </c>
      <c r="AS20" s="33">
        <v>126250.25</v>
      </c>
      <c r="AT20" s="37">
        <f t="shared" si="7"/>
        <v>14.626500759972473</v>
      </c>
      <c r="AU20" s="36">
        <f>[1]MJ!$J20</f>
        <v>8079.24</v>
      </c>
      <c r="AV20" s="31">
        <f t="shared" si="36"/>
        <v>7722.137592</v>
      </c>
      <c r="AW20" s="18">
        <f t="shared" si="37"/>
        <v>357.10240799999997</v>
      </c>
      <c r="AX20" s="31">
        <f t="shared" si="38"/>
        <v>27409.572179999999</v>
      </c>
      <c r="AY20" s="31">
        <f t="shared" si="39"/>
        <v>1267.5278199999998</v>
      </c>
      <c r="AZ20" s="33">
        <v>28677.1</v>
      </c>
      <c r="BA20" s="37">
        <f t="shared" si="8"/>
        <v>2.5494799015749003</v>
      </c>
      <c r="BB20" s="36">
        <f>[1]MJ!$K20</f>
        <v>156084.24</v>
      </c>
      <c r="BC20" s="31">
        <f t="shared" si="40"/>
        <v>149185.31659199999</v>
      </c>
      <c r="BD20" s="18">
        <f t="shared" si="41"/>
        <v>6898.9234079999987</v>
      </c>
      <c r="BE20" s="31">
        <f t="shared" si="42"/>
        <v>0</v>
      </c>
      <c r="BF20" s="31">
        <f t="shared" si="43"/>
        <v>0</v>
      </c>
      <c r="BG20" s="27"/>
      <c r="BH20" s="37">
        <f t="shared" si="9"/>
        <v>-1</v>
      </c>
      <c r="BI20" s="36">
        <f>[1]MJ!$L20</f>
        <v>22345.144902857101</v>
      </c>
      <c r="BJ20" s="31">
        <f t="shared" si="44"/>
        <v>21357.489498150815</v>
      </c>
      <c r="BK20" s="18">
        <f t="shared" si="45"/>
        <v>987.65540470628378</v>
      </c>
      <c r="BL20" s="31">
        <f t="shared" si="46"/>
        <v>0</v>
      </c>
      <c r="BM20" s="31">
        <f t="shared" si="47"/>
        <v>0</v>
      </c>
      <c r="BN20" s="33"/>
      <c r="BO20" s="37">
        <f t="shared" si="10"/>
        <v>-1</v>
      </c>
      <c r="BP20" s="36">
        <f>[1]MJ!$M20</f>
        <v>32873.24</v>
      </c>
      <c r="BQ20" s="31">
        <f t="shared" si="48"/>
        <v>31420.242791999997</v>
      </c>
      <c r="BR20" s="18">
        <f t="shared" si="49"/>
        <v>1452.9972079999998</v>
      </c>
      <c r="BS20" s="31">
        <f t="shared" si="50"/>
        <v>0</v>
      </c>
      <c r="BT20" s="31">
        <f t="shared" si="51"/>
        <v>0</v>
      </c>
      <c r="BU20" s="33"/>
      <c r="BV20" s="37">
        <f t="shared" si="11"/>
        <v>-1</v>
      </c>
      <c r="BW20" s="36">
        <f>[1]MJ!$N20</f>
        <v>8079.24</v>
      </c>
      <c r="BX20" s="31">
        <f t="shared" si="52"/>
        <v>7722.137592</v>
      </c>
      <c r="BY20" s="18">
        <f t="shared" si="53"/>
        <v>357.10240799999997</v>
      </c>
      <c r="BZ20" s="31">
        <f t="shared" si="54"/>
        <v>0</v>
      </c>
      <c r="CA20" s="31">
        <f t="shared" si="55"/>
        <v>0</v>
      </c>
      <c r="CB20" s="33"/>
      <c r="CC20" s="37">
        <f t="shared" si="12"/>
        <v>-1</v>
      </c>
      <c r="CD20" s="36">
        <f>[1]MJ!$O20</f>
        <v>8079.24</v>
      </c>
      <c r="CE20" s="31">
        <f t="shared" si="56"/>
        <v>7722.137592</v>
      </c>
      <c r="CF20" s="18">
        <f t="shared" si="57"/>
        <v>357.10240799999997</v>
      </c>
      <c r="CG20" s="31">
        <f t="shared" si="58"/>
        <v>0</v>
      </c>
      <c r="CH20" s="31">
        <f t="shared" si="59"/>
        <v>0</v>
      </c>
      <c r="CI20" s="33"/>
      <c r="CJ20" s="37">
        <f t="shared" si="13"/>
        <v>-1</v>
      </c>
      <c r="CK20" s="36">
        <f>[1]MJ!$P20</f>
        <v>8079.24</v>
      </c>
      <c r="CL20" s="31">
        <f t="shared" si="60"/>
        <v>7722.137592</v>
      </c>
      <c r="CM20" s="18">
        <f t="shared" si="61"/>
        <v>357.10240799999997</v>
      </c>
      <c r="CN20" s="31">
        <f t="shared" si="62"/>
        <v>0</v>
      </c>
      <c r="CO20" s="31">
        <f t="shared" si="63"/>
        <v>0</v>
      </c>
      <c r="CP20" s="33"/>
      <c r="CQ20" s="37">
        <f t="shared" si="14"/>
        <v>-1</v>
      </c>
    </row>
    <row r="21" spans="1:95" s="26" customFormat="1" ht="16" customHeight="1" thickBot="1" x14ac:dyDescent="0.25">
      <c r="A21" s="38" t="s">
        <v>45</v>
      </c>
      <c r="B21" s="30">
        <f t="shared" si="0"/>
        <v>133913.64300000001</v>
      </c>
      <c r="C21" s="31">
        <f t="shared" si="0"/>
        <v>127994.65997940001</v>
      </c>
      <c r="D21" s="32">
        <f t="shared" si="0"/>
        <v>5918.9830205999997</v>
      </c>
      <c r="E21" s="30">
        <f t="shared" si="15"/>
        <v>133913.64300000001</v>
      </c>
      <c r="F21" s="33">
        <f t="shared" si="15"/>
        <v>127994.65997940001</v>
      </c>
      <c r="G21" s="34">
        <f t="shared" si="15"/>
        <v>5918.9830205999997</v>
      </c>
      <c r="H21" s="31">
        <f t="shared" si="1"/>
        <v>65806.83</v>
      </c>
      <c r="I21" s="33">
        <f t="shared" si="1"/>
        <v>3043.1699999999996</v>
      </c>
      <c r="J21" s="33">
        <f t="shared" si="1"/>
        <v>68850</v>
      </c>
      <c r="K21" s="37">
        <f t="shared" si="2"/>
        <v>-0.48586269137641191</v>
      </c>
      <c r="L21" s="36">
        <f>[1]MJ!$E21</f>
        <v>133913.64300000001</v>
      </c>
      <c r="M21" s="31">
        <f t="shared" si="16"/>
        <v>127994.65997940001</v>
      </c>
      <c r="N21" s="31">
        <f t="shared" si="17"/>
        <v>5918.9830205999997</v>
      </c>
      <c r="O21" s="31">
        <f t="shared" si="18"/>
        <v>7598.61</v>
      </c>
      <c r="P21" s="31">
        <f t="shared" si="19"/>
        <v>351.39</v>
      </c>
      <c r="Q21" s="31">
        <v>7950</v>
      </c>
      <c r="R21" s="31">
        <f t="shared" si="3"/>
        <v>-0.94063338266437868</v>
      </c>
      <c r="S21" s="31">
        <f>[1]MJ!$F21</f>
        <v>0</v>
      </c>
      <c r="T21" s="31">
        <f t="shared" si="20"/>
        <v>0</v>
      </c>
      <c r="U21" s="31">
        <f t="shared" si="21"/>
        <v>0</v>
      </c>
      <c r="V21" s="31">
        <f t="shared" si="22"/>
        <v>58208.22</v>
      </c>
      <c r="W21" s="31">
        <f t="shared" si="23"/>
        <v>2691.7799999999997</v>
      </c>
      <c r="X21" s="31">
        <f>60900</f>
        <v>60900</v>
      </c>
      <c r="Y21" s="31" t="str">
        <f t="shared" si="4"/>
        <v/>
      </c>
      <c r="Z21" s="31">
        <f>[1]MJ!$G21</f>
        <v>0</v>
      </c>
      <c r="AA21" s="31">
        <f t="shared" si="24"/>
        <v>0</v>
      </c>
      <c r="AB21" s="31">
        <f t="shared" si="25"/>
        <v>0</v>
      </c>
      <c r="AC21" s="31">
        <f t="shared" si="26"/>
        <v>0</v>
      </c>
      <c r="AD21" s="31">
        <f t="shared" si="27"/>
        <v>0</v>
      </c>
      <c r="AE21" s="31"/>
      <c r="AF21" s="31" t="str">
        <f t="shared" si="5"/>
        <v/>
      </c>
      <c r="AG21" s="31">
        <f>[1]MJ!$H21</f>
        <v>0</v>
      </c>
      <c r="AH21" s="31">
        <f t="shared" si="28"/>
        <v>0</v>
      </c>
      <c r="AI21" s="31">
        <f t="shared" si="29"/>
        <v>0</v>
      </c>
      <c r="AJ21" s="31">
        <f t="shared" si="30"/>
        <v>0</v>
      </c>
      <c r="AK21" s="31">
        <f t="shared" si="31"/>
        <v>0</v>
      </c>
      <c r="AL21" s="31"/>
      <c r="AM21" s="31" t="str">
        <f t="shared" si="6"/>
        <v/>
      </c>
      <c r="AN21" s="31">
        <f>[1]MJ!$I21</f>
        <v>0</v>
      </c>
      <c r="AO21" s="31">
        <f t="shared" si="32"/>
        <v>0</v>
      </c>
      <c r="AP21" s="31">
        <f t="shared" si="33"/>
        <v>0</v>
      </c>
      <c r="AQ21" s="31">
        <f t="shared" si="34"/>
        <v>0</v>
      </c>
      <c r="AR21" s="31">
        <f t="shared" si="35"/>
        <v>0</v>
      </c>
      <c r="AS21" s="33"/>
      <c r="AT21" s="37" t="str">
        <f t="shared" si="7"/>
        <v/>
      </c>
      <c r="AU21" s="36">
        <f>[1]MJ!$J21</f>
        <v>0</v>
      </c>
      <c r="AV21" s="31">
        <f t="shared" si="36"/>
        <v>0</v>
      </c>
      <c r="AW21" s="18">
        <f t="shared" si="37"/>
        <v>0</v>
      </c>
      <c r="AX21" s="31">
        <f t="shared" si="38"/>
        <v>0</v>
      </c>
      <c r="AY21" s="31">
        <f t="shared" si="39"/>
        <v>0</v>
      </c>
      <c r="AZ21" s="33"/>
      <c r="BA21" s="37" t="str">
        <f t="shared" si="8"/>
        <v/>
      </c>
      <c r="BB21" s="36">
        <f>[1]MJ!$K21</f>
        <v>0</v>
      </c>
      <c r="BC21" s="31">
        <f t="shared" si="40"/>
        <v>0</v>
      </c>
      <c r="BD21" s="18">
        <f t="shared" si="41"/>
        <v>0</v>
      </c>
      <c r="BE21" s="31">
        <f t="shared" si="42"/>
        <v>0</v>
      </c>
      <c r="BF21" s="31">
        <f t="shared" si="43"/>
        <v>0</v>
      </c>
      <c r="BG21" s="27"/>
      <c r="BH21" s="37" t="str">
        <f t="shared" si="9"/>
        <v/>
      </c>
      <c r="BI21" s="36">
        <f>[1]MJ!$L21</f>
        <v>0</v>
      </c>
      <c r="BJ21" s="31">
        <f t="shared" si="44"/>
        <v>0</v>
      </c>
      <c r="BK21" s="18">
        <f t="shared" si="45"/>
        <v>0</v>
      </c>
      <c r="BL21" s="31">
        <f t="shared" si="46"/>
        <v>0</v>
      </c>
      <c r="BM21" s="31">
        <f t="shared" si="47"/>
        <v>0</v>
      </c>
      <c r="BN21" s="33"/>
      <c r="BO21" s="37" t="str">
        <f t="shared" si="10"/>
        <v/>
      </c>
      <c r="BP21" s="36">
        <f>[1]MJ!$M21</f>
        <v>0</v>
      </c>
      <c r="BQ21" s="31">
        <f t="shared" si="48"/>
        <v>0</v>
      </c>
      <c r="BR21" s="18">
        <f t="shared" si="49"/>
        <v>0</v>
      </c>
      <c r="BS21" s="31">
        <f t="shared" si="50"/>
        <v>0</v>
      </c>
      <c r="BT21" s="31">
        <f t="shared" si="51"/>
        <v>0</v>
      </c>
      <c r="BU21" s="33"/>
      <c r="BV21" s="37" t="str">
        <f t="shared" si="11"/>
        <v/>
      </c>
      <c r="BW21" s="36">
        <f>[1]MJ!$N21</f>
        <v>0</v>
      </c>
      <c r="BX21" s="31">
        <f t="shared" si="52"/>
        <v>0</v>
      </c>
      <c r="BY21" s="18">
        <f t="shared" si="53"/>
        <v>0</v>
      </c>
      <c r="BZ21" s="31">
        <f t="shared" si="54"/>
        <v>0</v>
      </c>
      <c r="CA21" s="31">
        <f t="shared" si="55"/>
        <v>0</v>
      </c>
      <c r="CB21" s="33"/>
      <c r="CC21" s="37" t="str">
        <f t="shared" si="12"/>
        <v/>
      </c>
      <c r="CD21" s="36">
        <f>[1]MJ!$O21</f>
        <v>0</v>
      </c>
      <c r="CE21" s="31">
        <f t="shared" si="56"/>
        <v>0</v>
      </c>
      <c r="CF21" s="18">
        <f t="shared" si="57"/>
        <v>0</v>
      </c>
      <c r="CG21" s="31">
        <f t="shared" si="58"/>
        <v>0</v>
      </c>
      <c r="CH21" s="31">
        <f t="shared" si="59"/>
        <v>0</v>
      </c>
      <c r="CI21" s="33"/>
      <c r="CJ21" s="37" t="str">
        <f t="shared" si="13"/>
        <v/>
      </c>
      <c r="CK21" s="36">
        <f>[1]MJ!$P21</f>
        <v>0</v>
      </c>
      <c r="CL21" s="31">
        <f t="shared" si="60"/>
        <v>0</v>
      </c>
      <c r="CM21" s="18">
        <f t="shared" si="61"/>
        <v>0</v>
      </c>
      <c r="CN21" s="31">
        <f t="shared" si="62"/>
        <v>0</v>
      </c>
      <c r="CO21" s="31">
        <f t="shared" si="63"/>
        <v>0</v>
      </c>
      <c r="CP21" s="33"/>
      <c r="CQ21" s="37" t="str">
        <f t="shared" si="14"/>
        <v/>
      </c>
    </row>
    <row r="22" spans="1:95" s="26" customFormat="1" ht="16" customHeight="1" thickBot="1" x14ac:dyDescent="0.25">
      <c r="A22" s="38" t="s">
        <v>46</v>
      </c>
      <c r="B22" s="30">
        <f t="shared" si="0"/>
        <v>204605.99999999886</v>
      </c>
      <c r="C22" s="31">
        <f t="shared" si="0"/>
        <v>195562.41479999886</v>
      </c>
      <c r="D22" s="32">
        <f t="shared" si="0"/>
        <v>9043.585199999945</v>
      </c>
      <c r="E22" s="30">
        <f t="shared" si="15"/>
        <v>68201.999999999607</v>
      </c>
      <c r="F22" s="33">
        <f t="shared" si="15"/>
        <v>65187.471599999626</v>
      </c>
      <c r="G22" s="34">
        <f t="shared" si="15"/>
        <v>3014.5283999999824</v>
      </c>
      <c r="H22" s="31">
        <f t="shared" si="1"/>
        <v>62985.652488</v>
      </c>
      <c r="I22" s="33">
        <f t="shared" si="1"/>
        <v>2912.7075119999995</v>
      </c>
      <c r="J22" s="33">
        <f t="shared" si="1"/>
        <v>65898.36</v>
      </c>
      <c r="K22" s="37">
        <f t="shared" si="2"/>
        <v>-3.3776722090255729E-2</v>
      </c>
      <c r="L22" s="36">
        <f>[1]MJ!$E22</f>
        <v>17050.499999999902</v>
      </c>
      <c r="M22" s="31">
        <f t="shared" si="16"/>
        <v>16296.867899999907</v>
      </c>
      <c r="N22" s="31">
        <f t="shared" si="17"/>
        <v>753.6320999999956</v>
      </c>
      <c r="O22" s="31">
        <f t="shared" si="18"/>
        <v>14821.647948</v>
      </c>
      <c r="P22" s="31">
        <f t="shared" si="19"/>
        <v>685.4120519999999</v>
      </c>
      <c r="Q22" s="31">
        <v>15507.06</v>
      </c>
      <c r="R22" s="31">
        <f t="shared" si="3"/>
        <v>-9.0521685581062772E-2</v>
      </c>
      <c r="S22" s="31">
        <f>[1]MJ!$F22</f>
        <v>17050.499999999902</v>
      </c>
      <c r="T22" s="31">
        <f t="shared" si="20"/>
        <v>16296.867899999907</v>
      </c>
      <c r="U22" s="31">
        <f t="shared" si="21"/>
        <v>753.6320999999956</v>
      </c>
      <c r="V22" s="31">
        <f t="shared" si="22"/>
        <v>18618.009084000001</v>
      </c>
      <c r="W22" s="31">
        <f t="shared" si="23"/>
        <v>860.97091599999987</v>
      </c>
      <c r="X22" s="31">
        <v>19478.98</v>
      </c>
      <c r="Y22" s="31">
        <f t="shared" si="4"/>
        <v>0.14242866778101004</v>
      </c>
      <c r="Z22" s="31">
        <f>[1]MJ!$G22</f>
        <v>17050.499999999902</v>
      </c>
      <c r="AA22" s="31">
        <f t="shared" si="24"/>
        <v>16296.867899999907</v>
      </c>
      <c r="AB22" s="31">
        <f t="shared" si="25"/>
        <v>753.6320999999956</v>
      </c>
      <c r="AC22" s="31">
        <f t="shared" si="26"/>
        <v>7251.1193519999997</v>
      </c>
      <c r="AD22" s="31">
        <f t="shared" si="27"/>
        <v>335.32064799999995</v>
      </c>
      <c r="AE22" s="31">
        <f>7586.44</f>
        <v>7586.44</v>
      </c>
      <c r="AF22" s="31">
        <f t="shared" si="5"/>
        <v>-0.55506055540892973</v>
      </c>
      <c r="AG22" s="31">
        <f>[1]MJ!$H22</f>
        <v>17050.499999999902</v>
      </c>
      <c r="AH22" s="31">
        <f t="shared" si="28"/>
        <v>16296.867899999907</v>
      </c>
      <c r="AI22" s="31">
        <f t="shared" si="29"/>
        <v>753.6320999999956</v>
      </c>
      <c r="AJ22" s="31">
        <f t="shared" si="30"/>
        <v>4970.0261879999998</v>
      </c>
      <c r="AK22" s="31">
        <f t="shared" si="31"/>
        <v>229.83381199999997</v>
      </c>
      <c r="AL22" s="31">
        <v>5199.8599999999997</v>
      </c>
      <c r="AM22" s="31">
        <f t="shared" si="6"/>
        <v>-0.69503181724875929</v>
      </c>
      <c r="AN22" s="31">
        <f>[1]MJ!$I22</f>
        <v>17050.499999999902</v>
      </c>
      <c r="AO22" s="31">
        <f t="shared" si="32"/>
        <v>16296.867899999907</v>
      </c>
      <c r="AP22" s="31">
        <f t="shared" si="33"/>
        <v>753.6320999999956</v>
      </c>
      <c r="AQ22" s="31">
        <f t="shared" si="34"/>
        <v>11214.860183999999</v>
      </c>
      <c r="AR22" s="31">
        <f t="shared" si="35"/>
        <v>518.6198159999999</v>
      </c>
      <c r="AS22" s="33">
        <v>11733.48</v>
      </c>
      <c r="AT22" s="37">
        <f t="shared" si="7"/>
        <v>-0.31183953549748877</v>
      </c>
      <c r="AU22" s="36">
        <f>[1]MJ!$J22</f>
        <v>17050.499999999902</v>
      </c>
      <c r="AV22" s="31">
        <f t="shared" si="36"/>
        <v>16296.867899999907</v>
      </c>
      <c r="AW22" s="18">
        <f t="shared" si="37"/>
        <v>753.6320999999956</v>
      </c>
      <c r="AX22" s="31">
        <f t="shared" si="38"/>
        <v>6109.989732</v>
      </c>
      <c r="AY22" s="31">
        <f t="shared" si="39"/>
        <v>282.55026799999996</v>
      </c>
      <c r="AZ22" s="33">
        <v>6392.54</v>
      </c>
      <c r="BA22" s="37">
        <f t="shared" si="8"/>
        <v>-0.62508196240579239</v>
      </c>
      <c r="BB22" s="36">
        <f>[1]MJ!$K22</f>
        <v>17050.499999999902</v>
      </c>
      <c r="BC22" s="31">
        <f t="shared" si="40"/>
        <v>16296.867899999907</v>
      </c>
      <c r="BD22" s="18">
        <f t="shared" si="41"/>
        <v>753.6320999999956</v>
      </c>
      <c r="BE22" s="31">
        <f t="shared" si="42"/>
        <v>0</v>
      </c>
      <c r="BF22" s="31">
        <f t="shared" si="43"/>
        <v>0</v>
      </c>
      <c r="BG22" s="27"/>
      <c r="BH22" s="37">
        <f t="shared" si="9"/>
        <v>-1</v>
      </c>
      <c r="BI22" s="36">
        <f>[1]MJ!$L22</f>
        <v>17050.499999999902</v>
      </c>
      <c r="BJ22" s="31">
        <f t="shared" si="44"/>
        <v>16296.867899999907</v>
      </c>
      <c r="BK22" s="18">
        <f t="shared" si="45"/>
        <v>753.6320999999956</v>
      </c>
      <c r="BL22" s="31">
        <f t="shared" si="46"/>
        <v>0</v>
      </c>
      <c r="BM22" s="31">
        <f t="shared" si="47"/>
        <v>0</v>
      </c>
      <c r="BN22" s="33"/>
      <c r="BO22" s="37">
        <f t="shared" si="10"/>
        <v>-1</v>
      </c>
      <c r="BP22" s="36">
        <f>[1]MJ!$M22</f>
        <v>17050.499999999902</v>
      </c>
      <c r="BQ22" s="31">
        <f t="shared" si="48"/>
        <v>16296.867899999907</v>
      </c>
      <c r="BR22" s="18">
        <f t="shared" si="49"/>
        <v>753.6320999999956</v>
      </c>
      <c r="BS22" s="31">
        <f t="shared" si="50"/>
        <v>0</v>
      </c>
      <c r="BT22" s="31">
        <f t="shared" si="51"/>
        <v>0</v>
      </c>
      <c r="BU22" s="33"/>
      <c r="BV22" s="37">
        <f t="shared" si="11"/>
        <v>-1</v>
      </c>
      <c r="BW22" s="36">
        <f>[1]MJ!$N22</f>
        <v>17050.499999999902</v>
      </c>
      <c r="BX22" s="31">
        <f t="shared" si="52"/>
        <v>16296.867899999907</v>
      </c>
      <c r="BY22" s="18">
        <f t="shared" si="53"/>
        <v>753.6320999999956</v>
      </c>
      <c r="BZ22" s="31">
        <f t="shared" si="54"/>
        <v>0</v>
      </c>
      <c r="CA22" s="31">
        <f t="shared" si="55"/>
        <v>0</v>
      </c>
      <c r="CB22" s="33"/>
      <c r="CC22" s="37">
        <f t="shared" si="12"/>
        <v>-1</v>
      </c>
      <c r="CD22" s="36">
        <f>[1]MJ!$O22</f>
        <v>17050.499999999902</v>
      </c>
      <c r="CE22" s="31">
        <f t="shared" si="56"/>
        <v>16296.867899999907</v>
      </c>
      <c r="CF22" s="18">
        <f t="shared" si="57"/>
        <v>753.6320999999956</v>
      </c>
      <c r="CG22" s="31">
        <f t="shared" si="58"/>
        <v>0</v>
      </c>
      <c r="CH22" s="31">
        <f t="shared" si="59"/>
        <v>0</v>
      </c>
      <c r="CI22" s="33"/>
      <c r="CJ22" s="37">
        <f t="shared" si="13"/>
        <v>-1</v>
      </c>
      <c r="CK22" s="36">
        <f>[1]MJ!$P22</f>
        <v>17050.499999999902</v>
      </c>
      <c r="CL22" s="31">
        <f t="shared" si="60"/>
        <v>16296.867899999907</v>
      </c>
      <c r="CM22" s="18">
        <f t="shared" si="61"/>
        <v>753.6320999999956</v>
      </c>
      <c r="CN22" s="31">
        <f t="shared" si="62"/>
        <v>0</v>
      </c>
      <c r="CO22" s="31">
        <f t="shared" si="63"/>
        <v>0</v>
      </c>
      <c r="CP22" s="33"/>
      <c r="CQ22" s="37">
        <f t="shared" si="14"/>
        <v>-1</v>
      </c>
    </row>
    <row r="23" spans="1:95" s="26" customFormat="1" ht="16" customHeight="1" thickBot="1" x14ac:dyDescent="0.25">
      <c r="A23" s="29" t="s">
        <v>47</v>
      </c>
      <c r="B23" s="30">
        <f t="shared" si="0"/>
        <v>0</v>
      </c>
      <c r="C23" s="31">
        <f t="shared" si="0"/>
        <v>0</v>
      </c>
      <c r="D23" s="32">
        <f t="shared" si="0"/>
        <v>0</v>
      </c>
      <c r="E23" s="30">
        <f t="shared" si="15"/>
        <v>0</v>
      </c>
      <c r="F23" s="33">
        <f t="shared" si="15"/>
        <v>0</v>
      </c>
      <c r="G23" s="34">
        <f t="shared" si="15"/>
        <v>0</v>
      </c>
      <c r="H23" s="31">
        <f t="shared" si="1"/>
        <v>0</v>
      </c>
      <c r="I23" s="33">
        <f t="shared" si="1"/>
        <v>0</v>
      </c>
      <c r="J23" s="33">
        <f t="shared" si="1"/>
        <v>0</v>
      </c>
      <c r="K23" s="37" t="str">
        <f t="shared" si="2"/>
        <v/>
      </c>
      <c r="L23" s="36">
        <f>[1]MJ!$E23</f>
        <v>0</v>
      </c>
      <c r="M23" s="31">
        <f t="shared" si="16"/>
        <v>0</v>
      </c>
      <c r="N23" s="31">
        <f t="shared" si="17"/>
        <v>0</v>
      </c>
      <c r="O23" s="31">
        <f t="shared" si="18"/>
        <v>0</v>
      </c>
      <c r="P23" s="31">
        <f t="shared" si="19"/>
        <v>0</v>
      </c>
      <c r="Q23" s="31"/>
      <c r="R23" s="31" t="str">
        <f t="shared" si="3"/>
        <v/>
      </c>
      <c r="S23" s="31">
        <f>[1]MJ!$F23</f>
        <v>0</v>
      </c>
      <c r="T23" s="31">
        <f t="shared" si="20"/>
        <v>0</v>
      </c>
      <c r="U23" s="31">
        <f t="shared" si="21"/>
        <v>0</v>
      </c>
      <c r="V23" s="31">
        <f t="shared" si="22"/>
        <v>0</v>
      </c>
      <c r="W23" s="31">
        <f t="shared" si="23"/>
        <v>0</v>
      </c>
      <c r="X23" s="31"/>
      <c r="Y23" s="31" t="str">
        <f t="shared" si="4"/>
        <v/>
      </c>
      <c r="Z23" s="31">
        <f>[1]MJ!$G23</f>
        <v>0</v>
      </c>
      <c r="AA23" s="31">
        <f t="shared" si="24"/>
        <v>0</v>
      </c>
      <c r="AB23" s="31">
        <f t="shared" si="25"/>
        <v>0</v>
      </c>
      <c r="AC23" s="31">
        <f t="shared" si="26"/>
        <v>0</v>
      </c>
      <c r="AD23" s="31">
        <f t="shared" si="27"/>
        <v>0</v>
      </c>
      <c r="AE23" s="31"/>
      <c r="AF23" s="31" t="str">
        <f t="shared" si="5"/>
        <v/>
      </c>
      <c r="AG23" s="31">
        <f>[1]MJ!$H23</f>
        <v>0</v>
      </c>
      <c r="AH23" s="31">
        <f t="shared" si="28"/>
        <v>0</v>
      </c>
      <c r="AI23" s="31">
        <f t="shared" si="29"/>
        <v>0</v>
      </c>
      <c r="AJ23" s="31">
        <f t="shared" si="30"/>
        <v>0</v>
      </c>
      <c r="AK23" s="31">
        <f t="shared" si="31"/>
        <v>0</v>
      </c>
      <c r="AL23" s="31"/>
      <c r="AM23" s="31" t="str">
        <f t="shared" si="6"/>
        <v/>
      </c>
      <c r="AN23" s="31">
        <f>[1]MJ!$I23</f>
        <v>0</v>
      </c>
      <c r="AO23" s="31">
        <f t="shared" si="32"/>
        <v>0</v>
      </c>
      <c r="AP23" s="31">
        <f t="shared" si="33"/>
        <v>0</v>
      </c>
      <c r="AQ23" s="31">
        <f t="shared" si="34"/>
        <v>0</v>
      </c>
      <c r="AR23" s="31">
        <f t="shared" si="35"/>
        <v>0</v>
      </c>
      <c r="AS23" s="33"/>
      <c r="AT23" s="37" t="str">
        <f t="shared" si="7"/>
        <v/>
      </c>
      <c r="AU23" s="36">
        <f>[1]MJ!$J23</f>
        <v>0</v>
      </c>
      <c r="AV23" s="31">
        <f t="shared" si="36"/>
        <v>0</v>
      </c>
      <c r="AW23" s="18">
        <f t="shared" si="37"/>
        <v>0</v>
      </c>
      <c r="AX23" s="31">
        <f t="shared" si="38"/>
        <v>0</v>
      </c>
      <c r="AY23" s="31">
        <f t="shared" si="39"/>
        <v>0</v>
      </c>
      <c r="AZ23" s="33"/>
      <c r="BA23" s="37" t="str">
        <f t="shared" si="8"/>
        <v/>
      </c>
      <c r="BB23" s="36">
        <f>[1]MJ!$K23</f>
        <v>0</v>
      </c>
      <c r="BC23" s="31">
        <f t="shared" si="40"/>
        <v>0</v>
      </c>
      <c r="BD23" s="18">
        <f t="shared" si="41"/>
        <v>0</v>
      </c>
      <c r="BE23" s="31">
        <f t="shared" si="42"/>
        <v>0</v>
      </c>
      <c r="BF23" s="31">
        <f t="shared" si="43"/>
        <v>0</v>
      </c>
      <c r="BG23" s="27"/>
      <c r="BH23" s="37" t="str">
        <f t="shared" si="9"/>
        <v/>
      </c>
      <c r="BI23" s="36">
        <f>[1]MJ!$L23</f>
        <v>0</v>
      </c>
      <c r="BJ23" s="31">
        <f t="shared" si="44"/>
        <v>0</v>
      </c>
      <c r="BK23" s="18">
        <f t="shared" si="45"/>
        <v>0</v>
      </c>
      <c r="BL23" s="31">
        <f t="shared" si="46"/>
        <v>0</v>
      </c>
      <c r="BM23" s="31">
        <f t="shared" si="47"/>
        <v>0</v>
      </c>
      <c r="BN23" s="33"/>
      <c r="BO23" s="37" t="str">
        <f t="shared" si="10"/>
        <v/>
      </c>
      <c r="BP23" s="36">
        <f>[1]MJ!$M23</f>
        <v>0</v>
      </c>
      <c r="BQ23" s="31">
        <f t="shared" si="48"/>
        <v>0</v>
      </c>
      <c r="BR23" s="18">
        <f t="shared" si="49"/>
        <v>0</v>
      </c>
      <c r="BS23" s="31">
        <f t="shared" si="50"/>
        <v>0</v>
      </c>
      <c r="BT23" s="31">
        <f t="shared" si="51"/>
        <v>0</v>
      </c>
      <c r="BU23" s="33"/>
      <c r="BV23" s="37" t="str">
        <f t="shared" si="11"/>
        <v/>
      </c>
      <c r="BW23" s="36">
        <f>[1]MJ!$N23</f>
        <v>0</v>
      </c>
      <c r="BX23" s="31">
        <f t="shared" si="52"/>
        <v>0</v>
      </c>
      <c r="BY23" s="18">
        <f t="shared" si="53"/>
        <v>0</v>
      </c>
      <c r="BZ23" s="31">
        <f t="shared" si="54"/>
        <v>0</v>
      </c>
      <c r="CA23" s="31">
        <f t="shared" si="55"/>
        <v>0</v>
      </c>
      <c r="CB23" s="33"/>
      <c r="CC23" s="37" t="str">
        <f t="shared" si="12"/>
        <v/>
      </c>
      <c r="CD23" s="36">
        <f>[1]MJ!$O23</f>
        <v>0</v>
      </c>
      <c r="CE23" s="31">
        <f t="shared" si="56"/>
        <v>0</v>
      </c>
      <c r="CF23" s="18">
        <f t="shared" si="57"/>
        <v>0</v>
      </c>
      <c r="CG23" s="31">
        <f t="shared" si="58"/>
        <v>0</v>
      </c>
      <c r="CH23" s="31">
        <f t="shared" si="59"/>
        <v>0</v>
      </c>
      <c r="CI23" s="33"/>
      <c r="CJ23" s="37" t="str">
        <f t="shared" si="13"/>
        <v/>
      </c>
      <c r="CK23" s="36">
        <f>[1]MJ!$P23</f>
        <v>0</v>
      </c>
      <c r="CL23" s="31">
        <f t="shared" si="60"/>
        <v>0</v>
      </c>
      <c r="CM23" s="18">
        <f t="shared" si="61"/>
        <v>0</v>
      </c>
      <c r="CN23" s="31">
        <f t="shared" si="62"/>
        <v>0</v>
      </c>
      <c r="CO23" s="31">
        <f t="shared" si="63"/>
        <v>0</v>
      </c>
      <c r="CP23" s="33"/>
      <c r="CQ23" s="37" t="str">
        <f t="shared" si="14"/>
        <v/>
      </c>
    </row>
    <row r="24" spans="1:95" s="26" customFormat="1" ht="16" customHeight="1" thickBot="1" x14ac:dyDescent="0.25">
      <c r="A24" s="29" t="s">
        <v>48</v>
      </c>
      <c r="B24" s="30">
        <f t="shared" si="0"/>
        <v>191027.98591160716</v>
      </c>
      <c r="C24" s="31">
        <f t="shared" si="0"/>
        <v>182584.54893431414</v>
      </c>
      <c r="D24" s="32">
        <f t="shared" si="0"/>
        <v>8443.4369772930368</v>
      </c>
      <c r="E24" s="30">
        <f t="shared" si="15"/>
        <v>64611.483865789065</v>
      </c>
      <c r="F24" s="33">
        <f t="shared" si="15"/>
        <v>61755.656278921189</v>
      </c>
      <c r="G24" s="34">
        <f t="shared" si="15"/>
        <v>2855.8275868678766</v>
      </c>
      <c r="H24" s="31">
        <f t="shared" si="1"/>
        <v>53013.418325999999</v>
      </c>
      <c r="I24" s="33">
        <f t="shared" si="1"/>
        <v>2451.5516739999994</v>
      </c>
      <c r="J24" s="33">
        <f t="shared" si="1"/>
        <v>55464.97</v>
      </c>
      <c r="K24" s="37">
        <f t="shared" si="2"/>
        <v>-0.14156173668427419</v>
      </c>
      <c r="L24" s="36">
        <f>[1]MJ!$E24</f>
        <v>16152.870966447266</v>
      </c>
      <c r="M24" s="31">
        <f t="shared" si="16"/>
        <v>15438.914069730297</v>
      </c>
      <c r="N24" s="31">
        <f t="shared" si="17"/>
        <v>713.95689671696914</v>
      </c>
      <c r="O24" s="31">
        <f t="shared" si="18"/>
        <v>4539.2662440000004</v>
      </c>
      <c r="P24" s="31">
        <f t="shared" si="19"/>
        <v>209.91375600000001</v>
      </c>
      <c r="Q24" s="31">
        <v>4749.18</v>
      </c>
      <c r="R24" s="31">
        <f t="shared" si="3"/>
        <v>-0.70598539356471091</v>
      </c>
      <c r="S24" s="31">
        <f>[1]MJ!$F24</f>
        <v>16152.870966447266</v>
      </c>
      <c r="T24" s="31">
        <f t="shared" si="20"/>
        <v>15438.914069730297</v>
      </c>
      <c r="U24" s="31">
        <f t="shared" si="21"/>
        <v>713.95689671696914</v>
      </c>
      <c r="V24" s="31">
        <f t="shared" si="22"/>
        <v>0</v>
      </c>
      <c r="W24" s="31">
        <f t="shared" si="23"/>
        <v>0</v>
      </c>
      <c r="X24" s="31"/>
      <c r="Y24" s="31">
        <f t="shared" si="4"/>
        <v>-1</v>
      </c>
      <c r="Z24" s="31">
        <f>[1]MJ!$G24</f>
        <v>16152.870966447266</v>
      </c>
      <c r="AA24" s="31">
        <f t="shared" si="24"/>
        <v>15438.914069730297</v>
      </c>
      <c r="AB24" s="31">
        <f t="shared" si="25"/>
        <v>713.95689671696914</v>
      </c>
      <c r="AC24" s="31">
        <f t="shared" si="26"/>
        <v>0</v>
      </c>
      <c r="AD24" s="31">
        <f t="shared" si="27"/>
        <v>0</v>
      </c>
      <c r="AE24" s="31"/>
      <c r="AF24" s="31">
        <f t="shared" si="5"/>
        <v>-1</v>
      </c>
      <c r="AG24" s="31">
        <f>[1]MJ!$H24</f>
        <v>16152.870966447266</v>
      </c>
      <c r="AH24" s="31">
        <f t="shared" si="28"/>
        <v>15438.914069730297</v>
      </c>
      <c r="AI24" s="31">
        <f t="shared" si="29"/>
        <v>713.95689671696914</v>
      </c>
      <c r="AJ24" s="31">
        <f t="shared" si="30"/>
        <v>17156.533535999999</v>
      </c>
      <c r="AK24" s="31">
        <f t="shared" si="31"/>
        <v>793.38646399999982</v>
      </c>
      <c r="AL24" s="31">
        <v>17949.919999999998</v>
      </c>
      <c r="AM24" s="31">
        <f t="shared" si="6"/>
        <v>0.11125260873349152</v>
      </c>
      <c r="AN24" s="31">
        <f>[1]MJ!$I24</f>
        <v>16152.870966447266</v>
      </c>
      <c r="AO24" s="31">
        <f t="shared" si="32"/>
        <v>15438.914069730297</v>
      </c>
      <c r="AP24" s="31">
        <f t="shared" si="33"/>
        <v>713.95689671696914</v>
      </c>
      <c r="AQ24" s="31">
        <f t="shared" si="34"/>
        <v>14647.979088</v>
      </c>
      <c r="AR24" s="31">
        <f t="shared" si="35"/>
        <v>677.38091199999997</v>
      </c>
      <c r="AS24" s="33">
        <v>15325.36</v>
      </c>
      <c r="AT24" s="37">
        <f t="shared" si="7"/>
        <v>-5.1229962039947674E-2</v>
      </c>
      <c r="AU24" s="36">
        <f>[1]MJ!$J24</f>
        <v>16152.870966447266</v>
      </c>
      <c r="AV24" s="31">
        <f t="shared" si="36"/>
        <v>15438.914069730297</v>
      </c>
      <c r="AW24" s="18">
        <f t="shared" si="37"/>
        <v>713.95689671696914</v>
      </c>
      <c r="AX24" s="31">
        <f t="shared" si="38"/>
        <v>16669.639457999998</v>
      </c>
      <c r="AY24" s="31">
        <f t="shared" si="39"/>
        <v>770.87054199999989</v>
      </c>
      <c r="AZ24" s="33">
        <v>17440.509999999998</v>
      </c>
      <c r="BA24" s="37">
        <f t="shared" si="8"/>
        <v>7.9715800134070092E-2</v>
      </c>
      <c r="BB24" s="36">
        <f>[1]MJ!$K24</f>
        <v>13346.405280687268</v>
      </c>
      <c r="BC24" s="31">
        <f t="shared" si="40"/>
        <v>12756.494167280891</v>
      </c>
      <c r="BD24" s="18">
        <f t="shared" si="41"/>
        <v>589.91111340637724</v>
      </c>
      <c r="BE24" s="31">
        <f t="shared" si="42"/>
        <v>0</v>
      </c>
      <c r="BF24" s="31">
        <f t="shared" si="43"/>
        <v>0</v>
      </c>
      <c r="BG24" s="27"/>
      <c r="BH24" s="37">
        <f t="shared" si="9"/>
        <v>-1</v>
      </c>
      <c r="BI24" s="36">
        <f>[1]MJ!$L24</f>
        <v>16152.870966447266</v>
      </c>
      <c r="BJ24" s="31">
        <f t="shared" si="44"/>
        <v>15438.914069730297</v>
      </c>
      <c r="BK24" s="18">
        <f t="shared" si="45"/>
        <v>713.95689671696914</v>
      </c>
      <c r="BL24" s="31">
        <f t="shared" si="46"/>
        <v>0</v>
      </c>
      <c r="BM24" s="31">
        <f t="shared" si="47"/>
        <v>0</v>
      </c>
      <c r="BN24" s="33"/>
      <c r="BO24" s="37">
        <f t="shared" si="10"/>
        <v>-1</v>
      </c>
      <c r="BP24" s="36">
        <f>[1]MJ!$M24</f>
        <v>16152.870966447266</v>
      </c>
      <c r="BQ24" s="31">
        <f t="shared" si="48"/>
        <v>15438.914069730297</v>
      </c>
      <c r="BR24" s="18">
        <f t="shared" si="49"/>
        <v>713.95689671696914</v>
      </c>
      <c r="BS24" s="31">
        <f t="shared" si="50"/>
        <v>0</v>
      </c>
      <c r="BT24" s="31">
        <f t="shared" si="51"/>
        <v>0</v>
      </c>
      <c r="BU24" s="33"/>
      <c r="BV24" s="37">
        <f t="shared" si="11"/>
        <v>-1</v>
      </c>
      <c r="BW24" s="36">
        <f>[1]MJ!$N24</f>
        <v>16152.870966447266</v>
      </c>
      <c r="BX24" s="31">
        <f t="shared" si="52"/>
        <v>15438.914069730297</v>
      </c>
      <c r="BY24" s="18">
        <f t="shared" si="53"/>
        <v>713.95689671696914</v>
      </c>
      <c r="BZ24" s="31">
        <f t="shared" si="54"/>
        <v>0</v>
      </c>
      <c r="CA24" s="31">
        <f t="shared" si="55"/>
        <v>0</v>
      </c>
      <c r="CB24" s="33"/>
      <c r="CC24" s="37">
        <f t="shared" si="12"/>
        <v>-1</v>
      </c>
      <c r="CD24" s="36">
        <f>[1]MJ!$O24</f>
        <v>16152.870966447266</v>
      </c>
      <c r="CE24" s="31">
        <f t="shared" si="56"/>
        <v>15438.914069730297</v>
      </c>
      <c r="CF24" s="18">
        <f t="shared" si="57"/>
        <v>713.95689671696914</v>
      </c>
      <c r="CG24" s="31">
        <f t="shared" si="58"/>
        <v>0</v>
      </c>
      <c r="CH24" s="31">
        <f t="shared" si="59"/>
        <v>0</v>
      </c>
      <c r="CI24" s="33"/>
      <c r="CJ24" s="37">
        <f t="shared" si="13"/>
        <v>-1</v>
      </c>
      <c r="CK24" s="36">
        <f>[1]MJ!$P24</f>
        <v>16152.870966447266</v>
      </c>
      <c r="CL24" s="31">
        <f t="shared" si="60"/>
        <v>15438.914069730297</v>
      </c>
      <c r="CM24" s="18">
        <f t="shared" si="61"/>
        <v>713.95689671696914</v>
      </c>
      <c r="CN24" s="31">
        <f t="shared" si="62"/>
        <v>0</v>
      </c>
      <c r="CO24" s="31">
        <f t="shared" si="63"/>
        <v>0</v>
      </c>
      <c r="CP24" s="33"/>
      <c r="CQ24" s="37">
        <f t="shared" si="14"/>
        <v>-1</v>
      </c>
    </row>
    <row r="25" spans="1:95" s="26" customFormat="1" ht="16" customHeight="1" thickBot="1" x14ac:dyDescent="0.25">
      <c r="A25" s="29" t="s">
        <v>49</v>
      </c>
      <c r="B25" s="30">
        <f t="shared" si="0"/>
        <v>692442.00476099912</v>
      </c>
      <c r="C25" s="31">
        <f t="shared" si="0"/>
        <v>661836.06815056282</v>
      </c>
      <c r="D25" s="32">
        <f t="shared" si="0"/>
        <v>30605.936610436154</v>
      </c>
      <c r="E25" s="30">
        <f t="shared" si="15"/>
        <v>177886.44900000002</v>
      </c>
      <c r="F25" s="33">
        <f t="shared" si="15"/>
        <v>170023.86795420002</v>
      </c>
      <c r="G25" s="34">
        <f t="shared" si="15"/>
        <v>7862.5810457999996</v>
      </c>
      <c r="H25" s="31">
        <f t="shared" si="1"/>
        <v>365200.733106</v>
      </c>
      <c r="I25" s="33">
        <f t="shared" si="1"/>
        <v>16888.336894</v>
      </c>
      <c r="J25" s="33">
        <f t="shared" si="1"/>
        <v>382089.07</v>
      </c>
      <c r="K25" s="37">
        <f t="shared" si="2"/>
        <v>1.1479380365842253</v>
      </c>
      <c r="L25" s="36">
        <f>[1]MJ!$E25</f>
        <v>0</v>
      </c>
      <c r="M25" s="31">
        <f t="shared" si="16"/>
        <v>0</v>
      </c>
      <c r="N25" s="31">
        <f t="shared" si="17"/>
        <v>0</v>
      </c>
      <c r="O25" s="31">
        <f t="shared" si="18"/>
        <v>788.525442</v>
      </c>
      <c r="P25" s="31">
        <f t="shared" si="19"/>
        <v>36.464557999999997</v>
      </c>
      <c r="Q25" s="31">
        <v>824.99</v>
      </c>
      <c r="R25" s="31" t="str">
        <f t="shared" si="3"/>
        <v/>
      </c>
      <c r="S25" s="31">
        <f>[1]MJ!$F25</f>
        <v>0</v>
      </c>
      <c r="T25" s="31">
        <f t="shared" si="20"/>
        <v>0</v>
      </c>
      <c r="U25" s="31">
        <f t="shared" si="21"/>
        <v>0</v>
      </c>
      <c r="V25" s="31">
        <f t="shared" si="22"/>
        <v>35292.981906000001</v>
      </c>
      <c r="W25" s="31">
        <f t="shared" si="23"/>
        <v>1632.088094</v>
      </c>
      <c r="X25" s="31">
        <v>36925.07</v>
      </c>
      <c r="Y25" s="31" t="str">
        <f t="shared" si="4"/>
        <v/>
      </c>
      <c r="Z25" s="31">
        <f>[1]MJ!$G25</f>
        <v>71359.47</v>
      </c>
      <c r="AA25" s="31">
        <f t="shared" si="24"/>
        <v>68205.381426000007</v>
      </c>
      <c r="AB25" s="31">
        <f t="shared" si="25"/>
        <v>3154.0885739999999</v>
      </c>
      <c r="AC25" s="31">
        <f t="shared" si="26"/>
        <v>37265.122278000003</v>
      </c>
      <c r="AD25" s="31">
        <f t="shared" si="27"/>
        <v>1723.287722</v>
      </c>
      <c r="AE25" s="31">
        <v>38988.410000000003</v>
      </c>
      <c r="AF25" s="31">
        <f t="shared" si="5"/>
        <v>-0.45363369430854794</v>
      </c>
      <c r="AG25" s="31">
        <f>[1]MJ!$H25</f>
        <v>106526.97900000001</v>
      </c>
      <c r="AH25" s="31">
        <f t="shared" si="28"/>
        <v>101818.48652820001</v>
      </c>
      <c r="AI25" s="31">
        <f t="shared" si="29"/>
        <v>4708.4924718000002</v>
      </c>
      <c r="AJ25" s="31">
        <f t="shared" si="30"/>
        <v>59290.845101999999</v>
      </c>
      <c r="AK25" s="31">
        <f t="shared" si="31"/>
        <v>2741.8448979999998</v>
      </c>
      <c r="AL25" s="31">
        <v>62032.69</v>
      </c>
      <c r="AM25" s="31">
        <f t="shared" si="6"/>
        <v>-0.41768094259013955</v>
      </c>
      <c r="AN25" s="31">
        <f>[1]MJ!$I25</f>
        <v>106526.978999999</v>
      </c>
      <c r="AO25" s="31">
        <f t="shared" si="32"/>
        <v>101818.48652819905</v>
      </c>
      <c r="AP25" s="31">
        <f t="shared" si="33"/>
        <v>4708.4924717999556</v>
      </c>
      <c r="AQ25" s="31">
        <f t="shared" si="34"/>
        <v>146218.599414</v>
      </c>
      <c r="AR25" s="31">
        <f t="shared" si="35"/>
        <v>6761.7305859999988</v>
      </c>
      <c r="AS25" s="33">
        <v>152980.32999999999</v>
      </c>
      <c r="AT25" s="37">
        <f t="shared" si="7"/>
        <v>0.43607123224625965</v>
      </c>
      <c r="AU25" s="36">
        <f>[1]MJ!$J25</f>
        <v>109500.417</v>
      </c>
      <c r="AV25" s="31">
        <f t="shared" si="36"/>
        <v>104660.4985686</v>
      </c>
      <c r="AW25" s="18">
        <f t="shared" si="37"/>
        <v>4839.9184313999995</v>
      </c>
      <c r="AX25" s="31">
        <f t="shared" si="38"/>
        <v>86344.658964000002</v>
      </c>
      <c r="AY25" s="31">
        <f t="shared" si="39"/>
        <v>3992.9210359999997</v>
      </c>
      <c r="AZ25" s="33">
        <v>90337.58</v>
      </c>
      <c r="BA25" s="37">
        <f t="shared" si="8"/>
        <v>-0.17500241117803228</v>
      </c>
      <c r="BB25" s="36">
        <f>[1]MJ!$K25</f>
        <v>60442.317000000003</v>
      </c>
      <c r="BC25" s="31">
        <f t="shared" si="40"/>
        <v>57770.766588600003</v>
      </c>
      <c r="BD25" s="18">
        <f t="shared" si="41"/>
        <v>2671.5504114</v>
      </c>
      <c r="BE25" s="31">
        <f t="shared" si="42"/>
        <v>0</v>
      </c>
      <c r="BF25" s="31">
        <f t="shared" si="43"/>
        <v>0</v>
      </c>
      <c r="BG25" s="27"/>
      <c r="BH25" s="37">
        <f t="shared" si="9"/>
        <v>-1</v>
      </c>
      <c r="BI25" s="36">
        <f>[1]MJ!$L25</f>
        <v>60442.317000000003</v>
      </c>
      <c r="BJ25" s="31">
        <f t="shared" si="44"/>
        <v>57770.766588600003</v>
      </c>
      <c r="BK25" s="18">
        <f t="shared" si="45"/>
        <v>2671.5504114</v>
      </c>
      <c r="BL25" s="31">
        <f t="shared" si="46"/>
        <v>0</v>
      </c>
      <c r="BM25" s="31">
        <f t="shared" si="47"/>
        <v>0</v>
      </c>
      <c r="BN25" s="33"/>
      <c r="BO25" s="37">
        <f t="shared" si="10"/>
        <v>-1</v>
      </c>
      <c r="BP25" s="36">
        <f>[1]MJ!$M25</f>
        <v>60442.317000000003</v>
      </c>
      <c r="BQ25" s="31">
        <f t="shared" si="48"/>
        <v>57770.766588600003</v>
      </c>
      <c r="BR25" s="18">
        <f t="shared" si="49"/>
        <v>2671.5504114</v>
      </c>
      <c r="BS25" s="31">
        <f t="shared" si="50"/>
        <v>0</v>
      </c>
      <c r="BT25" s="31">
        <f t="shared" si="51"/>
        <v>0</v>
      </c>
      <c r="BU25" s="33"/>
      <c r="BV25" s="37">
        <f t="shared" si="11"/>
        <v>-1</v>
      </c>
      <c r="BW25" s="36">
        <f>[1]MJ!$N25</f>
        <v>55016.724866999997</v>
      </c>
      <c r="BX25" s="31">
        <f t="shared" si="52"/>
        <v>52584.985627878596</v>
      </c>
      <c r="BY25" s="18">
        <f t="shared" si="53"/>
        <v>2431.7392391213998</v>
      </c>
      <c r="BZ25" s="31">
        <f t="shared" si="54"/>
        <v>0</v>
      </c>
      <c r="CA25" s="31">
        <f t="shared" si="55"/>
        <v>0</v>
      </c>
      <c r="CB25" s="33"/>
      <c r="CC25" s="37">
        <f t="shared" si="12"/>
        <v>-1</v>
      </c>
      <c r="CD25" s="36">
        <f>[1]MJ!$O25</f>
        <v>31092.241946999999</v>
      </c>
      <c r="CE25" s="31">
        <f t="shared" si="56"/>
        <v>29717.964852942598</v>
      </c>
      <c r="CF25" s="18">
        <f t="shared" si="57"/>
        <v>1374.2770940573998</v>
      </c>
      <c r="CG25" s="31">
        <f t="shared" si="58"/>
        <v>0</v>
      </c>
      <c r="CH25" s="31">
        <f t="shared" si="59"/>
        <v>0</v>
      </c>
      <c r="CI25" s="33"/>
      <c r="CJ25" s="37">
        <f t="shared" si="13"/>
        <v>-1</v>
      </c>
      <c r="CK25" s="36">
        <f>[1]MJ!$P25</f>
        <v>31092.241946999999</v>
      </c>
      <c r="CL25" s="31">
        <f t="shared" si="60"/>
        <v>29717.964852942598</v>
      </c>
      <c r="CM25" s="18">
        <f t="shared" si="61"/>
        <v>1374.2770940573998</v>
      </c>
      <c r="CN25" s="31">
        <f t="shared" si="62"/>
        <v>0</v>
      </c>
      <c r="CO25" s="31">
        <f t="shared" si="63"/>
        <v>0</v>
      </c>
      <c r="CP25" s="33"/>
      <c r="CQ25" s="37">
        <f t="shared" si="14"/>
        <v>-1</v>
      </c>
    </row>
    <row r="26" spans="1:95" s="26" customFormat="1" ht="16" customHeight="1" thickBot="1" x14ac:dyDescent="0.25">
      <c r="A26" s="29" t="s">
        <v>50</v>
      </c>
      <c r="B26" s="30">
        <f t="shared" si="0"/>
        <v>2159912.5764603992</v>
      </c>
      <c r="C26" s="31">
        <f t="shared" si="0"/>
        <v>2064444.4405808493</v>
      </c>
      <c r="D26" s="32">
        <f t="shared" si="0"/>
        <v>95468.13587954962</v>
      </c>
      <c r="E26" s="30">
        <f t="shared" si="15"/>
        <v>587125.63204053335</v>
      </c>
      <c r="F26" s="33">
        <f t="shared" si="15"/>
        <v>561174.67910434178</v>
      </c>
      <c r="G26" s="34">
        <f t="shared" si="15"/>
        <v>25950.95293619157</v>
      </c>
      <c r="H26" s="31">
        <f t="shared" si="1"/>
        <v>988420.22101800004</v>
      </c>
      <c r="I26" s="33">
        <f t="shared" si="1"/>
        <v>45708.488982000003</v>
      </c>
      <c r="J26" s="33">
        <f t="shared" si="1"/>
        <v>1034128.71</v>
      </c>
      <c r="K26" s="37">
        <f t="shared" si="2"/>
        <v>0.76134144647360058</v>
      </c>
      <c r="L26" s="36">
        <f>[1]MJ!$E26</f>
        <v>62894.778898133336</v>
      </c>
      <c r="M26" s="31">
        <f t="shared" si="16"/>
        <v>60114.829670835839</v>
      </c>
      <c r="N26" s="31">
        <f t="shared" si="17"/>
        <v>2779.9492272974931</v>
      </c>
      <c r="O26" s="31">
        <f t="shared" si="18"/>
        <v>107499.982518</v>
      </c>
      <c r="P26" s="31">
        <f t="shared" si="19"/>
        <v>4971.2274820000002</v>
      </c>
      <c r="Q26" s="31">
        <v>112471.21</v>
      </c>
      <c r="R26" s="31">
        <f t="shared" si="3"/>
        <v>0.78824398416540187</v>
      </c>
      <c r="S26" s="31">
        <f>[1]MJ!$F26</f>
        <v>128325.54689813334</v>
      </c>
      <c r="T26" s="31">
        <f t="shared" si="20"/>
        <v>122653.55772523585</v>
      </c>
      <c r="U26" s="31">
        <f t="shared" si="21"/>
        <v>5671.9891728974935</v>
      </c>
      <c r="V26" s="31">
        <f t="shared" si="22"/>
        <v>174208.05545400002</v>
      </c>
      <c r="W26" s="31">
        <f t="shared" si="23"/>
        <v>8056.0745459999998</v>
      </c>
      <c r="X26" s="31">
        <f>181578.13+686</f>
        <v>182264.13</v>
      </c>
      <c r="Y26" s="31">
        <f t="shared" si="4"/>
        <v>0.42032615021453124</v>
      </c>
      <c r="Z26" s="31">
        <f>[1]MJ!$G26</f>
        <v>197952.65312213334</v>
      </c>
      <c r="AA26" s="31">
        <f t="shared" si="24"/>
        <v>189203.14585413504</v>
      </c>
      <c r="AB26" s="31">
        <f t="shared" si="25"/>
        <v>8749.5072679982932</v>
      </c>
      <c r="AC26" s="31">
        <f t="shared" si="26"/>
        <v>225437.41573200002</v>
      </c>
      <c r="AD26" s="31">
        <f t="shared" si="27"/>
        <v>10425.124268</v>
      </c>
      <c r="AE26" s="31">
        <f>235176.54+686</f>
        <v>235862.54</v>
      </c>
      <c r="AF26" s="31">
        <f t="shared" si="5"/>
        <v>0.19150987006209474</v>
      </c>
      <c r="AG26" s="31">
        <f>[1]MJ!$H26</f>
        <v>197952.65312213334</v>
      </c>
      <c r="AH26" s="31">
        <f t="shared" si="28"/>
        <v>189203.14585413504</v>
      </c>
      <c r="AI26" s="31">
        <f t="shared" si="29"/>
        <v>8749.5072679982932</v>
      </c>
      <c r="AJ26" s="31">
        <f t="shared" si="30"/>
        <v>228529.02729599999</v>
      </c>
      <c r="AK26" s="31">
        <f t="shared" si="31"/>
        <v>10568.092703999999</v>
      </c>
      <c r="AL26" s="31">
        <v>239097.12</v>
      </c>
      <c r="AM26" s="31">
        <f t="shared" si="6"/>
        <v>0.20785004004205598</v>
      </c>
      <c r="AN26" s="31">
        <f>[1]MJ!$I26</f>
        <v>221918.52689813331</v>
      </c>
      <c r="AO26" s="31">
        <f t="shared" si="32"/>
        <v>212109.72800923581</v>
      </c>
      <c r="AP26" s="31">
        <f t="shared" si="33"/>
        <v>9808.7988888974905</v>
      </c>
      <c r="AQ26" s="31">
        <f t="shared" si="34"/>
        <v>221163.13548</v>
      </c>
      <c r="AR26" s="31">
        <f t="shared" si="35"/>
        <v>10227.46452</v>
      </c>
      <c r="AS26" s="33">
        <v>231390.6</v>
      </c>
      <c r="AT26" s="37">
        <f t="shared" si="7"/>
        <v>4.2682660318012378E-2</v>
      </c>
      <c r="AU26" s="36">
        <f>[1]MJ!$J26</f>
        <v>171561.11912213333</v>
      </c>
      <c r="AV26" s="31">
        <f t="shared" si="36"/>
        <v>163978.11765693504</v>
      </c>
      <c r="AW26" s="18">
        <f t="shared" si="37"/>
        <v>7583.0014651982929</v>
      </c>
      <c r="AX26" s="31">
        <f t="shared" si="38"/>
        <v>31582.604538</v>
      </c>
      <c r="AY26" s="31">
        <f t="shared" si="39"/>
        <v>1460.5054619999999</v>
      </c>
      <c r="AZ26" s="33">
        <v>33043.11</v>
      </c>
      <c r="BA26" s="37">
        <f t="shared" si="8"/>
        <v>-0.80739744430976335</v>
      </c>
      <c r="BB26" s="36">
        <f>[1]MJ!$K26</f>
        <v>147595.24534613334</v>
      </c>
      <c r="BC26" s="31">
        <f t="shared" si="40"/>
        <v>141071.53550183424</v>
      </c>
      <c r="BD26" s="18">
        <f t="shared" si="41"/>
        <v>6523.7098442990928</v>
      </c>
      <c r="BE26" s="31">
        <f t="shared" si="42"/>
        <v>0</v>
      </c>
      <c r="BF26" s="31">
        <f t="shared" si="43"/>
        <v>0</v>
      </c>
      <c r="BG26" s="27"/>
      <c r="BH26" s="37">
        <f t="shared" si="9"/>
        <v>-1</v>
      </c>
      <c r="BI26" s="36">
        <f>[1]MJ!$L26</f>
        <v>197952.65312213334</v>
      </c>
      <c r="BJ26" s="31">
        <f t="shared" si="44"/>
        <v>189203.14585413504</v>
      </c>
      <c r="BK26" s="18">
        <f t="shared" si="45"/>
        <v>8749.5072679982932</v>
      </c>
      <c r="BL26" s="31">
        <f t="shared" si="46"/>
        <v>0</v>
      </c>
      <c r="BM26" s="31">
        <f t="shared" si="47"/>
        <v>0</v>
      </c>
      <c r="BN26" s="33"/>
      <c r="BO26" s="37">
        <f t="shared" si="10"/>
        <v>-1</v>
      </c>
      <c r="BP26" s="36">
        <f>[1]MJ!$M26</f>
        <v>248377.88629733335</v>
      </c>
      <c r="BQ26" s="31">
        <f t="shared" si="48"/>
        <v>237399.5837229912</v>
      </c>
      <c r="BR26" s="18">
        <f t="shared" si="49"/>
        <v>10978.302574342133</v>
      </c>
      <c r="BS26" s="31">
        <f t="shared" si="50"/>
        <v>0</v>
      </c>
      <c r="BT26" s="31">
        <f t="shared" si="51"/>
        <v>0</v>
      </c>
      <c r="BU26" s="33"/>
      <c r="BV26" s="37">
        <f t="shared" si="11"/>
        <v>-1</v>
      </c>
      <c r="BW26" s="36">
        <f>[1]MJ!$N26</f>
        <v>239440.85500333246</v>
      </c>
      <c r="BX26" s="31">
        <f t="shared" si="52"/>
        <v>228857.56921218516</v>
      </c>
      <c r="BY26" s="18">
        <f t="shared" si="53"/>
        <v>10583.285791147293</v>
      </c>
      <c r="BZ26" s="31">
        <f t="shared" si="54"/>
        <v>0</v>
      </c>
      <c r="CA26" s="31">
        <f t="shared" si="55"/>
        <v>0</v>
      </c>
      <c r="CB26" s="33"/>
      <c r="CC26" s="37">
        <f t="shared" si="12"/>
        <v>-1</v>
      </c>
      <c r="CD26" s="36">
        <f>[1]MJ!$O26</f>
        <v>175068.49842733331</v>
      </c>
      <c r="CE26" s="31">
        <f t="shared" si="56"/>
        <v>167330.47079684518</v>
      </c>
      <c r="CF26" s="18">
        <f t="shared" si="57"/>
        <v>7738.0276304881318</v>
      </c>
      <c r="CG26" s="31">
        <f t="shared" si="58"/>
        <v>0</v>
      </c>
      <c r="CH26" s="31">
        <f t="shared" si="59"/>
        <v>0</v>
      </c>
      <c r="CI26" s="33"/>
      <c r="CJ26" s="37">
        <f t="shared" si="13"/>
        <v>-1</v>
      </c>
      <c r="CK26" s="36">
        <f>[1]MJ!$P26</f>
        <v>170872.16020333336</v>
      </c>
      <c r="CL26" s="31">
        <f t="shared" si="60"/>
        <v>163319.61072234603</v>
      </c>
      <c r="CM26" s="18">
        <f t="shared" si="61"/>
        <v>7552.5494809873344</v>
      </c>
      <c r="CN26" s="31">
        <f t="shared" si="62"/>
        <v>0</v>
      </c>
      <c r="CO26" s="31">
        <f t="shared" si="63"/>
        <v>0</v>
      </c>
      <c r="CP26" s="33"/>
      <c r="CQ26" s="37">
        <f t="shared" si="14"/>
        <v>-1</v>
      </c>
    </row>
    <row r="27" spans="1:95" s="26" customFormat="1" ht="16" customHeight="1" thickBot="1" x14ac:dyDescent="0.25">
      <c r="A27" s="29" t="s">
        <v>51</v>
      </c>
      <c r="B27" s="30">
        <f t="shared" si="0"/>
        <v>116368.960905</v>
      </c>
      <c r="C27" s="31">
        <f t="shared" si="0"/>
        <v>111225.452832999</v>
      </c>
      <c r="D27" s="32">
        <f t="shared" si="0"/>
        <v>5143.5080720009992</v>
      </c>
      <c r="E27" s="30">
        <f t="shared" si="15"/>
        <v>34336.668600000005</v>
      </c>
      <c r="F27" s="33">
        <f t="shared" si="15"/>
        <v>32818.987847880002</v>
      </c>
      <c r="G27" s="34">
        <f t="shared" si="15"/>
        <v>1517.6807521199999</v>
      </c>
      <c r="H27" s="31">
        <f t="shared" si="1"/>
        <v>136053.57083400001</v>
      </c>
      <c r="I27" s="33">
        <f t="shared" si="1"/>
        <v>6291.6591659999995</v>
      </c>
      <c r="J27" s="33">
        <f t="shared" si="1"/>
        <v>142345.23000000001</v>
      </c>
      <c r="K27" s="37">
        <f t="shared" si="2"/>
        <v>3.1455748563796311</v>
      </c>
      <c r="L27" s="36">
        <f>[1]MJ!$E27</f>
        <v>2849.6208000000001</v>
      </c>
      <c r="M27" s="31">
        <f t="shared" si="16"/>
        <v>2723.6675606400004</v>
      </c>
      <c r="N27" s="31">
        <f t="shared" si="17"/>
        <v>125.95323936</v>
      </c>
      <c r="O27" s="31">
        <f t="shared" si="18"/>
        <v>16067.772198000001</v>
      </c>
      <c r="P27" s="31">
        <f t="shared" si="19"/>
        <v>743.03780199999994</v>
      </c>
      <c r="Q27" s="31">
        <f>16810.81</f>
        <v>16810.810000000001</v>
      </c>
      <c r="R27" s="31">
        <f t="shared" si="3"/>
        <v>4.8993147439125941</v>
      </c>
      <c r="S27" s="31">
        <f>[1]MJ!$F27</f>
        <v>10287.3264</v>
      </c>
      <c r="T27" s="31">
        <f t="shared" si="20"/>
        <v>9832.6265731200001</v>
      </c>
      <c r="U27" s="31">
        <f t="shared" si="21"/>
        <v>454.69982687999993</v>
      </c>
      <c r="V27" s="31">
        <f t="shared" si="22"/>
        <v>17338.326696</v>
      </c>
      <c r="W27" s="31">
        <f t="shared" si="23"/>
        <v>801.79330399999992</v>
      </c>
      <c r="X27" s="31">
        <v>18140.12</v>
      </c>
      <c r="Y27" s="31">
        <f t="shared" si="4"/>
        <v>0.76334640261827391</v>
      </c>
      <c r="Z27" s="31">
        <f>[1]MJ!$G27</f>
        <v>10287.3264</v>
      </c>
      <c r="AA27" s="31">
        <f t="shared" si="24"/>
        <v>9832.6265731200001</v>
      </c>
      <c r="AB27" s="31">
        <f t="shared" si="25"/>
        <v>454.69982687999993</v>
      </c>
      <c r="AC27" s="31">
        <f t="shared" si="26"/>
        <v>2463.47892</v>
      </c>
      <c r="AD27" s="31">
        <f t="shared" si="27"/>
        <v>113.92107999999999</v>
      </c>
      <c r="AE27" s="31">
        <v>2577.4</v>
      </c>
      <c r="AF27" s="31">
        <f t="shared" si="5"/>
        <v>-0.74945871261555386</v>
      </c>
      <c r="AG27" s="31">
        <f>[1]MJ!$H27</f>
        <v>10912.395</v>
      </c>
      <c r="AH27" s="31">
        <f t="shared" si="28"/>
        <v>10430.067141</v>
      </c>
      <c r="AI27" s="31">
        <f t="shared" si="29"/>
        <v>482.32785899999999</v>
      </c>
      <c r="AJ27" s="31">
        <f t="shared" si="30"/>
        <v>4176.6739559999996</v>
      </c>
      <c r="AK27" s="31">
        <f t="shared" si="31"/>
        <v>193.14604399999996</v>
      </c>
      <c r="AL27" s="31">
        <v>4369.82</v>
      </c>
      <c r="AM27" s="31">
        <f t="shared" si="6"/>
        <v>-0.59955445161213472</v>
      </c>
      <c r="AN27" s="31">
        <f>[1]MJ!$I27</f>
        <v>4274.5950000000003</v>
      </c>
      <c r="AO27" s="31">
        <f t="shared" si="32"/>
        <v>4085.6579010000005</v>
      </c>
      <c r="AP27" s="31">
        <f t="shared" si="33"/>
        <v>188.93709899999999</v>
      </c>
      <c r="AQ27" s="31">
        <f t="shared" si="34"/>
        <v>69418.635714000004</v>
      </c>
      <c r="AR27" s="31">
        <f t="shared" si="35"/>
        <v>3210.1942859999999</v>
      </c>
      <c r="AS27" s="33">
        <v>72628.83</v>
      </c>
      <c r="AT27" s="37">
        <f t="shared" si="7"/>
        <v>15.990809655651589</v>
      </c>
      <c r="AU27" s="36">
        <f>[1]MJ!$J27</f>
        <v>13762.015799999999</v>
      </c>
      <c r="AV27" s="31">
        <f t="shared" si="36"/>
        <v>13153.73470164</v>
      </c>
      <c r="AW27" s="18">
        <f t="shared" si="37"/>
        <v>608.28109835999987</v>
      </c>
      <c r="AX27" s="31">
        <f t="shared" si="38"/>
        <v>26588.683349999999</v>
      </c>
      <c r="AY27" s="31">
        <f t="shared" si="39"/>
        <v>1229.56665</v>
      </c>
      <c r="AZ27" s="33">
        <v>27818.25</v>
      </c>
      <c r="BA27" s="37">
        <f t="shared" si="8"/>
        <v>1.0213790191986267</v>
      </c>
      <c r="BB27" s="36">
        <f>[1]MJ!$K27</f>
        <v>7124.2157999999999</v>
      </c>
      <c r="BC27" s="31">
        <f t="shared" si="40"/>
        <v>6809.32546164</v>
      </c>
      <c r="BD27" s="18">
        <f t="shared" si="41"/>
        <v>314.89033835999999</v>
      </c>
      <c r="BE27" s="31">
        <f t="shared" si="42"/>
        <v>0</v>
      </c>
      <c r="BF27" s="31">
        <f t="shared" si="43"/>
        <v>0</v>
      </c>
      <c r="BG27" s="27"/>
      <c r="BH27" s="37">
        <f t="shared" si="9"/>
        <v>-1</v>
      </c>
      <c r="BI27" s="36">
        <f>[1]MJ!$L27</f>
        <v>13762.015799999999</v>
      </c>
      <c r="BJ27" s="31">
        <f t="shared" si="44"/>
        <v>13153.73470164</v>
      </c>
      <c r="BK27" s="18">
        <f t="shared" si="45"/>
        <v>608.28109835999987</v>
      </c>
      <c r="BL27" s="31">
        <f t="shared" si="46"/>
        <v>0</v>
      </c>
      <c r="BM27" s="31">
        <f t="shared" si="47"/>
        <v>0</v>
      </c>
      <c r="BN27" s="33"/>
      <c r="BO27" s="37">
        <f t="shared" si="10"/>
        <v>-1</v>
      </c>
      <c r="BP27" s="36">
        <f>[1]MJ!$M27</f>
        <v>13762.015799999999</v>
      </c>
      <c r="BQ27" s="31">
        <f t="shared" si="48"/>
        <v>13153.73470164</v>
      </c>
      <c r="BR27" s="18">
        <f t="shared" si="49"/>
        <v>608.28109835999987</v>
      </c>
      <c r="BS27" s="31">
        <f t="shared" si="50"/>
        <v>0</v>
      </c>
      <c r="BT27" s="31">
        <f t="shared" si="51"/>
        <v>0</v>
      </c>
      <c r="BU27" s="33"/>
      <c r="BV27" s="37">
        <f t="shared" si="11"/>
        <v>-1</v>
      </c>
      <c r="BW27" s="36">
        <f>[1]MJ!$N27</f>
        <v>11682.225235</v>
      </c>
      <c r="BX27" s="31">
        <f t="shared" si="52"/>
        <v>11165.870879612999</v>
      </c>
      <c r="BY27" s="18">
        <f t="shared" si="53"/>
        <v>516.35435538699994</v>
      </c>
      <c r="BZ27" s="31">
        <f t="shared" si="54"/>
        <v>0</v>
      </c>
      <c r="CA27" s="31">
        <f t="shared" si="55"/>
        <v>0</v>
      </c>
      <c r="CB27" s="33"/>
      <c r="CC27" s="37">
        <f t="shared" si="12"/>
        <v>-1</v>
      </c>
      <c r="CD27" s="36">
        <f>[1]MJ!$O27</f>
        <v>8832.6044349999993</v>
      </c>
      <c r="CE27" s="31">
        <f t="shared" si="56"/>
        <v>8442.2033189729991</v>
      </c>
      <c r="CF27" s="18">
        <f t="shared" si="57"/>
        <v>390.40111602699994</v>
      </c>
      <c r="CG27" s="31">
        <f t="shared" si="58"/>
        <v>0</v>
      </c>
      <c r="CH27" s="31">
        <f t="shared" si="59"/>
        <v>0</v>
      </c>
      <c r="CI27" s="33"/>
      <c r="CJ27" s="37">
        <f t="shared" si="13"/>
        <v>-1</v>
      </c>
      <c r="CK27" s="36">
        <f>[1]MJ!$P27</f>
        <v>8832.6044349999993</v>
      </c>
      <c r="CL27" s="31">
        <f t="shared" si="60"/>
        <v>8442.2033189729991</v>
      </c>
      <c r="CM27" s="18">
        <f t="shared" si="61"/>
        <v>390.40111602699994</v>
      </c>
      <c r="CN27" s="31">
        <f t="shared" si="62"/>
        <v>0</v>
      </c>
      <c r="CO27" s="31">
        <f t="shared" si="63"/>
        <v>0</v>
      </c>
      <c r="CP27" s="33"/>
      <c r="CQ27" s="37">
        <f t="shared" si="14"/>
        <v>-1</v>
      </c>
    </row>
    <row r="28" spans="1:95" s="26" customFormat="1" ht="16" customHeight="1" thickBot="1" x14ac:dyDescent="0.25">
      <c r="A28" s="29" t="s">
        <v>52</v>
      </c>
      <c r="B28" s="30">
        <f t="shared" si="0"/>
        <v>123117.34348499999</v>
      </c>
      <c r="C28" s="31">
        <f t="shared" si="0"/>
        <v>117675.55690296298</v>
      </c>
      <c r="D28" s="32">
        <f t="shared" si="0"/>
        <v>5441.7865820369989</v>
      </c>
      <c r="E28" s="30">
        <f t="shared" si="15"/>
        <v>42299.205000000002</v>
      </c>
      <c r="F28" s="33">
        <f t="shared" si="15"/>
        <v>40429.580138999998</v>
      </c>
      <c r="G28" s="34">
        <f t="shared" si="15"/>
        <v>1869.6248609999998</v>
      </c>
      <c r="H28" s="31">
        <f t="shared" si="1"/>
        <v>51855.667344000001</v>
      </c>
      <c r="I28" s="33">
        <f t="shared" si="1"/>
        <v>2398.0126559999994</v>
      </c>
      <c r="J28" s="33">
        <f t="shared" si="1"/>
        <v>54253.679999999993</v>
      </c>
      <c r="K28" s="37">
        <f t="shared" si="2"/>
        <v>0.28261701372401649</v>
      </c>
      <c r="L28" s="36">
        <f>[1]MJ!$E28</f>
        <v>9005.49</v>
      </c>
      <c r="M28" s="31">
        <f t="shared" si="16"/>
        <v>8607.4473419999995</v>
      </c>
      <c r="N28" s="31">
        <f t="shared" si="17"/>
        <v>398.04265799999996</v>
      </c>
      <c r="O28" s="31">
        <f t="shared" si="18"/>
        <v>10132.598286</v>
      </c>
      <c r="P28" s="31">
        <f t="shared" si="19"/>
        <v>468.57171399999999</v>
      </c>
      <c r="Q28" s="31">
        <v>10601.17</v>
      </c>
      <c r="R28" s="31">
        <f t="shared" si="3"/>
        <v>0.17718969206561774</v>
      </c>
      <c r="S28" s="31">
        <f>[1]MJ!$F28</f>
        <v>9005.49</v>
      </c>
      <c r="T28" s="31">
        <f t="shared" si="20"/>
        <v>8607.4473419999995</v>
      </c>
      <c r="U28" s="31">
        <f t="shared" si="21"/>
        <v>398.04265799999996</v>
      </c>
      <c r="V28" s="31">
        <f t="shared" si="22"/>
        <v>9290.6722979999995</v>
      </c>
      <c r="W28" s="31">
        <f t="shared" si="23"/>
        <v>429.63770199999993</v>
      </c>
      <c r="X28" s="31">
        <f>9720.31</f>
        <v>9720.31</v>
      </c>
      <c r="Y28" s="31">
        <f t="shared" si="4"/>
        <v>7.9376025069152201E-2</v>
      </c>
      <c r="Z28" s="31">
        <f>[1]MJ!$G28</f>
        <v>12007.32</v>
      </c>
      <c r="AA28" s="31">
        <f t="shared" si="24"/>
        <v>11476.596455999999</v>
      </c>
      <c r="AB28" s="31">
        <f t="shared" si="25"/>
        <v>530.72354399999995</v>
      </c>
      <c r="AC28" s="31">
        <f t="shared" si="26"/>
        <v>4850.9239500000003</v>
      </c>
      <c r="AD28" s="31">
        <f t="shared" si="27"/>
        <v>224.32604999999998</v>
      </c>
      <c r="AE28" s="31">
        <v>5075.25</v>
      </c>
      <c r="AF28" s="31">
        <f t="shared" si="5"/>
        <v>-0.57732033459589649</v>
      </c>
      <c r="AG28" s="31">
        <f>[1]MJ!$H28</f>
        <v>12280.905000000001</v>
      </c>
      <c r="AH28" s="31">
        <f t="shared" si="28"/>
        <v>11738.088999000001</v>
      </c>
      <c r="AI28" s="31">
        <f t="shared" si="29"/>
        <v>542.81600100000003</v>
      </c>
      <c r="AJ28" s="31">
        <f t="shared" si="30"/>
        <v>4873.6528739999994</v>
      </c>
      <c r="AK28" s="31">
        <f t="shared" si="31"/>
        <v>225.37712599999998</v>
      </c>
      <c r="AL28" s="31">
        <v>5099.03</v>
      </c>
      <c r="AM28" s="31">
        <f t="shared" si="6"/>
        <v>-0.58480014298620508</v>
      </c>
      <c r="AN28" s="31">
        <f>[1]MJ!$I28</f>
        <v>10506.405000000001</v>
      </c>
      <c r="AO28" s="31">
        <f t="shared" si="32"/>
        <v>10042.021899000001</v>
      </c>
      <c r="AP28" s="31">
        <f t="shared" si="33"/>
        <v>464.38310100000001</v>
      </c>
      <c r="AQ28" s="31">
        <f t="shared" si="34"/>
        <v>5416.4230199999993</v>
      </c>
      <c r="AR28" s="31">
        <f t="shared" si="35"/>
        <v>250.47697999999997</v>
      </c>
      <c r="AS28" s="33">
        <v>5666.9</v>
      </c>
      <c r="AT28" s="37">
        <f t="shared" si="7"/>
        <v>-0.46062425729828615</v>
      </c>
      <c r="AU28" s="36">
        <f>[1]MJ!$J28</f>
        <v>9279.0750000000007</v>
      </c>
      <c r="AV28" s="31">
        <f t="shared" si="36"/>
        <v>8868.9398850000016</v>
      </c>
      <c r="AW28" s="18">
        <f t="shared" si="37"/>
        <v>410.13511499999998</v>
      </c>
      <c r="AX28" s="31">
        <f t="shared" si="38"/>
        <v>17291.396916000002</v>
      </c>
      <c r="AY28" s="31">
        <f t="shared" si="39"/>
        <v>799.62308399999995</v>
      </c>
      <c r="AZ28" s="33">
        <v>18091.02</v>
      </c>
      <c r="BA28" s="37">
        <f t="shared" si="8"/>
        <v>0.94965769756144858</v>
      </c>
      <c r="BB28" s="36">
        <f>[1]MJ!$K28</f>
        <v>7504.5749999999998</v>
      </c>
      <c r="BC28" s="31">
        <f t="shared" si="40"/>
        <v>7172.8727849999996</v>
      </c>
      <c r="BD28" s="18">
        <f t="shared" si="41"/>
        <v>331.70221499999997</v>
      </c>
      <c r="BE28" s="31">
        <f t="shared" si="42"/>
        <v>0</v>
      </c>
      <c r="BF28" s="31">
        <f t="shared" si="43"/>
        <v>0</v>
      </c>
      <c r="BG28" s="27"/>
      <c r="BH28" s="37">
        <f t="shared" si="9"/>
        <v>-1</v>
      </c>
      <c r="BI28" s="36">
        <f>[1]MJ!$L28</f>
        <v>12280.905000000001</v>
      </c>
      <c r="BJ28" s="31">
        <f t="shared" si="44"/>
        <v>11738.088999000001</v>
      </c>
      <c r="BK28" s="18">
        <f t="shared" si="45"/>
        <v>542.81600100000003</v>
      </c>
      <c r="BL28" s="31">
        <f t="shared" si="46"/>
        <v>0</v>
      </c>
      <c r="BM28" s="31">
        <f t="shared" si="47"/>
        <v>0</v>
      </c>
      <c r="BN28" s="33"/>
      <c r="BO28" s="37">
        <f t="shared" si="10"/>
        <v>-1</v>
      </c>
      <c r="BP28" s="36">
        <f>[1]MJ!$M28</f>
        <v>12280.905000000001</v>
      </c>
      <c r="BQ28" s="31">
        <f t="shared" si="48"/>
        <v>11738.088999000001</v>
      </c>
      <c r="BR28" s="18">
        <f t="shared" si="49"/>
        <v>542.81600100000003</v>
      </c>
      <c r="BS28" s="31">
        <f t="shared" si="50"/>
        <v>0</v>
      </c>
      <c r="BT28" s="31">
        <f t="shared" si="51"/>
        <v>0</v>
      </c>
      <c r="BU28" s="33"/>
      <c r="BV28" s="37">
        <f t="shared" si="11"/>
        <v>-1</v>
      </c>
      <c r="BW28" s="36">
        <f>[1]MJ!$N28</f>
        <v>11656.644495</v>
      </c>
      <c r="BX28" s="31">
        <f t="shared" si="52"/>
        <v>11141.420808321</v>
      </c>
      <c r="BY28" s="18">
        <f t="shared" si="53"/>
        <v>515.22368667900002</v>
      </c>
      <c r="BZ28" s="31">
        <f t="shared" si="54"/>
        <v>0</v>
      </c>
      <c r="CA28" s="31">
        <f t="shared" si="55"/>
        <v>0</v>
      </c>
      <c r="CB28" s="33"/>
      <c r="CC28" s="37">
        <f t="shared" si="12"/>
        <v>-1</v>
      </c>
      <c r="CD28" s="36">
        <f>[1]MJ!$O28</f>
        <v>8654.8144950000005</v>
      </c>
      <c r="CE28" s="31">
        <f t="shared" si="56"/>
        <v>8272.2716943209998</v>
      </c>
      <c r="CF28" s="18">
        <f t="shared" si="57"/>
        <v>382.54280067899998</v>
      </c>
      <c r="CG28" s="31">
        <f t="shared" si="58"/>
        <v>0</v>
      </c>
      <c r="CH28" s="31">
        <f t="shared" si="59"/>
        <v>0</v>
      </c>
      <c r="CI28" s="33"/>
      <c r="CJ28" s="37">
        <f t="shared" si="13"/>
        <v>-1</v>
      </c>
      <c r="CK28" s="36">
        <f>[1]MJ!$P28</f>
        <v>8654.8144950000005</v>
      </c>
      <c r="CL28" s="31">
        <f t="shared" si="60"/>
        <v>8272.2716943209998</v>
      </c>
      <c r="CM28" s="18">
        <f t="shared" si="61"/>
        <v>382.54280067899998</v>
      </c>
      <c r="CN28" s="31">
        <f t="shared" si="62"/>
        <v>0</v>
      </c>
      <c r="CO28" s="31">
        <f t="shared" si="63"/>
        <v>0</v>
      </c>
      <c r="CP28" s="33"/>
      <c r="CQ28" s="37">
        <f t="shared" si="14"/>
        <v>-1</v>
      </c>
    </row>
    <row r="29" spans="1:95" s="26" customFormat="1" ht="16" customHeight="1" thickBot="1" x14ac:dyDescent="0.25">
      <c r="A29" s="29" t="s">
        <v>53</v>
      </c>
      <c r="B29" s="30">
        <f t="shared" si="0"/>
        <v>209796.06999999998</v>
      </c>
      <c r="C29" s="31">
        <f t="shared" si="0"/>
        <v>200523.083706</v>
      </c>
      <c r="D29" s="32">
        <f t="shared" si="0"/>
        <v>9272.9862939999985</v>
      </c>
      <c r="E29" s="30">
        <f t="shared" si="15"/>
        <v>69932.023333333331</v>
      </c>
      <c r="F29" s="33">
        <f t="shared" si="15"/>
        <v>66841.027902000002</v>
      </c>
      <c r="G29" s="34">
        <f t="shared" si="15"/>
        <v>3090.9954313333328</v>
      </c>
      <c r="H29" s="31">
        <f t="shared" si="1"/>
        <v>0</v>
      </c>
      <c r="I29" s="33">
        <f t="shared" si="1"/>
        <v>0</v>
      </c>
      <c r="J29" s="33">
        <f t="shared" si="1"/>
        <v>0</v>
      </c>
      <c r="K29" s="37">
        <f t="shared" si="2"/>
        <v>-1</v>
      </c>
      <c r="L29" s="36">
        <f>[1]MJ!$E29</f>
        <v>15846.698333333336</v>
      </c>
      <c r="M29" s="31">
        <f t="shared" si="16"/>
        <v>15146.274267000003</v>
      </c>
      <c r="N29" s="31">
        <f t="shared" si="17"/>
        <v>700.42406633333337</v>
      </c>
      <c r="O29" s="31">
        <f t="shared" si="18"/>
        <v>0</v>
      </c>
      <c r="P29" s="31">
        <f t="shared" si="19"/>
        <v>0</v>
      </c>
      <c r="Q29" s="31"/>
      <c r="R29" s="31">
        <f t="shared" si="3"/>
        <v>-1</v>
      </c>
      <c r="S29" s="31">
        <f>[1]MJ!$F29</f>
        <v>19119.313333333332</v>
      </c>
      <c r="T29" s="31">
        <f t="shared" si="20"/>
        <v>18274.239684</v>
      </c>
      <c r="U29" s="31">
        <f t="shared" si="21"/>
        <v>845.07364933333315</v>
      </c>
      <c r="V29" s="31">
        <f t="shared" si="22"/>
        <v>0</v>
      </c>
      <c r="W29" s="31">
        <f t="shared" si="23"/>
        <v>0</v>
      </c>
      <c r="X29" s="31"/>
      <c r="Y29" s="31">
        <f t="shared" si="4"/>
        <v>-1</v>
      </c>
      <c r="Z29" s="31">
        <f>[1]MJ!$G29</f>
        <v>15846.698333333336</v>
      </c>
      <c r="AA29" s="31">
        <f t="shared" si="24"/>
        <v>15146.274267000003</v>
      </c>
      <c r="AB29" s="31">
        <f t="shared" si="25"/>
        <v>700.42406633333337</v>
      </c>
      <c r="AC29" s="31">
        <f t="shared" si="26"/>
        <v>0</v>
      </c>
      <c r="AD29" s="31">
        <f t="shared" si="27"/>
        <v>0</v>
      </c>
      <c r="AE29" s="31"/>
      <c r="AF29" s="31">
        <f t="shared" si="5"/>
        <v>-1</v>
      </c>
      <c r="AG29" s="31">
        <f>[1]MJ!$H29</f>
        <v>19119.313333333332</v>
      </c>
      <c r="AH29" s="31">
        <f t="shared" si="28"/>
        <v>18274.239684</v>
      </c>
      <c r="AI29" s="31">
        <f t="shared" si="29"/>
        <v>845.07364933333315</v>
      </c>
      <c r="AJ29" s="31">
        <f t="shared" si="30"/>
        <v>0</v>
      </c>
      <c r="AK29" s="31">
        <f t="shared" si="31"/>
        <v>0</v>
      </c>
      <c r="AL29" s="31"/>
      <c r="AM29" s="31">
        <f t="shared" si="6"/>
        <v>-1</v>
      </c>
      <c r="AN29" s="31">
        <f>[1]MJ!$I29</f>
        <v>15846.698333333336</v>
      </c>
      <c r="AO29" s="31">
        <f t="shared" si="32"/>
        <v>15146.274267000003</v>
      </c>
      <c r="AP29" s="31">
        <f t="shared" si="33"/>
        <v>700.42406633333337</v>
      </c>
      <c r="AQ29" s="31">
        <f t="shared" si="34"/>
        <v>0</v>
      </c>
      <c r="AR29" s="31">
        <f t="shared" si="35"/>
        <v>0</v>
      </c>
      <c r="AS29" s="33"/>
      <c r="AT29" s="37">
        <f t="shared" si="7"/>
        <v>-1</v>
      </c>
      <c r="AU29" s="36">
        <f>[1]MJ!$J29</f>
        <v>19119.313333333332</v>
      </c>
      <c r="AV29" s="31">
        <f t="shared" si="36"/>
        <v>18274.239684</v>
      </c>
      <c r="AW29" s="18">
        <f t="shared" si="37"/>
        <v>845.07364933333315</v>
      </c>
      <c r="AX29" s="31">
        <f t="shared" si="38"/>
        <v>0</v>
      </c>
      <c r="AY29" s="31">
        <f t="shared" si="39"/>
        <v>0</v>
      </c>
      <c r="AZ29" s="33"/>
      <c r="BA29" s="37">
        <f t="shared" si="8"/>
        <v>-1</v>
      </c>
      <c r="BB29" s="36">
        <f>[1]MJ!$K29</f>
        <v>15846.698333333336</v>
      </c>
      <c r="BC29" s="31">
        <f t="shared" si="40"/>
        <v>15146.274267000003</v>
      </c>
      <c r="BD29" s="18">
        <f t="shared" si="41"/>
        <v>700.42406633333337</v>
      </c>
      <c r="BE29" s="31">
        <f t="shared" si="42"/>
        <v>0</v>
      </c>
      <c r="BF29" s="31">
        <f t="shared" si="43"/>
        <v>0</v>
      </c>
      <c r="BG29" s="27"/>
      <c r="BH29" s="37">
        <f t="shared" si="9"/>
        <v>-1</v>
      </c>
      <c r="BI29" s="36">
        <f>[1]MJ!$L29</f>
        <v>19119.313333333332</v>
      </c>
      <c r="BJ29" s="31">
        <f t="shared" si="44"/>
        <v>18274.239684</v>
      </c>
      <c r="BK29" s="18">
        <f t="shared" si="45"/>
        <v>845.07364933333315</v>
      </c>
      <c r="BL29" s="31">
        <f t="shared" si="46"/>
        <v>0</v>
      </c>
      <c r="BM29" s="31">
        <f t="shared" si="47"/>
        <v>0</v>
      </c>
      <c r="BN29" s="33"/>
      <c r="BO29" s="37">
        <f t="shared" si="10"/>
        <v>-1</v>
      </c>
      <c r="BP29" s="36">
        <f>[1]MJ!$M29</f>
        <v>15846.698333333336</v>
      </c>
      <c r="BQ29" s="31">
        <f t="shared" si="48"/>
        <v>15146.274267000003</v>
      </c>
      <c r="BR29" s="18">
        <f t="shared" si="49"/>
        <v>700.42406633333337</v>
      </c>
      <c r="BS29" s="31">
        <f t="shared" si="50"/>
        <v>0</v>
      </c>
      <c r="BT29" s="31">
        <f t="shared" si="51"/>
        <v>0</v>
      </c>
      <c r="BU29" s="33"/>
      <c r="BV29" s="37">
        <f t="shared" si="11"/>
        <v>-1</v>
      </c>
      <c r="BW29" s="36">
        <f>[1]MJ!$N29</f>
        <v>19119.313333333332</v>
      </c>
      <c r="BX29" s="31">
        <f t="shared" si="52"/>
        <v>18274.239684</v>
      </c>
      <c r="BY29" s="18">
        <f t="shared" si="53"/>
        <v>845.07364933333315</v>
      </c>
      <c r="BZ29" s="31">
        <f t="shared" si="54"/>
        <v>0</v>
      </c>
      <c r="CA29" s="31">
        <f t="shared" si="55"/>
        <v>0</v>
      </c>
      <c r="CB29" s="33"/>
      <c r="CC29" s="37">
        <f t="shared" si="12"/>
        <v>-1</v>
      </c>
      <c r="CD29" s="36">
        <f>[1]MJ!$O29</f>
        <v>15846.698333333336</v>
      </c>
      <c r="CE29" s="31">
        <f t="shared" si="56"/>
        <v>15146.274267000003</v>
      </c>
      <c r="CF29" s="18">
        <f t="shared" si="57"/>
        <v>700.42406633333337</v>
      </c>
      <c r="CG29" s="31">
        <f t="shared" si="58"/>
        <v>0</v>
      </c>
      <c r="CH29" s="31">
        <f t="shared" si="59"/>
        <v>0</v>
      </c>
      <c r="CI29" s="33"/>
      <c r="CJ29" s="37">
        <f t="shared" si="13"/>
        <v>-1</v>
      </c>
      <c r="CK29" s="36">
        <f>[1]MJ!$P29</f>
        <v>19119.313333333332</v>
      </c>
      <c r="CL29" s="31">
        <f t="shared" si="60"/>
        <v>18274.239684</v>
      </c>
      <c r="CM29" s="18">
        <f t="shared" si="61"/>
        <v>845.07364933333315</v>
      </c>
      <c r="CN29" s="31">
        <f t="shared" si="62"/>
        <v>0</v>
      </c>
      <c r="CO29" s="31">
        <f t="shared" si="63"/>
        <v>0</v>
      </c>
      <c r="CP29" s="33"/>
      <c r="CQ29" s="37">
        <f t="shared" si="14"/>
        <v>-1</v>
      </c>
    </row>
    <row r="30" spans="1:95" s="26" customFormat="1" ht="16" customHeight="1" thickBot="1" x14ac:dyDescent="0.25">
      <c r="A30" s="29" t="s">
        <v>54</v>
      </c>
      <c r="B30" s="30">
        <f t="shared" si="0"/>
        <v>30000</v>
      </c>
      <c r="C30" s="31">
        <f t="shared" si="0"/>
        <v>28674</v>
      </c>
      <c r="D30" s="32">
        <f t="shared" si="0"/>
        <v>1325.9999999999998</v>
      </c>
      <c r="E30" s="30">
        <f t="shared" si="15"/>
        <v>10000</v>
      </c>
      <c r="F30" s="33">
        <f t="shared" si="15"/>
        <v>9558</v>
      </c>
      <c r="G30" s="34">
        <f t="shared" si="15"/>
        <v>441.99999999999994</v>
      </c>
      <c r="H30" s="31">
        <f t="shared" si="1"/>
        <v>0</v>
      </c>
      <c r="I30" s="33">
        <f t="shared" si="1"/>
        <v>0</v>
      </c>
      <c r="J30" s="33">
        <f t="shared" si="1"/>
        <v>0</v>
      </c>
      <c r="K30" s="37">
        <f t="shared" si="2"/>
        <v>-1</v>
      </c>
      <c r="L30" s="36">
        <f>[1]MJ!$E30</f>
        <v>2500</v>
      </c>
      <c r="M30" s="31">
        <f t="shared" si="16"/>
        <v>2389.5</v>
      </c>
      <c r="N30" s="31">
        <f t="shared" si="17"/>
        <v>110.49999999999999</v>
      </c>
      <c r="O30" s="31">
        <f t="shared" si="18"/>
        <v>0</v>
      </c>
      <c r="P30" s="31">
        <f t="shared" si="19"/>
        <v>0</v>
      </c>
      <c r="Q30" s="31"/>
      <c r="R30" s="31">
        <f t="shared" si="3"/>
        <v>-1</v>
      </c>
      <c r="S30" s="31">
        <f>[1]MJ!$F30</f>
        <v>2500</v>
      </c>
      <c r="T30" s="31">
        <f t="shared" si="20"/>
        <v>2389.5</v>
      </c>
      <c r="U30" s="31">
        <f t="shared" si="21"/>
        <v>110.49999999999999</v>
      </c>
      <c r="V30" s="31">
        <f t="shared" si="22"/>
        <v>0</v>
      </c>
      <c r="W30" s="31">
        <f t="shared" si="23"/>
        <v>0</v>
      </c>
      <c r="X30" s="31"/>
      <c r="Y30" s="31">
        <f t="shared" si="4"/>
        <v>-1</v>
      </c>
      <c r="Z30" s="31">
        <f>[1]MJ!$G30</f>
        <v>2500</v>
      </c>
      <c r="AA30" s="31">
        <f t="shared" si="24"/>
        <v>2389.5</v>
      </c>
      <c r="AB30" s="31">
        <f t="shared" si="25"/>
        <v>110.49999999999999</v>
      </c>
      <c r="AC30" s="31">
        <f t="shared" si="26"/>
        <v>0</v>
      </c>
      <c r="AD30" s="31">
        <f t="shared" si="27"/>
        <v>0</v>
      </c>
      <c r="AE30" s="31"/>
      <c r="AF30" s="31">
        <f t="shared" si="5"/>
        <v>-1</v>
      </c>
      <c r="AG30" s="31">
        <f>[1]MJ!$H30</f>
        <v>2500</v>
      </c>
      <c r="AH30" s="31">
        <f t="shared" si="28"/>
        <v>2389.5</v>
      </c>
      <c r="AI30" s="31">
        <f t="shared" si="29"/>
        <v>110.49999999999999</v>
      </c>
      <c r="AJ30" s="31">
        <f t="shared" si="30"/>
        <v>0</v>
      </c>
      <c r="AK30" s="31">
        <f t="shared" si="31"/>
        <v>0</v>
      </c>
      <c r="AL30" s="31"/>
      <c r="AM30" s="31">
        <f t="shared" si="6"/>
        <v>-1</v>
      </c>
      <c r="AN30" s="31">
        <f>[1]MJ!$I30</f>
        <v>2500</v>
      </c>
      <c r="AO30" s="31">
        <f t="shared" si="32"/>
        <v>2389.5</v>
      </c>
      <c r="AP30" s="31">
        <f t="shared" si="33"/>
        <v>110.49999999999999</v>
      </c>
      <c r="AQ30" s="31">
        <f t="shared" si="34"/>
        <v>0</v>
      </c>
      <c r="AR30" s="31">
        <f t="shared" si="35"/>
        <v>0</v>
      </c>
      <c r="AS30" s="33"/>
      <c r="AT30" s="37">
        <f t="shared" si="7"/>
        <v>-1</v>
      </c>
      <c r="AU30" s="36">
        <f>[1]MJ!$J30</f>
        <v>2500</v>
      </c>
      <c r="AV30" s="31">
        <f t="shared" si="36"/>
        <v>2389.5</v>
      </c>
      <c r="AW30" s="18">
        <f t="shared" si="37"/>
        <v>110.49999999999999</v>
      </c>
      <c r="AX30" s="31">
        <f t="shared" si="38"/>
        <v>0</v>
      </c>
      <c r="AY30" s="31">
        <f t="shared" si="39"/>
        <v>0</v>
      </c>
      <c r="AZ30" s="33"/>
      <c r="BA30" s="37">
        <f t="shared" si="8"/>
        <v>-1</v>
      </c>
      <c r="BB30" s="36">
        <f>[1]MJ!$K30</f>
        <v>2500</v>
      </c>
      <c r="BC30" s="31">
        <f t="shared" si="40"/>
        <v>2389.5</v>
      </c>
      <c r="BD30" s="18">
        <f t="shared" si="41"/>
        <v>110.49999999999999</v>
      </c>
      <c r="BE30" s="31">
        <f t="shared" si="42"/>
        <v>0</v>
      </c>
      <c r="BF30" s="31">
        <f t="shared" si="43"/>
        <v>0</v>
      </c>
      <c r="BG30" s="27"/>
      <c r="BH30" s="37">
        <f t="shared" si="9"/>
        <v>-1</v>
      </c>
      <c r="BI30" s="36">
        <f>[1]MJ!$L30</f>
        <v>2500</v>
      </c>
      <c r="BJ30" s="31">
        <f t="shared" si="44"/>
        <v>2389.5</v>
      </c>
      <c r="BK30" s="18">
        <f t="shared" si="45"/>
        <v>110.49999999999999</v>
      </c>
      <c r="BL30" s="31">
        <f t="shared" si="46"/>
        <v>0</v>
      </c>
      <c r="BM30" s="31">
        <f t="shared" si="47"/>
        <v>0</v>
      </c>
      <c r="BN30" s="33"/>
      <c r="BO30" s="37">
        <f t="shared" si="10"/>
        <v>-1</v>
      </c>
      <c r="BP30" s="36">
        <f>[1]MJ!$M30</f>
        <v>2500</v>
      </c>
      <c r="BQ30" s="31">
        <f t="shared" si="48"/>
        <v>2389.5</v>
      </c>
      <c r="BR30" s="18">
        <f t="shared" si="49"/>
        <v>110.49999999999999</v>
      </c>
      <c r="BS30" s="31">
        <f t="shared" si="50"/>
        <v>0</v>
      </c>
      <c r="BT30" s="31">
        <f t="shared" si="51"/>
        <v>0</v>
      </c>
      <c r="BU30" s="33"/>
      <c r="BV30" s="37">
        <f t="shared" si="11"/>
        <v>-1</v>
      </c>
      <c r="BW30" s="36">
        <f>[1]MJ!$N30</f>
        <v>2500</v>
      </c>
      <c r="BX30" s="31">
        <f t="shared" si="52"/>
        <v>2389.5</v>
      </c>
      <c r="BY30" s="18">
        <f t="shared" si="53"/>
        <v>110.49999999999999</v>
      </c>
      <c r="BZ30" s="31">
        <f t="shared" si="54"/>
        <v>0</v>
      </c>
      <c r="CA30" s="31">
        <f t="shared" si="55"/>
        <v>0</v>
      </c>
      <c r="CB30" s="33"/>
      <c r="CC30" s="37">
        <f t="shared" si="12"/>
        <v>-1</v>
      </c>
      <c r="CD30" s="36">
        <f>[1]MJ!$O30</f>
        <v>2500</v>
      </c>
      <c r="CE30" s="31">
        <f t="shared" si="56"/>
        <v>2389.5</v>
      </c>
      <c r="CF30" s="18">
        <f t="shared" si="57"/>
        <v>110.49999999999999</v>
      </c>
      <c r="CG30" s="31">
        <f t="shared" si="58"/>
        <v>0</v>
      </c>
      <c r="CH30" s="31">
        <f t="shared" si="59"/>
        <v>0</v>
      </c>
      <c r="CI30" s="33"/>
      <c r="CJ30" s="37">
        <f t="shared" si="13"/>
        <v>-1</v>
      </c>
      <c r="CK30" s="36">
        <f>[1]MJ!$P30</f>
        <v>2500</v>
      </c>
      <c r="CL30" s="31">
        <f t="shared" si="60"/>
        <v>2389.5</v>
      </c>
      <c r="CM30" s="18">
        <f t="shared" si="61"/>
        <v>110.49999999999999</v>
      </c>
      <c r="CN30" s="31">
        <f t="shared" si="62"/>
        <v>0</v>
      </c>
      <c r="CO30" s="31">
        <f t="shared" si="63"/>
        <v>0</v>
      </c>
      <c r="CP30" s="33"/>
      <c r="CQ30" s="37">
        <f t="shared" si="14"/>
        <v>-1</v>
      </c>
    </row>
    <row r="31" spans="1:95" s="26" customFormat="1" ht="16" customHeight="1" thickBot="1" x14ac:dyDescent="0.25">
      <c r="A31" s="38" t="s">
        <v>55</v>
      </c>
      <c r="B31" s="30">
        <f t="shared" si="0"/>
        <v>5000</v>
      </c>
      <c r="C31" s="31">
        <f t="shared" si="0"/>
        <v>4779</v>
      </c>
      <c r="D31" s="32">
        <f t="shared" si="0"/>
        <v>220.99999999999991</v>
      </c>
      <c r="E31" s="30">
        <f t="shared" si="15"/>
        <v>1666.6666666666667</v>
      </c>
      <c r="F31" s="33">
        <f t="shared" si="15"/>
        <v>1593</v>
      </c>
      <c r="G31" s="34">
        <f t="shared" si="15"/>
        <v>73.666666666666657</v>
      </c>
      <c r="H31" s="31">
        <f t="shared" si="1"/>
        <v>0</v>
      </c>
      <c r="I31" s="33">
        <f t="shared" si="1"/>
        <v>0</v>
      </c>
      <c r="J31" s="33">
        <f t="shared" si="1"/>
        <v>0</v>
      </c>
      <c r="K31" s="37">
        <f t="shared" si="2"/>
        <v>-1</v>
      </c>
      <c r="L31" s="36">
        <f>[1]MJ!$E31</f>
        <v>416.66666666666669</v>
      </c>
      <c r="M31" s="31">
        <f t="shared" si="16"/>
        <v>398.25</v>
      </c>
      <c r="N31" s="31">
        <f t="shared" si="17"/>
        <v>18.416666666666664</v>
      </c>
      <c r="O31" s="31">
        <f t="shared" si="18"/>
        <v>0</v>
      </c>
      <c r="P31" s="31">
        <f t="shared" si="19"/>
        <v>0</v>
      </c>
      <c r="Q31" s="31"/>
      <c r="R31" s="31">
        <f t="shared" si="3"/>
        <v>-1</v>
      </c>
      <c r="S31" s="31">
        <f>[1]MJ!$F31</f>
        <v>416.66666666666669</v>
      </c>
      <c r="T31" s="31">
        <f t="shared" si="20"/>
        <v>398.25</v>
      </c>
      <c r="U31" s="31">
        <f t="shared" si="21"/>
        <v>18.416666666666664</v>
      </c>
      <c r="V31" s="31">
        <f t="shared" si="22"/>
        <v>0</v>
      </c>
      <c r="W31" s="31">
        <f t="shared" si="23"/>
        <v>0</v>
      </c>
      <c r="X31" s="31"/>
      <c r="Y31" s="31">
        <f t="shared" si="4"/>
        <v>-1</v>
      </c>
      <c r="Z31" s="31">
        <f>[1]MJ!$G31</f>
        <v>416.66666666666669</v>
      </c>
      <c r="AA31" s="31">
        <f t="shared" si="24"/>
        <v>398.25</v>
      </c>
      <c r="AB31" s="31">
        <f t="shared" si="25"/>
        <v>18.416666666666664</v>
      </c>
      <c r="AC31" s="31">
        <f t="shared" si="26"/>
        <v>0</v>
      </c>
      <c r="AD31" s="31">
        <f t="shared" si="27"/>
        <v>0</v>
      </c>
      <c r="AE31" s="31"/>
      <c r="AF31" s="31">
        <f t="shared" si="5"/>
        <v>-1</v>
      </c>
      <c r="AG31" s="31">
        <f>[1]MJ!$H31</f>
        <v>416.66666666666669</v>
      </c>
      <c r="AH31" s="31">
        <f t="shared" si="28"/>
        <v>398.25</v>
      </c>
      <c r="AI31" s="31">
        <f t="shared" si="29"/>
        <v>18.416666666666664</v>
      </c>
      <c r="AJ31" s="31">
        <f t="shared" si="30"/>
        <v>0</v>
      </c>
      <c r="AK31" s="31">
        <f t="shared" si="31"/>
        <v>0</v>
      </c>
      <c r="AL31" s="31"/>
      <c r="AM31" s="31">
        <f t="shared" si="6"/>
        <v>-1</v>
      </c>
      <c r="AN31" s="31">
        <f>[1]MJ!$I31</f>
        <v>416.66666666666669</v>
      </c>
      <c r="AO31" s="31">
        <f t="shared" si="32"/>
        <v>398.25</v>
      </c>
      <c r="AP31" s="31">
        <f t="shared" si="33"/>
        <v>18.416666666666664</v>
      </c>
      <c r="AQ31" s="31">
        <f t="shared" si="34"/>
        <v>0</v>
      </c>
      <c r="AR31" s="31">
        <f t="shared" si="35"/>
        <v>0</v>
      </c>
      <c r="AS31" s="33"/>
      <c r="AT31" s="37">
        <f t="shared" si="7"/>
        <v>-1</v>
      </c>
      <c r="AU31" s="36">
        <f>[1]MJ!$J31</f>
        <v>416.66666666666669</v>
      </c>
      <c r="AV31" s="31">
        <f t="shared" si="36"/>
        <v>398.25</v>
      </c>
      <c r="AW31" s="18">
        <f t="shared" si="37"/>
        <v>18.416666666666664</v>
      </c>
      <c r="AX31" s="31">
        <f t="shared" si="38"/>
        <v>0</v>
      </c>
      <c r="AY31" s="31">
        <f t="shared" si="39"/>
        <v>0</v>
      </c>
      <c r="AZ31" s="33"/>
      <c r="BA31" s="37">
        <f t="shared" si="8"/>
        <v>-1</v>
      </c>
      <c r="BB31" s="36">
        <f>[1]MJ!$K31</f>
        <v>416.66666666666669</v>
      </c>
      <c r="BC31" s="31">
        <f t="shared" si="40"/>
        <v>398.25</v>
      </c>
      <c r="BD31" s="18">
        <f t="shared" si="41"/>
        <v>18.416666666666664</v>
      </c>
      <c r="BE31" s="31">
        <f t="shared" si="42"/>
        <v>0</v>
      </c>
      <c r="BF31" s="31">
        <f t="shared" si="43"/>
        <v>0</v>
      </c>
      <c r="BG31" s="27"/>
      <c r="BH31" s="37">
        <f t="shared" si="9"/>
        <v>-1</v>
      </c>
      <c r="BI31" s="36">
        <f>[1]MJ!$L31</f>
        <v>416.66666666666669</v>
      </c>
      <c r="BJ31" s="31">
        <f t="shared" si="44"/>
        <v>398.25</v>
      </c>
      <c r="BK31" s="18">
        <f t="shared" si="45"/>
        <v>18.416666666666664</v>
      </c>
      <c r="BL31" s="31">
        <f t="shared" si="46"/>
        <v>0</v>
      </c>
      <c r="BM31" s="31">
        <f t="shared" si="47"/>
        <v>0</v>
      </c>
      <c r="BN31" s="33"/>
      <c r="BO31" s="37">
        <f t="shared" si="10"/>
        <v>-1</v>
      </c>
      <c r="BP31" s="36">
        <f>[1]MJ!$M31</f>
        <v>416.66666666666669</v>
      </c>
      <c r="BQ31" s="31">
        <f t="shared" si="48"/>
        <v>398.25</v>
      </c>
      <c r="BR31" s="18">
        <f t="shared" si="49"/>
        <v>18.416666666666664</v>
      </c>
      <c r="BS31" s="31">
        <f t="shared" si="50"/>
        <v>0</v>
      </c>
      <c r="BT31" s="31">
        <f t="shared" si="51"/>
        <v>0</v>
      </c>
      <c r="BU31" s="33"/>
      <c r="BV31" s="37">
        <f t="shared" si="11"/>
        <v>-1</v>
      </c>
      <c r="BW31" s="36">
        <f>[1]MJ!$N31</f>
        <v>416.66666666666669</v>
      </c>
      <c r="BX31" s="31">
        <f t="shared" si="52"/>
        <v>398.25</v>
      </c>
      <c r="BY31" s="18">
        <f t="shared" si="53"/>
        <v>18.416666666666664</v>
      </c>
      <c r="BZ31" s="31">
        <f t="shared" si="54"/>
        <v>0</v>
      </c>
      <c r="CA31" s="31">
        <f t="shared" si="55"/>
        <v>0</v>
      </c>
      <c r="CB31" s="33"/>
      <c r="CC31" s="37">
        <f t="shared" si="12"/>
        <v>-1</v>
      </c>
      <c r="CD31" s="36">
        <f>[1]MJ!$O31</f>
        <v>416.66666666666669</v>
      </c>
      <c r="CE31" s="31">
        <f t="shared" si="56"/>
        <v>398.25</v>
      </c>
      <c r="CF31" s="18">
        <f t="shared" si="57"/>
        <v>18.416666666666664</v>
      </c>
      <c r="CG31" s="31">
        <f t="shared" si="58"/>
        <v>0</v>
      </c>
      <c r="CH31" s="31">
        <f t="shared" si="59"/>
        <v>0</v>
      </c>
      <c r="CI31" s="33"/>
      <c r="CJ31" s="37">
        <f t="shared" si="13"/>
        <v>-1</v>
      </c>
      <c r="CK31" s="36">
        <f>[1]MJ!$P31</f>
        <v>416.66666666666669</v>
      </c>
      <c r="CL31" s="31">
        <f t="shared" si="60"/>
        <v>398.25</v>
      </c>
      <c r="CM31" s="18">
        <f t="shared" si="61"/>
        <v>18.416666666666664</v>
      </c>
      <c r="CN31" s="31">
        <f t="shared" si="62"/>
        <v>0</v>
      </c>
      <c r="CO31" s="31">
        <f t="shared" si="63"/>
        <v>0</v>
      </c>
      <c r="CP31" s="33"/>
      <c r="CQ31" s="37">
        <f t="shared" si="14"/>
        <v>-1</v>
      </c>
    </row>
    <row r="32" spans="1:95" s="26" customFormat="1" ht="16" customHeight="1" thickBot="1" x14ac:dyDescent="0.25">
      <c r="A32" s="29" t="s">
        <v>168</v>
      </c>
      <c r="B32" s="30">
        <f t="shared" si="0"/>
        <v>2882339.3280000002</v>
      </c>
      <c r="C32" s="31">
        <f t="shared" si="0"/>
        <v>2754939.9297023998</v>
      </c>
      <c r="D32" s="32">
        <f t="shared" si="0"/>
        <v>127399.39829759998</v>
      </c>
      <c r="E32" s="30">
        <f t="shared" si="15"/>
        <v>1314097.6639999999</v>
      </c>
      <c r="F32" s="33">
        <f t="shared" si="15"/>
        <v>1256014.5472512001</v>
      </c>
      <c r="G32" s="34">
        <f t="shared" si="15"/>
        <v>58083.116748799999</v>
      </c>
      <c r="H32" s="31">
        <f t="shared" si="1"/>
        <v>1397295.231534</v>
      </c>
      <c r="I32" s="33">
        <f t="shared" si="1"/>
        <v>64616.49846599999</v>
      </c>
      <c r="J32" s="33">
        <f t="shared" si="1"/>
        <v>1461911.7300000002</v>
      </c>
      <c r="K32" s="37">
        <f t="shared" si="2"/>
        <v>0.1124833184392604</v>
      </c>
      <c r="L32" s="36">
        <f>[1]MJ!$E32</f>
        <v>531514.67599999998</v>
      </c>
      <c r="M32" s="31">
        <f t="shared" si="16"/>
        <v>508021.72732079995</v>
      </c>
      <c r="N32" s="31">
        <f t="shared" si="17"/>
        <v>23492.948679199995</v>
      </c>
      <c r="O32" s="31">
        <f t="shared" si="18"/>
        <v>422492.57985600003</v>
      </c>
      <c r="P32" s="31">
        <f t="shared" si="19"/>
        <v>19537.740143999999</v>
      </c>
      <c r="Q32" s="31">
        <f>266505.28+173582+1943.04</f>
        <v>442030.32</v>
      </c>
      <c r="R32" s="31">
        <f t="shared" si="3"/>
        <v>-0.16835726281996388</v>
      </c>
      <c r="S32" s="31">
        <f>[1]MJ!$F32</f>
        <v>35376</v>
      </c>
      <c r="T32" s="31">
        <f t="shared" si="20"/>
        <v>33812.380799999999</v>
      </c>
      <c r="U32" s="31">
        <f t="shared" si="21"/>
        <v>1563.6191999999999</v>
      </c>
      <c r="V32" s="31">
        <f t="shared" si="22"/>
        <v>283392.10022400005</v>
      </c>
      <c r="W32" s="31">
        <f t="shared" si="23"/>
        <v>13105.179776000001</v>
      </c>
      <c r="X32" s="31">
        <f>293137.13+1844.81+1515.34</f>
        <v>296497.28000000003</v>
      </c>
      <c r="Y32" s="31">
        <f t="shared" si="4"/>
        <v>7.3813116236996841</v>
      </c>
      <c r="Z32" s="31">
        <f>[1]MJ!$G32</f>
        <v>324784.41600000003</v>
      </c>
      <c r="AA32" s="31">
        <f t="shared" si="24"/>
        <v>310428.94481280004</v>
      </c>
      <c r="AB32" s="31">
        <f t="shared" si="25"/>
        <v>14355.471187200001</v>
      </c>
      <c r="AC32" s="31">
        <f t="shared" si="26"/>
        <v>314105.96858399996</v>
      </c>
      <c r="AD32" s="31">
        <f t="shared" si="27"/>
        <v>14525.511415999998</v>
      </c>
      <c r="AE32" s="31">
        <f>308885.79+19254.83+490.86</f>
        <v>328631.48</v>
      </c>
      <c r="AF32" s="31">
        <f t="shared" si="5"/>
        <v>1.1844977192501549E-2</v>
      </c>
      <c r="AG32" s="31">
        <f>[1]MJ!$H32</f>
        <v>422422.57200000004</v>
      </c>
      <c r="AH32" s="31">
        <f t="shared" si="28"/>
        <v>403751.49431760004</v>
      </c>
      <c r="AI32" s="31">
        <f t="shared" si="29"/>
        <v>18671.077682399999</v>
      </c>
      <c r="AJ32" s="31">
        <f t="shared" si="30"/>
        <v>135275.86504800001</v>
      </c>
      <c r="AK32" s="31">
        <f t="shared" si="31"/>
        <v>6255.6949519999989</v>
      </c>
      <c r="AL32" s="31">
        <f>137088.21+2357.63+2085.72</f>
        <v>141531.56</v>
      </c>
      <c r="AM32" s="31">
        <f t="shared" si="6"/>
        <v>-0.6649526578802234</v>
      </c>
      <c r="AN32" s="31">
        <f>[1]MJ!$I32</f>
        <v>432982.57200000004</v>
      </c>
      <c r="AO32" s="31">
        <f t="shared" si="32"/>
        <v>413844.74231760006</v>
      </c>
      <c r="AP32" s="31">
        <f t="shared" si="33"/>
        <v>19137.829682399999</v>
      </c>
      <c r="AQ32" s="31">
        <f t="shared" si="34"/>
        <v>123204.11104799999</v>
      </c>
      <c r="AR32" s="31">
        <f t="shared" si="35"/>
        <v>5697.4489519999997</v>
      </c>
      <c r="AS32" s="33">
        <v>128901.56</v>
      </c>
      <c r="AT32" s="37">
        <f t="shared" si="7"/>
        <v>-0.70229388355150713</v>
      </c>
      <c r="AU32" s="36">
        <f>[1]MJ!$J32</f>
        <v>492822.57200000004</v>
      </c>
      <c r="AV32" s="31">
        <f t="shared" si="36"/>
        <v>471039.81431760004</v>
      </c>
      <c r="AW32" s="18">
        <f t="shared" si="37"/>
        <v>21782.757682399999</v>
      </c>
      <c r="AX32" s="31">
        <f t="shared" si="38"/>
        <v>118824.606774</v>
      </c>
      <c r="AY32" s="31">
        <f t="shared" si="39"/>
        <v>5494.9232259999999</v>
      </c>
      <c r="AZ32" s="33">
        <v>124319.53</v>
      </c>
      <c r="BA32" s="37">
        <f t="shared" si="8"/>
        <v>-0.74773978088000403</v>
      </c>
      <c r="BB32" s="36">
        <f>[1]MJ!$K32</f>
        <v>565876.52</v>
      </c>
      <c r="BC32" s="31">
        <f t="shared" si="40"/>
        <v>540864.77781600005</v>
      </c>
      <c r="BD32" s="18">
        <f t="shared" si="41"/>
        <v>25011.742183999999</v>
      </c>
      <c r="BE32" s="31">
        <f t="shared" si="42"/>
        <v>0</v>
      </c>
      <c r="BF32" s="31">
        <f t="shared" si="43"/>
        <v>0</v>
      </c>
      <c r="BG32" s="27"/>
      <c r="BH32" s="37">
        <f t="shared" si="9"/>
        <v>-1</v>
      </c>
      <c r="BI32" s="36">
        <f>[1]MJ!$L32</f>
        <v>67760</v>
      </c>
      <c r="BJ32" s="31">
        <f t="shared" si="44"/>
        <v>64765.008000000002</v>
      </c>
      <c r="BK32" s="18">
        <f t="shared" si="45"/>
        <v>2994.9919999999997</v>
      </c>
      <c r="BL32" s="31">
        <f t="shared" si="46"/>
        <v>0</v>
      </c>
      <c r="BM32" s="31">
        <f t="shared" si="47"/>
        <v>0</v>
      </c>
      <c r="BN32" s="33"/>
      <c r="BO32" s="37">
        <f t="shared" si="10"/>
        <v>-1</v>
      </c>
      <c r="BP32" s="36">
        <f>[1]MJ!$M32</f>
        <v>4400</v>
      </c>
      <c r="BQ32" s="31">
        <f t="shared" si="48"/>
        <v>4205.5200000000004</v>
      </c>
      <c r="BR32" s="18">
        <f t="shared" si="49"/>
        <v>194.48</v>
      </c>
      <c r="BS32" s="31">
        <f t="shared" si="50"/>
        <v>0</v>
      </c>
      <c r="BT32" s="31">
        <f t="shared" si="51"/>
        <v>0</v>
      </c>
      <c r="BU32" s="33"/>
      <c r="BV32" s="37">
        <f t="shared" si="11"/>
        <v>-1</v>
      </c>
      <c r="BW32" s="36">
        <f>[1]MJ!$N32</f>
        <v>4400</v>
      </c>
      <c r="BX32" s="31">
        <f t="shared" si="52"/>
        <v>4205.5200000000004</v>
      </c>
      <c r="BY32" s="18">
        <f t="shared" si="53"/>
        <v>194.48</v>
      </c>
      <c r="BZ32" s="31">
        <f t="shared" si="54"/>
        <v>0</v>
      </c>
      <c r="CA32" s="31">
        <f t="shared" si="55"/>
        <v>0</v>
      </c>
      <c r="CB32" s="33"/>
      <c r="CC32" s="37">
        <f t="shared" si="12"/>
        <v>-1</v>
      </c>
      <c r="CD32" s="36">
        <f>[1]MJ!$O32</f>
        <v>0</v>
      </c>
      <c r="CE32" s="31">
        <f t="shared" si="56"/>
        <v>0</v>
      </c>
      <c r="CF32" s="18">
        <f t="shared" si="57"/>
        <v>0</v>
      </c>
      <c r="CG32" s="31">
        <f t="shared" si="58"/>
        <v>0</v>
      </c>
      <c r="CH32" s="31">
        <f t="shared" si="59"/>
        <v>0</v>
      </c>
      <c r="CI32" s="33"/>
      <c r="CJ32" s="37" t="str">
        <f t="shared" si="13"/>
        <v/>
      </c>
      <c r="CK32" s="36">
        <f>[1]MJ!$P32</f>
        <v>0</v>
      </c>
      <c r="CL32" s="31">
        <f t="shared" si="60"/>
        <v>0</v>
      </c>
      <c r="CM32" s="18">
        <f t="shared" si="61"/>
        <v>0</v>
      </c>
      <c r="CN32" s="31">
        <f t="shared" si="62"/>
        <v>0</v>
      </c>
      <c r="CO32" s="31">
        <f t="shared" si="63"/>
        <v>0</v>
      </c>
      <c r="CP32" s="33"/>
      <c r="CQ32" s="37" t="str">
        <f t="shared" si="14"/>
        <v/>
      </c>
    </row>
    <row r="33" spans="1:95" s="26" customFormat="1" ht="16" customHeight="1" thickBot="1" x14ac:dyDescent="0.25">
      <c r="A33" s="29" t="s">
        <v>57</v>
      </c>
      <c r="B33" s="30">
        <f t="shared" si="0"/>
        <v>1110204.081632653</v>
      </c>
      <c r="C33" s="31">
        <f t="shared" si="0"/>
        <v>1061133.0612244897</v>
      </c>
      <c r="D33" s="32">
        <f t="shared" si="0"/>
        <v>49071.020408163262</v>
      </c>
      <c r="E33" s="30">
        <f t="shared" si="15"/>
        <v>555102.04081632651</v>
      </c>
      <c r="F33" s="33">
        <f t="shared" si="15"/>
        <v>530566.53061224485</v>
      </c>
      <c r="G33" s="34">
        <f t="shared" si="15"/>
        <v>24535.510204081627</v>
      </c>
      <c r="H33" s="31">
        <f t="shared" si="1"/>
        <v>384008.98462199996</v>
      </c>
      <c r="I33" s="33">
        <f t="shared" si="1"/>
        <v>17758.105378</v>
      </c>
      <c r="J33" s="33">
        <f t="shared" si="1"/>
        <v>401767.09</v>
      </c>
      <c r="K33" s="37">
        <f t="shared" si="2"/>
        <v>-0.27622840404411753</v>
      </c>
      <c r="L33" s="36">
        <f>[1]MJ!$E33</f>
        <v>225510.20408163263</v>
      </c>
      <c r="M33" s="31">
        <f t="shared" si="16"/>
        <v>215542.65306122447</v>
      </c>
      <c r="N33" s="31">
        <f t="shared" si="17"/>
        <v>9967.551020408162</v>
      </c>
      <c r="O33" s="31">
        <f t="shared" si="18"/>
        <v>95755.857641999988</v>
      </c>
      <c r="P33" s="31">
        <f t="shared" si="19"/>
        <v>4428.1323579999989</v>
      </c>
      <c r="Q33" s="31">
        <f>67688.92+32495.07</f>
        <v>100183.98999999999</v>
      </c>
      <c r="R33" s="31">
        <f t="shared" si="3"/>
        <v>-0.55574520271493211</v>
      </c>
      <c r="S33" s="31">
        <f>[1]MJ!$F33</f>
        <v>0</v>
      </c>
      <c r="T33" s="31">
        <f t="shared" si="20"/>
        <v>0</v>
      </c>
      <c r="U33" s="31">
        <f t="shared" si="21"/>
        <v>0</v>
      </c>
      <c r="V33" s="31">
        <f t="shared" si="22"/>
        <v>60843.178997999996</v>
      </c>
      <c r="W33" s="31">
        <f t="shared" si="23"/>
        <v>2813.6310019999996</v>
      </c>
      <c r="X33" s="31">
        <v>63656.81</v>
      </c>
      <c r="Y33" s="31" t="str">
        <f t="shared" si="4"/>
        <v/>
      </c>
      <c r="Z33" s="31">
        <f>[1]MJ!$G33</f>
        <v>138775.51020408163</v>
      </c>
      <c r="AA33" s="31">
        <f t="shared" si="24"/>
        <v>132641.63265306121</v>
      </c>
      <c r="AB33" s="31">
        <f t="shared" si="25"/>
        <v>6133.8775510204077</v>
      </c>
      <c r="AC33" s="31">
        <f t="shared" si="26"/>
        <v>16895.571462</v>
      </c>
      <c r="AD33" s="31">
        <f t="shared" si="27"/>
        <v>781.31853799999988</v>
      </c>
      <c r="AE33" s="31">
        <v>17676.89</v>
      </c>
      <c r="AF33" s="31">
        <f t="shared" si="5"/>
        <v>-0.87262241029411758</v>
      </c>
      <c r="AG33" s="31">
        <f>[1]MJ!$H33</f>
        <v>190816.32653061225</v>
      </c>
      <c r="AH33" s="31">
        <f t="shared" si="28"/>
        <v>182382.2448979592</v>
      </c>
      <c r="AI33" s="31">
        <f t="shared" si="29"/>
        <v>8434.0816326530603</v>
      </c>
      <c r="AJ33" s="31">
        <f t="shared" si="30"/>
        <v>82581.081768000004</v>
      </c>
      <c r="AK33" s="31">
        <f t="shared" si="31"/>
        <v>3818.878232</v>
      </c>
      <c r="AL33" s="31">
        <v>86399.96</v>
      </c>
      <c r="AM33" s="31">
        <f t="shared" si="6"/>
        <v>-0.54720876577540101</v>
      </c>
      <c r="AN33" s="31">
        <f>[1]MJ!$I33</f>
        <v>190816.32653061225</v>
      </c>
      <c r="AO33" s="31">
        <f t="shared" si="32"/>
        <v>182382.2448979592</v>
      </c>
      <c r="AP33" s="31">
        <f t="shared" si="33"/>
        <v>8434.0816326530603</v>
      </c>
      <c r="AQ33" s="31">
        <f t="shared" si="34"/>
        <v>50608.128509999995</v>
      </c>
      <c r="AR33" s="31">
        <f t="shared" si="35"/>
        <v>2340.3214899999998</v>
      </c>
      <c r="AS33" s="33">
        <v>52948.45</v>
      </c>
      <c r="AT33" s="37">
        <f t="shared" si="7"/>
        <v>-0.72251614438502676</v>
      </c>
      <c r="AU33" s="36">
        <f>[1]MJ!$J33</f>
        <v>190816.32653061225</v>
      </c>
      <c r="AV33" s="31">
        <f t="shared" si="36"/>
        <v>182382.2448979592</v>
      </c>
      <c r="AW33" s="18">
        <f t="shared" si="37"/>
        <v>8434.0816326530603</v>
      </c>
      <c r="AX33" s="31">
        <f t="shared" si="38"/>
        <v>77325.166242000007</v>
      </c>
      <c r="AY33" s="31">
        <f t="shared" si="39"/>
        <v>3575.823758</v>
      </c>
      <c r="AZ33" s="33">
        <v>80900.990000000005</v>
      </c>
      <c r="BA33" s="37">
        <f t="shared" si="8"/>
        <v>-0.57602689732620327</v>
      </c>
      <c r="BB33" s="36">
        <f>[1]MJ!$K33</f>
        <v>173469.38775510204</v>
      </c>
      <c r="BC33" s="31">
        <f t="shared" si="40"/>
        <v>165802.04081632654</v>
      </c>
      <c r="BD33" s="18">
        <f t="shared" si="41"/>
        <v>7667.3469387755094</v>
      </c>
      <c r="BE33" s="31">
        <f t="shared" si="42"/>
        <v>0</v>
      </c>
      <c r="BF33" s="31">
        <f t="shared" si="43"/>
        <v>0</v>
      </c>
      <c r="BG33" s="27"/>
      <c r="BH33" s="37">
        <f t="shared" si="9"/>
        <v>-1</v>
      </c>
      <c r="BI33" s="36">
        <f>[1]MJ!$L33</f>
        <v>0</v>
      </c>
      <c r="BJ33" s="31">
        <f t="shared" si="44"/>
        <v>0</v>
      </c>
      <c r="BK33" s="18">
        <f t="shared" si="45"/>
        <v>0</v>
      </c>
      <c r="BL33" s="31">
        <f t="shared" si="46"/>
        <v>0</v>
      </c>
      <c r="BM33" s="31">
        <f t="shared" si="47"/>
        <v>0</v>
      </c>
      <c r="BN33" s="33"/>
      <c r="BO33" s="37" t="str">
        <f t="shared" si="10"/>
        <v/>
      </c>
      <c r="BP33" s="36">
        <f>[1]MJ!$M33</f>
        <v>0</v>
      </c>
      <c r="BQ33" s="31">
        <f t="shared" si="48"/>
        <v>0</v>
      </c>
      <c r="BR33" s="18">
        <f t="shared" si="49"/>
        <v>0</v>
      </c>
      <c r="BS33" s="31">
        <f t="shared" si="50"/>
        <v>0</v>
      </c>
      <c r="BT33" s="31">
        <f t="shared" si="51"/>
        <v>0</v>
      </c>
      <c r="BU33" s="33"/>
      <c r="BV33" s="37" t="str">
        <f t="shared" si="11"/>
        <v/>
      </c>
      <c r="BW33" s="36">
        <f>[1]MJ!$N33</f>
        <v>0</v>
      </c>
      <c r="BX33" s="31">
        <f t="shared" si="52"/>
        <v>0</v>
      </c>
      <c r="BY33" s="18">
        <f t="shared" si="53"/>
        <v>0</v>
      </c>
      <c r="BZ33" s="31">
        <f t="shared" si="54"/>
        <v>0</v>
      </c>
      <c r="CA33" s="31">
        <f t="shared" si="55"/>
        <v>0</v>
      </c>
      <c r="CB33" s="33"/>
      <c r="CC33" s="37" t="str">
        <f t="shared" si="12"/>
        <v/>
      </c>
      <c r="CD33" s="36">
        <f>[1]MJ!$O33</f>
        <v>0</v>
      </c>
      <c r="CE33" s="31">
        <f t="shared" si="56"/>
        <v>0</v>
      </c>
      <c r="CF33" s="18">
        <f t="shared" si="57"/>
        <v>0</v>
      </c>
      <c r="CG33" s="31">
        <f t="shared" si="58"/>
        <v>0</v>
      </c>
      <c r="CH33" s="31">
        <f t="shared" si="59"/>
        <v>0</v>
      </c>
      <c r="CI33" s="33"/>
      <c r="CJ33" s="37" t="str">
        <f t="shared" si="13"/>
        <v/>
      </c>
      <c r="CK33" s="36">
        <f>[1]MJ!$P33</f>
        <v>0</v>
      </c>
      <c r="CL33" s="31">
        <f t="shared" si="60"/>
        <v>0</v>
      </c>
      <c r="CM33" s="18">
        <f t="shared" si="61"/>
        <v>0</v>
      </c>
      <c r="CN33" s="31">
        <f t="shared" si="62"/>
        <v>0</v>
      </c>
      <c r="CO33" s="31">
        <f t="shared" si="63"/>
        <v>0</v>
      </c>
      <c r="CP33" s="33"/>
      <c r="CQ33" s="37" t="str">
        <f t="shared" si="14"/>
        <v/>
      </c>
    </row>
    <row r="34" spans="1:95" s="26" customFormat="1" ht="16" customHeight="1" thickBot="1" x14ac:dyDescent="0.25">
      <c r="A34" s="29" t="s">
        <v>105</v>
      </c>
      <c r="B34" s="30">
        <f t="shared" si="0"/>
        <v>0</v>
      </c>
      <c r="C34" s="31">
        <f t="shared" si="0"/>
        <v>0</v>
      </c>
      <c r="D34" s="32">
        <f t="shared" si="0"/>
        <v>0</v>
      </c>
      <c r="E34" s="30">
        <f t="shared" si="15"/>
        <v>0</v>
      </c>
      <c r="F34" s="33">
        <f t="shared" si="15"/>
        <v>0</v>
      </c>
      <c r="G34" s="34">
        <f t="shared" si="15"/>
        <v>0</v>
      </c>
      <c r="H34" s="31">
        <f t="shared" si="1"/>
        <v>0</v>
      </c>
      <c r="I34" s="33">
        <f t="shared" si="1"/>
        <v>0</v>
      </c>
      <c r="J34" s="33">
        <f t="shared" si="1"/>
        <v>0</v>
      </c>
      <c r="K34" s="37" t="str">
        <f t="shared" si="2"/>
        <v/>
      </c>
      <c r="L34" s="36">
        <f>[1]MJ!$E34</f>
        <v>0</v>
      </c>
      <c r="M34" s="31">
        <f t="shared" si="16"/>
        <v>0</v>
      </c>
      <c r="N34" s="31">
        <f t="shared" si="17"/>
        <v>0</v>
      </c>
      <c r="O34" s="31">
        <f t="shared" si="18"/>
        <v>0</v>
      </c>
      <c r="P34" s="31">
        <f t="shared" si="19"/>
        <v>0</v>
      </c>
      <c r="Q34" s="31"/>
      <c r="R34" s="31" t="str">
        <f t="shared" si="3"/>
        <v/>
      </c>
      <c r="S34" s="31">
        <f>[1]MJ!$F34</f>
        <v>0</v>
      </c>
      <c r="T34" s="31">
        <f t="shared" si="20"/>
        <v>0</v>
      </c>
      <c r="U34" s="31">
        <f t="shared" si="21"/>
        <v>0</v>
      </c>
      <c r="V34" s="31">
        <f t="shared" si="22"/>
        <v>0</v>
      </c>
      <c r="W34" s="31">
        <f t="shared" si="23"/>
        <v>0</v>
      </c>
      <c r="X34" s="31"/>
      <c r="Y34" s="31" t="str">
        <f t="shared" si="4"/>
        <v/>
      </c>
      <c r="Z34" s="31">
        <f>[1]MJ!$G34</f>
        <v>0</v>
      </c>
      <c r="AA34" s="31">
        <f t="shared" si="24"/>
        <v>0</v>
      </c>
      <c r="AB34" s="31">
        <f t="shared" si="25"/>
        <v>0</v>
      </c>
      <c r="AC34" s="31">
        <f t="shared" si="26"/>
        <v>0</v>
      </c>
      <c r="AD34" s="31">
        <f t="shared" si="27"/>
        <v>0</v>
      </c>
      <c r="AE34" s="31"/>
      <c r="AF34" s="31" t="str">
        <f t="shared" si="5"/>
        <v/>
      </c>
      <c r="AG34" s="31">
        <f>[1]MJ!$H34</f>
        <v>0</v>
      </c>
      <c r="AH34" s="31">
        <f t="shared" si="28"/>
        <v>0</v>
      </c>
      <c r="AI34" s="31">
        <f t="shared" si="29"/>
        <v>0</v>
      </c>
      <c r="AJ34" s="31">
        <f t="shared" si="30"/>
        <v>0</v>
      </c>
      <c r="AK34" s="31">
        <f t="shared" si="31"/>
        <v>0</v>
      </c>
      <c r="AL34" s="31"/>
      <c r="AM34" s="31" t="str">
        <f t="shared" si="6"/>
        <v/>
      </c>
      <c r="AN34" s="31">
        <f>[1]MJ!$I34</f>
        <v>0</v>
      </c>
      <c r="AO34" s="31">
        <f t="shared" si="32"/>
        <v>0</v>
      </c>
      <c r="AP34" s="31">
        <f t="shared" si="33"/>
        <v>0</v>
      </c>
      <c r="AQ34" s="31">
        <f t="shared" si="34"/>
        <v>0</v>
      </c>
      <c r="AR34" s="31">
        <f t="shared" si="35"/>
        <v>0</v>
      </c>
      <c r="AS34" s="33"/>
      <c r="AT34" s="37" t="str">
        <f t="shared" si="7"/>
        <v/>
      </c>
      <c r="AU34" s="36">
        <f>[1]MJ!$J34</f>
        <v>0</v>
      </c>
      <c r="AV34" s="31">
        <f t="shared" si="36"/>
        <v>0</v>
      </c>
      <c r="AW34" s="18">
        <f t="shared" si="37"/>
        <v>0</v>
      </c>
      <c r="AX34" s="31">
        <f t="shared" si="38"/>
        <v>0</v>
      </c>
      <c r="AY34" s="31">
        <f t="shared" si="39"/>
        <v>0</v>
      </c>
      <c r="AZ34" s="33"/>
      <c r="BA34" s="37" t="str">
        <f t="shared" si="8"/>
        <v/>
      </c>
      <c r="BB34" s="36">
        <f>[1]MJ!$K34</f>
        <v>0</v>
      </c>
      <c r="BC34" s="31">
        <f t="shared" si="40"/>
        <v>0</v>
      </c>
      <c r="BD34" s="18">
        <f t="shared" si="41"/>
        <v>0</v>
      </c>
      <c r="BE34" s="31">
        <f t="shared" si="42"/>
        <v>0</v>
      </c>
      <c r="BF34" s="31">
        <f t="shared" si="43"/>
        <v>0</v>
      </c>
      <c r="BG34" s="27"/>
      <c r="BH34" s="37" t="str">
        <f t="shared" si="9"/>
        <v/>
      </c>
      <c r="BI34" s="36">
        <f>[1]MJ!$L34</f>
        <v>0</v>
      </c>
      <c r="BJ34" s="31">
        <f t="shared" si="44"/>
        <v>0</v>
      </c>
      <c r="BK34" s="18">
        <f t="shared" si="45"/>
        <v>0</v>
      </c>
      <c r="BL34" s="31">
        <f t="shared" si="46"/>
        <v>0</v>
      </c>
      <c r="BM34" s="31">
        <f t="shared" si="47"/>
        <v>0</v>
      </c>
      <c r="BN34" s="33"/>
      <c r="BO34" s="37" t="str">
        <f t="shared" si="10"/>
        <v/>
      </c>
      <c r="BP34" s="36">
        <f>[1]MJ!$M34</f>
        <v>0</v>
      </c>
      <c r="BQ34" s="31">
        <f t="shared" si="48"/>
        <v>0</v>
      </c>
      <c r="BR34" s="18">
        <f t="shared" si="49"/>
        <v>0</v>
      </c>
      <c r="BS34" s="31">
        <f t="shared" si="50"/>
        <v>0</v>
      </c>
      <c r="BT34" s="31">
        <f t="shared" si="51"/>
        <v>0</v>
      </c>
      <c r="BU34" s="33"/>
      <c r="BV34" s="37" t="str">
        <f t="shared" si="11"/>
        <v/>
      </c>
      <c r="BW34" s="36">
        <f>[1]MJ!$N34</f>
        <v>0</v>
      </c>
      <c r="BX34" s="31">
        <f t="shared" si="52"/>
        <v>0</v>
      </c>
      <c r="BY34" s="18">
        <f t="shared" si="53"/>
        <v>0</v>
      </c>
      <c r="BZ34" s="31">
        <f t="shared" si="54"/>
        <v>0</v>
      </c>
      <c r="CA34" s="31">
        <f t="shared" si="55"/>
        <v>0</v>
      </c>
      <c r="CB34" s="33"/>
      <c r="CC34" s="37" t="str">
        <f t="shared" si="12"/>
        <v/>
      </c>
      <c r="CD34" s="36">
        <f>[1]MJ!$O34</f>
        <v>0</v>
      </c>
      <c r="CE34" s="31">
        <f t="shared" si="56"/>
        <v>0</v>
      </c>
      <c r="CF34" s="18">
        <f t="shared" si="57"/>
        <v>0</v>
      </c>
      <c r="CG34" s="31">
        <f t="shared" si="58"/>
        <v>0</v>
      </c>
      <c r="CH34" s="31">
        <f t="shared" si="59"/>
        <v>0</v>
      </c>
      <c r="CI34" s="33"/>
      <c r="CJ34" s="37" t="str">
        <f t="shared" si="13"/>
        <v/>
      </c>
      <c r="CK34" s="36">
        <f>[1]MJ!$P34</f>
        <v>0</v>
      </c>
      <c r="CL34" s="31">
        <f t="shared" si="60"/>
        <v>0</v>
      </c>
      <c r="CM34" s="18">
        <f t="shared" si="61"/>
        <v>0</v>
      </c>
      <c r="CN34" s="31">
        <f t="shared" si="62"/>
        <v>0</v>
      </c>
      <c r="CO34" s="31">
        <f t="shared" si="63"/>
        <v>0</v>
      </c>
      <c r="CP34" s="33"/>
      <c r="CQ34" s="37" t="str">
        <f t="shared" si="14"/>
        <v/>
      </c>
    </row>
    <row r="35" spans="1:95" s="26" customFormat="1" ht="16" customHeight="1" thickBot="1" x14ac:dyDescent="0.25">
      <c r="A35" s="29" t="s">
        <v>59</v>
      </c>
      <c r="B35" s="30">
        <f t="shared" si="0"/>
        <v>0</v>
      </c>
      <c r="C35" s="31">
        <f t="shared" si="0"/>
        <v>0</v>
      </c>
      <c r="D35" s="32">
        <f t="shared" si="0"/>
        <v>0</v>
      </c>
      <c r="E35" s="30">
        <f t="shared" si="15"/>
        <v>0</v>
      </c>
      <c r="F35" s="33">
        <f t="shared" si="15"/>
        <v>0</v>
      </c>
      <c r="G35" s="34">
        <f t="shared" si="15"/>
        <v>0</v>
      </c>
      <c r="H35" s="31">
        <f t="shared" si="1"/>
        <v>0</v>
      </c>
      <c r="I35" s="33">
        <f t="shared" si="1"/>
        <v>0</v>
      </c>
      <c r="J35" s="33">
        <f t="shared" si="1"/>
        <v>0</v>
      </c>
      <c r="K35" s="37" t="str">
        <f t="shared" si="2"/>
        <v/>
      </c>
      <c r="L35" s="36">
        <f>[1]MJ!$E35</f>
        <v>0</v>
      </c>
      <c r="M35" s="31">
        <f t="shared" si="16"/>
        <v>0</v>
      </c>
      <c r="N35" s="31">
        <f t="shared" si="17"/>
        <v>0</v>
      </c>
      <c r="O35" s="31">
        <f t="shared" si="18"/>
        <v>0</v>
      </c>
      <c r="P35" s="31">
        <f t="shared" si="19"/>
        <v>0</v>
      </c>
      <c r="Q35" s="31"/>
      <c r="R35" s="31" t="str">
        <f t="shared" si="3"/>
        <v/>
      </c>
      <c r="S35" s="31">
        <f>[1]MJ!$F35</f>
        <v>0</v>
      </c>
      <c r="T35" s="31">
        <f t="shared" si="20"/>
        <v>0</v>
      </c>
      <c r="U35" s="31">
        <f t="shared" si="21"/>
        <v>0</v>
      </c>
      <c r="V35" s="31">
        <f t="shared" si="22"/>
        <v>0</v>
      </c>
      <c r="W35" s="31">
        <f t="shared" si="23"/>
        <v>0</v>
      </c>
      <c r="X35" s="31"/>
      <c r="Y35" s="31" t="str">
        <f t="shared" si="4"/>
        <v/>
      </c>
      <c r="Z35" s="31">
        <f>[1]MJ!$G35</f>
        <v>0</v>
      </c>
      <c r="AA35" s="31">
        <f t="shared" si="24"/>
        <v>0</v>
      </c>
      <c r="AB35" s="31">
        <f t="shared" si="25"/>
        <v>0</v>
      </c>
      <c r="AC35" s="31">
        <f t="shared" si="26"/>
        <v>0</v>
      </c>
      <c r="AD35" s="31">
        <f t="shared" si="27"/>
        <v>0</v>
      </c>
      <c r="AE35" s="31"/>
      <c r="AF35" s="31" t="str">
        <f t="shared" si="5"/>
        <v/>
      </c>
      <c r="AG35" s="31">
        <f>[1]MJ!$H35</f>
        <v>0</v>
      </c>
      <c r="AH35" s="31">
        <f t="shared" si="28"/>
        <v>0</v>
      </c>
      <c r="AI35" s="31">
        <f t="shared" si="29"/>
        <v>0</v>
      </c>
      <c r="AJ35" s="31">
        <f t="shared" si="30"/>
        <v>0</v>
      </c>
      <c r="AK35" s="31">
        <f t="shared" si="31"/>
        <v>0</v>
      </c>
      <c r="AL35" s="31"/>
      <c r="AM35" s="31" t="str">
        <f t="shared" si="6"/>
        <v/>
      </c>
      <c r="AN35" s="31">
        <f>[1]MJ!$I35</f>
        <v>0</v>
      </c>
      <c r="AO35" s="31">
        <f t="shared" si="32"/>
        <v>0</v>
      </c>
      <c r="AP35" s="31">
        <f t="shared" si="33"/>
        <v>0</v>
      </c>
      <c r="AQ35" s="31">
        <f t="shared" si="34"/>
        <v>0</v>
      </c>
      <c r="AR35" s="31">
        <f t="shared" si="35"/>
        <v>0</v>
      </c>
      <c r="AS35" s="33"/>
      <c r="AT35" s="37" t="str">
        <f t="shared" si="7"/>
        <v/>
      </c>
      <c r="AU35" s="36">
        <f>[1]MJ!$J35</f>
        <v>0</v>
      </c>
      <c r="AV35" s="31">
        <f t="shared" si="36"/>
        <v>0</v>
      </c>
      <c r="AW35" s="18">
        <f t="shared" si="37"/>
        <v>0</v>
      </c>
      <c r="AX35" s="31">
        <f t="shared" si="38"/>
        <v>0</v>
      </c>
      <c r="AY35" s="31">
        <f t="shared" si="39"/>
        <v>0</v>
      </c>
      <c r="AZ35" s="33"/>
      <c r="BA35" s="37" t="str">
        <f t="shared" si="8"/>
        <v/>
      </c>
      <c r="BB35" s="36">
        <f>[1]MJ!$K35</f>
        <v>0</v>
      </c>
      <c r="BC35" s="31">
        <f t="shared" si="40"/>
        <v>0</v>
      </c>
      <c r="BD35" s="18">
        <f t="shared" si="41"/>
        <v>0</v>
      </c>
      <c r="BE35" s="31">
        <f t="shared" si="42"/>
        <v>0</v>
      </c>
      <c r="BF35" s="31">
        <f t="shared" si="43"/>
        <v>0</v>
      </c>
      <c r="BG35" s="27"/>
      <c r="BH35" s="37" t="str">
        <f t="shared" si="9"/>
        <v/>
      </c>
      <c r="BI35" s="36">
        <f>[1]MJ!$L35</f>
        <v>0</v>
      </c>
      <c r="BJ35" s="31">
        <f t="shared" si="44"/>
        <v>0</v>
      </c>
      <c r="BK35" s="18">
        <f t="shared" si="45"/>
        <v>0</v>
      </c>
      <c r="BL35" s="31">
        <f t="shared" si="46"/>
        <v>0</v>
      </c>
      <c r="BM35" s="31">
        <f t="shared" si="47"/>
        <v>0</v>
      </c>
      <c r="BN35" s="33"/>
      <c r="BO35" s="37" t="str">
        <f t="shared" si="10"/>
        <v/>
      </c>
      <c r="BP35" s="36">
        <f>[1]MJ!$M35</f>
        <v>0</v>
      </c>
      <c r="BQ35" s="31">
        <f t="shared" si="48"/>
        <v>0</v>
      </c>
      <c r="BR35" s="18">
        <f t="shared" si="49"/>
        <v>0</v>
      </c>
      <c r="BS35" s="31">
        <f t="shared" si="50"/>
        <v>0</v>
      </c>
      <c r="BT35" s="31">
        <f t="shared" si="51"/>
        <v>0</v>
      </c>
      <c r="BU35" s="33"/>
      <c r="BV35" s="37" t="str">
        <f t="shared" si="11"/>
        <v/>
      </c>
      <c r="BW35" s="36">
        <f>[1]MJ!$N35</f>
        <v>0</v>
      </c>
      <c r="BX35" s="31">
        <f t="shared" si="52"/>
        <v>0</v>
      </c>
      <c r="BY35" s="18">
        <f t="shared" si="53"/>
        <v>0</v>
      </c>
      <c r="BZ35" s="31">
        <f t="shared" si="54"/>
        <v>0</v>
      </c>
      <c r="CA35" s="31">
        <f t="shared" si="55"/>
        <v>0</v>
      </c>
      <c r="CB35" s="33"/>
      <c r="CC35" s="37" t="str">
        <f t="shared" si="12"/>
        <v/>
      </c>
      <c r="CD35" s="36">
        <f>[1]MJ!$O35</f>
        <v>0</v>
      </c>
      <c r="CE35" s="31">
        <f t="shared" si="56"/>
        <v>0</v>
      </c>
      <c r="CF35" s="18">
        <f t="shared" si="57"/>
        <v>0</v>
      </c>
      <c r="CG35" s="31">
        <f t="shared" si="58"/>
        <v>0</v>
      </c>
      <c r="CH35" s="31">
        <f t="shared" si="59"/>
        <v>0</v>
      </c>
      <c r="CI35" s="33"/>
      <c r="CJ35" s="37" t="str">
        <f t="shared" si="13"/>
        <v/>
      </c>
      <c r="CK35" s="36">
        <f>[1]MJ!$P35</f>
        <v>0</v>
      </c>
      <c r="CL35" s="31">
        <f t="shared" si="60"/>
        <v>0</v>
      </c>
      <c r="CM35" s="18">
        <f t="shared" si="61"/>
        <v>0</v>
      </c>
      <c r="CN35" s="31">
        <f t="shared" si="62"/>
        <v>0</v>
      </c>
      <c r="CO35" s="31">
        <f t="shared" si="63"/>
        <v>0</v>
      </c>
      <c r="CP35" s="33"/>
      <c r="CQ35" s="37" t="str">
        <f t="shared" si="14"/>
        <v/>
      </c>
    </row>
    <row r="36" spans="1:95" s="26" customFormat="1" ht="16" customHeight="1" thickBot="1" x14ac:dyDescent="0.25">
      <c r="A36" s="38" t="s">
        <v>60</v>
      </c>
      <c r="B36" s="30">
        <f t="shared" ref="B36:D54" si="64">+L36+S36+Z36+AG36+AN36+AU36+BB36+BI36+BP36+BW36+CD36+CK36</f>
        <v>199999.99999999997</v>
      </c>
      <c r="C36" s="31">
        <f t="shared" si="64"/>
        <v>191160.00000000003</v>
      </c>
      <c r="D36" s="32">
        <f t="shared" si="64"/>
        <v>8840.0000000000018</v>
      </c>
      <c r="E36" s="30">
        <f t="shared" si="15"/>
        <v>66666.666666666672</v>
      </c>
      <c r="F36" s="33">
        <f t="shared" si="15"/>
        <v>63720.000000000007</v>
      </c>
      <c r="G36" s="34">
        <f t="shared" si="15"/>
        <v>2946.6666666666665</v>
      </c>
      <c r="H36" s="31">
        <f t="shared" ref="H36:J54" si="65">+O36+V36+AC36+AJ36+AQ36+AX36+BE36+BL36+BS36+BZ36+CG36+CN36</f>
        <v>98296.182882000008</v>
      </c>
      <c r="I36" s="33">
        <f t="shared" si="65"/>
        <v>4545.6071179999999</v>
      </c>
      <c r="J36" s="33">
        <f t="shared" si="65"/>
        <v>102841.79000000001</v>
      </c>
      <c r="K36" s="37">
        <f t="shared" si="2"/>
        <v>0.54262684999999999</v>
      </c>
      <c r="L36" s="36">
        <f>[1]MJ!$E36</f>
        <v>16666.666666666668</v>
      </c>
      <c r="M36" s="31">
        <f t="shared" si="16"/>
        <v>15930.000000000002</v>
      </c>
      <c r="N36" s="31">
        <f t="shared" si="17"/>
        <v>736.66666666666663</v>
      </c>
      <c r="O36" s="31">
        <f t="shared" si="18"/>
        <v>14111.966448000001</v>
      </c>
      <c r="P36" s="31">
        <f t="shared" si="19"/>
        <v>652.59355200000005</v>
      </c>
      <c r="Q36" s="31">
        <f>59.96+53.59+129.89+186.44+1500+7.06+81.5+53.12+25.83+51.08+21.47+1058.87+242.56+237.29+1104+1104+1595+60.02+95+190+148.63+58.21+235.19+50.37+1100+86.25+383.28+1290+345+1500+560+53.13+57.49+32.25+211.51+107+399+290.57</f>
        <v>14764.560000000001</v>
      </c>
      <c r="R36" s="31">
        <f t="shared" si="3"/>
        <v>-0.11412639999999996</v>
      </c>
      <c r="S36" s="31">
        <f>[1]MJ!$F36</f>
        <v>16666.666666666668</v>
      </c>
      <c r="T36" s="31">
        <f t="shared" si="20"/>
        <v>15930.000000000002</v>
      </c>
      <c r="U36" s="31">
        <f t="shared" si="21"/>
        <v>736.66666666666663</v>
      </c>
      <c r="V36" s="31">
        <f t="shared" si="22"/>
        <v>28050.942654000006</v>
      </c>
      <c r="W36" s="31">
        <f t="shared" si="23"/>
        <v>1297.1873460000002</v>
      </c>
      <c r="X36" s="31">
        <f>850+13.8+64.76+44.56+118.45+2198+663.7+1712+118.69+185.38+700+275+395+5381.5+618+850.5+36.38+1126.75+55.08+92+43.7+22.57+80+181.2+66.34+29.06+64+60.03+3195+300+53.58+500+2870+587+520+260+650+20.38+875+750+560+788.75+234+145+550+214.97+228</f>
        <v>29348.130000000005</v>
      </c>
      <c r="Y36" s="31">
        <f t="shared" si="4"/>
        <v>0.76088780000000011</v>
      </c>
      <c r="Z36" s="31">
        <f>[1]MJ!$G36</f>
        <v>16666.666666666668</v>
      </c>
      <c r="AA36" s="31">
        <f t="shared" si="24"/>
        <v>15930.000000000002</v>
      </c>
      <c r="AB36" s="31">
        <f t="shared" si="25"/>
        <v>736.66666666666663</v>
      </c>
      <c r="AC36" s="31">
        <f t="shared" si="26"/>
        <v>16175.079864000001</v>
      </c>
      <c r="AD36" s="31">
        <f t="shared" si="27"/>
        <v>748.000136</v>
      </c>
      <c r="AE36" s="31">
        <f>700+20.59+211.6+1218+46.37+800+380+268.18+61.54+47.98+5.1+5.24+35.66+53.85+292.12+28.02+26.2+7.03+808.7+93.12+1416.57+90+210+570+29.11+924+900+160.07+2283+65.8+23.03+44.39+808.71+45.05+788.75+730+48.77+520+836.53+1320</f>
        <v>16923.080000000002</v>
      </c>
      <c r="AF36" s="31">
        <f t="shared" si="5"/>
        <v>1.5384800000000087E-2</v>
      </c>
      <c r="AG36" s="31">
        <f>[1]MJ!$H36</f>
        <v>16666.666666666668</v>
      </c>
      <c r="AH36" s="31">
        <f t="shared" si="28"/>
        <v>15930.000000000002</v>
      </c>
      <c r="AI36" s="31">
        <f t="shared" si="29"/>
        <v>736.66666666666663</v>
      </c>
      <c r="AJ36" s="31">
        <f t="shared" si="30"/>
        <v>10541.757150000001</v>
      </c>
      <c r="AK36" s="31">
        <f t="shared" si="31"/>
        <v>487.49285000000003</v>
      </c>
      <c r="AL36" s="31">
        <f>11.5+22.6+2.54+1300+22.54+41.3+40.95+17.65+63.7+250+252.39+8.74+1200+400+740+42.37+450+175.6+95+160+750+840+38.13+67.79+340+42.37+978.28+1604+33.28+150+15.41+50.84+182.27+350+290</f>
        <v>11029.250000000002</v>
      </c>
      <c r="AM36" s="31">
        <f t="shared" si="6"/>
        <v>-0.33824499999999991</v>
      </c>
      <c r="AN36" s="31">
        <f>[1]MJ!$I36</f>
        <v>16666.666666666668</v>
      </c>
      <c r="AO36" s="31">
        <f t="shared" si="32"/>
        <v>15930.000000000002</v>
      </c>
      <c r="AP36" s="31">
        <f t="shared" si="33"/>
        <v>736.66666666666663</v>
      </c>
      <c r="AQ36" s="31">
        <f t="shared" si="34"/>
        <v>12966.851142000001</v>
      </c>
      <c r="AR36" s="31">
        <f t="shared" si="35"/>
        <v>599.63885800000003</v>
      </c>
      <c r="AS36" s="33">
        <v>13566.490000000002</v>
      </c>
      <c r="AT36" s="37">
        <f t="shared" si="7"/>
        <v>-0.18601059999999991</v>
      </c>
      <c r="AU36" s="36">
        <f>[1]MJ!$J36</f>
        <v>16666.666666666668</v>
      </c>
      <c r="AV36" s="31">
        <f t="shared" si="36"/>
        <v>15930.000000000002</v>
      </c>
      <c r="AW36" s="18">
        <f t="shared" si="37"/>
        <v>736.66666666666663</v>
      </c>
      <c r="AX36" s="31">
        <f t="shared" si="38"/>
        <v>16449.585623999999</v>
      </c>
      <c r="AY36" s="31">
        <f t="shared" si="39"/>
        <v>760.69437599999992</v>
      </c>
      <c r="AZ36" s="33">
        <v>17210.28</v>
      </c>
      <c r="BA36" s="37">
        <f t="shared" si="8"/>
        <v>3.2616799999999779E-2</v>
      </c>
      <c r="BB36" s="36">
        <f>[1]MJ!$K36</f>
        <v>16666.666666666668</v>
      </c>
      <c r="BC36" s="31">
        <f t="shared" si="40"/>
        <v>15930.000000000002</v>
      </c>
      <c r="BD36" s="18">
        <f t="shared" si="41"/>
        <v>736.66666666666663</v>
      </c>
      <c r="BE36" s="31">
        <f t="shared" si="42"/>
        <v>0</v>
      </c>
      <c r="BF36" s="31">
        <f t="shared" si="43"/>
        <v>0</v>
      </c>
      <c r="BG36" s="27"/>
      <c r="BH36" s="37">
        <f t="shared" si="9"/>
        <v>-1</v>
      </c>
      <c r="BI36" s="36">
        <f>[1]MJ!$L36</f>
        <v>16666.666666666668</v>
      </c>
      <c r="BJ36" s="31">
        <f t="shared" si="44"/>
        <v>15930.000000000002</v>
      </c>
      <c r="BK36" s="18">
        <f t="shared" si="45"/>
        <v>736.66666666666663</v>
      </c>
      <c r="BL36" s="31">
        <f t="shared" si="46"/>
        <v>0</v>
      </c>
      <c r="BM36" s="31">
        <f t="shared" si="47"/>
        <v>0</v>
      </c>
      <c r="BN36" s="33"/>
      <c r="BO36" s="37">
        <f t="shared" si="10"/>
        <v>-1</v>
      </c>
      <c r="BP36" s="36">
        <f>[1]MJ!$M36</f>
        <v>16666.666666666668</v>
      </c>
      <c r="BQ36" s="31">
        <f t="shared" si="48"/>
        <v>15930.000000000002</v>
      </c>
      <c r="BR36" s="18">
        <f t="shared" si="49"/>
        <v>736.66666666666663</v>
      </c>
      <c r="BS36" s="31">
        <f t="shared" si="50"/>
        <v>0</v>
      </c>
      <c r="BT36" s="31">
        <f t="shared" si="51"/>
        <v>0</v>
      </c>
      <c r="BU36" s="33"/>
      <c r="BV36" s="37">
        <f t="shared" si="11"/>
        <v>-1</v>
      </c>
      <c r="BW36" s="36">
        <f>[1]MJ!$N36</f>
        <v>16666.666666666668</v>
      </c>
      <c r="BX36" s="31">
        <f t="shared" si="52"/>
        <v>15930.000000000002</v>
      </c>
      <c r="BY36" s="18">
        <f t="shared" si="53"/>
        <v>736.66666666666663</v>
      </c>
      <c r="BZ36" s="31">
        <f t="shared" si="54"/>
        <v>0</v>
      </c>
      <c r="CA36" s="31">
        <f t="shared" si="55"/>
        <v>0</v>
      </c>
      <c r="CB36" s="33"/>
      <c r="CC36" s="37">
        <f t="shared" si="12"/>
        <v>-1</v>
      </c>
      <c r="CD36" s="36">
        <f>[1]MJ!$O36</f>
        <v>16666.666666666668</v>
      </c>
      <c r="CE36" s="31">
        <f t="shared" si="56"/>
        <v>15930.000000000002</v>
      </c>
      <c r="CF36" s="18">
        <f t="shared" si="57"/>
        <v>736.66666666666663</v>
      </c>
      <c r="CG36" s="31">
        <f t="shared" si="58"/>
        <v>0</v>
      </c>
      <c r="CH36" s="31">
        <f t="shared" si="59"/>
        <v>0</v>
      </c>
      <c r="CI36" s="33"/>
      <c r="CJ36" s="37">
        <f t="shared" si="13"/>
        <v>-1</v>
      </c>
      <c r="CK36" s="36">
        <f>[1]MJ!$P36</f>
        <v>16666.666666666668</v>
      </c>
      <c r="CL36" s="31">
        <f t="shared" si="60"/>
        <v>15930.000000000002</v>
      </c>
      <c r="CM36" s="18">
        <f t="shared" si="61"/>
        <v>736.66666666666663</v>
      </c>
      <c r="CN36" s="31">
        <f t="shared" si="62"/>
        <v>0</v>
      </c>
      <c r="CO36" s="31">
        <f t="shared" si="63"/>
        <v>0</v>
      </c>
      <c r="CP36" s="33"/>
      <c r="CQ36" s="37">
        <f t="shared" si="14"/>
        <v>-1</v>
      </c>
    </row>
    <row r="37" spans="1:95" s="26" customFormat="1" ht="16" customHeight="1" thickBot="1" x14ac:dyDescent="0.25">
      <c r="A37" s="38" t="s">
        <v>61</v>
      </c>
      <c r="B37" s="30">
        <f t="shared" si="64"/>
        <v>160000</v>
      </c>
      <c r="C37" s="31">
        <f t="shared" si="64"/>
        <v>152928</v>
      </c>
      <c r="D37" s="32">
        <f t="shared" si="64"/>
        <v>7071.9999999999973</v>
      </c>
      <c r="E37" s="30">
        <f t="shared" ref="E37:G54" si="66">+L37+S37+Z37+AG37</f>
        <v>53333.333333333336</v>
      </c>
      <c r="F37" s="33">
        <f t="shared" si="66"/>
        <v>50976</v>
      </c>
      <c r="G37" s="34">
        <f t="shared" si="66"/>
        <v>2357.333333333333</v>
      </c>
      <c r="H37" s="31">
        <f t="shared" si="65"/>
        <v>118305.11991599998</v>
      </c>
      <c r="I37" s="33">
        <f t="shared" si="65"/>
        <v>5470.9000839999999</v>
      </c>
      <c r="J37" s="33">
        <f t="shared" si="65"/>
        <v>123776.01999999999</v>
      </c>
      <c r="K37" s="37">
        <f t="shared" si="2"/>
        <v>1.3208003749999997</v>
      </c>
      <c r="L37" s="36">
        <f>[1]MJ!$E37</f>
        <v>13333.333333333334</v>
      </c>
      <c r="M37" s="31">
        <f t="shared" si="16"/>
        <v>12744</v>
      </c>
      <c r="N37" s="31">
        <f t="shared" si="17"/>
        <v>589.33333333333326</v>
      </c>
      <c r="O37" s="31">
        <f t="shared" si="18"/>
        <v>15099.2505</v>
      </c>
      <c r="P37" s="31">
        <f t="shared" si="19"/>
        <v>698.2494999999999</v>
      </c>
      <c r="Q37" s="31">
        <f>(29776.81+785.25)-Q36</f>
        <v>15797.5</v>
      </c>
      <c r="R37" s="31">
        <f t="shared" si="3"/>
        <v>0.18481250000000005</v>
      </c>
      <c r="S37" s="31">
        <f>[1]MJ!$F37</f>
        <v>13333.333333333334</v>
      </c>
      <c r="T37" s="31">
        <f t="shared" si="20"/>
        <v>12744</v>
      </c>
      <c r="U37" s="31">
        <f t="shared" si="21"/>
        <v>589.33333333333326</v>
      </c>
      <c r="V37" s="31">
        <f t="shared" si="22"/>
        <v>10221.048017999992</v>
      </c>
      <c r="W37" s="31">
        <f t="shared" si="23"/>
        <v>472.66198199999963</v>
      </c>
      <c r="X37" s="31">
        <f>40041.84-X36</f>
        <v>10693.709999999992</v>
      </c>
      <c r="Y37" s="31">
        <f t="shared" si="4"/>
        <v>-0.19797175000000067</v>
      </c>
      <c r="Z37" s="31">
        <f>[1]MJ!$G37</f>
        <v>13333.333333333334</v>
      </c>
      <c r="AA37" s="31">
        <f t="shared" si="24"/>
        <v>12744</v>
      </c>
      <c r="AB37" s="31">
        <f t="shared" si="25"/>
        <v>589.33333333333326</v>
      </c>
      <c r="AC37" s="31">
        <f t="shared" si="26"/>
        <v>22221.078785999998</v>
      </c>
      <c r="AD37" s="31">
        <f t="shared" si="27"/>
        <v>1027.5912139999998</v>
      </c>
      <c r="AE37" s="31">
        <f>40171.75-AE36</f>
        <v>23248.67</v>
      </c>
      <c r="AF37" s="31">
        <f t="shared" si="5"/>
        <v>0.74365024999999974</v>
      </c>
      <c r="AG37" s="31">
        <f>[1]MJ!$H37</f>
        <v>13333.333333333334</v>
      </c>
      <c r="AH37" s="31">
        <f t="shared" si="28"/>
        <v>12744</v>
      </c>
      <c r="AI37" s="31">
        <f t="shared" si="29"/>
        <v>589.33333333333326</v>
      </c>
      <c r="AJ37" s="31">
        <f t="shared" si="30"/>
        <v>36352.763387999999</v>
      </c>
      <c r="AK37" s="31">
        <f t="shared" si="31"/>
        <v>1681.0966119999998</v>
      </c>
      <c r="AL37" s="31">
        <f>49063.11-AL36</f>
        <v>38033.86</v>
      </c>
      <c r="AM37" s="31">
        <f t="shared" si="6"/>
        <v>1.8525394999999998</v>
      </c>
      <c r="AN37" s="31">
        <f>[1]MJ!$I37</f>
        <v>13333.333333333334</v>
      </c>
      <c r="AO37" s="31">
        <f t="shared" si="32"/>
        <v>12744</v>
      </c>
      <c r="AP37" s="31">
        <f t="shared" si="33"/>
        <v>589.33333333333326</v>
      </c>
      <c r="AQ37" s="31">
        <f t="shared" si="34"/>
        <v>15189.583157999998</v>
      </c>
      <c r="AR37" s="31">
        <f t="shared" si="35"/>
        <v>702.42684199999985</v>
      </c>
      <c r="AS37" s="33">
        <v>15892.009999999998</v>
      </c>
      <c r="AT37" s="37">
        <f t="shared" si="7"/>
        <v>0.19190074999999984</v>
      </c>
      <c r="AU37" s="36">
        <f>[1]MJ!$J37</f>
        <v>13333.333333333334</v>
      </c>
      <c r="AV37" s="31">
        <f t="shared" si="36"/>
        <v>12744</v>
      </c>
      <c r="AW37" s="18">
        <f t="shared" si="37"/>
        <v>589.33333333333326</v>
      </c>
      <c r="AX37" s="31">
        <f t="shared" si="38"/>
        <v>19221.396066000005</v>
      </c>
      <c r="AY37" s="31">
        <f t="shared" si="39"/>
        <v>888.87393400000008</v>
      </c>
      <c r="AZ37" s="33">
        <v>20110.270000000004</v>
      </c>
      <c r="BA37" s="37">
        <f t="shared" si="8"/>
        <v>0.50827025000000026</v>
      </c>
      <c r="BB37" s="36">
        <f>[1]MJ!$K37</f>
        <v>13333.333333333334</v>
      </c>
      <c r="BC37" s="31">
        <f t="shared" si="40"/>
        <v>12744</v>
      </c>
      <c r="BD37" s="18">
        <f t="shared" si="41"/>
        <v>589.33333333333326</v>
      </c>
      <c r="BE37" s="31">
        <f t="shared" si="42"/>
        <v>0</v>
      </c>
      <c r="BF37" s="31">
        <f t="shared" si="43"/>
        <v>0</v>
      </c>
      <c r="BG37" s="27"/>
      <c r="BH37" s="37">
        <f t="shared" si="9"/>
        <v>-1</v>
      </c>
      <c r="BI37" s="36">
        <f>[1]MJ!$L37</f>
        <v>13333.333333333334</v>
      </c>
      <c r="BJ37" s="31">
        <f t="shared" si="44"/>
        <v>12744</v>
      </c>
      <c r="BK37" s="18">
        <f t="shared" si="45"/>
        <v>589.33333333333326</v>
      </c>
      <c r="BL37" s="31">
        <f t="shared" si="46"/>
        <v>0</v>
      </c>
      <c r="BM37" s="31">
        <f t="shared" si="47"/>
        <v>0</v>
      </c>
      <c r="BN37" s="33"/>
      <c r="BO37" s="37">
        <f t="shared" si="10"/>
        <v>-1</v>
      </c>
      <c r="BP37" s="36">
        <f>[1]MJ!$M37</f>
        <v>13333.333333333334</v>
      </c>
      <c r="BQ37" s="31">
        <f t="shared" si="48"/>
        <v>12744</v>
      </c>
      <c r="BR37" s="18">
        <f t="shared" si="49"/>
        <v>589.33333333333326</v>
      </c>
      <c r="BS37" s="31">
        <f t="shared" si="50"/>
        <v>0</v>
      </c>
      <c r="BT37" s="31">
        <f t="shared" si="51"/>
        <v>0</v>
      </c>
      <c r="BU37" s="33"/>
      <c r="BV37" s="37">
        <f t="shared" si="11"/>
        <v>-1</v>
      </c>
      <c r="BW37" s="36">
        <f>[1]MJ!$N37</f>
        <v>13333.333333333334</v>
      </c>
      <c r="BX37" s="31">
        <f t="shared" si="52"/>
        <v>12744</v>
      </c>
      <c r="BY37" s="18">
        <f t="shared" si="53"/>
        <v>589.33333333333326</v>
      </c>
      <c r="BZ37" s="31">
        <f t="shared" si="54"/>
        <v>0</v>
      </c>
      <c r="CA37" s="31">
        <f t="shared" si="55"/>
        <v>0</v>
      </c>
      <c r="CB37" s="33"/>
      <c r="CC37" s="37">
        <f t="shared" si="12"/>
        <v>-1</v>
      </c>
      <c r="CD37" s="36">
        <f>[1]MJ!$O37</f>
        <v>13333.333333333334</v>
      </c>
      <c r="CE37" s="31">
        <f t="shared" si="56"/>
        <v>12744</v>
      </c>
      <c r="CF37" s="18">
        <f t="shared" si="57"/>
        <v>589.33333333333326</v>
      </c>
      <c r="CG37" s="31">
        <f t="shared" si="58"/>
        <v>0</v>
      </c>
      <c r="CH37" s="31">
        <f t="shared" si="59"/>
        <v>0</v>
      </c>
      <c r="CI37" s="33"/>
      <c r="CJ37" s="37">
        <f t="shared" si="13"/>
        <v>-1</v>
      </c>
      <c r="CK37" s="36">
        <f>[1]MJ!$P37</f>
        <v>13333.333333333334</v>
      </c>
      <c r="CL37" s="31">
        <f t="shared" si="60"/>
        <v>12744</v>
      </c>
      <c r="CM37" s="18">
        <f t="shared" si="61"/>
        <v>589.33333333333326</v>
      </c>
      <c r="CN37" s="31">
        <f t="shared" si="62"/>
        <v>0</v>
      </c>
      <c r="CO37" s="31">
        <f t="shared" si="63"/>
        <v>0</v>
      </c>
      <c r="CP37" s="33"/>
      <c r="CQ37" s="37">
        <f t="shared" si="14"/>
        <v>-1</v>
      </c>
    </row>
    <row r="38" spans="1:95" s="26" customFormat="1" ht="16" customHeight="1" thickBot="1" x14ac:dyDescent="0.25">
      <c r="A38" s="38" t="s">
        <v>62</v>
      </c>
      <c r="B38" s="30">
        <f t="shared" si="64"/>
        <v>10000</v>
      </c>
      <c r="C38" s="31">
        <f t="shared" si="64"/>
        <v>9558</v>
      </c>
      <c r="D38" s="32">
        <f t="shared" si="64"/>
        <v>441.99999999999983</v>
      </c>
      <c r="E38" s="30">
        <f t="shared" si="66"/>
        <v>3333.3333333333335</v>
      </c>
      <c r="F38" s="33">
        <f t="shared" si="66"/>
        <v>3186</v>
      </c>
      <c r="G38" s="34">
        <f t="shared" si="66"/>
        <v>147.33333333333331</v>
      </c>
      <c r="H38" s="31">
        <f t="shared" si="65"/>
        <v>9357.9988499999999</v>
      </c>
      <c r="I38" s="33">
        <f t="shared" si="65"/>
        <v>432.75114999999994</v>
      </c>
      <c r="J38" s="33">
        <f t="shared" si="65"/>
        <v>9790.75</v>
      </c>
      <c r="K38" s="37">
        <f t="shared" si="2"/>
        <v>1.9372249999999998</v>
      </c>
      <c r="L38" s="36">
        <f>[1]MJ!$E38</f>
        <v>833.33333333333337</v>
      </c>
      <c r="M38" s="31">
        <f t="shared" si="16"/>
        <v>796.5</v>
      </c>
      <c r="N38" s="31">
        <f t="shared" si="17"/>
        <v>36.833333333333329</v>
      </c>
      <c r="O38" s="31">
        <f t="shared" si="18"/>
        <v>834.25091400000008</v>
      </c>
      <c r="P38" s="31">
        <f t="shared" si="19"/>
        <v>38.579085999999997</v>
      </c>
      <c r="Q38" s="31">
        <f>872.83</f>
        <v>872.83</v>
      </c>
      <c r="R38" s="31">
        <f t="shared" si="3"/>
        <v>4.7395999999999994E-2</v>
      </c>
      <c r="S38" s="31">
        <f>[1]MJ!$F38</f>
        <v>833.33333333333337</v>
      </c>
      <c r="T38" s="31">
        <f t="shared" si="20"/>
        <v>796.5</v>
      </c>
      <c r="U38" s="31">
        <f t="shared" si="21"/>
        <v>36.833333333333329</v>
      </c>
      <c r="V38" s="31">
        <f t="shared" si="22"/>
        <v>2452.0953419999996</v>
      </c>
      <c r="W38" s="31">
        <f t="shared" si="23"/>
        <v>113.39465799999998</v>
      </c>
      <c r="X38" s="31">
        <v>2565.4899999999998</v>
      </c>
      <c r="Y38" s="31">
        <f t="shared" si="4"/>
        <v>2.0785879999999994</v>
      </c>
      <c r="Z38" s="31">
        <f>[1]MJ!$G38</f>
        <v>833.33333333333337</v>
      </c>
      <c r="AA38" s="31">
        <f t="shared" si="24"/>
        <v>796.5</v>
      </c>
      <c r="AB38" s="31">
        <f t="shared" si="25"/>
        <v>36.833333333333329</v>
      </c>
      <c r="AC38" s="31">
        <f t="shared" si="26"/>
        <v>2652.2303040000002</v>
      </c>
      <c r="AD38" s="31">
        <f t="shared" si="27"/>
        <v>122.64969599999999</v>
      </c>
      <c r="AE38" s="31">
        <f>2199.88+575</f>
        <v>2774.88</v>
      </c>
      <c r="AF38" s="31">
        <f t="shared" si="5"/>
        <v>2.3298559999999999</v>
      </c>
      <c r="AG38" s="31">
        <f>[1]MJ!$H38</f>
        <v>833.33333333333337</v>
      </c>
      <c r="AH38" s="31">
        <f t="shared" si="28"/>
        <v>796.5</v>
      </c>
      <c r="AI38" s="31">
        <f t="shared" si="29"/>
        <v>36.833333333333329</v>
      </c>
      <c r="AJ38" s="31">
        <f t="shared" si="30"/>
        <v>2268.6390900000001</v>
      </c>
      <c r="AK38" s="31">
        <f t="shared" si="31"/>
        <v>104.91091</v>
      </c>
      <c r="AL38" s="31">
        <v>2373.5500000000002</v>
      </c>
      <c r="AM38" s="31">
        <f t="shared" si="6"/>
        <v>1.8482600000000002</v>
      </c>
      <c r="AN38" s="31">
        <f>[1]MJ!$I38</f>
        <v>833.33333333333337</v>
      </c>
      <c r="AO38" s="31">
        <f t="shared" si="32"/>
        <v>796.5</v>
      </c>
      <c r="AP38" s="31">
        <f t="shared" si="33"/>
        <v>36.833333333333329</v>
      </c>
      <c r="AQ38" s="31">
        <f t="shared" si="34"/>
        <v>1150.7832000000001</v>
      </c>
      <c r="AR38" s="31">
        <f t="shared" si="35"/>
        <v>53.216799999999992</v>
      </c>
      <c r="AS38" s="33">
        <v>1204</v>
      </c>
      <c r="AT38" s="37">
        <f t="shared" si="7"/>
        <v>0.44479999999999986</v>
      </c>
      <c r="AU38" s="36">
        <f>[1]MJ!$J38</f>
        <v>833.33333333333337</v>
      </c>
      <c r="AV38" s="31">
        <f t="shared" si="36"/>
        <v>796.5</v>
      </c>
      <c r="AW38" s="18">
        <f t="shared" si="37"/>
        <v>36.833333333333329</v>
      </c>
      <c r="AX38" s="31">
        <f t="shared" si="38"/>
        <v>0</v>
      </c>
      <c r="AY38" s="31">
        <f t="shared" si="39"/>
        <v>0</v>
      </c>
      <c r="AZ38" s="33"/>
      <c r="BA38" s="37">
        <f t="shared" si="8"/>
        <v>-1</v>
      </c>
      <c r="BB38" s="36">
        <f>[1]MJ!$K38</f>
        <v>833.33333333333337</v>
      </c>
      <c r="BC38" s="31">
        <f t="shared" si="40"/>
        <v>796.5</v>
      </c>
      <c r="BD38" s="18">
        <f t="shared" si="41"/>
        <v>36.833333333333329</v>
      </c>
      <c r="BE38" s="31">
        <f t="shared" si="42"/>
        <v>0</v>
      </c>
      <c r="BF38" s="31">
        <f t="shared" si="43"/>
        <v>0</v>
      </c>
      <c r="BG38" s="27"/>
      <c r="BH38" s="37">
        <f t="shared" si="9"/>
        <v>-1</v>
      </c>
      <c r="BI38" s="36">
        <f>[1]MJ!$L38</f>
        <v>833.33333333333337</v>
      </c>
      <c r="BJ38" s="31">
        <f t="shared" si="44"/>
        <v>796.5</v>
      </c>
      <c r="BK38" s="18">
        <f t="shared" si="45"/>
        <v>36.833333333333329</v>
      </c>
      <c r="BL38" s="31">
        <f t="shared" si="46"/>
        <v>0</v>
      </c>
      <c r="BM38" s="31">
        <f t="shared" si="47"/>
        <v>0</v>
      </c>
      <c r="BN38" s="33"/>
      <c r="BO38" s="37">
        <f t="shared" si="10"/>
        <v>-1</v>
      </c>
      <c r="BP38" s="36">
        <f>[1]MJ!$M38</f>
        <v>833.33333333333337</v>
      </c>
      <c r="BQ38" s="31">
        <f t="shared" si="48"/>
        <v>796.5</v>
      </c>
      <c r="BR38" s="18">
        <f t="shared" si="49"/>
        <v>36.833333333333329</v>
      </c>
      <c r="BS38" s="31">
        <f t="shared" si="50"/>
        <v>0</v>
      </c>
      <c r="BT38" s="31">
        <f t="shared" si="51"/>
        <v>0</v>
      </c>
      <c r="BU38" s="33"/>
      <c r="BV38" s="37">
        <f t="shared" si="11"/>
        <v>-1</v>
      </c>
      <c r="BW38" s="36">
        <f>[1]MJ!$N38</f>
        <v>833.33333333333337</v>
      </c>
      <c r="BX38" s="31">
        <f t="shared" si="52"/>
        <v>796.5</v>
      </c>
      <c r="BY38" s="18">
        <f t="shared" si="53"/>
        <v>36.833333333333329</v>
      </c>
      <c r="BZ38" s="31">
        <f t="shared" si="54"/>
        <v>0</v>
      </c>
      <c r="CA38" s="31">
        <f t="shared" si="55"/>
        <v>0</v>
      </c>
      <c r="CB38" s="33"/>
      <c r="CC38" s="37">
        <f t="shared" si="12"/>
        <v>-1</v>
      </c>
      <c r="CD38" s="36">
        <f>[1]MJ!$O38</f>
        <v>833.33333333333337</v>
      </c>
      <c r="CE38" s="31">
        <f t="shared" si="56"/>
        <v>796.5</v>
      </c>
      <c r="CF38" s="18">
        <f t="shared" si="57"/>
        <v>36.833333333333329</v>
      </c>
      <c r="CG38" s="31">
        <f t="shared" si="58"/>
        <v>0</v>
      </c>
      <c r="CH38" s="31">
        <f t="shared" si="59"/>
        <v>0</v>
      </c>
      <c r="CI38" s="33"/>
      <c r="CJ38" s="37">
        <f t="shared" si="13"/>
        <v>-1</v>
      </c>
      <c r="CK38" s="36">
        <f>[1]MJ!$P38</f>
        <v>833.33333333333337</v>
      </c>
      <c r="CL38" s="31">
        <f t="shared" si="60"/>
        <v>796.5</v>
      </c>
      <c r="CM38" s="18">
        <f t="shared" si="61"/>
        <v>36.833333333333329</v>
      </c>
      <c r="CN38" s="31">
        <f t="shared" si="62"/>
        <v>0</v>
      </c>
      <c r="CO38" s="31">
        <f t="shared" si="63"/>
        <v>0</v>
      </c>
      <c r="CP38" s="33"/>
      <c r="CQ38" s="37">
        <f t="shared" si="14"/>
        <v>-1</v>
      </c>
    </row>
    <row r="39" spans="1:95" s="26" customFormat="1" ht="16" customHeight="1" thickBot="1" x14ac:dyDescent="0.25">
      <c r="A39" s="38" t="s">
        <v>63</v>
      </c>
      <c r="B39" s="30">
        <f t="shared" si="64"/>
        <v>8000.0000000000009</v>
      </c>
      <c r="C39" s="31">
        <f t="shared" si="64"/>
        <v>7646.3999999999987</v>
      </c>
      <c r="D39" s="32">
        <f t="shared" si="64"/>
        <v>353.59999999999991</v>
      </c>
      <c r="E39" s="30">
        <f t="shared" si="66"/>
        <v>2666.6666666666665</v>
      </c>
      <c r="F39" s="33">
        <f t="shared" si="66"/>
        <v>2548.7999999999997</v>
      </c>
      <c r="G39" s="34">
        <f t="shared" si="66"/>
        <v>117.86666666666665</v>
      </c>
      <c r="H39" s="31">
        <f t="shared" si="65"/>
        <v>5128.5551759999998</v>
      </c>
      <c r="I39" s="33">
        <f t="shared" si="65"/>
        <v>237.16482399999998</v>
      </c>
      <c r="J39" s="33">
        <f t="shared" si="65"/>
        <v>5365.72</v>
      </c>
      <c r="K39" s="37">
        <f t="shared" si="2"/>
        <v>1.0121450000000003</v>
      </c>
      <c r="L39" s="36">
        <f>[1]MJ!$E39</f>
        <v>666.66666666666663</v>
      </c>
      <c r="M39" s="31">
        <f t="shared" si="16"/>
        <v>637.19999999999993</v>
      </c>
      <c r="N39" s="31">
        <f t="shared" si="17"/>
        <v>29.466666666666661</v>
      </c>
      <c r="O39" s="31">
        <f t="shared" si="18"/>
        <v>896.54039999999998</v>
      </c>
      <c r="P39" s="31">
        <f t="shared" si="19"/>
        <v>41.459599999999995</v>
      </c>
      <c r="Q39" s="31">
        <f>938</f>
        <v>938</v>
      </c>
      <c r="R39" s="31">
        <f t="shared" si="3"/>
        <v>0.40700000000000003</v>
      </c>
      <c r="S39" s="31">
        <f>[1]MJ!$F39</f>
        <v>666.66666666666663</v>
      </c>
      <c r="T39" s="31">
        <f t="shared" si="20"/>
        <v>637.19999999999993</v>
      </c>
      <c r="U39" s="31">
        <f t="shared" si="21"/>
        <v>29.466666666666661</v>
      </c>
      <c r="V39" s="31">
        <f t="shared" si="22"/>
        <v>0</v>
      </c>
      <c r="W39" s="31">
        <f t="shared" si="23"/>
        <v>0</v>
      </c>
      <c r="X39" s="31"/>
      <c r="Y39" s="31">
        <f t="shared" si="4"/>
        <v>-1</v>
      </c>
      <c r="Z39" s="31">
        <f>[1]MJ!$G39</f>
        <v>666.66666666666663</v>
      </c>
      <c r="AA39" s="31">
        <f t="shared" si="24"/>
        <v>637.19999999999993</v>
      </c>
      <c r="AB39" s="31">
        <f t="shared" si="25"/>
        <v>29.466666666666661</v>
      </c>
      <c r="AC39" s="31">
        <f t="shared" si="26"/>
        <v>0</v>
      </c>
      <c r="AD39" s="31">
        <f t="shared" si="27"/>
        <v>0</v>
      </c>
      <c r="AE39" s="31"/>
      <c r="AF39" s="31">
        <f t="shared" si="5"/>
        <v>-1</v>
      </c>
      <c r="AG39" s="31">
        <f>[1]MJ!$H39</f>
        <v>666.66666666666663</v>
      </c>
      <c r="AH39" s="31">
        <f t="shared" si="28"/>
        <v>637.19999999999993</v>
      </c>
      <c r="AI39" s="31">
        <f t="shared" si="29"/>
        <v>29.466666666666661</v>
      </c>
      <c r="AJ39" s="31">
        <f t="shared" si="30"/>
        <v>4232.014776</v>
      </c>
      <c r="AK39" s="31">
        <f t="shared" si="31"/>
        <v>195.70522399999999</v>
      </c>
      <c r="AL39" s="31">
        <f>4427.72</f>
        <v>4427.72</v>
      </c>
      <c r="AM39" s="31">
        <f t="shared" si="6"/>
        <v>5.6415800000000011</v>
      </c>
      <c r="AN39" s="31">
        <f>[1]MJ!$I39</f>
        <v>666.66666666666663</v>
      </c>
      <c r="AO39" s="31">
        <f t="shared" si="32"/>
        <v>637.19999999999993</v>
      </c>
      <c r="AP39" s="31">
        <f t="shared" si="33"/>
        <v>29.466666666666661</v>
      </c>
      <c r="AQ39" s="31">
        <f t="shared" si="34"/>
        <v>0</v>
      </c>
      <c r="AR39" s="31">
        <f t="shared" si="35"/>
        <v>0</v>
      </c>
      <c r="AS39" s="33"/>
      <c r="AT39" s="37">
        <f t="shared" si="7"/>
        <v>-1</v>
      </c>
      <c r="AU39" s="36">
        <f>[1]MJ!$J39</f>
        <v>666.66666666666663</v>
      </c>
      <c r="AV39" s="31">
        <f t="shared" si="36"/>
        <v>637.19999999999993</v>
      </c>
      <c r="AW39" s="18">
        <f t="shared" si="37"/>
        <v>29.466666666666661</v>
      </c>
      <c r="AX39" s="31">
        <f t="shared" si="38"/>
        <v>0</v>
      </c>
      <c r="AY39" s="31">
        <f t="shared" si="39"/>
        <v>0</v>
      </c>
      <c r="AZ39" s="33"/>
      <c r="BA39" s="37">
        <f t="shared" si="8"/>
        <v>-1</v>
      </c>
      <c r="BB39" s="36">
        <f>[1]MJ!$K39</f>
        <v>666.66666666666663</v>
      </c>
      <c r="BC39" s="31">
        <f t="shared" si="40"/>
        <v>637.19999999999993</v>
      </c>
      <c r="BD39" s="18">
        <f t="shared" si="41"/>
        <v>29.466666666666661</v>
      </c>
      <c r="BE39" s="31">
        <f t="shared" si="42"/>
        <v>0</v>
      </c>
      <c r="BF39" s="31">
        <f t="shared" si="43"/>
        <v>0</v>
      </c>
      <c r="BG39" s="27"/>
      <c r="BH39" s="37">
        <f t="shared" si="9"/>
        <v>-1</v>
      </c>
      <c r="BI39" s="36">
        <f>[1]MJ!$L39</f>
        <v>666.66666666666663</v>
      </c>
      <c r="BJ39" s="31">
        <f t="shared" si="44"/>
        <v>637.19999999999993</v>
      </c>
      <c r="BK39" s="18">
        <f t="shared" si="45"/>
        <v>29.466666666666661</v>
      </c>
      <c r="BL39" s="31">
        <f t="shared" si="46"/>
        <v>0</v>
      </c>
      <c r="BM39" s="31">
        <f t="shared" si="47"/>
        <v>0</v>
      </c>
      <c r="BN39" s="33"/>
      <c r="BO39" s="37">
        <f t="shared" si="10"/>
        <v>-1</v>
      </c>
      <c r="BP39" s="36">
        <f>[1]MJ!$M39</f>
        <v>666.66666666666663</v>
      </c>
      <c r="BQ39" s="31">
        <f t="shared" si="48"/>
        <v>637.19999999999993</v>
      </c>
      <c r="BR39" s="18">
        <f t="shared" si="49"/>
        <v>29.466666666666661</v>
      </c>
      <c r="BS39" s="31">
        <f t="shared" si="50"/>
        <v>0</v>
      </c>
      <c r="BT39" s="31">
        <f t="shared" si="51"/>
        <v>0</v>
      </c>
      <c r="BU39" s="33"/>
      <c r="BV39" s="37">
        <f t="shared" si="11"/>
        <v>-1</v>
      </c>
      <c r="BW39" s="36">
        <f>[1]MJ!$N39</f>
        <v>666.66666666666663</v>
      </c>
      <c r="BX39" s="31">
        <f t="shared" si="52"/>
        <v>637.19999999999993</v>
      </c>
      <c r="BY39" s="18">
        <f t="shared" si="53"/>
        <v>29.466666666666661</v>
      </c>
      <c r="BZ39" s="31">
        <f t="shared" si="54"/>
        <v>0</v>
      </c>
      <c r="CA39" s="31">
        <f t="shared" si="55"/>
        <v>0</v>
      </c>
      <c r="CB39" s="33"/>
      <c r="CC39" s="37">
        <f t="shared" si="12"/>
        <v>-1</v>
      </c>
      <c r="CD39" s="36">
        <f>[1]MJ!$O39</f>
        <v>666.66666666666663</v>
      </c>
      <c r="CE39" s="31">
        <f t="shared" si="56"/>
        <v>637.19999999999993</v>
      </c>
      <c r="CF39" s="18">
        <f t="shared" si="57"/>
        <v>29.466666666666661</v>
      </c>
      <c r="CG39" s="31">
        <f t="shared" si="58"/>
        <v>0</v>
      </c>
      <c r="CH39" s="31">
        <f t="shared" si="59"/>
        <v>0</v>
      </c>
      <c r="CI39" s="33"/>
      <c r="CJ39" s="37">
        <f t="shared" si="13"/>
        <v>-1</v>
      </c>
      <c r="CK39" s="36">
        <f>[1]MJ!$P39</f>
        <v>666.66666666666663</v>
      </c>
      <c r="CL39" s="31">
        <f t="shared" si="60"/>
        <v>637.19999999999993</v>
      </c>
      <c r="CM39" s="18">
        <f t="shared" si="61"/>
        <v>29.466666666666661</v>
      </c>
      <c r="CN39" s="31">
        <f t="shared" si="62"/>
        <v>0</v>
      </c>
      <c r="CO39" s="31">
        <f t="shared" si="63"/>
        <v>0</v>
      </c>
      <c r="CP39" s="33"/>
      <c r="CQ39" s="37">
        <f t="shared" si="14"/>
        <v>-1</v>
      </c>
    </row>
    <row r="40" spans="1:95" s="26" customFormat="1" ht="16" customHeight="1" thickBot="1" x14ac:dyDescent="0.25">
      <c r="A40" s="38" t="s">
        <v>64</v>
      </c>
      <c r="B40" s="30">
        <f t="shared" si="64"/>
        <v>24999.999999999996</v>
      </c>
      <c r="C40" s="31">
        <f t="shared" si="64"/>
        <v>23895.000000000004</v>
      </c>
      <c r="D40" s="32">
        <f t="shared" si="64"/>
        <v>1105.0000000000002</v>
      </c>
      <c r="E40" s="30">
        <f t="shared" si="66"/>
        <v>8333.3333333333339</v>
      </c>
      <c r="F40" s="33">
        <f t="shared" si="66"/>
        <v>7965.0000000000009</v>
      </c>
      <c r="G40" s="34">
        <f t="shared" si="66"/>
        <v>368.33333333333331</v>
      </c>
      <c r="H40" s="31">
        <f t="shared" si="65"/>
        <v>16053.148458</v>
      </c>
      <c r="I40" s="33">
        <f t="shared" si="65"/>
        <v>742.36154199999999</v>
      </c>
      <c r="J40" s="33">
        <f t="shared" si="65"/>
        <v>16795.510000000002</v>
      </c>
      <c r="K40" s="37">
        <f t="shared" si="2"/>
        <v>1.0154612000000003</v>
      </c>
      <c r="L40" s="36">
        <f>[1]MJ!$E40</f>
        <v>2083.3333333333335</v>
      </c>
      <c r="M40" s="31">
        <f t="shared" si="16"/>
        <v>1991.2500000000002</v>
      </c>
      <c r="N40" s="31">
        <f t="shared" si="17"/>
        <v>92.083333333333329</v>
      </c>
      <c r="O40" s="31">
        <f t="shared" si="18"/>
        <v>2110.0240800000001</v>
      </c>
      <c r="P40" s="31">
        <f t="shared" si="19"/>
        <v>97.575919999999982</v>
      </c>
      <c r="Q40" s="31">
        <f>2207.6</f>
        <v>2207.6</v>
      </c>
      <c r="R40" s="31">
        <f t="shared" si="3"/>
        <v>5.9647999999999923E-2</v>
      </c>
      <c r="S40" s="31">
        <f>[1]MJ!$F40</f>
        <v>2083.3333333333335</v>
      </c>
      <c r="T40" s="31">
        <f t="shared" si="20"/>
        <v>1991.2500000000002</v>
      </c>
      <c r="U40" s="31">
        <f t="shared" si="21"/>
        <v>92.083333333333329</v>
      </c>
      <c r="V40" s="31">
        <f t="shared" si="22"/>
        <v>1775.4940799999999</v>
      </c>
      <c r="W40" s="31">
        <f t="shared" si="23"/>
        <v>82.105919999999983</v>
      </c>
      <c r="X40" s="31">
        <f>1857.6</f>
        <v>1857.6</v>
      </c>
      <c r="Y40" s="31">
        <f t="shared" si="4"/>
        <v>-0.10835200000000011</v>
      </c>
      <c r="Z40" s="31">
        <f>[1]MJ!$G40</f>
        <v>2083.3333333333335</v>
      </c>
      <c r="AA40" s="31">
        <f t="shared" si="24"/>
        <v>1991.2500000000002</v>
      </c>
      <c r="AB40" s="31">
        <f t="shared" si="25"/>
        <v>92.083333333333329</v>
      </c>
      <c r="AC40" s="31">
        <f t="shared" si="26"/>
        <v>4470.3721800000003</v>
      </c>
      <c r="AD40" s="31">
        <f t="shared" si="27"/>
        <v>206.72782000000001</v>
      </c>
      <c r="AE40" s="31">
        <f>4677.1</f>
        <v>4677.1000000000004</v>
      </c>
      <c r="AF40" s="31">
        <f t="shared" si="5"/>
        <v>1.2450079999999999</v>
      </c>
      <c r="AG40" s="31">
        <f>[1]MJ!$H40</f>
        <v>2083.3333333333335</v>
      </c>
      <c r="AH40" s="31">
        <f t="shared" si="28"/>
        <v>1991.2500000000002</v>
      </c>
      <c r="AI40" s="31">
        <f t="shared" si="29"/>
        <v>92.083333333333329</v>
      </c>
      <c r="AJ40" s="31">
        <f t="shared" si="30"/>
        <v>2558.3038380000003</v>
      </c>
      <c r="AK40" s="31">
        <f t="shared" si="31"/>
        <v>118.306162</v>
      </c>
      <c r="AL40" s="31">
        <f>2676.61</f>
        <v>2676.61</v>
      </c>
      <c r="AM40" s="31">
        <f t="shared" si="6"/>
        <v>0.28477280000000005</v>
      </c>
      <c r="AN40" s="31">
        <f>[1]MJ!$I40</f>
        <v>2083.3333333333335</v>
      </c>
      <c r="AO40" s="31">
        <f t="shared" si="32"/>
        <v>1991.2500000000002</v>
      </c>
      <c r="AP40" s="31">
        <f t="shared" si="33"/>
        <v>92.083333333333329</v>
      </c>
      <c r="AQ40" s="31">
        <f t="shared" si="34"/>
        <v>2693.0620799999997</v>
      </c>
      <c r="AR40" s="31">
        <f t="shared" si="35"/>
        <v>124.53791999999999</v>
      </c>
      <c r="AS40" s="33">
        <v>2817.6</v>
      </c>
      <c r="AT40" s="37">
        <f t="shared" si="7"/>
        <v>0.35244799999999987</v>
      </c>
      <c r="AU40" s="36">
        <f>[1]MJ!$J40</f>
        <v>2083.3333333333335</v>
      </c>
      <c r="AV40" s="31">
        <f t="shared" si="36"/>
        <v>1991.2500000000002</v>
      </c>
      <c r="AW40" s="18">
        <f t="shared" si="37"/>
        <v>92.083333333333329</v>
      </c>
      <c r="AX40" s="31">
        <f t="shared" si="38"/>
        <v>2445.8922000000002</v>
      </c>
      <c r="AY40" s="31">
        <f t="shared" si="39"/>
        <v>113.1078</v>
      </c>
      <c r="AZ40" s="33">
        <v>2559</v>
      </c>
      <c r="BA40" s="37">
        <f t="shared" si="8"/>
        <v>0.22831999999999986</v>
      </c>
      <c r="BB40" s="36">
        <f>[1]MJ!$K40</f>
        <v>2083.3333333333335</v>
      </c>
      <c r="BC40" s="31">
        <f t="shared" si="40"/>
        <v>1991.2500000000002</v>
      </c>
      <c r="BD40" s="18">
        <f t="shared" si="41"/>
        <v>92.083333333333329</v>
      </c>
      <c r="BE40" s="31">
        <f t="shared" si="42"/>
        <v>0</v>
      </c>
      <c r="BF40" s="31">
        <f t="shared" si="43"/>
        <v>0</v>
      </c>
      <c r="BG40" s="27"/>
      <c r="BH40" s="37">
        <f t="shared" si="9"/>
        <v>-1</v>
      </c>
      <c r="BI40" s="36">
        <f>[1]MJ!$L40</f>
        <v>2083.3333333333335</v>
      </c>
      <c r="BJ40" s="31">
        <f t="shared" si="44"/>
        <v>1991.2500000000002</v>
      </c>
      <c r="BK40" s="18">
        <f t="shared" si="45"/>
        <v>92.083333333333329</v>
      </c>
      <c r="BL40" s="31">
        <f t="shared" si="46"/>
        <v>0</v>
      </c>
      <c r="BM40" s="31">
        <f t="shared" si="47"/>
        <v>0</v>
      </c>
      <c r="BN40" s="33"/>
      <c r="BO40" s="37">
        <f t="shared" si="10"/>
        <v>-1</v>
      </c>
      <c r="BP40" s="36">
        <f>[1]MJ!$M40</f>
        <v>2083.3333333333335</v>
      </c>
      <c r="BQ40" s="31">
        <f t="shared" si="48"/>
        <v>1991.2500000000002</v>
      </c>
      <c r="BR40" s="18">
        <f t="shared" si="49"/>
        <v>92.083333333333329</v>
      </c>
      <c r="BS40" s="31">
        <f t="shared" si="50"/>
        <v>0</v>
      </c>
      <c r="BT40" s="31">
        <f t="shared" si="51"/>
        <v>0</v>
      </c>
      <c r="BU40" s="33"/>
      <c r="BV40" s="37">
        <f t="shared" si="11"/>
        <v>-1</v>
      </c>
      <c r="BW40" s="36">
        <f>[1]MJ!$N40</f>
        <v>2083.3333333333335</v>
      </c>
      <c r="BX40" s="31">
        <f t="shared" si="52"/>
        <v>1991.2500000000002</v>
      </c>
      <c r="BY40" s="18">
        <f t="shared" si="53"/>
        <v>92.083333333333329</v>
      </c>
      <c r="BZ40" s="31">
        <f t="shared" si="54"/>
        <v>0</v>
      </c>
      <c r="CA40" s="31">
        <f t="shared" si="55"/>
        <v>0</v>
      </c>
      <c r="CB40" s="33"/>
      <c r="CC40" s="37">
        <f t="shared" si="12"/>
        <v>-1</v>
      </c>
      <c r="CD40" s="36">
        <f>[1]MJ!$O40</f>
        <v>2083.3333333333335</v>
      </c>
      <c r="CE40" s="31">
        <f t="shared" si="56"/>
        <v>1991.2500000000002</v>
      </c>
      <c r="CF40" s="18">
        <f t="shared" si="57"/>
        <v>92.083333333333329</v>
      </c>
      <c r="CG40" s="31">
        <f t="shared" si="58"/>
        <v>0</v>
      </c>
      <c r="CH40" s="31">
        <f t="shared" si="59"/>
        <v>0</v>
      </c>
      <c r="CI40" s="33"/>
      <c r="CJ40" s="37">
        <f t="shared" si="13"/>
        <v>-1</v>
      </c>
      <c r="CK40" s="36">
        <f>[1]MJ!$P40</f>
        <v>2083.3333333333335</v>
      </c>
      <c r="CL40" s="31">
        <f t="shared" si="60"/>
        <v>1991.2500000000002</v>
      </c>
      <c r="CM40" s="18">
        <f t="shared" si="61"/>
        <v>92.083333333333329</v>
      </c>
      <c r="CN40" s="31">
        <f t="shared" si="62"/>
        <v>0</v>
      </c>
      <c r="CO40" s="31">
        <f t="shared" si="63"/>
        <v>0</v>
      </c>
      <c r="CP40" s="33"/>
      <c r="CQ40" s="37">
        <f t="shared" si="14"/>
        <v>-1</v>
      </c>
    </row>
    <row r="41" spans="1:95" s="26" customFormat="1" ht="16" customHeight="1" thickBot="1" x14ac:dyDescent="0.25">
      <c r="A41" s="29" t="s">
        <v>65</v>
      </c>
      <c r="B41" s="30">
        <f t="shared" si="64"/>
        <v>157000</v>
      </c>
      <c r="C41" s="31">
        <f t="shared" si="64"/>
        <v>150060.6</v>
      </c>
      <c r="D41" s="32">
        <f t="shared" si="64"/>
        <v>6939.3999999999978</v>
      </c>
      <c r="E41" s="30">
        <f t="shared" si="66"/>
        <v>52333.333333333336</v>
      </c>
      <c r="F41" s="33">
        <f t="shared" si="66"/>
        <v>50020.200000000004</v>
      </c>
      <c r="G41" s="34">
        <f t="shared" si="66"/>
        <v>2313.1333333333332</v>
      </c>
      <c r="H41" s="31">
        <f t="shared" si="65"/>
        <v>75030.3</v>
      </c>
      <c r="I41" s="33">
        <f t="shared" si="65"/>
        <v>3469.7</v>
      </c>
      <c r="J41" s="33">
        <f t="shared" si="65"/>
        <v>78500</v>
      </c>
      <c r="K41" s="37">
        <f t="shared" si="2"/>
        <v>0.5</v>
      </c>
      <c r="L41" s="46">
        <f>[1]MJ!$E41</f>
        <v>13083.333333333334</v>
      </c>
      <c r="M41" s="47">
        <f t="shared" si="16"/>
        <v>12505.050000000001</v>
      </c>
      <c r="N41" s="47">
        <f t="shared" si="17"/>
        <v>578.2833333333333</v>
      </c>
      <c r="O41" s="47">
        <f t="shared" si="18"/>
        <v>12505.050000000001</v>
      </c>
      <c r="P41" s="47">
        <f t="shared" si="19"/>
        <v>578.2833333333333</v>
      </c>
      <c r="Q41" s="47">
        <v>13083.333333333334</v>
      </c>
      <c r="R41" s="47">
        <f t="shared" si="3"/>
        <v>0</v>
      </c>
      <c r="S41" s="47">
        <f>[1]MJ!$F41</f>
        <v>13083.333333333334</v>
      </c>
      <c r="T41" s="47">
        <f t="shared" si="20"/>
        <v>12505.050000000001</v>
      </c>
      <c r="U41" s="47">
        <f t="shared" si="21"/>
        <v>578.2833333333333</v>
      </c>
      <c r="V41" s="47">
        <f t="shared" si="22"/>
        <v>12505.050000000001</v>
      </c>
      <c r="W41" s="47">
        <f t="shared" si="23"/>
        <v>578.2833333333333</v>
      </c>
      <c r="X41" s="47">
        <v>13083.333333333334</v>
      </c>
      <c r="Y41" s="47">
        <f t="shared" si="4"/>
        <v>0</v>
      </c>
      <c r="Z41" s="47">
        <f>[1]MJ!$G41</f>
        <v>13083.333333333334</v>
      </c>
      <c r="AA41" s="47">
        <f t="shared" si="24"/>
        <v>12505.050000000001</v>
      </c>
      <c r="AB41" s="47">
        <f t="shared" si="25"/>
        <v>578.2833333333333</v>
      </c>
      <c r="AC41" s="47">
        <f t="shared" si="26"/>
        <v>12505.050000000001</v>
      </c>
      <c r="AD41" s="47">
        <f t="shared" si="27"/>
        <v>578.2833333333333</v>
      </c>
      <c r="AE41" s="47">
        <v>13083.333333333334</v>
      </c>
      <c r="AF41" s="47">
        <f t="shared" si="5"/>
        <v>0</v>
      </c>
      <c r="AG41" s="47">
        <f>[1]MJ!$H41</f>
        <v>13083.333333333334</v>
      </c>
      <c r="AH41" s="47">
        <f t="shared" si="28"/>
        <v>12505.050000000001</v>
      </c>
      <c r="AI41" s="47">
        <f t="shared" si="29"/>
        <v>578.2833333333333</v>
      </c>
      <c r="AJ41" s="47">
        <f t="shared" si="30"/>
        <v>12505.050000000001</v>
      </c>
      <c r="AK41" s="47">
        <f t="shared" si="31"/>
        <v>578.2833333333333</v>
      </c>
      <c r="AL41" s="47">
        <v>13083.333333333334</v>
      </c>
      <c r="AM41" s="47">
        <f t="shared" si="6"/>
        <v>0</v>
      </c>
      <c r="AN41" s="47">
        <f>[1]MJ!$I41</f>
        <v>13083.333333333334</v>
      </c>
      <c r="AO41" s="47">
        <f t="shared" si="32"/>
        <v>12505.050000000001</v>
      </c>
      <c r="AP41" s="47">
        <f t="shared" si="33"/>
        <v>578.2833333333333</v>
      </c>
      <c r="AQ41" s="47">
        <f t="shared" si="34"/>
        <v>12505.050000000001</v>
      </c>
      <c r="AR41" s="47">
        <f t="shared" si="35"/>
        <v>578.2833333333333</v>
      </c>
      <c r="AS41" s="45">
        <v>13083.333333333334</v>
      </c>
      <c r="AT41" s="37">
        <f t="shared" si="7"/>
        <v>0</v>
      </c>
      <c r="AU41" s="46">
        <f>[1]MJ!$J41</f>
        <v>13083.333333333334</v>
      </c>
      <c r="AV41" s="47">
        <f t="shared" si="36"/>
        <v>12505.050000000001</v>
      </c>
      <c r="AW41" s="18">
        <f t="shared" si="37"/>
        <v>578.2833333333333</v>
      </c>
      <c r="AX41" s="47">
        <f t="shared" si="38"/>
        <v>12505.050000000001</v>
      </c>
      <c r="AY41" s="47">
        <f t="shared" si="39"/>
        <v>578.2833333333333</v>
      </c>
      <c r="AZ41" s="45">
        <v>13083.333333333334</v>
      </c>
      <c r="BA41" s="37">
        <f t="shared" si="8"/>
        <v>0</v>
      </c>
      <c r="BB41" s="46">
        <f>[1]MJ!$K41</f>
        <v>13083.333333333334</v>
      </c>
      <c r="BC41" s="47">
        <f t="shared" si="40"/>
        <v>12505.050000000001</v>
      </c>
      <c r="BD41" s="18">
        <f t="shared" si="41"/>
        <v>578.2833333333333</v>
      </c>
      <c r="BE41" s="47">
        <f t="shared" si="42"/>
        <v>0</v>
      </c>
      <c r="BF41" s="47">
        <f t="shared" si="43"/>
        <v>0</v>
      </c>
      <c r="BG41" s="48"/>
      <c r="BH41" s="37">
        <f t="shared" si="9"/>
        <v>-1</v>
      </c>
      <c r="BI41" s="46">
        <f>[1]MJ!$L41</f>
        <v>13083.333333333334</v>
      </c>
      <c r="BJ41" s="47">
        <f t="shared" si="44"/>
        <v>12505.050000000001</v>
      </c>
      <c r="BK41" s="18">
        <f t="shared" si="45"/>
        <v>578.2833333333333</v>
      </c>
      <c r="BL41" s="47">
        <f t="shared" si="46"/>
        <v>0</v>
      </c>
      <c r="BM41" s="47">
        <f t="shared" si="47"/>
        <v>0</v>
      </c>
      <c r="BN41" s="45"/>
      <c r="BO41" s="37">
        <f t="shared" si="10"/>
        <v>-1</v>
      </c>
      <c r="BP41" s="46">
        <f>[1]MJ!$M41</f>
        <v>13083.333333333334</v>
      </c>
      <c r="BQ41" s="47">
        <f t="shared" si="48"/>
        <v>12505.050000000001</v>
      </c>
      <c r="BR41" s="18">
        <f t="shared" si="49"/>
        <v>578.2833333333333</v>
      </c>
      <c r="BS41" s="47">
        <f t="shared" si="50"/>
        <v>0</v>
      </c>
      <c r="BT41" s="47">
        <f t="shared" si="51"/>
        <v>0</v>
      </c>
      <c r="BU41" s="45"/>
      <c r="BV41" s="37">
        <f t="shared" si="11"/>
        <v>-1</v>
      </c>
      <c r="BW41" s="46">
        <f>[1]MJ!$N41</f>
        <v>13083.333333333334</v>
      </c>
      <c r="BX41" s="47">
        <f t="shared" si="52"/>
        <v>12505.050000000001</v>
      </c>
      <c r="BY41" s="18">
        <f t="shared" si="53"/>
        <v>578.2833333333333</v>
      </c>
      <c r="BZ41" s="47">
        <f t="shared" si="54"/>
        <v>0</v>
      </c>
      <c r="CA41" s="47">
        <f t="shared" si="55"/>
        <v>0</v>
      </c>
      <c r="CB41" s="46"/>
      <c r="CC41" s="37">
        <f t="shared" si="12"/>
        <v>-1</v>
      </c>
      <c r="CD41" s="46">
        <f>[1]MJ!$O41</f>
        <v>13083.333333333334</v>
      </c>
      <c r="CE41" s="47">
        <f t="shared" si="56"/>
        <v>12505.050000000001</v>
      </c>
      <c r="CF41" s="18">
        <f t="shared" si="57"/>
        <v>578.2833333333333</v>
      </c>
      <c r="CG41" s="47">
        <f t="shared" si="58"/>
        <v>0</v>
      </c>
      <c r="CH41" s="47">
        <f t="shared" si="59"/>
        <v>0</v>
      </c>
      <c r="CI41" s="45"/>
      <c r="CJ41" s="37">
        <f t="shared" si="13"/>
        <v>-1</v>
      </c>
      <c r="CK41" s="46">
        <f>[1]MJ!$P41</f>
        <v>13083.333333333334</v>
      </c>
      <c r="CL41" s="47">
        <f t="shared" si="60"/>
        <v>12505.050000000001</v>
      </c>
      <c r="CM41" s="18">
        <f t="shared" si="61"/>
        <v>578.2833333333333</v>
      </c>
      <c r="CN41" s="47">
        <f t="shared" si="62"/>
        <v>0</v>
      </c>
      <c r="CO41" s="47">
        <f t="shared" si="63"/>
        <v>0</v>
      </c>
      <c r="CP41" s="45"/>
      <c r="CQ41" s="37">
        <f t="shared" si="14"/>
        <v>-1</v>
      </c>
    </row>
    <row r="42" spans="1:95" s="26" customFormat="1" ht="16" customHeight="1" thickBot="1" x14ac:dyDescent="0.25">
      <c r="A42" s="29" t="s">
        <v>66</v>
      </c>
      <c r="B42" s="30">
        <f t="shared" si="64"/>
        <v>972784.80000000016</v>
      </c>
      <c r="C42" s="31">
        <f t="shared" si="64"/>
        <v>929787.71184</v>
      </c>
      <c r="D42" s="32">
        <f t="shared" si="64"/>
        <v>42997.088160000007</v>
      </c>
      <c r="E42" s="30">
        <f t="shared" si="66"/>
        <v>324261.59999999998</v>
      </c>
      <c r="F42" s="33">
        <f t="shared" si="66"/>
        <v>309929.23728</v>
      </c>
      <c r="G42" s="34">
        <f t="shared" si="66"/>
        <v>14332.362719999997</v>
      </c>
      <c r="H42" s="31">
        <f t="shared" si="65"/>
        <v>475510.50955799996</v>
      </c>
      <c r="I42" s="33">
        <f t="shared" si="65"/>
        <v>21989.500442</v>
      </c>
      <c r="J42" s="33">
        <f t="shared" si="65"/>
        <v>497500.00999999995</v>
      </c>
      <c r="K42" s="37">
        <f t="shared" si="2"/>
        <v>0.53425508910089881</v>
      </c>
      <c r="L42" s="36">
        <f>[1]MJ!$E42</f>
        <v>81065.399999999994</v>
      </c>
      <c r="M42" s="31">
        <f t="shared" si="16"/>
        <v>77482.30932</v>
      </c>
      <c r="N42" s="31">
        <f t="shared" si="17"/>
        <v>3583.0906799999993</v>
      </c>
      <c r="O42" s="31">
        <f t="shared" si="18"/>
        <v>73277.993627999997</v>
      </c>
      <c r="P42" s="31">
        <f t="shared" si="19"/>
        <v>3388.6663719999997</v>
      </c>
      <c r="Q42" s="31">
        <f>76666.66</f>
        <v>76666.66</v>
      </c>
      <c r="R42" s="31">
        <f t="shared" si="3"/>
        <v>-5.4261620864141658E-2</v>
      </c>
      <c r="S42" s="31">
        <f>[1]MJ!$F42</f>
        <v>81065.399999999994</v>
      </c>
      <c r="T42" s="31">
        <f t="shared" si="20"/>
        <v>77482.30932</v>
      </c>
      <c r="U42" s="31">
        <f t="shared" si="21"/>
        <v>3583.0906799999993</v>
      </c>
      <c r="V42" s="31">
        <f t="shared" si="22"/>
        <v>80446.503186000002</v>
      </c>
      <c r="W42" s="31">
        <f t="shared" si="23"/>
        <v>3720.1668139999997</v>
      </c>
      <c r="X42" s="31">
        <f>84166.67</f>
        <v>84166.67</v>
      </c>
      <c r="Y42" s="31">
        <f t="shared" si="4"/>
        <v>3.8256395453547531E-2</v>
      </c>
      <c r="Z42" s="31">
        <f>[1]MJ!$G42</f>
        <v>81065.399999999994</v>
      </c>
      <c r="AA42" s="31">
        <f t="shared" si="24"/>
        <v>77482.30932</v>
      </c>
      <c r="AB42" s="31">
        <f t="shared" si="25"/>
        <v>3583.0906799999993</v>
      </c>
      <c r="AC42" s="31">
        <f t="shared" si="26"/>
        <v>80446.503186000002</v>
      </c>
      <c r="AD42" s="31">
        <f t="shared" si="27"/>
        <v>3720.1668139999997</v>
      </c>
      <c r="AE42" s="31">
        <v>84166.67</v>
      </c>
      <c r="AF42" s="31">
        <f t="shared" si="5"/>
        <v>3.8256395453547531E-2</v>
      </c>
      <c r="AG42" s="31">
        <f>[1]MJ!$H42</f>
        <v>81065.399999999994</v>
      </c>
      <c r="AH42" s="31">
        <f t="shared" si="28"/>
        <v>77482.30932</v>
      </c>
      <c r="AI42" s="31">
        <f t="shared" si="29"/>
        <v>3583.0906799999993</v>
      </c>
      <c r="AJ42" s="31">
        <f t="shared" si="30"/>
        <v>80446.503186000002</v>
      </c>
      <c r="AK42" s="31">
        <f t="shared" si="31"/>
        <v>3720.1668139999997</v>
      </c>
      <c r="AL42" s="31">
        <f>84166.67</f>
        <v>84166.67</v>
      </c>
      <c r="AM42" s="31">
        <f t="shared" si="6"/>
        <v>3.8256395453547531E-2</v>
      </c>
      <c r="AN42" s="31">
        <f>[1]MJ!$I42</f>
        <v>81065.399999999994</v>
      </c>
      <c r="AO42" s="31">
        <f t="shared" si="32"/>
        <v>77482.30932</v>
      </c>
      <c r="AP42" s="31">
        <f t="shared" si="33"/>
        <v>3583.0906799999993</v>
      </c>
      <c r="AQ42" s="31">
        <f t="shared" si="34"/>
        <v>80446.503186000002</v>
      </c>
      <c r="AR42" s="31">
        <f t="shared" si="35"/>
        <v>3720.1668139999997</v>
      </c>
      <c r="AS42" s="33">
        <v>84166.67</v>
      </c>
      <c r="AT42" s="37">
        <f t="shared" si="7"/>
        <v>3.8256395453547531E-2</v>
      </c>
      <c r="AU42" s="36">
        <f>[1]MJ!$J42</f>
        <v>81065.399999999994</v>
      </c>
      <c r="AV42" s="31">
        <f t="shared" si="36"/>
        <v>77482.30932</v>
      </c>
      <c r="AW42" s="18">
        <f t="shared" si="37"/>
        <v>3583.0906799999993</v>
      </c>
      <c r="AX42" s="31">
        <f t="shared" si="38"/>
        <v>80446.503186000002</v>
      </c>
      <c r="AY42" s="31">
        <f t="shared" si="39"/>
        <v>3720.1668139999997</v>
      </c>
      <c r="AZ42" s="33">
        <v>84166.67</v>
      </c>
      <c r="BA42" s="37">
        <f t="shared" si="8"/>
        <v>3.8256395453547531E-2</v>
      </c>
      <c r="BB42" s="36">
        <f>[1]MJ!$K42</f>
        <v>81065.399999999994</v>
      </c>
      <c r="BC42" s="31">
        <f t="shared" si="40"/>
        <v>77482.30932</v>
      </c>
      <c r="BD42" s="18">
        <f t="shared" si="41"/>
        <v>3583.0906799999993</v>
      </c>
      <c r="BE42" s="31">
        <f t="shared" si="42"/>
        <v>0</v>
      </c>
      <c r="BF42" s="31">
        <f t="shared" si="43"/>
        <v>0</v>
      </c>
      <c r="BG42" s="27"/>
      <c r="BH42" s="37">
        <f t="shared" si="9"/>
        <v>-1</v>
      </c>
      <c r="BI42" s="36">
        <f>[1]MJ!$L42</f>
        <v>81065.399999999994</v>
      </c>
      <c r="BJ42" s="31">
        <f t="shared" si="44"/>
        <v>77482.30932</v>
      </c>
      <c r="BK42" s="18">
        <f t="shared" si="45"/>
        <v>3583.0906799999993</v>
      </c>
      <c r="BL42" s="31">
        <f t="shared" si="46"/>
        <v>0</v>
      </c>
      <c r="BM42" s="31">
        <f t="shared" si="47"/>
        <v>0</v>
      </c>
      <c r="BN42" s="33"/>
      <c r="BO42" s="37">
        <f t="shared" si="10"/>
        <v>-1</v>
      </c>
      <c r="BP42" s="36">
        <f>[1]MJ!$M42</f>
        <v>81065.399999999994</v>
      </c>
      <c r="BQ42" s="31">
        <f t="shared" si="48"/>
        <v>77482.30932</v>
      </c>
      <c r="BR42" s="18">
        <f t="shared" si="49"/>
        <v>3583.0906799999993</v>
      </c>
      <c r="BS42" s="31">
        <f t="shared" si="50"/>
        <v>0</v>
      </c>
      <c r="BT42" s="31">
        <f t="shared" si="51"/>
        <v>0</v>
      </c>
      <c r="BU42" s="33"/>
      <c r="BV42" s="37">
        <f t="shared" si="11"/>
        <v>-1</v>
      </c>
      <c r="BW42" s="36">
        <f>[1]MJ!$N42</f>
        <v>81065.399999999994</v>
      </c>
      <c r="BX42" s="31">
        <f t="shared" si="52"/>
        <v>77482.30932</v>
      </c>
      <c r="BY42" s="18">
        <f t="shared" si="53"/>
        <v>3583.0906799999993</v>
      </c>
      <c r="BZ42" s="31">
        <f t="shared" si="54"/>
        <v>0</v>
      </c>
      <c r="CA42" s="31">
        <f t="shared" si="55"/>
        <v>0</v>
      </c>
      <c r="CB42" s="33"/>
      <c r="CC42" s="37">
        <f t="shared" si="12"/>
        <v>-1</v>
      </c>
      <c r="CD42" s="36">
        <f>[1]MJ!$O42</f>
        <v>81065.399999999994</v>
      </c>
      <c r="CE42" s="31">
        <f t="shared" si="56"/>
        <v>77482.30932</v>
      </c>
      <c r="CF42" s="18">
        <f t="shared" si="57"/>
        <v>3583.0906799999993</v>
      </c>
      <c r="CG42" s="31">
        <f t="shared" si="58"/>
        <v>0</v>
      </c>
      <c r="CH42" s="31">
        <f t="shared" si="59"/>
        <v>0</v>
      </c>
      <c r="CI42" s="33"/>
      <c r="CJ42" s="37">
        <f t="shared" si="13"/>
        <v>-1</v>
      </c>
      <c r="CK42" s="36">
        <f>[1]MJ!$P42</f>
        <v>81065.399999999994</v>
      </c>
      <c r="CL42" s="31">
        <f t="shared" si="60"/>
        <v>77482.30932</v>
      </c>
      <c r="CM42" s="18">
        <f t="shared" si="61"/>
        <v>3583.0906799999993</v>
      </c>
      <c r="CN42" s="31">
        <f t="shared" si="62"/>
        <v>0</v>
      </c>
      <c r="CO42" s="31">
        <f t="shared" si="63"/>
        <v>0</v>
      </c>
      <c r="CP42" s="33"/>
      <c r="CQ42" s="37">
        <f t="shared" si="14"/>
        <v>-1</v>
      </c>
    </row>
    <row r="43" spans="1:95" s="26" customFormat="1" ht="16" customHeight="1" thickBot="1" x14ac:dyDescent="0.25">
      <c r="A43" s="38" t="s">
        <v>67</v>
      </c>
      <c r="B43" s="30">
        <f t="shared" si="64"/>
        <v>61659</v>
      </c>
      <c r="C43" s="31">
        <f t="shared" si="64"/>
        <v>58933.672199999994</v>
      </c>
      <c r="D43" s="32">
        <f t="shared" si="64"/>
        <v>2725.3278000000005</v>
      </c>
      <c r="E43" s="30">
        <f t="shared" si="66"/>
        <v>20553</v>
      </c>
      <c r="F43" s="33">
        <f t="shared" si="66"/>
        <v>19644.557400000002</v>
      </c>
      <c r="G43" s="34">
        <f t="shared" si="66"/>
        <v>908.44259999999997</v>
      </c>
      <c r="H43" s="31">
        <f t="shared" si="65"/>
        <v>46978.516241999998</v>
      </c>
      <c r="I43" s="33">
        <f t="shared" si="65"/>
        <v>2172.4737580000001</v>
      </c>
      <c r="J43" s="33">
        <f t="shared" si="65"/>
        <v>49150.99</v>
      </c>
      <c r="K43" s="37">
        <f t="shared" si="2"/>
        <v>1.3914265557339558</v>
      </c>
      <c r="L43" s="36">
        <f>[1]MJ!$E43</f>
        <v>5138.25</v>
      </c>
      <c r="M43" s="31">
        <f t="shared" si="16"/>
        <v>4911.1393500000004</v>
      </c>
      <c r="N43" s="31">
        <f t="shared" si="17"/>
        <v>227.11064999999999</v>
      </c>
      <c r="O43" s="31">
        <f t="shared" si="18"/>
        <v>5913.5441580000006</v>
      </c>
      <c r="P43" s="31">
        <f t="shared" si="19"/>
        <v>273.46584200000001</v>
      </c>
      <c r="Q43" s="31">
        <f>6187.01</f>
        <v>6187.01</v>
      </c>
      <c r="R43" s="31">
        <f t="shared" si="3"/>
        <v>0.20410840266627739</v>
      </c>
      <c r="S43" s="31">
        <f>[1]MJ!$F43</f>
        <v>5138.25</v>
      </c>
      <c r="T43" s="31">
        <f t="shared" si="20"/>
        <v>4911.1393500000004</v>
      </c>
      <c r="U43" s="31">
        <f t="shared" si="21"/>
        <v>227.11064999999999</v>
      </c>
      <c r="V43" s="31">
        <f t="shared" si="22"/>
        <v>5061.9263580000006</v>
      </c>
      <c r="W43" s="31">
        <f t="shared" si="23"/>
        <v>234.083642</v>
      </c>
      <c r="X43" s="31">
        <f>5296.01</f>
        <v>5296.01</v>
      </c>
      <c r="Y43" s="31">
        <f t="shared" si="4"/>
        <v>3.0703060380479874E-2</v>
      </c>
      <c r="Z43" s="31">
        <f>[1]MJ!$G43</f>
        <v>5138.25</v>
      </c>
      <c r="AA43" s="31">
        <f t="shared" si="24"/>
        <v>4911.1393500000004</v>
      </c>
      <c r="AB43" s="31">
        <f t="shared" si="25"/>
        <v>227.11064999999999</v>
      </c>
      <c r="AC43" s="31">
        <f t="shared" si="26"/>
        <v>5287.8679199999997</v>
      </c>
      <c r="AD43" s="31">
        <f t="shared" si="27"/>
        <v>244.53207999999995</v>
      </c>
      <c r="AE43" s="31">
        <f>5532.4</f>
        <v>5532.4</v>
      </c>
      <c r="AF43" s="31">
        <f t="shared" si="5"/>
        <v>7.6708996253588291E-2</v>
      </c>
      <c r="AG43" s="31">
        <f>[1]MJ!$H43</f>
        <v>5138.25</v>
      </c>
      <c r="AH43" s="31">
        <f t="shared" si="28"/>
        <v>4911.1393500000004</v>
      </c>
      <c r="AI43" s="31">
        <f t="shared" si="29"/>
        <v>227.11064999999999</v>
      </c>
      <c r="AJ43" s="31">
        <f t="shared" si="30"/>
        <v>5737.9923720000006</v>
      </c>
      <c r="AK43" s="31">
        <f t="shared" si="31"/>
        <v>265.34762799999999</v>
      </c>
      <c r="AL43" s="31">
        <f>6003.34</f>
        <v>6003.34</v>
      </c>
      <c r="AM43" s="31">
        <f t="shared" si="6"/>
        <v>0.16836276942538797</v>
      </c>
      <c r="AN43" s="31">
        <f>[1]MJ!$I43</f>
        <v>5138.25</v>
      </c>
      <c r="AO43" s="31">
        <f t="shared" si="32"/>
        <v>4911.1393500000004</v>
      </c>
      <c r="AP43" s="31">
        <f t="shared" si="33"/>
        <v>227.11064999999999</v>
      </c>
      <c r="AQ43" s="31">
        <f t="shared" si="34"/>
        <v>4892.6541779999998</v>
      </c>
      <c r="AR43" s="31">
        <f t="shared" si="35"/>
        <v>226.25582199999997</v>
      </c>
      <c r="AS43" s="33">
        <v>5118.91</v>
      </c>
      <c r="AT43" s="37">
        <f t="shared" si="7"/>
        <v>-3.7639274071912254E-3</v>
      </c>
      <c r="AU43" s="36">
        <f>[1]MJ!$J43</f>
        <v>5138.25</v>
      </c>
      <c r="AV43" s="31">
        <f t="shared" si="36"/>
        <v>4911.1393500000004</v>
      </c>
      <c r="AW43" s="18">
        <f t="shared" si="37"/>
        <v>227.11064999999999</v>
      </c>
      <c r="AX43" s="31">
        <f t="shared" si="38"/>
        <v>20084.531255999998</v>
      </c>
      <c r="AY43" s="31">
        <f t="shared" si="39"/>
        <v>928.78874399999995</v>
      </c>
      <c r="AZ43" s="33">
        <v>21013.32</v>
      </c>
      <c r="BA43" s="37">
        <f t="shared" si="8"/>
        <v>3.0895869216172818</v>
      </c>
      <c r="BB43" s="36">
        <f>[1]MJ!$K43</f>
        <v>5138.25</v>
      </c>
      <c r="BC43" s="31">
        <f t="shared" si="40"/>
        <v>4911.1393500000004</v>
      </c>
      <c r="BD43" s="18">
        <f t="shared" si="41"/>
        <v>227.11064999999999</v>
      </c>
      <c r="BE43" s="31">
        <f t="shared" si="42"/>
        <v>0</v>
      </c>
      <c r="BF43" s="31">
        <f t="shared" si="43"/>
        <v>0</v>
      </c>
      <c r="BG43" s="27"/>
      <c r="BH43" s="37">
        <f t="shared" si="9"/>
        <v>-1</v>
      </c>
      <c r="BI43" s="36">
        <f>[1]MJ!$L43</f>
        <v>5138.25</v>
      </c>
      <c r="BJ43" s="31">
        <f t="shared" si="44"/>
        <v>4911.1393500000004</v>
      </c>
      <c r="BK43" s="18">
        <f t="shared" si="45"/>
        <v>227.11064999999999</v>
      </c>
      <c r="BL43" s="31">
        <f t="shared" si="46"/>
        <v>0</v>
      </c>
      <c r="BM43" s="31">
        <f t="shared" si="47"/>
        <v>0</v>
      </c>
      <c r="BN43" s="33"/>
      <c r="BO43" s="37">
        <f t="shared" si="10"/>
        <v>-1</v>
      </c>
      <c r="BP43" s="36">
        <f>[1]MJ!$M43</f>
        <v>5138.25</v>
      </c>
      <c r="BQ43" s="31">
        <f t="shared" si="48"/>
        <v>4911.1393500000004</v>
      </c>
      <c r="BR43" s="18">
        <f t="shared" si="49"/>
        <v>227.11064999999999</v>
      </c>
      <c r="BS43" s="31">
        <f t="shared" si="50"/>
        <v>0</v>
      </c>
      <c r="BT43" s="31">
        <f t="shared" si="51"/>
        <v>0</v>
      </c>
      <c r="BU43" s="33"/>
      <c r="BV43" s="37">
        <f t="shared" si="11"/>
        <v>-1</v>
      </c>
      <c r="BW43" s="36">
        <f>[1]MJ!$N43</f>
        <v>5138.25</v>
      </c>
      <c r="BX43" s="31">
        <f t="shared" si="52"/>
        <v>4911.1393500000004</v>
      </c>
      <c r="BY43" s="18">
        <f t="shared" si="53"/>
        <v>227.11064999999999</v>
      </c>
      <c r="BZ43" s="31">
        <f t="shared" si="54"/>
        <v>0</v>
      </c>
      <c r="CA43" s="31">
        <f t="shared" si="55"/>
        <v>0</v>
      </c>
      <c r="CB43" s="33"/>
      <c r="CC43" s="37">
        <f t="shared" si="12"/>
        <v>-1</v>
      </c>
      <c r="CD43" s="36">
        <f>[1]MJ!$O43</f>
        <v>5138.25</v>
      </c>
      <c r="CE43" s="31">
        <f t="shared" si="56"/>
        <v>4911.1393500000004</v>
      </c>
      <c r="CF43" s="18">
        <f t="shared" si="57"/>
        <v>227.11064999999999</v>
      </c>
      <c r="CG43" s="31">
        <f t="shared" si="58"/>
        <v>0</v>
      </c>
      <c r="CH43" s="31">
        <f t="shared" si="59"/>
        <v>0</v>
      </c>
      <c r="CI43" s="33"/>
      <c r="CJ43" s="37">
        <f t="shared" si="13"/>
        <v>-1</v>
      </c>
      <c r="CK43" s="36">
        <f>[1]MJ!$P43</f>
        <v>5138.25</v>
      </c>
      <c r="CL43" s="31">
        <f t="shared" si="60"/>
        <v>4911.1393500000004</v>
      </c>
      <c r="CM43" s="18">
        <f t="shared" si="61"/>
        <v>227.11064999999999</v>
      </c>
      <c r="CN43" s="31">
        <f t="shared" si="62"/>
        <v>0</v>
      </c>
      <c r="CO43" s="31">
        <f t="shared" si="63"/>
        <v>0</v>
      </c>
      <c r="CP43" s="33"/>
      <c r="CQ43" s="37">
        <f t="shared" si="14"/>
        <v>-1</v>
      </c>
    </row>
    <row r="44" spans="1:95" s="26" customFormat="1" ht="16" customHeight="1" thickBot="1" x14ac:dyDescent="0.25">
      <c r="A44" s="29" t="s">
        <v>68</v>
      </c>
      <c r="B44" s="30">
        <f t="shared" si="64"/>
        <v>0</v>
      </c>
      <c r="C44" s="31">
        <f t="shared" si="64"/>
        <v>0</v>
      </c>
      <c r="D44" s="32">
        <f t="shared" si="64"/>
        <v>0</v>
      </c>
      <c r="E44" s="30">
        <f t="shared" si="66"/>
        <v>0</v>
      </c>
      <c r="F44" s="33">
        <f t="shared" si="66"/>
        <v>0</v>
      </c>
      <c r="G44" s="34">
        <f t="shared" si="66"/>
        <v>0</v>
      </c>
      <c r="H44" s="31">
        <f t="shared" si="65"/>
        <v>0</v>
      </c>
      <c r="I44" s="33">
        <f t="shared" si="65"/>
        <v>0</v>
      </c>
      <c r="J44" s="33">
        <f t="shared" si="65"/>
        <v>0</v>
      </c>
      <c r="K44" s="37" t="str">
        <f t="shared" si="2"/>
        <v/>
      </c>
      <c r="L44" s="36">
        <f>[1]MJ!$E44</f>
        <v>0</v>
      </c>
      <c r="M44" s="31">
        <f t="shared" si="16"/>
        <v>0</v>
      </c>
      <c r="N44" s="31">
        <f t="shared" si="17"/>
        <v>0</v>
      </c>
      <c r="O44" s="31">
        <f t="shared" si="18"/>
        <v>0</v>
      </c>
      <c r="P44" s="31">
        <f t="shared" si="19"/>
        <v>0</v>
      </c>
      <c r="Q44" s="31"/>
      <c r="R44" s="31" t="str">
        <f t="shared" si="3"/>
        <v/>
      </c>
      <c r="S44" s="31">
        <f>[1]MJ!$F44</f>
        <v>0</v>
      </c>
      <c r="T44" s="31">
        <f t="shared" si="20"/>
        <v>0</v>
      </c>
      <c r="U44" s="31">
        <f t="shared" si="21"/>
        <v>0</v>
      </c>
      <c r="V44" s="31">
        <f t="shared" si="22"/>
        <v>0</v>
      </c>
      <c r="W44" s="31">
        <f t="shared" si="23"/>
        <v>0</v>
      </c>
      <c r="X44" s="31"/>
      <c r="Y44" s="31" t="str">
        <f t="shared" si="4"/>
        <v/>
      </c>
      <c r="Z44" s="31">
        <f>[1]MJ!$G44</f>
        <v>0</v>
      </c>
      <c r="AA44" s="31">
        <f t="shared" si="24"/>
        <v>0</v>
      </c>
      <c r="AB44" s="31">
        <f t="shared" si="25"/>
        <v>0</v>
      </c>
      <c r="AC44" s="31">
        <f t="shared" si="26"/>
        <v>0</v>
      </c>
      <c r="AD44" s="31">
        <f t="shared" si="27"/>
        <v>0</v>
      </c>
      <c r="AE44" s="31"/>
      <c r="AF44" s="31" t="str">
        <f t="shared" si="5"/>
        <v/>
      </c>
      <c r="AG44" s="31">
        <f>[1]MJ!$H44</f>
        <v>0</v>
      </c>
      <c r="AH44" s="31">
        <f t="shared" si="28"/>
        <v>0</v>
      </c>
      <c r="AI44" s="31">
        <f t="shared" si="29"/>
        <v>0</v>
      </c>
      <c r="AJ44" s="31">
        <f t="shared" si="30"/>
        <v>0</v>
      </c>
      <c r="AK44" s="31">
        <f t="shared" si="31"/>
        <v>0</v>
      </c>
      <c r="AL44" s="31"/>
      <c r="AM44" s="31" t="str">
        <f t="shared" si="6"/>
        <v/>
      </c>
      <c r="AN44" s="31">
        <f>[1]MJ!$I44</f>
        <v>0</v>
      </c>
      <c r="AO44" s="31">
        <f t="shared" si="32"/>
        <v>0</v>
      </c>
      <c r="AP44" s="31">
        <f t="shared" si="33"/>
        <v>0</v>
      </c>
      <c r="AQ44" s="31">
        <f t="shared" si="34"/>
        <v>0</v>
      </c>
      <c r="AR44" s="31">
        <f t="shared" si="35"/>
        <v>0</v>
      </c>
      <c r="AS44" s="33"/>
      <c r="AT44" s="37" t="str">
        <f t="shared" si="7"/>
        <v/>
      </c>
      <c r="AU44" s="36">
        <f>[1]MJ!$J44</f>
        <v>0</v>
      </c>
      <c r="AV44" s="31">
        <f t="shared" si="36"/>
        <v>0</v>
      </c>
      <c r="AW44" s="18">
        <f t="shared" si="37"/>
        <v>0</v>
      </c>
      <c r="AX44" s="31">
        <f t="shared" si="38"/>
        <v>0</v>
      </c>
      <c r="AY44" s="31">
        <f t="shared" si="39"/>
        <v>0</v>
      </c>
      <c r="AZ44" s="33"/>
      <c r="BA44" s="37" t="str">
        <f t="shared" si="8"/>
        <v/>
      </c>
      <c r="BB44" s="36">
        <f>[1]MJ!$K44</f>
        <v>0</v>
      </c>
      <c r="BC44" s="31">
        <f t="shared" si="40"/>
        <v>0</v>
      </c>
      <c r="BD44" s="18">
        <f t="shared" si="41"/>
        <v>0</v>
      </c>
      <c r="BE44" s="31">
        <f t="shared" si="42"/>
        <v>0</v>
      </c>
      <c r="BF44" s="31">
        <f t="shared" si="43"/>
        <v>0</v>
      </c>
      <c r="BG44" s="27"/>
      <c r="BH44" s="37" t="str">
        <f t="shared" si="9"/>
        <v/>
      </c>
      <c r="BI44" s="36">
        <f>[1]MJ!$L44</f>
        <v>0</v>
      </c>
      <c r="BJ44" s="31">
        <f t="shared" si="44"/>
        <v>0</v>
      </c>
      <c r="BK44" s="18">
        <f t="shared" si="45"/>
        <v>0</v>
      </c>
      <c r="BL44" s="31">
        <f t="shared" si="46"/>
        <v>0</v>
      </c>
      <c r="BM44" s="31">
        <f t="shared" si="47"/>
        <v>0</v>
      </c>
      <c r="BN44" s="33"/>
      <c r="BO44" s="37" t="str">
        <f t="shared" si="10"/>
        <v/>
      </c>
      <c r="BP44" s="36">
        <f>[1]MJ!$M44</f>
        <v>0</v>
      </c>
      <c r="BQ44" s="31">
        <f t="shared" si="48"/>
        <v>0</v>
      </c>
      <c r="BR44" s="18">
        <f t="shared" si="49"/>
        <v>0</v>
      </c>
      <c r="BS44" s="31">
        <f t="shared" si="50"/>
        <v>0</v>
      </c>
      <c r="BT44" s="31">
        <f t="shared" si="51"/>
        <v>0</v>
      </c>
      <c r="BU44" s="33"/>
      <c r="BV44" s="37" t="str">
        <f t="shared" si="11"/>
        <v/>
      </c>
      <c r="BW44" s="36">
        <f>[1]MJ!$N44</f>
        <v>0</v>
      </c>
      <c r="BX44" s="31">
        <f t="shared" si="52"/>
        <v>0</v>
      </c>
      <c r="BY44" s="18">
        <f t="shared" si="53"/>
        <v>0</v>
      </c>
      <c r="BZ44" s="31">
        <f t="shared" si="54"/>
        <v>0</v>
      </c>
      <c r="CA44" s="31">
        <f t="shared" si="55"/>
        <v>0</v>
      </c>
      <c r="CB44" s="33"/>
      <c r="CC44" s="37" t="str">
        <f t="shared" si="12"/>
        <v/>
      </c>
      <c r="CD44" s="36">
        <f>[1]MJ!$O44</f>
        <v>0</v>
      </c>
      <c r="CE44" s="31">
        <f t="shared" si="56"/>
        <v>0</v>
      </c>
      <c r="CF44" s="18">
        <f t="shared" si="57"/>
        <v>0</v>
      </c>
      <c r="CG44" s="31">
        <f t="shared" si="58"/>
        <v>0</v>
      </c>
      <c r="CH44" s="31">
        <f t="shared" si="59"/>
        <v>0</v>
      </c>
      <c r="CI44" s="33"/>
      <c r="CJ44" s="37" t="str">
        <f t="shared" si="13"/>
        <v/>
      </c>
      <c r="CK44" s="36">
        <f>[1]MJ!$P44</f>
        <v>0</v>
      </c>
      <c r="CL44" s="31">
        <f t="shared" si="60"/>
        <v>0</v>
      </c>
      <c r="CM44" s="18">
        <f t="shared" si="61"/>
        <v>0</v>
      </c>
      <c r="CN44" s="31">
        <f t="shared" si="62"/>
        <v>0</v>
      </c>
      <c r="CO44" s="31">
        <f t="shared" si="63"/>
        <v>0</v>
      </c>
      <c r="CP44" s="33"/>
      <c r="CQ44" s="37" t="str">
        <f t="shared" si="14"/>
        <v/>
      </c>
    </row>
    <row r="45" spans="1:95" s="26" customFormat="1" ht="16" customHeight="1" thickBot="1" x14ac:dyDescent="0.25">
      <c r="A45" s="39" t="s">
        <v>69</v>
      </c>
      <c r="B45" s="30">
        <f t="shared" si="64"/>
        <v>0</v>
      </c>
      <c r="C45" s="31">
        <f t="shared" si="64"/>
        <v>0</v>
      </c>
      <c r="D45" s="32">
        <f t="shared" si="64"/>
        <v>0</v>
      </c>
      <c r="E45" s="30">
        <f t="shared" si="66"/>
        <v>0</v>
      </c>
      <c r="F45" s="33">
        <f t="shared" si="66"/>
        <v>0</v>
      </c>
      <c r="G45" s="34">
        <f t="shared" si="66"/>
        <v>0</v>
      </c>
      <c r="H45" s="31">
        <f t="shared" si="65"/>
        <v>0</v>
      </c>
      <c r="I45" s="33">
        <f t="shared" si="65"/>
        <v>0</v>
      </c>
      <c r="J45" s="33">
        <f t="shared" si="65"/>
        <v>0</v>
      </c>
      <c r="K45" s="37" t="str">
        <f t="shared" si="2"/>
        <v/>
      </c>
      <c r="L45" s="36">
        <f>[1]MJ!$E45</f>
        <v>0</v>
      </c>
      <c r="M45" s="31">
        <f t="shared" si="16"/>
        <v>0</v>
      </c>
      <c r="N45" s="31">
        <f t="shared" si="17"/>
        <v>0</v>
      </c>
      <c r="O45" s="31">
        <f t="shared" si="18"/>
        <v>0</v>
      </c>
      <c r="P45" s="31">
        <f t="shared" si="19"/>
        <v>0</v>
      </c>
      <c r="Q45" s="31"/>
      <c r="R45" s="31" t="str">
        <f t="shared" si="3"/>
        <v/>
      </c>
      <c r="S45" s="31">
        <f>[1]MJ!$F45</f>
        <v>0</v>
      </c>
      <c r="T45" s="31">
        <f t="shared" si="20"/>
        <v>0</v>
      </c>
      <c r="U45" s="31">
        <f t="shared" si="21"/>
        <v>0</v>
      </c>
      <c r="V45" s="31">
        <f t="shared" si="22"/>
        <v>0</v>
      </c>
      <c r="W45" s="31">
        <f t="shared" si="23"/>
        <v>0</v>
      </c>
      <c r="X45" s="31"/>
      <c r="Y45" s="31" t="str">
        <f t="shared" si="4"/>
        <v/>
      </c>
      <c r="Z45" s="31">
        <f>[1]MJ!$G45</f>
        <v>0</v>
      </c>
      <c r="AA45" s="31">
        <f t="shared" si="24"/>
        <v>0</v>
      </c>
      <c r="AB45" s="31">
        <f t="shared" si="25"/>
        <v>0</v>
      </c>
      <c r="AC45" s="31">
        <f t="shared" si="26"/>
        <v>0</v>
      </c>
      <c r="AD45" s="31">
        <f t="shared" si="27"/>
        <v>0</v>
      </c>
      <c r="AE45" s="31"/>
      <c r="AF45" s="31" t="str">
        <f t="shared" si="5"/>
        <v/>
      </c>
      <c r="AG45" s="31">
        <f>[1]MJ!$H45</f>
        <v>0</v>
      </c>
      <c r="AH45" s="31">
        <f t="shared" si="28"/>
        <v>0</v>
      </c>
      <c r="AI45" s="31">
        <f t="shared" si="29"/>
        <v>0</v>
      </c>
      <c r="AJ45" s="31">
        <f t="shared" si="30"/>
        <v>0</v>
      </c>
      <c r="AK45" s="31">
        <f t="shared" si="31"/>
        <v>0</v>
      </c>
      <c r="AL45" s="31"/>
      <c r="AM45" s="31" t="str">
        <f t="shared" si="6"/>
        <v/>
      </c>
      <c r="AN45" s="31">
        <f>[1]MJ!$I45</f>
        <v>0</v>
      </c>
      <c r="AO45" s="31">
        <f t="shared" si="32"/>
        <v>0</v>
      </c>
      <c r="AP45" s="31">
        <f t="shared" si="33"/>
        <v>0</v>
      </c>
      <c r="AQ45" s="31">
        <f t="shared" si="34"/>
        <v>0</v>
      </c>
      <c r="AR45" s="31">
        <f t="shared" si="35"/>
        <v>0</v>
      </c>
      <c r="AS45" s="33"/>
      <c r="AT45" s="37" t="str">
        <f t="shared" si="7"/>
        <v/>
      </c>
      <c r="AU45" s="36">
        <f>[1]MJ!$J45</f>
        <v>0</v>
      </c>
      <c r="AV45" s="31">
        <f t="shared" si="36"/>
        <v>0</v>
      </c>
      <c r="AW45" s="18">
        <f t="shared" si="37"/>
        <v>0</v>
      </c>
      <c r="AX45" s="31">
        <f t="shared" si="38"/>
        <v>0</v>
      </c>
      <c r="AY45" s="31">
        <f t="shared" si="39"/>
        <v>0</v>
      </c>
      <c r="AZ45" s="33"/>
      <c r="BA45" s="37" t="str">
        <f t="shared" si="8"/>
        <v/>
      </c>
      <c r="BB45" s="36">
        <f>[1]MJ!$K45</f>
        <v>0</v>
      </c>
      <c r="BC45" s="31">
        <f t="shared" si="40"/>
        <v>0</v>
      </c>
      <c r="BD45" s="18">
        <f t="shared" si="41"/>
        <v>0</v>
      </c>
      <c r="BE45" s="31">
        <f t="shared" si="42"/>
        <v>0</v>
      </c>
      <c r="BF45" s="31">
        <f t="shared" si="43"/>
        <v>0</v>
      </c>
      <c r="BG45" s="27"/>
      <c r="BH45" s="37" t="str">
        <f t="shared" si="9"/>
        <v/>
      </c>
      <c r="BI45" s="36">
        <f>[1]MJ!$L45</f>
        <v>0</v>
      </c>
      <c r="BJ45" s="31">
        <f t="shared" si="44"/>
        <v>0</v>
      </c>
      <c r="BK45" s="18">
        <f t="shared" si="45"/>
        <v>0</v>
      </c>
      <c r="BL45" s="31">
        <f t="shared" si="46"/>
        <v>0</v>
      </c>
      <c r="BM45" s="31">
        <f t="shared" si="47"/>
        <v>0</v>
      </c>
      <c r="BN45" s="33"/>
      <c r="BO45" s="37" t="str">
        <f t="shared" si="10"/>
        <v/>
      </c>
      <c r="BP45" s="36">
        <f>[1]MJ!$M45</f>
        <v>0</v>
      </c>
      <c r="BQ45" s="31">
        <f t="shared" si="48"/>
        <v>0</v>
      </c>
      <c r="BR45" s="18">
        <f t="shared" si="49"/>
        <v>0</v>
      </c>
      <c r="BS45" s="31">
        <f t="shared" si="50"/>
        <v>0</v>
      </c>
      <c r="BT45" s="31">
        <f t="shared" si="51"/>
        <v>0</v>
      </c>
      <c r="BU45" s="33"/>
      <c r="BV45" s="37" t="str">
        <f t="shared" si="11"/>
        <v/>
      </c>
      <c r="BW45" s="36">
        <f>[1]MJ!$N45</f>
        <v>0</v>
      </c>
      <c r="BX45" s="31">
        <f t="shared" si="52"/>
        <v>0</v>
      </c>
      <c r="BY45" s="18">
        <f t="shared" si="53"/>
        <v>0</v>
      </c>
      <c r="BZ45" s="31">
        <f t="shared" si="54"/>
        <v>0</v>
      </c>
      <c r="CA45" s="31">
        <f t="shared" si="55"/>
        <v>0</v>
      </c>
      <c r="CB45" s="33"/>
      <c r="CC45" s="37" t="str">
        <f t="shared" si="12"/>
        <v/>
      </c>
      <c r="CD45" s="36">
        <f>[1]MJ!$O45</f>
        <v>0</v>
      </c>
      <c r="CE45" s="31">
        <f t="shared" si="56"/>
        <v>0</v>
      </c>
      <c r="CF45" s="18">
        <f t="shared" si="57"/>
        <v>0</v>
      </c>
      <c r="CG45" s="31">
        <f t="shared" si="58"/>
        <v>0</v>
      </c>
      <c r="CH45" s="31">
        <f t="shared" si="59"/>
        <v>0</v>
      </c>
      <c r="CI45" s="33"/>
      <c r="CJ45" s="37" t="str">
        <f t="shared" si="13"/>
        <v/>
      </c>
      <c r="CK45" s="36">
        <f>[1]MJ!$P45</f>
        <v>0</v>
      </c>
      <c r="CL45" s="31">
        <f t="shared" si="60"/>
        <v>0</v>
      </c>
      <c r="CM45" s="18">
        <f t="shared" si="61"/>
        <v>0</v>
      </c>
      <c r="CN45" s="31">
        <f t="shared" si="62"/>
        <v>0</v>
      </c>
      <c r="CO45" s="31">
        <f t="shared" si="63"/>
        <v>0</v>
      </c>
      <c r="CP45" s="33"/>
      <c r="CQ45" s="37" t="str">
        <f t="shared" si="14"/>
        <v/>
      </c>
    </row>
    <row r="46" spans="1:95" s="26" customFormat="1" ht="16" customHeight="1" thickBot="1" x14ac:dyDescent="0.25">
      <c r="A46" s="38" t="s">
        <v>70</v>
      </c>
      <c r="B46" s="30">
        <f t="shared" si="64"/>
        <v>0</v>
      </c>
      <c r="C46" s="31">
        <f t="shared" si="64"/>
        <v>0</v>
      </c>
      <c r="D46" s="32">
        <f t="shared" si="64"/>
        <v>0</v>
      </c>
      <c r="E46" s="30">
        <f t="shared" si="66"/>
        <v>0</v>
      </c>
      <c r="F46" s="33">
        <f t="shared" si="66"/>
        <v>0</v>
      </c>
      <c r="G46" s="34">
        <f t="shared" si="66"/>
        <v>0</v>
      </c>
      <c r="H46" s="31">
        <f t="shared" si="65"/>
        <v>0</v>
      </c>
      <c r="I46" s="33">
        <f t="shared" si="65"/>
        <v>0</v>
      </c>
      <c r="J46" s="33">
        <f t="shared" si="65"/>
        <v>0</v>
      </c>
      <c r="K46" s="37" t="str">
        <f t="shared" si="2"/>
        <v/>
      </c>
      <c r="L46" s="36">
        <f>[1]MJ!$E46</f>
        <v>0</v>
      </c>
      <c r="M46" s="31">
        <f t="shared" si="16"/>
        <v>0</v>
      </c>
      <c r="N46" s="31">
        <f t="shared" si="17"/>
        <v>0</v>
      </c>
      <c r="O46" s="31">
        <f t="shared" si="18"/>
        <v>0</v>
      </c>
      <c r="P46" s="31">
        <f t="shared" si="19"/>
        <v>0</v>
      </c>
      <c r="Q46" s="31"/>
      <c r="R46" s="31" t="str">
        <f t="shared" si="3"/>
        <v/>
      </c>
      <c r="S46" s="31">
        <f>[1]MJ!$F46</f>
        <v>0</v>
      </c>
      <c r="T46" s="31">
        <f t="shared" si="20"/>
        <v>0</v>
      </c>
      <c r="U46" s="31">
        <f t="shared" si="21"/>
        <v>0</v>
      </c>
      <c r="V46" s="31">
        <f t="shared" si="22"/>
        <v>0</v>
      </c>
      <c r="W46" s="31">
        <f t="shared" si="23"/>
        <v>0</v>
      </c>
      <c r="X46" s="31"/>
      <c r="Y46" s="31" t="str">
        <f t="shared" si="4"/>
        <v/>
      </c>
      <c r="Z46" s="31">
        <f>[1]MJ!$G46</f>
        <v>0</v>
      </c>
      <c r="AA46" s="31">
        <f t="shared" si="24"/>
        <v>0</v>
      </c>
      <c r="AB46" s="31">
        <f t="shared" si="25"/>
        <v>0</v>
      </c>
      <c r="AC46" s="31">
        <f t="shared" si="26"/>
        <v>0</v>
      </c>
      <c r="AD46" s="31">
        <f t="shared" si="27"/>
        <v>0</v>
      </c>
      <c r="AE46" s="31"/>
      <c r="AF46" s="31" t="str">
        <f t="shared" si="5"/>
        <v/>
      </c>
      <c r="AG46" s="31">
        <f>[1]MJ!$H46</f>
        <v>0</v>
      </c>
      <c r="AH46" s="31">
        <f t="shared" si="28"/>
        <v>0</v>
      </c>
      <c r="AI46" s="31">
        <f t="shared" si="29"/>
        <v>0</v>
      </c>
      <c r="AJ46" s="31">
        <f t="shared" si="30"/>
        <v>0</v>
      </c>
      <c r="AK46" s="31">
        <f t="shared" si="31"/>
        <v>0</v>
      </c>
      <c r="AL46" s="31"/>
      <c r="AM46" s="31" t="str">
        <f t="shared" si="6"/>
        <v/>
      </c>
      <c r="AN46" s="31">
        <f>[1]MJ!$I46</f>
        <v>0</v>
      </c>
      <c r="AO46" s="31">
        <f t="shared" si="32"/>
        <v>0</v>
      </c>
      <c r="AP46" s="31">
        <f t="shared" si="33"/>
        <v>0</v>
      </c>
      <c r="AQ46" s="31">
        <f t="shared" si="34"/>
        <v>0</v>
      </c>
      <c r="AR46" s="31">
        <f t="shared" si="35"/>
        <v>0</v>
      </c>
      <c r="AS46" s="33"/>
      <c r="AT46" s="37" t="str">
        <f t="shared" si="7"/>
        <v/>
      </c>
      <c r="AU46" s="36">
        <f>[1]MJ!$J46</f>
        <v>0</v>
      </c>
      <c r="AV46" s="31">
        <f t="shared" si="36"/>
        <v>0</v>
      </c>
      <c r="AW46" s="18">
        <f t="shared" si="37"/>
        <v>0</v>
      </c>
      <c r="AX46" s="31">
        <f t="shared" si="38"/>
        <v>0</v>
      </c>
      <c r="AY46" s="31">
        <f t="shared" si="39"/>
        <v>0</v>
      </c>
      <c r="AZ46" s="33"/>
      <c r="BA46" s="37" t="str">
        <f t="shared" si="8"/>
        <v/>
      </c>
      <c r="BB46" s="36">
        <f>[1]MJ!$K46</f>
        <v>0</v>
      </c>
      <c r="BC46" s="31">
        <f t="shared" si="40"/>
        <v>0</v>
      </c>
      <c r="BD46" s="18">
        <f t="shared" si="41"/>
        <v>0</v>
      </c>
      <c r="BE46" s="31">
        <f t="shared" si="42"/>
        <v>0</v>
      </c>
      <c r="BF46" s="31">
        <f t="shared" si="43"/>
        <v>0</v>
      </c>
      <c r="BG46" s="27"/>
      <c r="BH46" s="37" t="str">
        <f t="shared" si="9"/>
        <v/>
      </c>
      <c r="BI46" s="36">
        <f>[1]MJ!$L46</f>
        <v>0</v>
      </c>
      <c r="BJ46" s="31">
        <f t="shared" si="44"/>
        <v>0</v>
      </c>
      <c r="BK46" s="18">
        <f t="shared" si="45"/>
        <v>0</v>
      </c>
      <c r="BL46" s="31">
        <f t="shared" si="46"/>
        <v>0</v>
      </c>
      <c r="BM46" s="31">
        <f t="shared" si="47"/>
        <v>0</v>
      </c>
      <c r="BN46" s="33"/>
      <c r="BO46" s="37" t="str">
        <f t="shared" si="10"/>
        <v/>
      </c>
      <c r="BP46" s="36">
        <f>[1]MJ!$M46</f>
        <v>0</v>
      </c>
      <c r="BQ46" s="31">
        <f t="shared" si="48"/>
        <v>0</v>
      </c>
      <c r="BR46" s="18">
        <f t="shared" si="49"/>
        <v>0</v>
      </c>
      <c r="BS46" s="31">
        <f t="shared" si="50"/>
        <v>0</v>
      </c>
      <c r="BT46" s="31">
        <f t="shared" si="51"/>
        <v>0</v>
      </c>
      <c r="BU46" s="33"/>
      <c r="BV46" s="37" t="str">
        <f t="shared" si="11"/>
        <v/>
      </c>
      <c r="BW46" s="36">
        <f>[1]MJ!$N46</f>
        <v>0</v>
      </c>
      <c r="BX46" s="31">
        <f t="shared" si="52"/>
        <v>0</v>
      </c>
      <c r="BY46" s="18">
        <f t="shared" si="53"/>
        <v>0</v>
      </c>
      <c r="BZ46" s="31">
        <f t="shared" si="54"/>
        <v>0</v>
      </c>
      <c r="CA46" s="31">
        <f t="shared" si="55"/>
        <v>0</v>
      </c>
      <c r="CB46" s="33"/>
      <c r="CC46" s="37" t="str">
        <f t="shared" si="12"/>
        <v/>
      </c>
      <c r="CD46" s="36">
        <f>[1]MJ!$O46</f>
        <v>0</v>
      </c>
      <c r="CE46" s="31">
        <f t="shared" si="56"/>
        <v>0</v>
      </c>
      <c r="CF46" s="18">
        <f t="shared" si="57"/>
        <v>0</v>
      </c>
      <c r="CG46" s="31">
        <f t="shared" si="58"/>
        <v>0</v>
      </c>
      <c r="CH46" s="31">
        <f t="shared" si="59"/>
        <v>0</v>
      </c>
      <c r="CI46" s="33"/>
      <c r="CJ46" s="37" t="str">
        <f t="shared" si="13"/>
        <v/>
      </c>
      <c r="CK46" s="36">
        <f>[1]MJ!$P46</f>
        <v>0</v>
      </c>
      <c r="CL46" s="31">
        <f t="shared" si="60"/>
        <v>0</v>
      </c>
      <c r="CM46" s="18">
        <f t="shared" si="61"/>
        <v>0</v>
      </c>
      <c r="CN46" s="31">
        <f t="shared" si="62"/>
        <v>0</v>
      </c>
      <c r="CO46" s="31">
        <f t="shared" si="63"/>
        <v>0</v>
      </c>
      <c r="CP46" s="33"/>
      <c r="CQ46" s="37" t="str">
        <f t="shared" si="14"/>
        <v/>
      </c>
    </row>
    <row r="47" spans="1:95" s="26" customFormat="1" ht="16" customHeight="1" thickBot="1" x14ac:dyDescent="0.25">
      <c r="A47" s="29" t="s">
        <v>71</v>
      </c>
      <c r="B47" s="30">
        <f t="shared" si="64"/>
        <v>0</v>
      </c>
      <c r="C47" s="31">
        <f t="shared" si="64"/>
        <v>0</v>
      </c>
      <c r="D47" s="32">
        <f t="shared" si="64"/>
        <v>0</v>
      </c>
      <c r="E47" s="30">
        <f t="shared" si="66"/>
        <v>0</v>
      </c>
      <c r="F47" s="33">
        <f t="shared" si="66"/>
        <v>0</v>
      </c>
      <c r="G47" s="34">
        <f t="shared" si="66"/>
        <v>0</v>
      </c>
      <c r="H47" s="31">
        <f t="shared" si="65"/>
        <v>0</v>
      </c>
      <c r="I47" s="33">
        <f t="shared" si="65"/>
        <v>0</v>
      </c>
      <c r="J47" s="33">
        <f t="shared" si="65"/>
        <v>0</v>
      </c>
      <c r="K47" s="37" t="str">
        <f t="shared" si="2"/>
        <v/>
      </c>
      <c r="L47" s="36">
        <f>[1]MJ!$E47</f>
        <v>0</v>
      </c>
      <c r="M47" s="31">
        <f t="shared" si="16"/>
        <v>0</v>
      </c>
      <c r="N47" s="31">
        <f t="shared" si="17"/>
        <v>0</v>
      </c>
      <c r="O47" s="31">
        <f t="shared" si="18"/>
        <v>0</v>
      </c>
      <c r="P47" s="31">
        <f t="shared" si="19"/>
        <v>0</v>
      </c>
      <c r="Q47" s="31"/>
      <c r="R47" s="31" t="str">
        <f t="shared" si="3"/>
        <v/>
      </c>
      <c r="S47" s="31">
        <f>[1]MJ!$F47</f>
        <v>0</v>
      </c>
      <c r="T47" s="31">
        <f t="shared" si="20"/>
        <v>0</v>
      </c>
      <c r="U47" s="31">
        <f t="shared" si="21"/>
        <v>0</v>
      </c>
      <c r="V47" s="31">
        <f t="shared" si="22"/>
        <v>0</v>
      </c>
      <c r="W47" s="31">
        <f t="shared" si="23"/>
        <v>0</v>
      </c>
      <c r="X47" s="31"/>
      <c r="Y47" s="31" t="str">
        <f t="shared" si="4"/>
        <v/>
      </c>
      <c r="Z47" s="31">
        <f>[1]MJ!$G47</f>
        <v>0</v>
      </c>
      <c r="AA47" s="31">
        <f t="shared" si="24"/>
        <v>0</v>
      </c>
      <c r="AB47" s="31">
        <f t="shared" si="25"/>
        <v>0</v>
      </c>
      <c r="AC47" s="31">
        <f t="shared" si="26"/>
        <v>0</v>
      </c>
      <c r="AD47" s="31">
        <f t="shared" si="27"/>
        <v>0</v>
      </c>
      <c r="AE47" s="31"/>
      <c r="AF47" s="31" t="str">
        <f t="shared" si="5"/>
        <v/>
      </c>
      <c r="AG47" s="31">
        <f>[1]MJ!$H47</f>
        <v>0</v>
      </c>
      <c r="AH47" s="31">
        <f t="shared" si="28"/>
        <v>0</v>
      </c>
      <c r="AI47" s="31">
        <f t="shared" si="29"/>
        <v>0</v>
      </c>
      <c r="AJ47" s="31">
        <f t="shared" si="30"/>
        <v>0</v>
      </c>
      <c r="AK47" s="31">
        <f t="shared" si="31"/>
        <v>0</v>
      </c>
      <c r="AL47" s="31"/>
      <c r="AM47" s="31" t="str">
        <f t="shared" si="6"/>
        <v/>
      </c>
      <c r="AN47" s="31">
        <f>[1]MJ!$I47</f>
        <v>0</v>
      </c>
      <c r="AO47" s="31">
        <f t="shared" si="32"/>
        <v>0</v>
      </c>
      <c r="AP47" s="31">
        <f t="shared" si="33"/>
        <v>0</v>
      </c>
      <c r="AQ47" s="31">
        <f t="shared" si="34"/>
        <v>0</v>
      </c>
      <c r="AR47" s="31">
        <f t="shared" si="35"/>
        <v>0</v>
      </c>
      <c r="AS47" s="33"/>
      <c r="AT47" s="37" t="str">
        <f t="shared" si="7"/>
        <v/>
      </c>
      <c r="AU47" s="36">
        <f>[1]MJ!$J47</f>
        <v>0</v>
      </c>
      <c r="AV47" s="31">
        <f t="shared" si="36"/>
        <v>0</v>
      </c>
      <c r="AW47" s="18">
        <f t="shared" si="37"/>
        <v>0</v>
      </c>
      <c r="AX47" s="31">
        <f t="shared" si="38"/>
        <v>0</v>
      </c>
      <c r="AY47" s="31">
        <f t="shared" si="39"/>
        <v>0</v>
      </c>
      <c r="AZ47" s="33"/>
      <c r="BA47" s="37" t="str">
        <f t="shared" si="8"/>
        <v/>
      </c>
      <c r="BB47" s="36">
        <f>[1]MJ!$K47</f>
        <v>0</v>
      </c>
      <c r="BC47" s="31">
        <f t="shared" si="40"/>
        <v>0</v>
      </c>
      <c r="BD47" s="18">
        <f t="shared" si="41"/>
        <v>0</v>
      </c>
      <c r="BE47" s="31">
        <f t="shared" si="42"/>
        <v>0</v>
      </c>
      <c r="BF47" s="31">
        <f t="shared" si="43"/>
        <v>0</v>
      </c>
      <c r="BG47" s="27"/>
      <c r="BH47" s="37" t="str">
        <f t="shared" si="9"/>
        <v/>
      </c>
      <c r="BI47" s="36">
        <f>[1]MJ!$L47</f>
        <v>0</v>
      </c>
      <c r="BJ47" s="31">
        <f t="shared" si="44"/>
        <v>0</v>
      </c>
      <c r="BK47" s="18">
        <f t="shared" si="45"/>
        <v>0</v>
      </c>
      <c r="BL47" s="31">
        <f t="shared" si="46"/>
        <v>0</v>
      </c>
      <c r="BM47" s="31">
        <f t="shared" si="47"/>
        <v>0</v>
      </c>
      <c r="BN47" s="33"/>
      <c r="BO47" s="37" t="str">
        <f t="shared" si="10"/>
        <v/>
      </c>
      <c r="BP47" s="36">
        <f>[1]MJ!$M47</f>
        <v>0</v>
      </c>
      <c r="BQ47" s="31">
        <f t="shared" si="48"/>
        <v>0</v>
      </c>
      <c r="BR47" s="18">
        <f t="shared" si="49"/>
        <v>0</v>
      </c>
      <c r="BS47" s="31">
        <f t="shared" si="50"/>
        <v>0</v>
      </c>
      <c r="BT47" s="31">
        <f t="shared" si="51"/>
        <v>0</v>
      </c>
      <c r="BU47" s="33"/>
      <c r="BV47" s="37" t="str">
        <f t="shared" si="11"/>
        <v/>
      </c>
      <c r="BW47" s="36">
        <f>[1]MJ!$N47</f>
        <v>0</v>
      </c>
      <c r="BX47" s="31">
        <f t="shared" si="52"/>
        <v>0</v>
      </c>
      <c r="BY47" s="18">
        <f t="shared" si="53"/>
        <v>0</v>
      </c>
      <c r="BZ47" s="31">
        <f t="shared" si="54"/>
        <v>0</v>
      </c>
      <c r="CA47" s="31">
        <f t="shared" si="55"/>
        <v>0</v>
      </c>
      <c r="CB47" s="33"/>
      <c r="CC47" s="37" t="str">
        <f t="shared" si="12"/>
        <v/>
      </c>
      <c r="CD47" s="36">
        <f>[1]MJ!$O47</f>
        <v>0</v>
      </c>
      <c r="CE47" s="31">
        <f t="shared" si="56"/>
        <v>0</v>
      </c>
      <c r="CF47" s="18">
        <f t="shared" si="57"/>
        <v>0</v>
      </c>
      <c r="CG47" s="31">
        <f t="shared" si="58"/>
        <v>0</v>
      </c>
      <c r="CH47" s="31">
        <f t="shared" si="59"/>
        <v>0</v>
      </c>
      <c r="CI47" s="33"/>
      <c r="CJ47" s="37" t="str">
        <f t="shared" si="13"/>
        <v/>
      </c>
      <c r="CK47" s="36">
        <f>[1]MJ!$P47</f>
        <v>0</v>
      </c>
      <c r="CL47" s="31">
        <f t="shared" si="60"/>
        <v>0</v>
      </c>
      <c r="CM47" s="18">
        <f t="shared" si="61"/>
        <v>0</v>
      </c>
      <c r="CN47" s="31">
        <f t="shared" si="62"/>
        <v>0</v>
      </c>
      <c r="CO47" s="31">
        <f t="shared" si="63"/>
        <v>0</v>
      </c>
      <c r="CP47" s="33"/>
      <c r="CQ47" s="37" t="str">
        <f t="shared" si="14"/>
        <v/>
      </c>
    </row>
    <row r="48" spans="1:95" s="26" customFormat="1" ht="16" customHeight="1" thickBot="1" x14ac:dyDescent="0.25">
      <c r="A48" s="38" t="s">
        <v>72</v>
      </c>
      <c r="B48" s="30">
        <f t="shared" si="64"/>
        <v>24999.999999999996</v>
      </c>
      <c r="C48" s="31">
        <f t="shared" si="64"/>
        <v>23895.000000000004</v>
      </c>
      <c r="D48" s="32">
        <f t="shared" si="64"/>
        <v>1105.0000000000002</v>
      </c>
      <c r="E48" s="30">
        <f t="shared" si="66"/>
        <v>8333.3333333333339</v>
      </c>
      <c r="F48" s="33">
        <f t="shared" si="66"/>
        <v>7965.0000000000009</v>
      </c>
      <c r="G48" s="34">
        <f t="shared" si="66"/>
        <v>368.33333333333331</v>
      </c>
      <c r="H48" s="31">
        <f t="shared" si="65"/>
        <v>10760.425074000001</v>
      </c>
      <c r="I48" s="33">
        <f t="shared" si="65"/>
        <v>497.60492599999998</v>
      </c>
      <c r="J48" s="33">
        <f t="shared" si="65"/>
        <v>11258.029999999999</v>
      </c>
      <c r="K48" s="37">
        <f t="shared" si="2"/>
        <v>0.35096359999999982</v>
      </c>
      <c r="L48" s="36">
        <f>[1]MJ!$E48</f>
        <v>2083.3333333333335</v>
      </c>
      <c r="M48" s="31">
        <f t="shared" si="16"/>
        <v>1991.2500000000002</v>
      </c>
      <c r="N48" s="31">
        <f t="shared" si="17"/>
        <v>92.083333333333329</v>
      </c>
      <c r="O48" s="31">
        <f t="shared" si="18"/>
        <v>2457.2184299999999</v>
      </c>
      <c r="P48" s="31">
        <f t="shared" si="19"/>
        <v>113.63156999999998</v>
      </c>
      <c r="Q48" s="31">
        <f>2570.85</f>
        <v>2570.85</v>
      </c>
      <c r="R48" s="31">
        <f t="shared" si="3"/>
        <v>0.23400799999999977</v>
      </c>
      <c r="S48" s="31">
        <f>[1]MJ!$F48</f>
        <v>2083.3333333333335</v>
      </c>
      <c r="T48" s="31">
        <f t="shared" si="20"/>
        <v>1991.2500000000002</v>
      </c>
      <c r="U48" s="31">
        <f t="shared" si="21"/>
        <v>92.083333333333329</v>
      </c>
      <c r="V48" s="31">
        <f t="shared" si="22"/>
        <v>1593.84429</v>
      </c>
      <c r="W48" s="31">
        <f t="shared" si="23"/>
        <v>73.705709999999996</v>
      </c>
      <c r="X48" s="31">
        <f>1667.55</f>
        <v>1667.55</v>
      </c>
      <c r="Y48" s="31">
        <f t="shared" si="4"/>
        <v>-0.19957600000000009</v>
      </c>
      <c r="Z48" s="31">
        <f>[1]MJ!$G48</f>
        <v>2083.3333333333335</v>
      </c>
      <c r="AA48" s="31">
        <f t="shared" si="24"/>
        <v>1991.2500000000002</v>
      </c>
      <c r="AB48" s="31">
        <f t="shared" si="25"/>
        <v>92.083333333333329</v>
      </c>
      <c r="AC48" s="31">
        <f t="shared" si="26"/>
        <v>761.33293200000003</v>
      </c>
      <c r="AD48" s="31">
        <f t="shared" si="27"/>
        <v>35.207067999999992</v>
      </c>
      <c r="AE48" s="31">
        <f>796.54</f>
        <v>796.54</v>
      </c>
      <c r="AF48" s="31">
        <f t="shared" si="5"/>
        <v>-0.61766080000000012</v>
      </c>
      <c r="AG48" s="31">
        <f>[1]MJ!$H48</f>
        <v>2083.3333333333335</v>
      </c>
      <c r="AH48" s="31">
        <f t="shared" si="28"/>
        <v>1991.2500000000002</v>
      </c>
      <c r="AI48" s="31">
        <f t="shared" si="29"/>
        <v>92.083333333333329</v>
      </c>
      <c r="AJ48" s="31">
        <f t="shared" si="30"/>
        <v>886.64787000000001</v>
      </c>
      <c r="AK48" s="31">
        <f t="shared" si="31"/>
        <v>41.002129999999994</v>
      </c>
      <c r="AL48" s="31">
        <v>927.65</v>
      </c>
      <c r="AM48" s="31">
        <f t="shared" si="6"/>
        <v>-0.55472800000000011</v>
      </c>
      <c r="AN48" s="31">
        <f>[1]MJ!$I48</f>
        <v>2083.3333333333335</v>
      </c>
      <c r="AO48" s="31">
        <f t="shared" si="32"/>
        <v>1991.2500000000002</v>
      </c>
      <c r="AP48" s="31">
        <f t="shared" si="33"/>
        <v>92.083333333333329</v>
      </c>
      <c r="AQ48" s="31">
        <f t="shared" si="34"/>
        <v>3692.4561180000001</v>
      </c>
      <c r="AR48" s="31">
        <f t="shared" si="35"/>
        <v>170.75388199999998</v>
      </c>
      <c r="AS48" s="33">
        <v>3863.21</v>
      </c>
      <c r="AT48" s="37">
        <f t="shared" si="7"/>
        <v>0.8543407999999999</v>
      </c>
      <c r="AU48" s="36">
        <f>[1]MJ!$J48</f>
        <v>2083.3333333333335</v>
      </c>
      <c r="AV48" s="31">
        <f t="shared" si="36"/>
        <v>1991.2500000000002</v>
      </c>
      <c r="AW48" s="18">
        <f t="shared" si="37"/>
        <v>92.083333333333329</v>
      </c>
      <c r="AX48" s="31">
        <f t="shared" si="38"/>
        <v>1368.925434</v>
      </c>
      <c r="AY48" s="31">
        <f t="shared" si="39"/>
        <v>63.304565999999994</v>
      </c>
      <c r="AZ48" s="33">
        <v>1432.23</v>
      </c>
      <c r="BA48" s="37">
        <f t="shared" si="8"/>
        <v>-0.31252960000000007</v>
      </c>
      <c r="BB48" s="36">
        <f>[1]MJ!$K48</f>
        <v>2083.3333333333335</v>
      </c>
      <c r="BC48" s="31">
        <f t="shared" si="40"/>
        <v>1991.2500000000002</v>
      </c>
      <c r="BD48" s="18">
        <f t="shared" si="41"/>
        <v>92.083333333333329</v>
      </c>
      <c r="BE48" s="31">
        <f t="shared" si="42"/>
        <v>0</v>
      </c>
      <c r="BF48" s="31">
        <f t="shared" si="43"/>
        <v>0</v>
      </c>
      <c r="BG48" s="27"/>
      <c r="BH48" s="37">
        <f t="shared" si="9"/>
        <v>-1</v>
      </c>
      <c r="BI48" s="36">
        <f>[1]MJ!$L48</f>
        <v>2083.3333333333335</v>
      </c>
      <c r="BJ48" s="31">
        <f t="shared" si="44"/>
        <v>1991.2500000000002</v>
      </c>
      <c r="BK48" s="18">
        <f t="shared" si="45"/>
        <v>92.083333333333329</v>
      </c>
      <c r="BL48" s="31">
        <f t="shared" si="46"/>
        <v>0</v>
      </c>
      <c r="BM48" s="31">
        <f t="shared" si="47"/>
        <v>0</v>
      </c>
      <c r="BN48" s="33"/>
      <c r="BO48" s="37">
        <f t="shared" si="10"/>
        <v>-1</v>
      </c>
      <c r="BP48" s="36">
        <f>[1]MJ!$M48</f>
        <v>2083.3333333333335</v>
      </c>
      <c r="BQ48" s="31">
        <f t="shared" si="48"/>
        <v>1991.2500000000002</v>
      </c>
      <c r="BR48" s="18">
        <f t="shared" si="49"/>
        <v>92.083333333333329</v>
      </c>
      <c r="BS48" s="31">
        <f t="shared" si="50"/>
        <v>0</v>
      </c>
      <c r="BT48" s="31">
        <f t="shared" si="51"/>
        <v>0</v>
      </c>
      <c r="BU48" s="33"/>
      <c r="BV48" s="37">
        <f t="shared" si="11"/>
        <v>-1</v>
      </c>
      <c r="BW48" s="36">
        <f>[1]MJ!$N48</f>
        <v>2083.3333333333335</v>
      </c>
      <c r="BX48" s="31">
        <f t="shared" si="52"/>
        <v>1991.2500000000002</v>
      </c>
      <c r="BY48" s="18">
        <f t="shared" si="53"/>
        <v>92.083333333333329</v>
      </c>
      <c r="BZ48" s="31">
        <f t="shared" si="54"/>
        <v>0</v>
      </c>
      <c r="CA48" s="31">
        <f t="shared" si="55"/>
        <v>0</v>
      </c>
      <c r="CB48" s="33"/>
      <c r="CC48" s="37">
        <f t="shared" si="12"/>
        <v>-1</v>
      </c>
      <c r="CD48" s="36">
        <f>[1]MJ!$O48</f>
        <v>2083.3333333333335</v>
      </c>
      <c r="CE48" s="31">
        <f t="shared" si="56"/>
        <v>1991.2500000000002</v>
      </c>
      <c r="CF48" s="18">
        <f t="shared" si="57"/>
        <v>92.083333333333329</v>
      </c>
      <c r="CG48" s="31">
        <f t="shared" si="58"/>
        <v>0</v>
      </c>
      <c r="CH48" s="31">
        <f t="shared" si="59"/>
        <v>0</v>
      </c>
      <c r="CI48" s="33"/>
      <c r="CJ48" s="37">
        <f t="shared" si="13"/>
        <v>-1</v>
      </c>
      <c r="CK48" s="36">
        <f>[1]MJ!$P48</f>
        <v>2083.3333333333335</v>
      </c>
      <c r="CL48" s="31">
        <f t="shared" si="60"/>
        <v>1991.2500000000002</v>
      </c>
      <c r="CM48" s="18">
        <f t="shared" si="61"/>
        <v>92.083333333333329</v>
      </c>
      <c r="CN48" s="31">
        <f t="shared" si="62"/>
        <v>0</v>
      </c>
      <c r="CO48" s="31">
        <f t="shared" si="63"/>
        <v>0</v>
      </c>
      <c r="CP48" s="33"/>
      <c r="CQ48" s="37">
        <f t="shared" si="14"/>
        <v>-1</v>
      </c>
    </row>
    <row r="49" spans="1:99" s="26" customFormat="1" ht="16" customHeight="1" thickBot="1" x14ac:dyDescent="0.25">
      <c r="A49" s="29" t="s">
        <v>73</v>
      </c>
      <c r="B49" s="30">
        <f t="shared" si="64"/>
        <v>62500.000000000007</v>
      </c>
      <c r="C49" s="31">
        <f t="shared" si="64"/>
        <v>59737.5</v>
      </c>
      <c r="D49" s="32">
        <f t="shared" si="64"/>
        <v>2762.5</v>
      </c>
      <c r="E49" s="30">
        <f t="shared" si="66"/>
        <v>20833.333333333332</v>
      </c>
      <c r="F49" s="33">
        <f t="shared" si="66"/>
        <v>19912.5</v>
      </c>
      <c r="G49" s="34">
        <f t="shared" si="66"/>
        <v>920.83333333333326</v>
      </c>
      <c r="H49" s="31">
        <f t="shared" si="65"/>
        <v>41931.471689999998</v>
      </c>
      <c r="I49" s="33">
        <f t="shared" si="65"/>
        <v>1939.0783099999996</v>
      </c>
      <c r="J49" s="33">
        <f t="shared" si="65"/>
        <v>43870.549999999996</v>
      </c>
      <c r="K49" s="37">
        <f t="shared" si="2"/>
        <v>1.1057863999999999</v>
      </c>
      <c r="L49" s="36">
        <f>[1]MJ!$E49</f>
        <v>5208.333333333333</v>
      </c>
      <c r="M49" s="31">
        <f t="shared" si="16"/>
        <v>4978.125</v>
      </c>
      <c r="N49" s="31">
        <f t="shared" si="17"/>
        <v>230.20833333333331</v>
      </c>
      <c r="O49" s="31">
        <f t="shared" si="18"/>
        <v>9265.668569999998</v>
      </c>
      <c r="P49" s="31">
        <f t="shared" si="19"/>
        <v>428.48142999999988</v>
      </c>
      <c r="Q49" s="31">
        <f>R79</f>
        <v>9694.1499999999978</v>
      </c>
      <c r="R49" s="31">
        <f t="shared" si="3"/>
        <v>0.86127679999999973</v>
      </c>
      <c r="S49" s="31">
        <f>[1]MJ!$F49</f>
        <v>5208.333333333333</v>
      </c>
      <c r="T49" s="31">
        <f t="shared" si="20"/>
        <v>4978.125</v>
      </c>
      <c r="U49" s="31">
        <f t="shared" si="21"/>
        <v>230.20833333333331</v>
      </c>
      <c r="V49" s="31">
        <f t="shared" si="22"/>
        <v>10615.994135999999</v>
      </c>
      <c r="W49" s="31">
        <f t="shared" si="23"/>
        <v>490.92586399999993</v>
      </c>
      <c r="X49" s="31">
        <f>Y79</f>
        <v>11106.92</v>
      </c>
      <c r="Y49" s="31">
        <f t="shared" si="4"/>
        <v>1.1325286400000003</v>
      </c>
      <c r="Z49" s="31">
        <f>[1]MJ!$G49</f>
        <v>5208.333333333333</v>
      </c>
      <c r="AA49" s="31">
        <f t="shared" si="24"/>
        <v>4978.125</v>
      </c>
      <c r="AB49" s="31">
        <f t="shared" si="25"/>
        <v>230.20833333333331</v>
      </c>
      <c r="AC49" s="31">
        <f t="shared" si="26"/>
        <v>4298.9685659999986</v>
      </c>
      <c r="AD49" s="31">
        <f t="shared" si="27"/>
        <v>198.80143399999992</v>
      </c>
      <c r="AE49" s="31">
        <f>AF79</f>
        <v>4497.7699999999986</v>
      </c>
      <c r="AF49" s="31">
        <f t="shared" si="5"/>
        <v>-0.13642816000000024</v>
      </c>
      <c r="AG49" s="31">
        <f>[1]MJ!$H49</f>
        <v>5208.333333333333</v>
      </c>
      <c r="AH49" s="31">
        <f t="shared" si="28"/>
        <v>4978.125</v>
      </c>
      <c r="AI49" s="31">
        <f t="shared" si="29"/>
        <v>230.20833333333331</v>
      </c>
      <c r="AJ49" s="31">
        <f t="shared" si="30"/>
        <v>7118.0911080000005</v>
      </c>
      <c r="AK49" s="31">
        <f t="shared" si="31"/>
        <v>329.16889199999997</v>
      </c>
      <c r="AL49" s="31">
        <f>AM79</f>
        <v>7447.26</v>
      </c>
      <c r="AM49" s="31">
        <f t="shared" si="6"/>
        <v>0.42987392000000013</v>
      </c>
      <c r="AN49" s="31">
        <f>[1]MJ!$I49</f>
        <v>5208.333333333333</v>
      </c>
      <c r="AO49" s="31">
        <f t="shared" si="32"/>
        <v>4978.125</v>
      </c>
      <c r="AP49" s="31">
        <f t="shared" si="33"/>
        <v>230.20833333333331</v>
      </c>
      <c r="AQ49" s="31">
        <f t="shared" si="34"/>
        <v>5944.4547300000004</v>
      </c>
      <c r="AR49" s="31">
        <f t="shared" si="35"/>
        <v>274.89526999999998</v>
      </c>
      <c r="AS49" s="33">
        <v>6219.35</v>
      </c>
      <c r="AT49" s="37">
        <f t="shared" si="7"/>
        <v>0.19411520000000015</v>
      </c>
      <c r="AU49" s="36">
        <f>[1]MJ!$J49</f>
        <v>5208.333333333333</v>
      </c>
      <c r="AV49" s="31">
        <f t="shared" si="36"/>
        <v>4978.125</v>
      </c>
      <c r="AW49" s="18">
        <f t="shared" si="37"/>
        <v>230.20833333333331</v>
      </c>
      <c r="AX49" s="31">
        <f t="shared" si="38"/>
        <v>4688.2945800000007</v>
      </c>
      <c r="AY49" s="40">
        <f t="shared" si="39"/>
        <v>216.80542</v>
      </c>
      <c r="AZ49" s="33">
        <v>4905.1000000000004</v>
      </c>
      <c r="BA49" s="37">
        <f t="shared" si="8"/>
        <v>-5.822079999999985E-2</v>
      </c>
      <c r="BB49" s="36">
        <f>[1]MJ!$K49</f>
        <v>5208.333333333333</v>
      </c>
      <c r="BC49" s="31">
        <f t="shared" si="40"/>
        <v>4978.125</v>
      </c>
      <c r="BD49" s="18">
        <f t="shared" si="41"/>
        <v>230.20833333333331</v>
      </c>
      <c r="BE49" s="31">
        <f t="shared" si="42"/>
        <v>0</v>
      </c>
      <c r="BF49" s="40">
        <f t="shared" si="43"/>
        <v>0</v>
      </c>
      <c r="BG49" s="27"/>
      <c r="BH49" s="37">
        <f t="shared" si="9"/>
        <v>-1</v>
      </c>
      <c r="BI49" s="36">
        <f>[1]MJ!$L49</f>
        <v>5208.333333333333</v>
      </c>
      <c r="BJ49" s="31">
        <f t="shared" si="44"/>
        <v>4978.125</v>
      </c>
      <c r="BK49" s="18">
        <f t="shared" si="45"/>
        <v>230.20833333333331</v>
      </c>
      <c r="BL49" s="31">
        <f t="shared" si="46"/>
        <v>0</v>
      </c>
      <c r="BM49" s="40">
        <f t="shared" si="47"/>
        <v>0</v>
      </c>
      <c r="BN49" s="33"/>
      <c r="BO49" s="37">
        <f t="shared" si="10"/>
        <v>-1</v>
      </c>
      <c r="BP49" s="36">
        <f>[1]MJ!$M49</f>
        <v>5208.333333333333</v>
      </c>
      <c r="BQ49" s="31">
        <f t="shared" si="48"/>
        <v>4978.125</v>
      </c>
      <c r="BR49" s="18">
        <f t="shared" si="49"/>
        <v>230.20833333333331</v>
      </c>
      <c r="BS49" s="31">
        <f t="shared" si="50"/>
        <v>0</v>
      </c>
      <c r="BT49" s="40">
        <f t="shared" si="51"/>
        <v>0</v>
      </c>
      <c r="BU49" s="33"/>
      <c r="BV49" s="37">
        <f t="shared" si="11"/>
        <v>-1</v>
      </c>
      <c r="BW49" s="36">
        <f>[1]MJ!$N49</f>
        <v>5208.333333333333</v>
      </c>
      <c r="BX49" s="31">
        <f t="shared" si="52"/>
        <v>4978.125</v>
      </c>
      <c r="BY49" s="18">
        <f t="shared" si="53"/>
        <v>230.20833333333331</v>
      </c>
      <c r="BZ49" s="31">
        <f t="shared" si="54"/>
        <v>0</v>
      </c>
      <c r="CA49" s="40">
        <f t="shared" si="55"/>
        <v>0</v>
      </c>
      <c r="CB49" s="33"/>
      <c r="CC49" s="37">
        <f t="shared" si="12"/>
        <v>-1</v>
      </c>
      <c r="CD49" s="36">
        <f>[1]MJ!$O49</f>
        <v>5208.333333333333</v>
      </c>
      <c r="CE49" s="31">
        <f t="shared" si="56"/>
        <v>4978.125</v>
      </c>
      <c r="CF49" s="18">
        <f t="shared" si="57"/>
        <v>230.20833333333331</v>
      </c>
      <c r="CG49" s="31">
        <f t="shared" si="58"/>
        <v>0</v>
      </c>
      <c r="CH49" s="40">
        <f t="shared" si="59"/>
        <v>0</v>
      </c>
      <c r="CI49" s="33"/>
      <c r="CJ49" s="37">
        <f t="shared" si="13"/>
        <v>-1</v>
      </c>
      <c r="CK49" s="36">
        <f>[1]MJ!$P49</f>
        <v>5208.333333333333</v>
      </c>
      <c r="CL49" s="31">
        <f t="shared" si="60"/>
        <v>4978.125</v>
      </c>
      <c r="CM49" s="18">
        <f t="shared" si="61"/>
        <v>230.20833333333331</v>
      </c>
      <c r="CN49" s="31">
        <f t="shared" si="62"/>
        <v>0</v>
      </c>
      <c r="CO49" s="40">
        <f t="shared" si="63"/>
        <v>0</v>
      </c>
      <c r="CP49" s="33"/>
      <c r="CQ49" s="37">
        <f t="shared" si="14"/>
        <v>-1</v>
      </c>
    </row>
    <row r="50" spans="1:99" s="26" customFormat="1" ht="16" customHeight="1" thickBot="1" x14ac:dyDescent="0.25">
      <c r="A50" s="29" t="s">
        <v>74</v>
      </c>
      <c r="B50" s="30">
        <f t="shared" si="64"/>
        <v>7335.199999999998</v>
      </c>
      <c r="C50" s="31">
        <f t="shared" si="64"/>
        <v>7010.9841599999991</v>
      </c>
      <c r="D50" s="32">
        <f t="shared" si="64"/>
        <v>324.21584000000001</v>
      </c>
      <c r="E50" s="30">
        <f t="shared" si="66"/>
        <v>2445.0666666666666</v>
      </c>
      <c r="F50" s="33">
        <f t="shared" si="66"/>
        <v>2336.9947200000001</v>
      </c>
      <c r="G50" s="34">
        <f t="shared" si="66"/>
        <v>108.07194666666665</v>
      </c>
      <c r="H50" s="31">
        <f t="shared" si="65"/>
        <v>3363.8425200000006</v>
      </c>
      <c r="I50" s="33">
        <f t="shared" si="65"/>
        <v>155.55747999999997</v>
      </c>
      <c r="J50" s="33">
        <f t="shared" si="65"/>
        <v>3519.4</v>
      </c>
      <c r="K50" s="37">
        <f t="shared" si="2"/>
        <v>0.43938815574217482</v>
      </c>
      <c r="L50" s="36">
        <f>[1]MJ!$E50</f>
        <v>611.26666666666665</v>
      </c>
      <c r="M50" s="28">
        <f t="shared" si="16"/>
        <v>584.24868000000004</v>
      </c>
      <c r="N50" s="28">
        <f t="shared" si="17"/>
        <v>27.017986666666662</v>
      </c>
      <c r="O50" s="28">
        <f t="shared" si="18"/>
        <v>546.36395400000004</v>
      </c>
      <c r="P50" s="28">
        <f t="shared" si="19"/>
        <v>25.266045999999999</v>
      </c>
      <c r="Q50" s="28">
        <f>571.63</f>
        <v>571.63</v>
      </c>
      <c r="R50" s="28">
        <f t="shared" si="3"/>
        <v>-6.4843494383247879E-2</v>
      </c>
      <c r="S50" s="28">
        <f>[1]MJ!$F50</f>
        <v>611.26666666666665</v>
      </c>
      <c r="T50" s="28">
        <f t="shared" si="20"/>
        <v>584.24868000000004</v>
      </c>
      <c r="U50" s="28">
        <f t="shared" si="21"/>
        <v>27.017986666666662</v>
      </c>
      <c r="V50" s="28">
        <f t="shared" si="22"/>
        <v>632.7396</v>
      </c>
      <c r="W50" s="28">
        <f t="shared" si="23"/>
        <v>29.260399999999997</v>
      </c>
      <c r="X50" s="28">
        <f>662</f>
        <v>662</v>
      </c>
      <c r="Y50" s="28">
        <f t="shared" si="4"/>
        <v>8.2997055295015887E-2</v>
      </c>
      <c r="Z50" s="28">
        <f>[1]MJ!$G50</f>
        <v>611.26666666666665</v>
      </c>
      <c r="AA50" s="28">
        <f t="shared" si="24"/>
        <v>584.24868000000004</v>
      </c>
      <c r="AB50" s="28">
        <f t="shared" si="25"/>
        <v>27.017986666666662</v>
      </c>
      <c r="AC50" s="28">
        <f t="shared" si="26"/>
        <v>1116.058986</v>
      </c>
      <c r="AD50" s="28">
        <f t="shared" si="27"/>
        <v>51.611013999999997</v>
      </c>
      <c r="AE50" s="28">
        <f>1167.67</f>
        <v>1167.67</v>
      </c>
      <c r="AF50" s="28">
        <f t="shared" si="5"/>
        <v>0.91024648271349129</v>
      </c>
      <c r="AG50" s="28">
        <f>[1]MJ!$H50</f>
        <v>611.26666666666665</v>
      </c>
      <c r="AH50" s="28">
        <f t="shared" si="28"/>
        <v>584.24868000000004</v>
      </c>
      <c r="AI50" s="28">
        <f t="shared" si="29"/>
        <v>27.017986666666662</v>
      </c>
      <c r="AJ50" s="28">
        <f t="shared" si="30"/>
        <v>516.68636400000003</v>
      </c>
      <c r="AK50" s="28">
        <f t="shared" si="31"/>
        <v>23.893636000000001</v>
      </c>
      <c r="AL50" s="28">
        <v>540.58000000000004</v>
      </c>
      <c r="AM50" s="28">
        <f t="shared" si="6"/>
        <v>-0.11563965536045362</v>
      </c>
      <c r="AN50" s="28">
        <f>[1]MJ!$I50</f>
        <v>611.26666666666665</v>
      </c>
      <c r="AO50" s="28">
        <f t="shared" si="32"/>
        <v>584.24868000000004</v>
      </c>
      <c r="AP50" s="28">
        <f t="shared" si="33"/>
        <v>27.017986666666662</v>
      </c>
      <c r="AQ50" s="28">
        <f t="shared" si="34"/>
        <v>443.36694599999998</v>
      </c>
      <c r="AR50" s="28">
        <f t="shared" si="35"/>
        <v>20.503053999999999</v>
      </c>
      <c r="AS50" s="150">
        <v>463.87</v>
      </c>
      <c r="AT50" s="37">
        <f t="shared" si="7"/>
        <v>-0.2411331661031737</v>
      </c>
      <c r="AU50" s="36">
        <f>[1]MJ!$J50</f>
        <v>611.26666666666665</v>
      </c>
      <c r="AV50" s="28">
        <f t="shared" si="36"/>
        <v>584.24868000000004</v>
      </c>
      <c r="AW50" s="18">
        <f t="shared" si="37"/>
        <v>27.017986666666662</v>
      </c>
      <c r="AX50" s="28">
        <f t="shared" si="38"/>
        <v>108.62666999999998</v>
      </c>
      <c r="AY50" s="117">
        <f t="shared" si="39"/>
        <v>5.0233299999999987</v>
      </c>
      <c r="AZ50" s="150">
        <v>113.64999999999998</v>
      </c>
      <c r="BA50" s="37">
        <f t="shared" si="8"/>
        <v>-0.81407459919293279</v>
      </c>
      <c r="BB50" s="36">
        <f>[1]MJ!$K50</f>
        <v>611.26666666666665</v>
      </c>
      <c r="BC50" s="28">
        <f t="shared" si="40"/>
        <v>584.24868000000004</v>
      </c>
      <c r="BD50" s="18">
        <f t="shared" si="41"/>
        <v>27.017986666666662</v>
      </c>
      <c r="BE50" s="28">
        <f t="shared" si="42"/>
        <v>0</v>
      </c>
      <c r="BF50" s="117">
        <f t="shared" si="43"/>
        <v>0</v>
      </c>
      <c r="BG50" s="152"/>
      <c r="BH50" s="37">
        <f t="shared" si="9"/>
        <v>-1</v>
      </c>
      <c r="BI50" s="36">
        <f>[1]MJ!$L50</f>
        <v>611.26666666666665</v>
      </c>
      <c r="BJ50" s="28">
        <f t="shared" si="44"/>
        <v>584.24868000000004</v>
      </c>
      <c r="BK50" s="18">
        <f t="shared" si="45"/>
        <v>27.017986666666662</v>
      </c>
      <c r="BL50" s="28">
        <f t="shared" si="46"/>
        <v>0</v>
      </c>
      <c r="BM50" s="117">
        <f t="shared" si="47"/>
        <v>0</v>
      </c>
      <c r="BN50" s="150"/>
      <c r="BO50" s="37">
        <f t="shared" si="10"/>
        <v>-1</v>
      </c>
      <c r="BP50" s="36">
        <f>[1]MJ!$M50</f>
        <v>611.26666666666665</v>
      </c>
      <c r="BQ50" s="28">
        <f t="shared" si="48"/>
        <v>584.24868000000004</v>
      </c>
      <c r="BR50" s="18">
        <f t="shared" si="49"/>
        <v>27.017986666666662</v>
      </c>
      <c r="BS50" s="28">
        <f t="shared" si="50"/>
        <v>0</v>
      </c>
      <c r="BT50" s="117">
        <f t="shared" si="51"/>
        <v>0</v>
      </c>
      <c r="BU50" s="150"/>
      <c r="BV50" s="37">
        <f t="shared" si="11"/>
        <v>-1</v>
      </c>
      <c r="BW50" s="36">
        <f>[1]MJ!$N50</f>
        <v>611.26666666666665</v>
      </c>
      <c r="BX50" s="28">
        <f t="shared" si="52"/>
        <v>584.24868000000004</v>
      </c>
      <c r="BY50" s="18">
        <f t="shared" si="53"/>
        <v>27.017986666666662</v>
      </c>
      <c r="BZ50" s="28">
        <f t="shared" si="54"/>
        <v>0</v>
      </c>
      <c r="CA50" s="117">
        <f t="shared" si="55"/>
        <v>0</v>
      </c>
      <c r="CB50" s="150"/>
      <c r="CC50" s="37">
        <f t="shared" si="12"/>
        <v>-1</v>
      </c>
      <c r="CD50" s="36">
        <f>[1]MJ!$O50</f>
        <v>611.26666666666665</v>
      </c>
      <c r="CE50" s="28">
        <f t="shared" si="56"/>
        <v>584.24868000000004</v>
      </c>
      <c r="CF50" s="18">
        <f t="shared" si="57"/>
        <v>27.017986666666662</v>
      </c>
      <c r="CG50" s="28">
        <f t="shared" si="58"/>
        <v>0</v>
      </c>
      <c r="CH50" s="117">
        <f t="shared" si="59"/>
        <v>0</v>
      </c>
      <c r="CI50" s="150"/>
      <c r="CJ50" s="37">
        <f t="shared" si="13"/>
        <v>-1</v>
      </c>
      <c r="CK50" s="36">
        <f>[1]MJ!$P50</f>
        <v>611.26666666666665</v>
      </c>
      <c r="CL50" s="28">
        <f t="shared" si="60"/>
        <v>584.24868000000004</v>
      </c>
      <c r="CM50" s="18">
        <f t="shared" si="61"/>
        <v>27.017986666666662</v>
      </c>
      <c r="CN50" s="28">
        <f t="shared" si="62"/>
        <v>0</v>
      </c>
      <c r="CO50" s="117">
        <f t="shared" si="63"/>
        <v>0</v>
      </c>
      <c r="CP50" s="150"/>
      <c r="CQ50" s="37">
        <f t="shared" si="14"/>
        <v>-1</v>
      </c>
    </row>
    <row r="51" spans="1:99" s="26" customFormat="1" ht="16" customHeight="1" thickBot="1" x14ac:dyDescent="0.25">
      <c r="A51" s="29" t="s">
        <v>75</v>
      </c>
      <c r="B51" s="30">
        <f t="shared" si="64"/>
        <v>5513.2331999999997</v>
      </c>
      <c r="C51" s="31">
        <f t="shared" si="64"/>
        <v>5269.5482925600008</v>
      </c>
      <c r="D51" s="32">
        <f t="shared" si="64"/>
        <v>243.68490744000005</v>
      </c>
      <c r="E51" s="30">
        <f t="shared" si="66"/>
        <v>1837.7444</v>
      </c>
      <c r="F51" s="33">
        <f t="shared" si="66"/>
        <v>1756.5160975200001</v>
      </c>
      <c r="G51" s="34">
        <f t="shared" si="66"/>
        <v>81.228302479999996</v>
      </c>
      <c r="H51" s="31">
        <f t="shared" si="65"/>
        <v>2598.3327420000001</v>
      </c>
      <c r="I51" s="33">
        <f t="shared" si="65"/>
        <v>120.15725799999998</v>
      </c>
      <c r="J51" s="33">
        <f t="shared" si="65"/>
        <v>2718.49</v>
      </c>
      <c r="K51" s="37">
        <f t="shared" si="2"/>
        <v>0.47925358934572171</v>
      </c>
      <c r="L51" s="36">
        <f>[1]MJ!$E51</f>
        <v>459.43610000000001</v>
      </c>
      <c r="M51" s="31">
        <f t="shared" si="16"/>
        <v>439.12902438000003</v>
      </c>
      <c r="N51" s="31">
        <f t="shared" si="17"/>
        <v>20.307075619999999</v>
      </c>
      <c r="O51" s="31">
        <f t="shared" si="18"/>
        <v>434.93679000000003</v>
      </c>
      <c r="P51" s="31">
        <f t="shared" si="19"/>
        <v>20.113209999999999</v>
      </c>
      <c r="Q51" s="31">
        <f>455.05</f>
        <v>455.05</v>
      </c>
      <c r="R51" s="31">
        <f t="shared" si="3"/>
        <v>-9.5467030126713537E-3</v>
      </c>
      <c r="S51" s="31">
        <f>[1]MJ!$F51</f>
        <v>459.43610000000001</v>
      </c>
      <c r="T51" s="31">
        <f t="shared" si="20"/>
        <v>439.12902438000003</v>
      </c>
      <c r="U51" s="31">
        <f t="shared" si="21"/>
        <v>20.307075619999999</v>
      </c>
      <c r="V51" s="31">
        <f t="shared" si="22"/>
        <v>423.61055999999996</v>
      </c>
      <c r="W51" s="31">
        <f t="shared" si="23"/>
        <v>19.589439999999996</v>
      </c>
      <c r="X51" s="31">
        <f>443.2</f>
        <v>443.2</v>
      </c>
      <c r="Y51" s="31">
        <f t="shared" si="4"/>
        <v>-3.5339190803683085E-2</v>
      </c>
      <c r="Z51" s="31">
        <f>[1]MJ!$G51</f>
        <v>459.43610000000001</v>
      </c>
      <c r="AA51" s="31">
        <f t="shared" si="24"/>
        <v>439.12902438000003</v>
      </c>
      <c r="AB51" s="31">
        <f t="shared" si="25"/>
        <v>20.307075619999999</v>
      </c>
      <c r="AC51" s="31">
        <f t="shared" si="26"/>
        <v>393.99987600000003</v>
      </c>
      <c r="AD51" s="31">
        <f t="shared" si="27"/>
        <v>18.220123999999998</v>
      </c>
      <c r="AE51" s="31">
        <f>412.22</f>
        <v>412.22</v>
      </c>
      <c r="AF51" s="31">
        <f t="shared" si="5"/>
        <v>-0.10276967787250502</v>
      </c>
      <c r="AG51" s="31">
        <f>[1]MJ!$H51</f>
        <v>459.43610000000001</v>
      </c>
      <c r="AH51" s="31">
        <f t="shared" si="28"/>
        <v>439.12902438000003</v>
      </c>
      <c r="AI51" s="31">
        <f t="shared" si="29"/>
        <v>20.307075619999999</v>
      </c>
      <c r="AJ51" s="31">
        <f t="shared" si="30"/>
        <v>525.44149200000004</v>
      </c>
      <c r="AK51" s="31">
        <f t="shared" si="31"/>
        <v>24.298507999999998</v>
      </c>
      <c r="AL51" s="31">
        <v>549.74</v>
      </c>
      <c r="AM51" s="31">
        <f t="shared" si="6"/>
        <v>0.19655377537812102</v>
      </c>
      <c r="AN51" s="31">
        <f>[1]MJ!$I51</f>
        <v>459.43610000000001</v>
      </c>
      <c r="AO51" s="31">
        <f t="shared" si="32"/>
        <v>439.12902438000003</v>
      </c>
      <c r="AP51" s="31">
        <f t="shared" si="33"/>
        <v>20.307075619999999</v>
      </c>
      <c r="AQ51" s="31">
        <f t="shared" si="34"/>
        <v>431.5437</v>
      </c>
      <c r="AR51" s="31">
        <f t="shared" si="35"/>
        <v>19.956299999999999</v>
      </c>
      <c r="AS51" s="45">
        <v>451.5</v>
      </c>
      <c r="AT51" s="37">
        <f t="shared" si="7"/>
        <v>-1.7273566443734012E-2</v>
      </c>
      <c r="AU51" s="36">
        <f>[1]MJ!$J51</f>
        <v>459.43610000000001</v>
      </c>
      <c r="AV51" s="31">
        <f t="shared" si="36"/>
        <v>439.12902438000003</v>
      </c>
      <c r="AW51" s="18">
        <f t="shared" si="37"/>
        <v>20.307075619999999</v>
      </c>
      <c r="AX51" s="31">
        <f t="shared" si="38"/>
        <v>388.80032399999999</v>
      </c>
      <c r="AY51" s="76">
        <f t="shared" si="39"/>
        <v>17.979675999999998</v>
      </c>
      <c r="AZ51" s="45">
        <v>406.78</v>
      </c>
      <c r="BA51" s="37">
        <f t="shared" si="8"/>
        <v>-0.11461027986264039</v>
      </c>
      <c r="BB51" s="36">
        <f>[1]MJ!$K51</f>
        <v>459.43610000000001</v>
      </c>
      <c r="BC51" s="31">
        <f t="shared" si="40"/>
        <v>439.12902438000003</v>
      </c>
      <c r="BD51" s="18">
        <f t="shared" si="41"/>
        <v>20.307075619999999</v>
      </c>
      <c r="BE51" s="31">
        <f t="shared" si="42"/>
        <v>0</v>
      </c>
      <c r="BF51" s="76">
        <f t="shared" si="43"/>
        <v>0</v>
      </c>
      <c r="BG51" s="48"/>
      <c r="BH51" s="37">
        <f t="shared" si="9"/>
        <v>-1</v>
      </c>
      <c r="BI51" s="36">
        <f>[1]MJ!$L51</f>
        <v>459.43610000000001</v>
      </c>
      <c r="BJ51" s="31">
        <f t="shared" si="44"/>
        <v>439.12902438000003</v>
      </c>
      <c r="BK51" s="18">
        <f t="shared" si="45"/>
        <v>20.307075619999999</v>
      </c>
      <c r="BL51" s="31">
        <f t="shared" si="46"/>
        <v>0</v>
      </c>
      <c r="BM51" s="76">
        <f t="shared" si="47"/>
        <v>0</v>
      </c>
      <c r="BN51" s="45"/>
      <c r="BO51" s="37">
        <f t="shared" si="10"/>
        <v>-1</v>
      </c>
      <c r="BP51" s="36">
        <f>[1]MJ!$M51</f>
        <v>459.43610000000001</v>
      </c>
      <c r="BQ51" s="31">
        <f t="shared" si="48"/>
        <v>439.12902438000003</v>
      </c>
      <c r="BR51" s="18">
        <f t="shared" si="49"/>
        <v>20.307075619999999</v>
      </c>
      <c r="BS51" s="31">
        <f t="shared" si="50"/>
        <v>0</v>
      </c>
      <c r="BT51" s="76">
        <f t="shared" si="51"/>
        <v>0</v>
      </c>
      <c r="BU51" s="45"/>
      <c r="BV51" s="37">
        <f t="shared" si="11"/>
        <v>-1</v>
      </c>
      <c r="BW51" s="36">
        <f>[1]MJ!$N51</f>
        <v>459.43610000000001</v>
      </c>
      <c r="BX51" s="31">
        <f t="shared" si="52"/>
        <v>439.12902438000003</v>
      </c>
      <c r="BY51" s="18">
        <f t="shared" si="53"/>
        <v>20.307075619999999</v>
      </c>
      <c r="BZ51" s="31">
        <f t="shared" si="54"/>
        <v>0</v>
      </c>
      <c r="CA51" s="76">
        <f t="shared" si="55"/>
        <v>0</v>
      </c>
      <c r="CB51" s="45"/>
      <c r="CC51" s="37">
        <f t="shared" si="12"/>
        <v>-1</v>
      </c>
      <c r="CD51" s="36">
        <f>[1]MJ!$O51</f>
        <v>459.43610000000001</v>
      </c>
      <c r="CE51" s="31">
        <f t="shared" si="56"/>
        <v>439.12902438000003</v>
      </c>
      <c r="CF51" s="18">
        <f t="shared" si="57"/>
        <v>20.307075619999999</v>
      </c>
      <c r="CG51" s="31">
        <f t="shared" si="58"/>
        <v>0</v>
      </c>
      <c r="CH51" s="76">
        <f t="shared" si="59"/>
        <v>0</v>
      </c>
      <c r="CI51" s="45"/>
      <c r="CJ51" s="37">
        <f t="shared" si="13"/>
        <v>-1</v>
      </c>
      <c r="CK51" s="36">
        <f>[1]MJ!$P51</f>
        <v>459.43610000000001</v>
      </c>
      <c r="CL51" s="31">
        <f t="shared" si="60"/>
        <v>439.12902438000003</v>
      </c>
      <c r="CM51" s="18">
        <f t="shared" si="61"/>
        <v>20.307075619999999</v>
      </c>
      <c r="CN51" s="31">
        <f t="shared" si="62"/>
        <v>0</v>
      </c>
      <c r="CO51" s="76">
        <f t="shared" si="63"/>
        <v>0</v>
      </c>
      <c r="CP51" s="45"/>
      <c r="CQ51" s="37">
        <f t="shared" si="14"/>
        <v>-1</v>
      </c>
    </row>
    <row r="52" spans="1:99" s="26" customFormat="1" ht="16" customHeight="1" thickBot="1" x14ac:dyDescent="0.25">
      <c r="A52" s="29" t="s">
        <v>76</v>
      </c>
      <c r="B52" s="30">
        <f t="shared" si="64"/>
        <v>20000</v>
      </c>
      <c r="C52" s="31">
        <f t="shared" si="64"/>
        <v>19116</v>
      </c>
      <c r="D52" s="32">
        <f t="shared" si="64"/>
        <v>883.99999999999966</v>
      </c>
      <c r="E52" s="30">
        <f t="shared" si="66"/>
        <v>6666.666666666667</v>
      </c>
      <c r="F52" s="33">
        <f t="shared" si="66"/>
        <v>6372</v>
      </c>
      <c r="G52" s="34">
        <f t="shared" si="66"/>
        <v>294.66666666666663</v>
      </c>
      <c r="H52" s="31">
        <f t="shared" si="65"/>
        <v>14066.737992</v>
      </c>
      <c r="I52" s="33">
        <f t="shared" si="65"/>
        <v>650.50200799999993</v>
      </c>
      <c r="J52" s="33">
        <f t="shared" si="65"/>
        <v>14717.240000000002</v>
      </c>
      <c r="K52" s="37">
        <f t="shared" si="2"/>
        <v>1.207586</v>
      </c>
      <c r="L52" s="36">
        <f>[1]MJ!$E52</f>
        <v>1666.6666666666667</v>
      </c>
      <c r="M52" s="31">
        <f t="shared" si="16"/>
        <v>1593</v>
      </c>
      <c r="N52" s="31">
        <f t="shared" si="17"/>
        <v>73.666666666666657</v>
      </c>
      <c r="O52" s="31">
        <f t="shared" si="18"/>
        <v>1138.5394020000001</v>
      </c>
      <c r="P52" s="31">
        <f t="shared" si="19"/>
        <v>52.650597999999995</v>
      </c>
      <c r="Q52" s="31">
        <f>1191.19</f>
        <v>1191.19</v>
      </c>
      <c r="R52" s="31">
        <f t="shared" si="3"/>
        <v>-0.28528600000000004</v>
      </c>
      <c r="S52" s="31">
        <f>[1]MJ!$F52</f>
        <v>1666.6666666666667</v>
      </c>
      <c r="T52" s="31">
        <f t="shared" si="20"/>
        <v>1593</v>
      </c>
      <c r="U52" s="31">
        <f t="shared" si="21"/>
        <v>73.666666666666657</v>
      </c>
      <c r="V52" s="31">
        <f t="shared" si="22"/>
        <v>0</v>
      </c>
      <c r="W52" s="31">
        <f t="shared" si="23"/>
        <v>0</v>
      </c>
      <c r="X52" s="31"/>
      <c r="Y52" s="31">
        <f t="shared" si="4"/>
        <v>-1</v>
      </c>
      <c r="Z52" s="31">
        <f>[1]MJ!$G52</f>
        <v>1666.6666666666667</v>
      </c>
      <c r="AA52" s="31">
        <f t="shared" si="24"/>
        <v>1593</v>
      </c>
      <c r="AB52" s="31">
        <f t="shared" si="25"/>
        <v>73.666666666666657</v>
      </c>
      <c r="AC52" s="31">
        <f t="shared" si="26"/>
        <v>716.85</v>
      </c>
      <c r="AD52" s="31">
        <f t="shared" si="27"/>
        <v>33.15</v>
      </c>
      <c r="AE52" s="31">
        <f>750</f>
        <v>750</v>
      </c>
      <c r="AF52" s="31">
        <f t="shared" si="5"/>
        <v>-0.55000000000000004</v>
      </c>
      <c r="AG52" s="31">
        <f>[1]MJ!$H52</f>
        <v>1666.6666666666667</v>
      </c>
      <c r="AH52" s="31">
        <f t="shared" si="28"/>
        <v>1593</v>
      </c>
      <c r="AI52" s="31">
        <f t="shared" si="29"/>
        <v>73.666666666666657</v>
      </c>
      <c r="AJ52" s="31">
        <f t="shared" si="30"/>
        <v>6256.6668</v>
      </c>
      <c r="AK52" s="31">
        <f t="shared" si="31"/>
        <v>289.33319999999998</v>
      </c>
      <c r="AL52" s="31">
        <v>6546</v>
      </c>
      <c r="AM52" s="31">
        <f t="shared" si="6"/>
        <v>2.9276</v>
      </c>
      <c r="AN52" s="31">
        <f>[1]MJ!$I52</f>
        <v>1666.6666666666667</v>
      </c>
      <c r="AO52" s="31">
        <f t="shared" si="32"/>
        <v>1593</v>
      </c>
      <c r="AP52" s="31">
        <f t="shared" si="33"/>
        <v>73.666666666666657</v>
      </c>
      <c r="AQ52" s="31">
        <f t="shared" si="34"/>
        <v>1531.1916000000001</v>
      </c>
      <c r="AR52" s="31">
        <f t="shared" si="35"/>
        <v>70.808399999999992</v>
      </c>
      <c r="AS52" s="33">
        <v>1602</v>
      </c>
      <c r="AT52" s="37">
        <f t="shared" si="7"/>
        <v>-3.8800000000000057E-2</v>
      </c>
      <c r="AU52" s="36">
        <f>[1]MJ!$J52</f>
        <v>1666.6666666666667</v>
      </c>
      <c r="AV52" s="31">
        <f t="shared" si="36"/>
        <v>1593</v>
      </c>
      <c r="AW52" s="18">
        <f t="shared" si="37"/>
        <v>73.666666666666657</v>
      </c>
      <c r="AX52" s="31">
        <f t="shared" si="38"/>
        <v>4423.4901900000004</v>
      </c>
      <c r="AY52" s="31">
        <f t="shared" si="39"/>
        <v>204.55981</v>
      </c>
      <c r="AZ52" s="33">
        <v>4628.05</v>
      </c>
      <c r="BA52" s="37">
        <f t="shared" si="8"/>
        <v>1.7768299999999999</v>
      </c>
      <c r="BB52" s="36">
        <f>[1]MJ!$K52</f>
        <v>1666.6666666666667</v>
      </c>
      <c r="BC52" s="31">
        <f t="shared" si="40"/>
        <v>1593</v>
      </c>
      <c r="BD52" s="18">
        <f t="shared" si="41"/>
        <v>73.666666666666657</v>
      </c>
      <c r="BE52" s="31">
        <f t="shared" si="42"/>
        <v>0</v>
      </c>
      <c r="BF52" s="31">
        <f t="shared" si="43"/>
        <v>0</v>
      </c>
      <c r="BG52" s="27"/>
      <c r="BH52" s="37">
        <f t="shared" si="9"/>
        <v>-1</v>
      </c>
      <c r="BI52" s="36">
        <f>[1]MJ!$L52</f>
        <v>1666.6666666666667</v>
      </c>
      <c r="BJ52" s="31">
        <f t="shared" si="44"/>
        <v>1593</v>
      </c>
      <c r="BK52" s="18">
        <f t="shared" si="45"/>
        <v>73.666666666666657</v>
      </c>
      <c r="BL52" s="31">
        <f t="shared" si="46"/>
        <v>0</v>
      </c>
      <c r="BM52" s="31">
        <f t="shared" si="47"/>
        <v>0</v>
      </c>
      <c r="BN52" s="33"/>
      <c r="BO52" s="37">
        <f t="shared" si="10"/>
        <v>-1</v>
      </c>
      <c r="BP52" s="36">
        <f>[1]MJ!$M52</f>
        <v>1666.6666666666667</v>
      </c>
      <c r="BQ52" s="31">
        <f t="shared" si="48"/>
        <v>1593</v>
      </c>
      <c r="BR52" s="18">
        <f t="shared" si="49"/>
        <v>73.666666666666657</v>
      </c>
      <c r="BS52" s="31">
        <f t="shared" si="50"/>
        <v>0</v>
      </c>
      <c r="BT52" s="31">
        <f t="shared" si="51"/>
        <v>0</v>
      </c>
      <c r="BU52" s="33"/>
      <c r="BV52" s="37">
        <f t="shared" si="11"/>
        <v>-1</v>
      </c>
      <c r="BW52" s="36">
        <f>[1]MJ!$N52</f>
        <v>1666.6666666666667</v>
      </c>
      <c r="BX52" s="31">
        <f t="shared" si="52"/>
        <v>1593</v>
      </c>
      <c r="BY52" s="18">
        <f t="shared" si="53"/>
        <v>73.666666666666657</v>
      </c>
      <c r="BZ52" s="31">
        <f t="shared" si="54"/>
        <v>0</v>
      </c>
      <c r="CA52" s="31">
        <f t="shared" si="55"/>
        <v>0</v>
      </c>
      <c r="CB52" s="33"/>
      <c r="CC52" s="37">
        <f t="shared" si="12"/>
        <v>-1</v>
      </c>
      <c r="CD52" s="36">
        <f>[1]MJ!$O52</f>
        <v>1666.6666666666667</v>
      </c>
      <c r="CE52" s="31">
        <f t="shared" si="56"/>
        <v>1593</v>
      </c>
      <c r="CF52" s="18">
        <f t="shared" si="57"/>
        <v>73.666666666666657</v>
      </c>
      <c r="CG52" s="31">
        <f t="shared" si="58"/>
        <v>0</v>
      </c>
      <c r="CH52" s="31">
        <f t="shared" si="59"/>
        <v>0</v>
      </c>
      <c r="CI52" s="33"/>
      <c r="CJ52" s="37">
        <f t="shared" si="13"/>
        <v>-1</v>
      </c>
      <c r="CK52" s="36">
        <f>[1]MJ!$P52</f>
        <v>1666.6666666666667</v>
      </c>
      <c r="CL52" s="31">
        <f t="shared" si="60"/>
        <v>1593</v>
      </c>
      <c r="CM52" s="18">
        <f t="shared" si="61"/>
        <v>73.666666666666657</v>
      </c>
      <c r="CN52" s="31">
        <f t="shared" si="62"/>
        <v>0</v>
      </c>
      <c r="CO52" s="31">
        <f t="shared" si="63"/>
        <v>0</v>
      </c>
      <c r="CP52" s="33"/>
      <c r="CQ52" s="37">
        <f t="shared" si="14"/>
        <v>-1</v>
      </c>
    </row>
    <row r="53" spans="1:99" s="26" customFormat="1" ht="16" customHeight="1" thickBot="1" x14ac:dyDescent="0.25">
      <c r="A53" s="38" t="s">
        <v>77</v>
      </c>
      <c r="B53" s="30">
        <f t="shared" si="64"/>
        <v>12000</v>
      </c>
      <c r="C53" s="31">
        <f t="shared" si="64"/>
        <v>11469.599999999999</v>
      </c>
      <c r="D53" s="32">
        <f t="shared" si="64"/>
        <v>530.4</v>
      </c>
      <c r="E53" s="30">
        <f t="shared" si="66"/>
        <v>4000</v>
      </c>
      <c r="F53" s="33">
        <f t="shared" si="66"/>
        <v>3823.2</v>
      </c>
      <c r="G53" s="34">
        <f t="shared" si="66"/>
        <v>176.79999999999998</v>
      </c>
      <c r="H53" s="31">
        <f t="shared" si="65"/>
        <v>6405.4561860000003</v>
      </c>
      <c r="I53" s="33">
        <f t="shared" si="65"/>
        <v>296.21381399999996</v>
      </c>
      <c r="J53" s="33">
        <f t="shared" si="65"/>
        <v>6701.67</v>
      </c>
      <c r="K53" s="37">
        <f t="shared" si="2"/>
        <v>0.6754175</v>
      </c>
      <c r="L53" s="36">
        <f>[1]MJ!$E53</f>
        <v>1000</v>
      </c>
      <c r="M53" s="31">
        <f t="shared" si="16"/>
        <v>955.8</v>
      </c>
      <c r="N53" s="31">
        <f t="shared" si="17"/>
        <v>44.199999999999996</v>
      </c>
      <c r="O53" s="31">
        <f t="shared" si="18"/>
        <v>0</v>
      </c>
      <c r="P53" s="31">
        <f t="shared" si="19"/>
        <v>0</v>
      </c>
      <c r="Q53" s="31"/>
      <c r="R53" s="31">
        <f t="shared" si="3"/>
        <v>-1</v>
      </c>
      <c r="S53" s="31">
        <f>[1]MJ!$F53</f>
        <v>1000</v>
      </c>
      <c r="T53" s="31">
        <f t="shared" si="20"/>
        <v>955.8</v>
      </c>
      <c r="U53" s="31">
        <f t="shared" si="21"/>
        <v>44.199999999999996</v>
      </c>
      <c r="V53" s="31">
        <f t="shared" si="22"/>
        <v>0</v>
      </c>
      <c r="W53" s="31">
        <f t="shared" si="23"/>
        <v>0</v>
      </c>
      <c r="X53" s="31"/>
      <c r="Y53" s="31">
        <f t="shared" si="4"/>
        <v>-1</v>
      </c>
      <c r="Z53" s="31">
        <f>[1]MJ!$G53</f>
        <v>1000</v>
      </c>
      <c r="AA53" s="31">
        <f t="shared" si="24"/>
        <v>955.8</v>
      </c>
      <c r="AB53" s="31">
        <f t="shared" si="25"/>
        <v>44.199999999999996</v>
      </c>
      <c r="AC53" s="31">
        <f t="shared" si="26"/>
        <v>0</v>
      </c>
      <c r="AD53" s="31">
        <f t="shared" si="27"/>
        <v>0</v>
      </c>
      <c r="AE53" s="31"/>
      <c r="AF53" s="31">
        <f t="shared" si="5"/>
        <v>-1</v>
      </c>
      <c r="AG53" s="31">
        <f>[1]MJ!$H53</f>
        <v>1000</v>
      </c>
      <c r="AH53" s="31">
        <f t="shared" si="28"/>
        <v>955.8</v>
      </c>
      <c r="AI53" s="31">
        <f t="shared" si="29"/>
        <v>44.199999999999996</v>
      </c>
      <c r="AJ53" s="31">
        <f t="shared" si="30"/>
        <v>0</v>
      </c>
      <c r="AK53" s="31">
        <f t="shared" si="31"/>
        <v>0</v>
      </c>
      <c r="AL53" s="31"/>
      <c r="AM53" s="31">
        <f t="shared" si="6"/>
        <v>-1</v>
      </c>
      <c r="AN53" s="31">
        <f>[1]MJ!$I53</f>
        <v>1000</v>
      </c>
      <c r="AO53" s="31">
        <f t="shared" si="32"/>
        <v>955.8</v>
      </c>
      <c r="AP53" s="31">
        <f t="shared" si="33"/>
        <v>44.199999999999996</v>
      </c>
      <c r="AQ53" s="31">
        <f t="shared" si="34"/>
        <v>3186.7996860000003</v>
      </c>
      <c r="AR53" s="31">
        <f t="shared" si="35"/>
        <v>147.37031399999998</v>
      </c>
      <c r="AS53" s="33">
        <v>3334.17</v>
      </c>
      <c r="AT53" s="37">
        <f t="shared" si="7"/>
        <v>2.3341699999999999</v>
      </c>
      <c r="AU53" s="36">
        <f>[1]MJ!$J53</f>
        <v>1000</v>
      </c>
      <c r="AV53" s="31">
        <f t="shared" si="36"/>
        <v>955.8</v>
      </c>
      <c r="AW53" s="18">
        <f t="shared" si="37"/>
        <v>44.199999999999996</v>
      </c>
      <c r="AX53" s="31">
        <f t="shared" si="38"/>
        <v>3218.6565000000001</v>
      </c>
      <c r="AY53" s="31">
        <f t="shared" si="39"/>
        <v>148.84349999999998</v>
      </c>
      <c r="AZ53" s="33">
        <v>3367.5</v>
      </c>
      <c r="BA53" s="37">
        <f t="shared" si="8"/>
        <v>2.3675000000000002</v>
      </c>
      <c r="BB53" s="36">
        <f>[1]MJ!$K53</f>
        <v>1000</v>
      </c>
      <c r="BC53" s="31">
        <f t="shared" si="40"/>
        <v>955.8</v>
      </c>
      <c r="BD53" s="18">
        <f t="shared" si="41"/>
        <v>44.199999999999996</v>
      </c>
      <c r="BE53" s="31">
        <f t="shared" si="42"/>
        <v>0</v>
      </c>
      <c r="BF53" s="31">
        <f t="shared" si="43"/>
        <v>0</v>
      </c>
      <c r="BG53" s="27"/>
      <c r="BH53" s="37">
        <f t="shared" si="9"/>
        <v>-1</v>
      </c>
      <c r="BI53" s="36">
        <f>[1]MJ!$L53</f>
        <v>1000</v>
      </c>
      <c r="BJ53" s="31">
        <f t="shared" si="44"/>
        <v>955.8</v>
      </c>
      <c r="BK53" s="18">
        <f t="shared" si="45"/>
        <v>44.199999999999996</v>
      </c>
      <c r="BL53" s="31">
        <f t="shared" si="46"/>
        <v>0</v>
      </c>
      <c r="BM53" s="31">
        <f t="shared" si="47"/>
        <v>0</v>
      </c>
      <c r="BN53" s="33"/>
      <c r="BO53" s="37">
        <f t="shared" si="10"/>
        <v>-1</v>
      </c>
      <c r="BP53" s="36">
        <f>[1]MJ!$M53</f>
        <v>1000</v>
      </c>
      <c r="BQ53" s="31">
        <f t="shared" si="48"/>
        <v>955.8</v>
      </c>
      <c r="BR53" s="18">
        <f t="shared" si="49"/>
        <v>44.199999999999996</v>
      </c>
      <c r="BS53" s="31">
        <f t="shared" si="50"/>
        <v>0</v>
      </c>
      <c r="BT53" s="31">
        <f t="shared" si="51"/>
        <v>0</v>
      </c>
      <c r="BU53" s="33"/>
      <c r="BV53" s="37">
        <f t="shared" si="11"/>
        <v>-1</v>
      </c>
      <c r="BW53" s="36">
        <f>[1]MJ!$N53</f>
        <v>1000</v>
      </c>
      <c r="BX53" s="31">
        <f t="shared" si="52"/>
        <v>955.8</v>
      </c>
      <c r="BY53" s="18">
        <f t="shared" si="53"/>
        <v>44.199999999999996</v>
      </c>
      <c r="BZ53" s="31">
        <f t="shared" si="54"/>
        <v>0</v>
      </c>
      <c r="CA53" s="31">
        <f t="shared" si="55"/>
        <v>0</v>
      </c>
      <c r="CB53" s="33"/>
      <c r="CC53" s="37">
        <f t="shared" si="12"/>
        <v>-1</v>
      </c>
      <c r="CD53" s="36">
        <f>[1]MJ!$O53</f>
        <v>1000</v>
      </c>
      <c r="CE53" s="31">
        <f t="shared" si="56"/>
        <v>955.8</v>
      </c>
      <c r="CF53" s="18">
        <f t="shared" si="57"/>
        <v>44.199999999999996</v>
      </c>
      <c r="CG53" s="31">
        <f t="shared" si="58"/>
        <v>0</v>
      </c>
      <c r="CH53" s="31">
        <f t="shared" si="59"/>
        <v>0</v>
      </c>
      <c r="CI53" s="33"/>
      <c r="CJ53" s="37">
        <f t="shared" si="13"/>
        <v>-1</v>
      </c>
      <c r="CK53" s="36">
        <f>[1]MJ!$P53</f>
        <v>1000</v>
      </c>
      <c r="CL53" s="31">
        <f t="shared" si="60"/>
        <v>955.8</v>
      </c>
      <c r="CM53" s="18">
        <f t="shared" si="61"/>
        <v>44.199999999999996</v>
      </c>
      <c r="CN53" s="31">
        <f t="shared" si="62"/>
        <v>0</v>
      </c>
      <c r="CO53" s="31">
        <f t="shared" si="63"/>
        <v>0</v>
      </c>
      <c r="CP53" s="33"/>
      <c r="CQ53" s="37">
        <f t="shared" si="14"/>
        <v>-1</v>
      </c>
    </row>
    <row r="54" spans="1:99" s="26" customFormat="1" ht="16" customHeight="1" thickBot="1" x14ac:dyDescent="0.25">
      <c r="A54" s="39" t="s">
        <v>78</v>
      </c>
      <c r="B54" s="50">
        <f t="shared" si="64"/>
        <v>176800.00000000003</v>
      </c>
      <c r="C54" s="40">
        <f t="shared" si="64"/>
        <v>168985.44</v>
      </c>
      <c r="D54" s="51">
        <f t="shared" si="64"/>
        <v>7814.5599999999977</v>
      </c>
      <c r="E54" s="52">
        <f t="shared" si="66"/>
        <v>101028.57142857143</v>
      </c>
      <c r="F54" s="53">
        <f t="shared" si="66"/>
        <v>96563.108571428573</v>
      </c>
      <c r="G54" s="54">
        <f t="shared" si="66"/>
        <v>4465.4628571428566</v>
      </c>
      <c r="H54" s="40">
        <f t="shared" si="65"/>
        <v>74861.802018000002</v>
      </c>
      <c r="I54" s="53">
        <f t="shared" si="65"/>
        <v>3461.9079819999997</v>
      </c>
      <c r="J54" s="53">
        <f t="shared" si="65"/>
        <v>78323.709999999992</v>
      </c>
      <c r="K54" s="60">
        <f t="shared" si="2"/>
        <v>-0.2247370333710409</v>
      </c>
      <c r="L54" s="87">
        <f>[1]MJ!$E54</f>
        <v>25257.142857142859</v>
      </c>
      <c r="M54" s="40">
        <f t="shared" si="16"/>
        <v>24140.777142857143</v>
      </c>
      <c r="N54" s="40">
        <f t="shared" si="17"/>
        <v>1116.3657142857141</v>
      </c>
      <c r="O54" s="40">
        <f t="shared" si="18"/>
        <v>3754.363284</v>
      </c>
      <c r="P54" s="40">
        <f t="shared" si="19"/>
        <v>173.616716</v>
      </c>
      <c r="Q54" s="40">
        <f>3927.98</f>
        <v>3927.98</v>
      </c>
      <c r="R54" s="40">
        <f t="shared" si="3"/>
        <v>-0.84448042986425342</v>
      </c>
      <c r="S54" s="40">
        <f>[1]MJ!$F54</f>
        <v>25257.142857142859</v>
      </c>
      <c r="T54" s="40">
        <f t="shared" si="20"/>
        <v>24140.777142857143</v>
      </c>
      <c r="U54" s="40">
        <f t="shared" si="21"/>
        <v>1116.3657142857141</v>
      </c>
      <c r="V54" s="40">
        <f t="shared" si="22"/>
        <v>17928.676566000002</v>
      </c>
      <c r="W54" s="40">
        <f t="shared" si="23"/>
        <v>829.093434</v>
      </c>
      <c r="X54" s="40">
        <v>18757.77</v>
      </c>
      <c r="Y54" s="40">
        <f t="shared" si="4"/>
        <v>-0.25732811085972851</v>
      </c>
      <c r="Z54" s="40">
        <f>[1]MJ!$G54</f>
        <v>25257.142857142859</v>
      </c>
      <c r="AA54" s="40">
        <f t="shared" si="24"/>
        <v>24140.777142857143</v>
      </c>
      <c r="AB54" s="40">
        <f t="shared" si="25"/>
        <v>1116.3657142857141</v>
      </c>
      <c r="AC54" s="40">
        <f t="shared" si="26"/>
        <v>16620.492222000001</v>
      </c>
      <c r="AD54" s="40">
        <f t="shared" si="27"/>
        <v>768.59777799999995</v>
      </c>
      <c r="AE54" s="40">
        <v>17389.09</v>
      </c>
      <c r="AF54" s="40">
        <f t="shared" si="5"/>
        <v>-0.31151792986425342</v>
      </c>
      <c r="AG54" s="40">
        <f>[1]MJ!$H54</f>
        <v>25257.142857142859</v>
      </c>
      <c r="AH54" s="40">
        <f t="shared" si="28"/>
        <v>24140.777142857143</v>
      </c>
      <c r="AI54" s="40">
        <f t="shared" si="29"/>
        <v>1116.3657142857141</v>
      </c>
      <c r="AJ54" s="40">
        <f t="shared" si="30"/>
        <v>9016.9885259999992</v>
      </c>
      <c r="AK54" s="40">
        <f t="shared" si="31"/>
        <v>416.98147399999993</v>
      </c>
      <c r="AL54" s="40">
        <v>9433.9699999999993</v>
      </c>
      <c r="AM54" s="40">
        <f t="shared" si="6"/>
        <v>-0.62648308823529419</v>
      </c>
      <c r="AN54" s="40">
        <f>[1]MJ!$I54</f>
        <v>25257.142857142859</v>
      </c>
      <c r="AO54" s="40">
        <f t="shared" si="32"/>
        <v>24140.777142857143</v>
      </c>
      <c r="AP54" s="40">
        <f t="shared" si="33"/>
        <v>1116.3657142857141</v>
      </c>
      <c r="AQ54" s="40">
        <f t="shared" si="34"/>
        <v>7234.8516360000003</v>
      </c>
      <c r="AR54" s="40">
        <f t="shared" si="35"/>
        <v>334.56836399999997</v>
      </c>
      <c r="AS54" s="58">
        <v>7569.42</v>
      </c>
      <c r="AT54" s="60">
        <f t="shared" si="7"/>
        <v>-0.70030576923076926</v>
      </c>
      <c r="AU54" s="56">
        <f>[1]MJ!$J54</f>
        <v>25257.142857142859</v>
      </c>
      <c r="AV54" s="40">
        <f t="shared" si="36"/>
        <v>24140.777142857143</v>
      </c>
      <c r="AW54" s="18">
        <f t="shared" si="37"/>
        <v>1116.3657142857141</v>
      </c>
      <c r="AX54" s="40">
        <f t="shared" si="38"/>
        <v>20306.429784</v>
      </c>
      <c r="AY54" s="40">
        <f t="shared" si="39"/>
        <v>939.05021599999986</v>
      </c>
      <c r="AZ54" s="58">
        <v>21245.48</v>
      </c>
      <c r="BA54" s="60">
        <f t="shared" si="8"/>
        <v>-0.15883280542986433</v>
      </c>
      <c r="BB54" s="56">
        <f>[1]MJ!$K54</f>
        <v>25257.142857142859</v>
      </c>
      <c r="BC54" s="40">
        <f t="shared" si="40"/>
        <v>24140.777142857143</v>
      </c>
      <c r="BD54" s="18">
        <f t="shared" si="41"/>
        <v>1116.3657142857141</v>
      </c>
      <c r="BE54" s="40">
        <f t="shared" si="42"/>
        <v>0</v>
      </c>
      <c r="BF54" s="40">
        <f t="shared" si="43"/>
        <v>0</v>
      </c>
      <c r="BG54" s="59"/>
      <c r="BH54" s="60">
        <f t="shared" si="9"/>
        <v>-1</v>
      </c>
      <c r="BI54" s="56">
        <f>[1]MJ!$L54</f>
        <v>0</v>
      </c>
      <c r="BJ54" s="40">
        <f t="shared" si="44"/>
        <v>0</v>
      </c>
      <c r="BK54" s="18">
        <f t="shared" si="45"/>
        <v>0</v>
      </c>
      <c r="BL54" s="40">
        <f t="shared" si="46"/>
        <v>0</v>
      </c>
      <c r="BM54" s="40">
        <f t="shared" si="47"/>
        <v>0</v>
      </c>
      <c r="BN54" s="58"/>
      <c r="BO54" s="60" t="str">
        <f t="shared" si="10"/>
        <v/>
      </c>
      <c r="BP54" s="56">
        <f>[1]MJ!$M54</f>
        <v>0</v>
      </c>
      <c r="BQ54" s="40">
        <f t="shared" si="48"/>
        <v>0</v>
      </c>
      <c r="BR54" s="18">
        <f t="shared" si="49"/>
        <v>0</v>
      </c>
      <c r="BS54" s="40">
        <f t="shared" si="50"/>
        <v>0</v>
      </c>
      <c r="BT54" s="40">
        <f t="shared" si="51"/>
        <v>0</v>
      </c>
      <c r="BU54" s="58"/>
      <c r="BV54" s="60" t="str">
        <f t="shared" si="11"/>
        <v/>
      </c>
      <c r="BW54" s="87">
        <f>[1]MJ!$N54</f>
        <v>0</v>
      </c>
      <c r="BX54" s="40">
        <f t="shared" si="52"/>
        <v>0</v>
      </c>
      <c r="BY54" s="18">
        <f t="shared" si="53"/>
        <v>0</v>
      </c>
      <c r="BZ54" s="40">
        <f t="shared" si="54"/>
        <v>0</v>
      </c>
      <c r="CA54" s="40">
        <f t="shared" si="55"/>
        <v>0</v>
      </c>
      <c r="CB54" s="53"/>
      <c r="CC54" s="60" t="str">
        <f t="shared" si="12"/>
        <v/>
      </c>
      <c r="CD54" s="87">
        <f>[1]MJ!$O54</f>
        <v>0</v>
      </c>
      <c r="CE54" s="40">
        <f t="shared" si="56"/>
        <v>0</v>
      </c>
      <c r="CF54" s="18">
        <f t="shared" si="57"/>
        <v>0</v>
      </c>
      <c r="CG54" s="40">
        <f t="shared" si="58"/>
        <v>0</v>
      </c>
      <c r="CH54" s="40">
        <f t="shared" si="59"/>
        <v>0</v>
      </c>
      <c r="CI54" s="53"/>
      <c r="CJ54" s="60" t="str">
        <f t="shared" si="13"/>
        <v/>
      </c>
      <c r="CK54" s="87">
        <f>[1]MJ!$P54</f>
        <v>0</v>
      </c>
      <c r="CL54" s="40">
        <f t="shared" si="60"/>
        <v>0</v>
      </c>
      <c r="CM54" s="18">
        <f t="shared" si="61"/>
        <v>0</v>
      </c>
      <c r="CN54" s="40">
        <f t="shared" si="62"/>
        <v>0</v>
      </c>
      <c r="CO54" s="40">
        <f t="shared" si="63"/>
        <v>0</v>
      </c>
      <c r="CP54" s="53"/>
      <c r="CQ54" s="60" t="str">
        <f t="shared" si="14"/>
        <v/>
      </c>
    </row>
    <row r="55" spans="1:99" s="26" customFormat="1" ht="16" customHeight="1" thickBot="1" x14ac:dyDescent="0.25">
      <c r="A55" s="119" t="s">
        <v>79</v>
      </c>
      <c r="B55" s="63">
        <f t="shared" ref="B55:J55" si="67">SUM(B4:B54)</f>
        <v>12241433.356645333</v>
      </c>
      <c r="C55" s="64">
        <f t="shared" si="67"/>
        <v>11700362.002281606</v>
      </c>
      <c r="D55" s="65">
        <f t="shared" si="67"/>
        <v>541071.35436372343</v>
      </c>
      <c r="E55" s="63">
        <f t="shared" si="67"/>
        <v>4692472.9107636763</v>
      </c>
      <c r="F55" s="66">
        <f t="shared" si="67"/>
        <v>4485065.6081079217</v>
      </c>
      <c r="G55" s="67">
        <f t="shared" si="67"/>
        <v>207407.30265575452</v>
      </c>
      <c r="H55" s="64">
        <f t="shared" si="67"/>
        <v>5676898.821192001</v>
      </c>
      <c r="I55" s="66">
        <f t="shared" si="67"/>
        <v>262522.41880799999</v>
      </c>
      <c r="J55" s="66">
        <f t="shared" si="67"/>
        <v>5939421.2400000002</v>
      </c>
      <c r="K55" s="120">
        <f>+J55/E55-1</f>
        <v>0.26573372994355537</v>
      </c>
      <c r="L55" s="121">
        <f t="shared" ref="L55:Q55" si="68">SUM(L4:L54)</f>
        <v>1333369.2811307558</v>
      </c>
      <c r="M55" s="121">
        <f t="shared" si="68"/>
        <v>1274434.3589047766</v>
      </c>
      <c r="N55" s="121">
        <f t="shared" si="17"/>
        <v>58934.922225979404</v>
      </c>
      <c r="O55" s="121">
        <f t="shared" si="68"/>
        <v>966869.66779199999</v>
      </c>
      <c r="P55" s="121">
        <f t="shared" si="68"/>
        <v>44711.905541333319</v>
      </c>
      <c r="Q55" s="121">
        <f t="shared" si="68"/>
        <v>1011581.5733333334</v>
      </c>
      <c r="R55" s="121">
        <f>+Q55/L55-1</f>
        <v>-0.24133427427136489</v>
      </c>
      <c r="S55" s="121">
        <f t="shared" ref="S55:X55" si="69">SUM(S4:S54)</f>
        <v>588924.84664912347</v>
      </c>
      <c r="T55" s="121">
        <f t="shared" si="69"/>
        <v>562894.36842723214</v>
      </c>
      <c r="U55" s="121">
        <f t="shared" si="21"/>
        <v>26030.478221891255</v>
      </c>
      <c r="V55" s="121">
        <f t="shared" si="69"/>
        <v>957361.11132600019</v>
      </c>
      <c r="W55" s="121">
        <f t="shared" si="69"/>
        <v>44272.192007333324</v>
      </c>
      <c r="X55" s="121">
        <f t="shared" si="69"/>
        <v>1001633.3033333336</v>
      </c>
      <c r="Y55" s="121">
        <f>+X55/S55-1</f>
        <v>0.70078289111496495</v>
      </c>
      <c r="Z55" s="121">
        <f t="shared" ref="Z55:AE55" si="70">SUM(Z4:Z54)</f>
        <v>1458313.4689800618</v>
      </c>
      <c r="AA55" s="121">
        <f t="shared" si="70"/>
        <v>1393856.0136511435</v>
      </c>
      <c r="AB55" s="121">
        <f t="shared" si="25"/>
        <v>64457.455328918724</v>
      </c>
      <c r="AC55" s="121">
        <f t="shared" si="70"/>
        <v>1089242.2423980001</v>
      </c>
      <c r="AD55" s="121">
        <f t="shared" si="70"/>
        <v>50370.900935333339</v>
      </c>
      <c r="AE55" s="121">
        <f t="shared" si="70"/>
        <v>1139613.1433333333</v>
      </c>
      <c r="AF55" s="121">
        <f>+AE55/Z55-1</f>
        <v>-0.21854034295495206</v>
      </c>
      <c r="AG55" s="121">
        <f t="shared" ref="AG55:AL55" si="71">SUM(AG4:AG54)</f>
        <v>1311865.3140037355</v>
      </c>
      <c r="AH55" s="121">
        <f t="shared" si="71"/>
        <v>1253880.8671247705</v>
      </c>
      <c r="AI55" s="121">
        <f t="shared" si="29"/>
        <v>57984.446878965107</v>
      </c>
      <c r="AJ55" s="121">
        <f t="shared" si="71"/>
        <v>888675.17277600011</v>
      </c>
      <c r="AK55" s="121">
        <f t="shared" si="71"/>
        <v>41095.880557333337</v>
      </c>
      <c r="AL55" s="121">
        <f t="shared" si="71"/>
        <v>929771.05333333334</v>
      </c>
      <c r="AM55" s="121">
        <f>+AL55/AG55-1</f>
        <v>-0.29126028151798078</v>
      </c>
      <c r="AN55" s="121">
        <f t="shared" ref="AN55:AS55" si="72">SUM(AN4:AN54)</f>
        <v>1342785.5127797343</v>
      </c>
      <c r="AO55" s="121">
        <f t="shared" si="72"/>
        <v>1283434.3931148704</v>
      </c>
      <c r="AP55" s="121">
        <f t="shared" si="33"/>
        <v>59351.119664864251</v>
      </c>
      <c r="AQ55" s="121">
        <f t="shared" si="72"/>
        <v>1058872.3855740002</v>
      </c>
      <c r="AR55" s="121">
        <f t="shared" si="72"/>
        <v>48966.477759333327</v>
      </c>
      <c r="AS55" s="123">
        <f t="shared" si="72"/>
        <v>1107838.8633333331</v>
      </c>
      <c r="AT55" s="120">
        <f>+AS55/AN55-1</f>
        <v>-0.17496960401369854</v>
      </c>
      <c r="AU55" s="121">
        <f t="shared" ref="AU55:AZ55" si="73">SUM(AU4:AU54)</f>
        <v>1366774.2488037355</v>
      </c>
      <c r="AV55" s="121">
        <f t="shared" si="73"/>
        <v>1306362.8270066106</v>
      </c>
      <c r="AW55" s="18">
        <f t="shared" si="37"/>
        <v>60411.421797125106</v>
      </c>
      <c r="AX55" s="122">
        <f t="shared" si="73"/>
        <v>715878.24132600008</v>
      </c>
      <c r="AY55" s="122">
        <f t="shared" si="73"/>
        <v>33105.062007333327</v>
      </c>
      <c r="AZ55" s="123">
        <f t="shared" si="73"/>
        <v>748983.30333333346</v>
      </c>
      <c r="BA55" s="120">
        <f>+AZ55/AU55-1</f>
        <v>-0.45200657388088883</v>
      </c>
      <c r="BB55" s="121">
        <f t="shared" ref="BB55:BG55" si="74">SUM(BB4:BB54)</f>
        <v>1550547.2405506652</v>
      </c>
      <c r="BC55" s="121">
        <f t="shared" si="74"/>
        <v>1482013.0525183261</v>
      </c>
      <c r="BD55" s="18">
        <f t="shared" si="41"/>
        <v>68534.1880323394</v>
      </c>
      <c r="BE55" s="122">
        <f t="shared" si="74"/>
        <v>0</v>
      </c>
      <c r="BF55" s="122">
        <f t="shared" si="74"/>
        <v>0</v>
      </c>
      <c r="BG55" s="123">
        <f t="shared" si="74"/>
        <v>0</v>
      </c>
      <c r="BH55" s="120">
        <f>+BG55/BB55-1</f>
        <v>-1</v>
      </c>
      <c r="BI55" s="121">
        <f t="shared" ref="BI55:BN55" si="75">SUM(BI4:BI54)</f>
        <v>726380.06059302995</v>
      </c>
      <c r="BJ55" s="121">
        <f t="shared" si="75"/>
        <v>694274.06191481778</v>
      </c>
      <c r="BK55" s="18">
        <f t="shared" si="45"/>
        <v>32105.998678211919</v>
      </c>
      <c r="BL55" s="122">
        <f t="shared" si="75"/>
        <v>0</v>
      </c>
      <c r="BM55" s="122">
        <f t="shared" si="75"/>
        <v>0</v>
      </c>
      <c r="BN55" s="123">
        <f t="shared" si="75"/>
        <v>0</v>
      </c>
      <c r="BO55" s="120">
        <f>+BN55/BI55-1</f>
        <v>-1</v>
      </c>
      <c r="BP55" s="121">
        <f t="shared" ref="BP55:BU55" si="76">SUM(BP4:BP54)</f>
        <v>720700.77386537287</v>
      </c>
      <c r="BQ55" s="121">
        <f t="shared" si="76"/>
        <v>688845.79966052307</v>
      </c>
      <c r="BR55" s="18">
        <f t="shared" si="49"/>
        <v>31854.974204849477</v>
      </c>
      <c r="BS55" s="122">
        <f t="shared" si="76"/>
        <v>0</v>
      </c>
      <c r="BT55" s="122">
        <f t="shared" si="76"/>
        <v>0</v>
      </c>
      <c r="BU55" s="123">
        <f t="shared" si="76"/>
        <v>0</v>
      </c>
      <c r="BV55" s="120">
        <f>+BU55/BP55-1</f>
        <v>-1</v>
      </c>
      <c r="BW55" s="121">
        <f t="shared" ref="BW55:CB55" si="77">SUM(BW4:BW54)</f>
        <v>682112.71436837188</v>
      </c>
      <c r="BX55" s="121">
        <f t="shared" si="77"/>
        <v>651963.33239328966</v>
      </c>
      <c r="BY55" s="18">
        <f t="shared" si="53"/>
        <v>30149.381975082033</v>
      </c>
      <c r="BZ55" s="122">
        <f t="shared" si="77"/>
        <v>0</v>
      </c>
      <c r="CA55" s="122">
        <f t="shared" si="77"/>
        <v>0</v>
      </c>
      <c r="CB55" s="123">
        <f t="shared" si="77"/>
        <v>0</v>
      </c>
      <c r="CC55" s="120">
        <f>+CB55/BW55-1</f>
        <v>-1</v>
      </c>
      <c r="CD55" s="121">
        <f t="shared" ref="CD55:CI55" si="78">SUM(CD4:CD54)</f>
        <v>580291.80907237262</v>
      </c>
      <c r="CE55" s="121">
        <f t="shared" si="78"/>
        <v>554642.91111137369</v>
      </c>
      <c r="CF55" s="18">
        <f t="shared" si="57"/>
        <v>25648.897960998867</v>
      </c>
      <c r="CG55" s="122">
        <f t="shared" si="78"/>
        <v>0</v>
      </c>
      <c r="CH55" s="122">
        <f t="shared" si="78"/>
        <v>0</v>
      </c>
      <c r="CI55" s="123">
        <f t="shared" si="78"/>
        <v>0</v>
      </c>
      <c r="CJ55" s="120">
        <f>+CI55/CD55-1</f>
        <v>-1</v>
      </c>
      <c r="CK55" s="121">
        <f t="shared" ref="CK55:CP55" si="79">SUM(CK4:CK54)</f>
        <v>579368.08584837266</v>
      </c>
      <c r="CL55" s="121">
        <f t="shared" si="79"/>
        <v>553760.01645387453</v>
      </c>
      <c r="CM55" s="18">
        <f t="shared" si="61"/>
        <v>25608.06939449807</v>
      </c>
      <c r="CN55" s="122">
        <f t="shared" si="79"/>
        <v>0</v>
      </c>
      <c r="CO55" s="122">
        <f t="shared" si="79"/>
        <v>0</v>
      </c>
      <c r="CP55" s="123">
        <f t="shared" si="79"/>
        <v>0</v>
      </c>
      <c r="CQ55" s="120">
        <f>+CP55/CK55-1</f>
        <v>-1</v>
      </c>
      <c r="CR55" s="72"/>
      <c r="CS55" s="72"/>
      <c r="CT55" s="72"/>
      <c r="CU55" s="72"/>
    </row>
    <row r="56" spans="1:99" s="26" customFormat="1" ht="16" customHeight="1" thickBot="1" x14ac:dyDescent="0.25">
      <c r="A56" s="125" t="s">
        <v>80</v>
      </c>
      <c r="B56" s="75">
        <f>+L56+S56+Z56+AG56+AN56+AU56+BB56+BI56+BP56+BW56+CD56+CK56</f>
        <v>-166089.96539792386</v>
      </c>
      <c r="C56" s="76">
        <f t="shared" ref="C56:D57" si="80">+M56+T56+AA56+AH56+AO56+AV56+BC56+BJ56+BQ56+BX56+CE56+CL56</f>
        <v>-158748.78892733561</v>
      </c>
      <c r="D56" s="77">
        <f t="shared" si="80"/>
        <v>-7341.1764705882351</v>
      </c>
      <c r="E56" s="75">
        <f>+L56+S56+Z56+AG56</f>
        <v>-55363.321799307952</v>
      </c>
      <c r="F56" s="78">
        <f t="shared" ref="F56:G57" si="81">+M56+T56+AA56+AH56</f>
        <v>-52916.26297577854</v>
      </c>
      <c r="G56" s="79">
        <f t="shared" si="81"/>
        <v>-2447.0588235294113</v>
      </c>
      <c r="H56" s="76">
        <f t="shared" ref="H56:J57" si="82">+O56+V56+AC56+AJ56+AQ56+AX56+BE56+BL56+BS56+BZ56+CG56+CN56</f>
        <v>-64934.203715999996</v>
      </c>
      <c r="I56" s="78">
        <f t="shared" si="82"/>
        <v>-3002.8162839999995</v>
      </c>
      <c r="J56" s="78">
        <f t="shared" si="82"/>
        <v>-67937.02</v>
      </c>
      <c r="K56" s="25">
        <f t="shared" ref="K56:K57" si="83">IF(E56=0,"",(+J56/E56-1))</f>
        <v>0.22711242375000018</v>
      </c>
      <c r="L56" s="23">
        <f>[1]MJ!$E56</f>
        <v>-13840.830449826988</v>
      </c>
      <c r="M56" s="18">
        <f t="shared" ref="M56:M57" si="84">L56-N56</f>
        <v>-13229.065743944635</v>
      </c>
      <c r="N56" s="18">
        <f t="shared" si="17"/>
        <v>-611.76470588235281</v>
      </c>
      <c r="O56" s="18">
        <f t="shared" ref="O56:O57" si="85">+Q56-P56</f>
        <v>0</v>
      </c>
      <c r="P56" s="18">
        <f t="shared" ref="P56:P57" si="86">+Q56*4.42%</f>
        <v>0</v>
      </c>
      <c r="Q56" s="18"/>
      <c r="R56" s="18">
        <f t="shared" ref="R56:R57" si="87">IF(L56=0,"",(+Q56/L56-1))</f>
        <v>-1</v>
      </c>
      <c r="S56" s="18">
        <f>[1]MJ!$F56</f>
        <v>-13840.830449826988</v>
      </c>
      <c r="T56" s="18">
        <f t="shared" ref="T56:T57" si="88">S56-U56</f>
        <v>-13229.065743944635</v>
      </c>
      <c r="U56" s="18">
        <f t="shared" si="21"/>
        <v>-611.76470588235281</v>
      </c>
      <c r="V56" s="18">
        <f t="shared" ref="V56:V57" si="89">+X56-W56</f>
        <v>-13158.938268</v>
      </c>
      <c r="W56" s="18">
        <f t="shared" ref="W56:W57" si="90">+X56*4.42%</f>
        <v>-608.52173199999993</v>
      </c>
      <c r="X56" s="18">
        <v>-13767.46</v>
      </c>
      <c r="Y56" s="18">
        <f>IF(S56=0,"",(+X56/S56-1))</f>
        <v>-5.301014999999909E-3</v>
      </c>
      <c r="Z56" s="18">
        <f>[1]MJ!$G56</f>
        <v>-13840.830449826988</v>
      </c>
      <c r="AA56" s="18">
        <f t="shared" ref="AA56:AA57" si="91">Z56-AB56</f>
        <v>-13229.065743944635</v>
      </c>
      <c r="AB56" s="18">
        <f t="shared" si="25"/>
        <v>-611.76470588235281</v>
      </c>
      <c r="AC56" s="18">
        <f t="shared" ref="AC56:AC57" si="92">+AE56-AD56</f>
        <v>1236.814758</v>
      </c>
      <c r="AD56" s="18">
        <f t="shared" ref="AD56:AD57" si="93">+AE56*4.42%</f>
        <v>57.195241999999993</v>
      </c>
      <c r="AE56" s="18">
        <f>1294.01</f>
        <v>1294.01</v>
      </c>
      <c r="AF56" s="18">
        <f t="shared" ref="AF56:AF57" si="94">IF(Z56=0,"",(+AE56/Z56-1))</f>
        <v>-1.0934922225000001</v>
      </c>
      <c r="AG56" s="18">
        <f>[1]MJ!$H56</f>
        <v>-13840.830449826988</v>
      </c>
      <c r="AH56" s="18">
        <f t="shared" ref="AH56:AH57" si="95">AG56-AI56</f>
        <v>-13229.065743944635</v>
      </c>
      <c r="AI56" s="18">
        <f t="shared" si="29"/>
        <v>-611.76470588235281</v>
      </c>
      <c r="AJ56" s="18">
        <f t="shared" ref="AJ56:AJ57" si="96">+AL56-AK56</f>
        <v>-15028.091189999999</v>
      </c>
      <c r="AK56" s="18">
        <f t="shared" ref="AK56:AK57" si="97">+AL56*4.42%</f>
        <v>-694.95880999999986</v>
      </c>
      <c r="AL56" s="18">
        <f>-17245.98+1522.93</f>
        <v>-15723.05</v>
      </c>
      <c r="AM56" s="18">
        <f t="shared" ref="AM56:AM57" si="98">IF(AG56=0,"",(+AL56/AG56-1))</f>
        <v>0.13599036250000007</v>
      </c>
      <c r="AN56" s="18">
        <f>[1]MJ!$I56</f>
        <v>-13840.830449826988</v>
      </c>
      <c r="AO56" s="18">
        <f t="shared" ref="AO56:AO57" si="99">AN56-AP56</f>
        <v>-13229.065743944635</v>
      </c>
      <c r="AP56" s="18">
        <f t="shared" si="33"/>
        <v>-611.76470588235281</v>
      </c>
      <c r="AQ56" s="18">
        <f t="shared" ref="AQ56:AQ57" si="100">+AS56-AR56</f>
        <v>-30646.847664000001</v>
      </c>
      <c r="AR56" s="18">
        <f t="shared" ref="AR56:AR57" si="101">+AS56*4.42%</f>
        <v>-1417.232336</v>
      </c>
      <c r="AS56" s="20">
        <v>-32064.080000000002</v>
      </c>
      <c r="AT56" s="25">
        <f t="shared" ref="AT56:AT57" si="102">IF(AN56=0,"",(+AS56/AN56-1))</f>
        <v>1.3166297800000004</v>
      </c>
      <c r="AU56" s="23">
        <f>[1]MJ!$J56</f>
        <v>-13840.830449826988</v>
      </c>
      <c r="AV56" s="18">
        <f t="shared" ref="AV56:AV57" si="103">AU56-AW56</f>
        <v>-13229.065743944635</v>
      </c>
      <c r="AW56" s="18">
        <f t="shared" si="37"/>
        <v>-611.76470588235281</v>
      </c>
      <c r="AX56" s="18">
        <f t="shared" ref="AX56:AX57" si="104">+AZ56-AY56</f>
        <v>-7337.1413520000006</v>
      </c>
      <c r="AY56" s="18">
        <f t="shared" ref="AY56:AY57" si="105">+AZ56*4.42%</f>
        <v>-339.29864800000001</v>
      </c>
      <c r="AZ56" s="20">
        <v>-7676.4400000000005</v>
      </c>
      <c r="BA56" s="25">
        <f t="shared" ref="BA56:BA57" si="106">IF(AU56=0,"",(+AZ56/AU56-1))</f>
        <v>-0.44537720999999986</v>
      </c>
      <c r="BB56" s="23">
        <f>[1]MJ!$K56</f>
        <v>-13840.830449826988</v>
      </c>
      <c r="BC56" s="18">
        <f t="shared" ref="BC56:BC57" si="107">BB56-BD56</f>
        <v>-13229.065743944635</v>
      </c>
      <c r="BD56" s="18">
        <f t="shared" si="41"/>
        <v>-611.76470588235281</v>
      </c>
      <c r="BE56" s="18">
        <f t="shared" ref="BE56:BE57" si="108">+BG56-BF56</f>
        <v>0</v>
      </c>
      <c r="BF56" s="18">
        <f t="shared" ref="BF56:BF57" si="109">+BG56*4.42%</f>
        <v>0</v>
      </c>
      <c r="BG56" s="20"/>
      <c r="BH56" s="25">
        <f t="shared" ref="BH56:BH57" si="110">IF(BB56=0,"",(+BG56/BB56-1))</f>
        <v>-1</v>
      </c>
      <c r="BI56" s="23">
        <f>[1]MJ!$L56</f>
        <v>-13840.830449826988</v>
      </c>
      <c r="BJ56" s="18">
        <f t="shared" ref="BJ56:BJ57" si="111">BI56-BK56</f>
        <v>-13229.065743944635</v>
      </c>
      <c r="BK56" s="18">
        <f t="shared" si="45"/>
        <v>-611.76470588235281</v>
      </c>
      <c r="BL56" s="18">
        <f t="shared" ref="BL56:BL57" si="112">+BN56-BM56</f>
        <v>0</v>
      </c>
      <c r="BM56" s="18">
        <f t="shared" ref="BM56:BM57" si="113">+BN56*4.42%</f>
        <v>0</v>
      </c>
      <c r="BN56" s="20"/>
      <c r="BO56" s="25">
        <f t="shared" ref="BO56:BO57" si="114">IF(BI56=0,"",(+BN56/BI56-1))</f>
        <v>-1</v>
      </c>
      <c r="BP56" s="23">
        <f>[1]MJ!$M56</f>
        <v>-13840.830449826988</v>
      </c>
      <c r="BQ56" s="18">
        <f t="shared" ref="BQ56:BQ57" si="115">BP56-BR56</f>
        <v>-13229.065743944635</v>
      </c>
      <c r="BR56" s="18">
        <f t="shared" si="49"/>
        <v>-611.76470588235281</v>
      </c>
      <c r="BS56" s="18">
        <f t="shared" ref="BS56:BS57" si="116">+BU56-BT56</f>
        <v>0</v>
      </c>
      <c r="BT56" s="18">
        <f t="shared" ref="BT56:BT57" si="117">+BU56*4.42%</f>
        <v>0</v>
      </c>
      <c r="BU56" s="20"/>
      <c r="BV56" s="25">
        <f t="shared" ref="BV56:BV57" si="118">IF(BP56=0,"",(+BU56/BP56-1))</f>
        <v>-1</v>
      </c>
      <c r="BW56" s="23">
        <f>[1]MJ!$N56</f>
        <v>-13840.830449826988</v>
      </c>
      <c r="BX56" s="18">
        <f t="shared" ref="BX56:BX57" si="119">BW56-BY56</f>
        <v>-13229.065743944635</v>
      </c>
      <c r="BY56" s="18">
        <f t="shared" si="53"/>
        <v>-611.76470588235281</v>
      </c>
      <c r="BZ56" s="18">
        <f t="shared" ref="BZ56:BZ57" si="120">+CB56-CA56</f>
        <v>0</v>
      </c>
      <c r="CA56" s="18">
        <f t="shared" ref="CA56:CA57" si="121">+CB56*4.42%</f>
        <v>0</v>
      </c>
      <c r="CB56" s="20"/>
      <c r="CC56" s="25">
        <f t="shared" ref="CC56:CC57" si="122">IF(BW56=0,"",(+CB56/BW56-1))</f>
        <v>-1</v>
      </c>
      <c r="CD56" s="23">
        <f>[1]MJ!$O56</f>
        <v>-13840.830449826988</v>
      </c>
      <c r="CE56" s="18">
        <f t="shared" ref="CE56:CE57" si="123">CD56-CF56</f>
        <v>-13229.065743944635</v>
      </c>
      <c r="CF56" s="18">
        <f t="shared" si="57"/>
        <v>-611.76470588235281</v>
      </c>
      <c r="CG56" s="18">
        <f t="shared" ref="CG56:CG57" si="124">+CI56-CH56</f>
        <v>0</v>
      </c>
      <c r="CH56" s="18">
        <f t="shared" ref="CH56:CH57" si="125">+CI56*4.42%</f>
        <v>0</v>
      </c>
      <c r="CI56" s="20"/>
      <c r="CJ56" s="25">
        <f t="shared" ref="CJ56:CJ57" si="126">IF(CD56=0,"",(+CI56/CD56-1))</f>
        <v>-1</v>
      </c>
      <c r="CK56" s="23">
        <f>[1]MJ!$P56</f>
        <v>-13840.830449826988</v>
      </c>
      <c r="CL56" s="18">
        <f t="shared" ref="CL56:CL57" si="127">CK56-CM56</f>
        <v>-13229.065743944635</v>
      </c>
      <c r="CM56" s="18">
        <f t="shared" si="61"/>
        <v>-611.76470588235281</v>
      </c>
      <c r="CN56" s="18">
        <f t="shared" ref="CN56:CN57" si="128">+CP56-CO56</f>
        <v>0</v>
      </c>
      <c r="CO56" s="18">
        <f t="shared" ref="CO56:CO57" si="129">+CP56*4.42%</f>
        <v>0</v>
      </c>
      <c r="CP56" s="20"/>
      <c r="CQ56" s="25">
        <f t="shared" ref="CQ56:CQ57" si="130">IF(CK56=0,"",(+CP56/CK56-1))</f>
        <v>-1</v>
      </c>
    </row>
    <row r="57" spans="1:99" s="26" customFormat="1" ht="16" customHeight="1" thickBot="1" x14ac:dyDescent="0.25">
      <c r="A57" s="126" t="s">
        <v>81</v>
      </c>
      <c r="B57" s="52">
        <f>+L57+S57+Z57+AG57+AN57+AU57+BB57+BI57+BP57+BW57+CD57+CK57</f>
        <v>-55363.321799307967</v>
      </c>
      <c r="C57" s="40">
        <f t="shared" si="80"/>
        <v>-52916.26297577854</v>
      </c>
      <c r="D57" s="51">
        <f t="shared" si="80"/>
        <v>-2447.0588235294122</v>
      </c>
      <c r="E57" s="50">
        <f>+L57+S57+Z57+AG57</f>
        <v>-18454.440599769321</v>
      </c>
      <c r="F57" s="58">
        <f t="shared" si="81"/>
        <v>-17638.754325259517</v>
      </c>
      <c r="G57" s="85">
        <f t="shared" si="81"/>
        <v>-815.68627450980398</v>
      </c>
      <c r="H57" s="57">
        <f t="shared" si="82"/>
        <v>-27376.692659999997</v>
      </c>
      <c r="I57" s="58">
        <f t="shared" si="82"/>
        <v>-1266.0073399999997</v>
      </c>
      <c r="J57" s="58">
        <f t="shared" si="82"/>
        <v>-28642.699999999997</v>
      </c>
      <c r="K57" s="127">
        <f t="shared" si="83"/>
        <v>0.55207630624999982</v>
      </c>
      <c r="L57" s="56">
        <f>[1]MJ!$E57</f>
        <v>-4613.6101499423303</v>
      </c>
      <c r="M57" s="57">
        <f t="shared" si="84"/>
        <v>-4409.6885813148792</v>
      </c>
      <c r="N57" s="57">
        <f t="shared" si="17"/>
        <v>-203.92156862745099</v>
      </c>
      <c r="O57" s="57">
        <f t="shared" si="85"/>
        <v>-17386.967357999998</v>
      </c>
      <c r="P57" s="57">
        <f t="shared" si="86"/>
        <v>-804.04264199999989</v>
      </c>
      <c r="Q57" s="57">
        <v>-18191.009999999998</v>
      </c>
      <c r="R57" s="57">
        <f t="shared" si="87"/>
        <v>2.9429014174999995</v>
      </c>
      <c r="S57" s="57">
        <f>[1]MJ!$F57</f>
        <v>-4613.6101499423303</v>
      </c>
      <c r="T57" s="57">
        <f t="shared" si="88"/>
        <v>-4409.6885813148792</v>
      </c>
      <c r="U57" s="57">
        <f t="shared" si="21"/>
        <v>-203.92156862745099</v>
      </c>
      <c r="V57" s="57">
        <f t="shared" si="89"/>
        <v>-2568.9418919999998</v>
      </c>
      <c r="W57" s="57">
        <f t="shared" si="90"/>
        <v>-118.79810799999998</v>
      </c>
      <c r="X57" s="57">
        <v>-2687.74</v>
      </c>
      <c r="Y57" s="57">
        <f>IF(S57=0,"",(+X57/S57-1))</f>
        <v>-0.41743235500000009</v>
      </c>
      <c r="Z57" s="57">
        <f>[1]MJ!$G57</f>
        <v>-4613.6101499423303</v>
      </c>
      <c r="AA57" s="57">
        <f t="shared" si="91"/>
        <v>-4409.6885813148792</v>
      </c>
      <c r="AB57" s="57">
        <f t="shared" si="25"/>
        <v>-203.92156862745099</v>
      </c>
      <c r="AC57" s="57">
        <f t="shared" si="92"/>
        <v>-11294.812854</v>
      </c>
      <c r="AD57" s="57">
        <f t="shared" si="93"/>
        <v>-522.31714599999987</v>
      </c>
      <c r="AE57" s="57">
        <f>-11817.13</f>
        <v>-11817.13</v>
      </c>
      <c r="AF57" s="57">
        <f t="shared" si="94"/>
        <v>1.5613629274999994</v>
      </c>
      <c r="AG57" s="57">
        <f>[1]MJ!$H57</f>
        <v>-4613.6101499423303</v>
      </c>
      <c r="AH57" s="57">
        <f t="shared" si="95"/>
        <v>-4409.6885813148792</v>
      </c>
      <c r="AI57" s="57">
        <f t="shared" si="29"/>
        <v>-203.92156862745099</v>
      </c>
      <c r="AJ57" s="57">
        <f t="shared" si="96"/>
        <v>0</v>
      </c>
      <c r="AK57" s="57">
        <f t="shared" si="97"/>
        <v>0</v>
      </c>
      <c r="AL57" s="57"/>
      <c r="AM57" s="57">
        <f t="shared" si="98"/>
        <v>-1</v>
      </c>
      <c r="AN57" s="57">
        <f>[1]MJ!$I57</f>
        <v>-4613.6101499423303</v>
      </c>
      <c r="AO57" s="57">
        <f t="shared" si="99"/>
        <v>-4409.6885813148792</v>
      </c>
      <c r="AP57" s="57">
        <f t="shared" si="33"/>
        <v>-203.92156862745099</v>
      </c>
      <c r="AQ57" s="57">
        <f t="shared" si="100"/>
        <v>1636.052418</v>
      </c>
      <c r="AR57" s="57">
        <f t="shared" si="101"/>
        <v>75.657581999999991</v>
      </c>
      <c r="AS57" s="58">
        <v>1711.71</v>
      </c>
      <c r="AT57" s="127">
        <f t="shared" si="102"/>
        <v>-1.3710131424999998</v>
      </c>
      <c r="AU57" s="56">
        <f>[1]MJ!$J57</f>
        <v>-4613.6101499423303</v>
      </c>
      <c r="AV57" s="57">
        <f t="shared" si="103"/>
        <v>-4409.6885813148792</v>
      </c>
      <c r="AW57" s="18">
        <f t="shared" si="37"/>
        <v>-203.92156862745099</v>
      </c>
      <c r="AX57" s="57">
        <f t="shared" si="104"/>
        <v>2237.977026</v>
      </c>
      <c r="AY57" s="57">
        <f t="shared" si="105"/>
        <v>103.49297399999998</v>
      </c>
      <c r="AZ57" s="58">
        <v>2341.4699999999998</v>
      </c>
      <c r="BA57" s="127">
        <f t="shared" si="106"/>
        <v>-1.5075136224999999</v>
      </c>
      <c r="BB57" s="56">
        <f>[1]MJ!$K57</f>
        <v>-4613.6101499423303</v>
      </c>
      <c r="BC57" s="57">
        <f t="shared" si="107"/>
        <v>-4409.6885813148792</v>
      </c>
      <c r="BD57" s="18">
        <f t="shared" si="41"/>
        <v>-203.92156862745099</v>
      </c>
      <c r="BE57" s="57">
        <f t="shared" si="108"/>
        <v>0</v>
      </c>
      <c r="BF57" s="57">
        <f t="shared" si="109"/>
        <v>0</v>
      </c>
      <c r="BG57" s="58"/>
      <c r="BH57" s="127">
        <f t="shared" si="110"/>
        <v>-1</v>
      </c>
      <c r="BI57" s="56">
        <f>[1]MJ!$L57</f>
        <v>-4613.6101499423303</v>
      </c>
      <c r="BJ57" s="57">
        <f t="shared" si="111"/>
        <v>-4409.6885813148792</v>
      </c>
      <c r="BK57" s="18">
        <f t="shared" si="45"/>
        <v>-203.92156862745099</v>
      </c>
      <c r="BL57" s="57">
        <f t="shared" si="112"/>
        <v>0</v>
      </c>
      <c r="BM57" s="57">
        <f t="shared" si="113"/>
        <v>0</v>
      </c>
      <c r="BN57" s="58"/>
      <c r="BO57" s="127">
        <f t="shared" si="114"/>
        <v>-1</v>
      </c>
      <c r="BP57" s="56">
        <f>[1]MJ!$M57</f>
        <v>-4613.6101499423303</v>
      </c>
      <c r="BQ57" s="57">
        <f t="shared" si="115"/>
        <v>-4409.6885813148792</v>
      </c>
      <c r="BR57" s="18">
        <f t="shared" si="49"/>
        <v>-203.92156862745099</v>
      </c>
      <c r="BS57" s="57">
        <f t="shared" si="116"/>
        <v>0</v>
      </c>
      <c r="BT57" s="57">
        <f t="shared" si="117"/>
        <v>0</v>
      </c>
      <c r="BU57" s="58"/>
      <c r="BV57" s="127">
        <f t="shared" si="118"/>
        <v>-1</v>
      </c>
      <c r="BW57" s="56">
        <f>[1]MJ!$N57</f>
        <v>-4613.6101499423303</v>
      </c>
      <c r="BX57" s="57">
        <f t="shared" si="119"/>
        <v>-4409.6885813148792</v>
      </c>
      <c r="BY57" s="18">
        <f t="shared" si="53"/>
        <v>-203.92156862745099</v>
      </c>
      <c r="BZ57" s="57">
        <f t="shared" si="120"/>
        <v>0</v>
      </c>
      <c r="CA57" s="57">
        <f t="shared" si="121"/>
        <v>0</v>
      </c>
      <c r="CB57" s="58"/>
      <c r="CC57" s="127">
        <f t="shared" si="122"/>
        <v>-1</v>
      </c>
      <c r="CD57" s="56">
        <f>[1]MJ!$O57</f>
        <v>-4613.6101499423303</v>
      </c>
      <c r="CE57" s="57">
        <f t="shared" si="123"/>
        <v>-4409.6885813148792</v>
      </c>
      <c r="CF57" s="18">
        <f t="shared" si="57"/>
        <v>-203.92156862745099</v>
      </c>
      <c r="CG57" s="57">
        <f t="shared" si="124"/>
        <v>0</v>
      </c>
      <c r="CH57" s="57">
        <f t="shared" si="125"/>
        <v>0</v>
      </c>
      <c r="CI57" s="58"/>
      <c r="CJ57" s="127">
        <f t="shared" si="126"/>
        <v>-1</v>
      </c>
      <c r="CK57" s="56">
        <f>[1]MJ!$P57</f>
        <v>-4613.6101499423303</v>
      </c>
      <c r="CL57" s="57">
        <f t="shared" si="127"/>
        <v>-4409.6885813148792</v>
      </c>
      <c r="CM57" s="18">
        <f t="shared" si="61"/>
        <v>-203.92156862745099</v>
      </c>
      <c r="CN57" s="57">
        <f t="shared" si="128"/>
        <v>0</v>
      </c>
      <c r="CO57" s="57">
        <f t="shared" si="129"/>
        <v>0</v>
      </c>
      <c r="CP57" s="58"/>
      <c r="CQ57" s="127">
        <f t="shared" si="130"/>
        <v>-1</v>
      </c>
    </row>
    <row r="58" spans="1:99" s="26" customFormat="1" ht="16" customHeight="1" thickBot="1" x14ac:dyDescent="0.25">
      <c r="A58" s="131" t="s">
        <v>82</v>
      </c>
      <c r="B58" s="89">
        <f>+B55+B56+B57</f>
        <v>12019980.0694481</v>
      </c>
      <c r="C58" s="90">
        <f t="shared" ref="C58:D58" si="131">+C55+C56+C57</f>
        <v>11488696.950378492</v>
      </c>
      <c r="D58" s="91">
        <f t="shared" si="131"/>
        <v>531283.11906960583</v>
      </c>
      <c r="E58" s="92">
        <f t="shared" ref="E58:J58" si="132">SUM(E55:E57)</f>
        <v>4618655.1483645989</v>
      </c>
      <c r="F58" s="93">
        <f t="shared" si="132"/>
        <v>4414510.5908068838</v>
      </c>
      <c r="G58" s="94">
        <f t="shared" si="132"/>
        <v>204144.55755771534</v>
      </c>
      <c r="H58" s="95">
        <f t="shared" si="132"/>
        <v>5584587.9248160012</v>
      </c>
      <c r="I58" s="96">
        <f t="shared" si="132"/>
        <v>258253.59518399998</v>
      </c>
      <c r="J58" s="96">
        <f t="shared" si="132"/>
        <v>5842841.5200000005</v>
      </c>
      <c r="K58" s="132">
        <f>+J58/E55-1</f>
        <v>0.24515189136150117</v>
      </c>
      <c r="L58" s="133">
        <f t="shared" ref="L58:Q58" si="133">SUM(L55:L57)</f>
        <v>1314914.8405309864</v>
      </c>
      <c r="M58" s="133">
        <f t="shared" si="133"/>
        <v>1256795.6045795172</v>
      </c>
      <c r="N58" s="133">
        <f t="shared" si="17"/>
        <v>58119.235951469593</v>
      </c>
      <c r="O58" s="133">
        <f t="shared" si="133"/>
        <v>949482.700434</v>
      </c>
      <c r="P58" s="133">
        <f t="shared" si="133"/>
        <v>43907.862899333319</v>
      </c>
      <c r="Q58" s="133">
        <f t="shared" si="133"/>
        <v>993390.56333333335</v>
      </c>
      <c r="R58" s="133">
        <f>+Q58/L55-1</f>
        <v>-0.25497716394748915</v>
      </c>
      <c r="S58" s="133">
        <f t="shared" ref="S58:X58" si="134">SUM(S55:S57)</f>
        <v>570470.40604935412</v>
      </c>
      <c r="T58" s="133">
        <f t="shared" si="134"/>
        <v>545255.61410197266</v>
      </c>
      <c r="U58" s="133">
        <f t="shared" si="21"/>
        <v>25214.791947381451</v>
      </c>
      <c r="V58" s="133">
        <f t="shared" si="134"/>
        <v>941633.23116600013</v>
      </c>
      <c r="W58" s="133">
        <f t="shared" si="134"/>
        <v>43544.87216733332</v>
      </c>
      <c r="X58" s="133">
        <f t="shared" si="134"/>
        <v>985178.10333333362</v>
      </c>
      <c r="Y58" s="133">
        <f>+X58/S55-1</f>
        <v>0.67284180475457944</v>
      </c>
      <c r="Z58" s="133">
        <f t="shared" ref="Z58:AE58" si="135">SUM(Z55:Z57)</f>
        <v>1439859.0283802925</v>
      </c>
      <c r="AA58" s="133">
        <f t="shared" si="135"/>
        <v>1376217.259325884</v>
      </c>
      <c r="AB58" s="133">
        <f t="shared" si="25"/>
        <v>63641.76905440892</v>
      </c>
      <c r="AC58" s="133">
        <f t="shared" si="135"/>
        <v>1079184.2443020002</v>
      </c>
      <c r="AD58" s="133">
        <f t="shared" si="135"/>
        <v>49905.779031333339</v>
      </c>
      <c r="AE58" s="133">
        <f t="shared" si="135"/>
        <v>1129090.0233333334</v>
      </c>
      <c r="AF58" s="133">
        <f>+AE58/Z55-1</f>
        <v>-0.22575629495967409</v>
      </c>
      <c r="AG58" s="133">
        <f t="shared" ref="AG58:AL58" si="136">SUM(AG55:AG57)</f>
        <v>1293410.8734039662</v>
      </c>
      <c r="AH58" s="133">
        <f t="shared" si="136"/>
        <v>1236242.1127995111</v>
      </c>
      <c r="AI58" s="133">
        <f t="shared" si="29"/>
        <v>57168.760604455303</v>
      </c>
      <c r="AJ58" s="133">
        <f t="shared" si="136"/>
        <v>873647.08158600016</v>
      </c>
      <c r="AK58" s="133">
        <f t="shared" si="136"/>
        <v>40400.921747333341</v>
      </c>
      <c r="AL58" s="133">
        <f t="shared" si="136"/>
        <v>914048.0033333333</v>
      </c>
      <c r="AM58" s="133">
        <f>+AL58/AG55-1</f>
        <v>-0.30324554390136838</v>
      </c>
      <c r="AN58" s="133">
        <f t="shared" ref="AN58:AS58" si="137">SUM(AN55:AN57)</f>
        <v>1324331.072179965</v>
      </c>
      <c r="AO58" s="133">
        <f t="shared" si="137"/>
        <v>1265795.6387896109</v>
      </c>
      <c r="AP58" s="133">
        <f t="shared" si="33"/>
        <v>58535.433390354447</v>
      </c>
      <c r="AQ58" s="133">
        <f t="shared" si="137"/>
        <v>1029861.5903280001</v>
      </c>
      <c r="AR58" s="133">
        <f t="shared" si="137"/>
        <v>47624.903005333326</v>
      </c>
      <c r="AS58" s="96">
        <f t="shared" si="137"/>
        <v>1077486.4933333329</v>
      </c>
      <c r="AT58" s="132">
        <f>+AS58/AN55-1</f>
        <v>-0.19757363847126941</v>
      </c>
      <c r="AU58" s="133">
        <f t="shared" ref="AU58:AZ58" si="138">SUM(AU55:AU57)</f>
        <v>1348319.8082039661</v>
      </c>
      <c r="AV58" s="133">
        <f t="shared" si="138"/>
        <v>1288724.0726813511</v>
      </c>
      <c r="AW58" s="18">
        <f t="shared" si="37"/>
        <v>59595.735522615294</v>
      </c>
      <c r="AX58" s="133">
        <f t="shared" si="138"/>
        <v>710779.07700000016</v>
      </c>
      <c r="AY58" s="95">
        <f t="shared" si="138"/>
        <v>32869.256333333324</v>
      </c>
      <c r="AZ58" s="96">
        <f t="shared" si="138"/>
        <v>743648.33333333349</v>
      </c>
      <c r="BA58" s="132">
        <f>+AZ58/AU55-1</f>
        <v>-0.45590990320149127</v>
      </c>
      <c r="BB58" s="133">
        <f t="shared" ref="BB58:BG58" si="139">SUM(BB55:BB57)</f>
        <v>1532092.7999508958</v>
      </c>
      <c r="BC58" s="133">
        <f t="shared" si="139"/>
        <v>1464374.2981930666</v>
      </c>
      <c r="BD58" s="18">
        <f t="shared" si="41"/>
        <v>67718.501757829596</v>
      </c>
      <c r="BE58" s="95">
        <f t="shared" si="139"/>
        <v>0</v>
      </c>
      <c r="BF58" s="95">
        <f t="shared" si="139"/>
        <v>0</v>
      </c>
      <c r="BG58" s="96">
        <f t="shared" si="139"/>
        <v>0</v>
      </c>
      <c r="BH58" s="132">
        <f>+BG58/BB55-1</f>
        <v>-1</v>
      </c>
      <c r="BI58" s="133">
        <f t="shared" ref="BI58:BN58" si="140">SUM(BI55:BI57)</f>
        <v>707925.6199932606</v>
      </c>
      <c r="BJ58" s="133">
        <f t="shared" si="140"/>
        <v>676635.3075895583</v>
      </c>
      <c r="BK58" s="18">
        <f t="shared" si="45"/>
        <v>31290.312403702115</v>
      </c>
      <c r="BL58" s="95">
        <f t="shared" si="140"/>
        <v>0</v>
      </c>
      <c r="BM58" s="95">
        <f t="shared" si="140"/>
        <v>0</v>
      </c>
      <c r="BN58" s="96">
        <f t="shared" si="140"/>
        <v>0</v>
      </c>
      <c r="BO58" s="132">
        <f>+BN58/BI55-1</f>
        <v>-1</v>
      </c>
      <c r="BP58" s="133">
        <f t="shared" ref="BP58:BU58" si="141">SUM(BP55:BP57)</f>
        <v>702246.33326560352</v>
      </c>
      <c r="BQ58" s="133">
        <f t="shared" si="141"/>
        <v>671207.0453352636</v>
      </c>
      <c r="BR58" s="18">
        <f t="shared" si="49"/>
        <v>31039.287930339673</v>
      </c>
      <c r="BS58" s="95">
        <f t="shared" si="141"/>
        <v>0</v>
      </c>
      <c r="BT58" s="95">
        <f t="shared" si="141"/>
        <v>0</v>
      </c>
      <c r="BU58" s="96">
        <f t="shared" si="141"/>
        <v>0</v>
      </c>
      <c r="BV58" s="132">
        <f>+BU58/BP55-1</f>
        <v>-1</v>
      </c>
      <c r="BW58" s="133">
        <f t="shared" ref="BW58:CB58" si="142">SUM(BW55:BW57)</f>
        <v>663658.27376860252</v>
      </c>
      <c r="BX58" s="133">
        <f t="shared" si="142"/>
        <v>634324.57806803018</v>
      </c>
      <c r="BY58" s="18">
        <f t="shared" si="53"/>
        <v>29333.695700572229</v>
      </c>
      <c r="BZ58" s="95">
        <f t="shared" si="142"/>
        <v>0</v>
      </c>
      <c r="CA58" s="95">
        <f t="shared" si="142"/>
        <v>0</v>
      </c>
      <c r="CB58" s="96">
        <f t="shared" si="142"/>
        <v>0</v>
      </c>
      <c r="CC58" s="132">
        <f>+CB58/BW55-1</f>
        <v>-1</v>
      </c>
      <c r="CD58" s="133">
        <f t="shared" ref="CD58:CI58" si="143">SUM(CD55:CD57)</f>
        <v>561837.36847260327</v>
      </c>
      <c r="CE58" s="133">
        <f t="shared" si="143"/>
        <v>537004.15678611421</v>
      </c>
      <c r="CF58" s="18">
        <f t="shared" si="57"/>
        <v>24833.211686489063</v>
      </c>
      <c r="CG58" s="95">
        <f t="shared" si="143"/>
        <v>0</v>
      </c>
      <c r="CH58" s="95">
        <f t="shared" si="143"/>
        <v>0</v>
      </c>
      <c r="CI58" s="96">
        <f t="shared" si="143"/>
        <v>0</v>
      </c>
      <c r="CJ58" s="132">
        <f>+CI58/CD55-1</f>
        <v>-1</v>
      </c>
      <c r="CK58" s="133">
        <f t="shared" ref="CK58:CP58" si="144">SUM(CK55:CK57)</f>
        <v>560913.64524860331</v>
      </c>
      <c r="CL58" s="133">
        <f t="shared" si="144"/>
        <v>536121.26212861505</v>
      </c>
      <c r="CM58" s="18">
        <f t="shared" si="61"/>
        <v>24792.383119988262</v>
      </c>
      <c r="CN58" s="95">
        <f t="shared" si="144"/>
        <v>0</v>
      </c>
      <c r="CO58" s="95">
        <f t="shared" si="144"/>
        <v>0</v>
      </c>
      <c r="CP58" s="96">
        <f t="shared" si="144"/>
        <v>0</v>
      </c>
      <c r="CQ58" s="132">
        <f>+CP58/CK55-1</f>
        <v>-1</v>
      </c>
    </row>
    <row r="59" spans="1:99" s="174" customFormat="1" ht="14.25" customHeight="1" x14ac:dyDescent="0.2">
      <c r="B59" s="139"/>
      <c r="C59" s="139"/>
      <c r="D59" s="139"/>
      <c r="J59" s="139">
        <f>J58-[2]MONJOLINHO!$N$57</f>
        <v>1821134.8266666671</v>
      </c>
      <c r="L59" s="175"/>
      <c r="M59" s="175"/>
      <c r="N59" s="175"/>
      <c r="O59" s="175"/>
      <c r="P59" s="175"/>
      <c r="Q59" s="175">
        <f>+Q58-[2]MONJOLINHO!$N$120</f>
        <v>0</v>
      </c>
      <c r="R59" s="175"/>
      <c r="S59" s="175"/>
      <c r="T59" s="175"/>
      <c r="U59" s="175"/>
      <c r="V59" s="175"/>
      <c r="W59" s="175"/>
      <c r="X59" s="175">
        <f>+X58-[2]MONJOLINHO!$N$180</f>
        <v>0</v>
      </c>
      <c r="Y59" s="175"/>
      <c r="Z59" s="175"/>
      <c r="AA59" s="175"/>
      <c r="AB59" s="175"/>
      <c r="AC59" s="175"/>
      <c r="AD59" s="175"/>
      <c r="AE59" s="175">
        <f>AE58-[2]MONJOLINHO!$N$240</f>
        <v>0</v>
      </c>
      <c r="AF59" s="175"/>
      <c r="AG59" s="175"/>
      <c r="AH59" s="175"/>
      <c r="AI59" s="175"/>
      <c r="AJ59" s="175"/>
      <c r="AK59" s="175"/>
      <c r="AL59" s="175">
        <f>AL58-[2]MONJOLINHO!$N$302</f>
        <v>0</v>
      </c>
      <c r="AM59" s="175"/>
      <c r="AN59" s="175"/>
      <c r="AO59" s="175"/>
      <c r="AP59" s="175"/>
      <c r="AQ59" s="175"/>
      <c r="AR59" s="175"/>
      <c r="AS59" s="175">
        <f>AS58-[3]MONJOLINHO!$N$357</f>
        <v>1077486.4933333329</v>
      </c>
      <c r="AT59" s="175"/>
      <c r="AU59" s="175"/>
      <c r="AV59" s="175"/>
      <c r="AW59" s="175"/>
      <c r="AX59" s="175"/>
      <c r="AY59" s="175"/>
      <c r="AZ59" s="175">
        <f>AZ58-[3]MONJOLINHO!$N$417</f>
        <v>743648.33333333349</v>
      </c>
      <c r="BA59" s="175"/>
      <c r="BB59" s="175"/>
      <c r="BC59" s="175"/>
      <c r="BD59" s="175"/>
      <c r="BE59" s="175"/>
      <c r="BF59" s="175"/>
      <c r="BG59" s="175">
        <f>BG58-[3]MONJOLINHO!$N$477</f>
        <v>0</v>
      </c>
      <c r="BH59" s="175"/>
      <c r="BI59" s="175"/>
      <c r="BJ59" s="175"/>
      <c r="BK59" s="175"/>
      <c r="BL59" s="175"/>
      <c r="BM59" s="175"/>
      <c r="BN59" s="175">
        <f>BN58-[3]MONJOLINHO!$N$537</f>
        <v>0</v>
      </c>
      <c r="BO59" s="175"/>
      <c r="BP59" s="175"/>
      <c r="BQ59" s="175"/>
      <c r="BR59" s="175"/>
      <c r="BS59" s="175"/>
      <c r="BT59" s="175"/>
      <c r="BU59" s="175">
        <f>BU58-[3]MONJOLINHO!$N$597</f>
        <v>0</v>
      </c>
      <c r="BV59" s="175"/>
      <c r="BW59" s="175"/>
      <c r="BX59" s="175"/>
      <c r="BY59" s="175"/>
      <c r="BZ59" s="175"/>
      <c r="CA59" s="175"/>
      <c r="CB59" s="175">
        <f>CB58-[3]MONJOLINHO!$N$657</f>
        <v>0</v>
      </c>
      <c r="CC59" s="175"/>
      <c r="CD59" s="175"/>
      <c r="CE59" s="175"/>
      <c r="CF59" s="175"/>
      <c r="CG59" s="175"/>
      <c r="CH59" s="175"/>
      <c r="CI59" s="175">
        <f>CI58-[3]MONJOLINHO!$N$717</f>
        <v>0</v>
      </c>
      <c r="CJ59" s="175"/>
      <c r="CK59" s="175"/>
      <c r="CL59" s="175"/>
      <c r="CM59" s="175"/>
      <c r="CN59" s="175"/>
      <c r="CO59" s="175"/>
      <c r="CP59" s="175">
        <f>CP58-[3]MONJOLINHO!$N$777</f>
        <v>0</v>
      </c>
      <c r="CQ59" s="175"/>
    </row>
    <row r="60" spans="1:99" ht="14.25" customHeight="1" x14ac:dyDescent="0.2">
      <c r="L60" s="241" t="s">
        <v>83</v>
      </c>
      <c r="M60" s="242"/>
      <c r="N60" s="242"/>
      <c r="O60" s="242"/>
      <c r="P60" s="242"/>
      <c r="Q60" s="243"/>
      <c r="R60" s="244"/>
      <c r="S60" s="241" t="s">
        <v>83</v>
      </c>
      <c r="T60" s="242"/>
      <c r="U60" s="242"/>
      <c r="V60" s="242"/>
      <c r="W60" s="242"/>
      <c r="X60" s="243"/>
      <c r="Y60" s="244"/>
      <c r="Z60" s="241" t="s">
        <v>83</v>
      </c>
      <c r="AA60" s="242"/>
      <c r="AB60" s="242"/>
      <c r="AC60" s="242"/>
      <c r="AD60" s="242"/>
      <c r="AE60" s="243"/>
      <c r="AF60" s="244"/>
      <c r="AG60" s="241" t="s">
        <v>83</v>
      </c>
      <c r="AH60" s="242"/>
      <c r="AI60" s="242"/>
      <c r="AJ60" s="242"/>
      <c r="AK60" s="242"/>
      <c r="AL60" s="243"/>
      <c r="AM60" s="244"/>
      <c r="AN60" s="241" t="s">
        <v>83</v>
      </c>
      <c r="AO60" s="242"/>
      <c r="AP60" s="242"/>
      <c r="AQ60" s="242"/>
      <c r="AR60" s="242"/>
      <c r="AS60" s="243"/>
      <c r="AT60" s="244"/>
      <c r="AU60" s="241" t="s">
        <v>83</v>
      </c>
      <c r="AV60" s="242"/>
      <c r="AW60" s="242"/>
      <c r="AX60" s="242"/>
      <c r="AY60" s="242"/>
      <c r="AZ60" s="243"/>
      <c r="BA60" s="244"/>
      <c r="BB60" s="241" t="s">
        <v>83</v>
      </c>
      <c r="BC60" s="242"/>
      <c r="BD60" s="242"/>
      <c r="BE60" s="242"/>
      <c r="BF60" s="242"/>
      <c r="BG60" s="243"/>
      <c r="BH60" s="244"/>
      <c r="BI60" s="241" t="s">
        <v>83</v>
      </c>
      <c r="BJ60" s="242"/>
      <c r="BK60" s="242"/>
      <c r="BL60" s="242"/>
      <c r="BM60" s="242"/>
      <c r="BN60" s="243"/>
      <c r="BO60" s="244"/>
      <c r="BP60" s="241" t="s">
        <v>83</v>
      </c>
      <c r="BQ60" s="242"/>
      <c r="BR60" s="242"/>
      <c r="BS60" s="242"/>
      <c r="BT60" s="242"/>
      <c r="BU60" s="243"/>
      <c r="BV60" s="244"/>
      <c r="BW60" s="241" t="s">
        <v>83</v>
      </c>
      <c r="BX60" s="242"/>
      <c r="BY60" s="242"/>
      <c r="BZ60" s="242"/>
      <c r="CA60" s="242"/>
      <c r="CB60" s="243"/>
      <c r="CC60" s="244"/>
      <c r="CD60" s="241" t="s">
        <v>83</v>
      </c>
      <c r="CE60" s="242"/>
      <c r="CF60" s="242"/>
      <c r="CG60" s="242"/>
      <c r="CH60" s="242"/>
      <c r="CI60" s="243"/>
      <c r="CJ60" s="244"/>
      <c r="CK60" s="241" t="s">
        <v>83</v>
      </c>
      <c r="CL60" s="242"/>
      <c r="CM60" s="242"/>
      <c r="CN60" s="242"/>
      <c r="CO60" s="242"/>
      <c r="CP60" s="243"/>
      <c r="CQ60" s="244"/>
    </row>
    <row r="61" spans="1:99" ht="14.25" customHeight="1" x14ac:dyDescent="0.2">
      <c r="L61" s="107" t="s">
        <v>84</v>
      </c>
      <c r="M61" s="108"/>
      <c r="N61" s="108"/>
      <c r="O61" s="108"/>
      <c r="P61" s="108"/>
      <c r="Q61" s="109"/>
      <c r="R61" s="114">
        <f>14.79+919.73+53.3+4.61+85.99+3.49+830.27+244.38+130.33+436.39+51.78+8.73+7.45+47.49+541.49+65.79+1.24+919.73+7.65+830.57+4.4</f>
        <v>5209.5999999999985</v>
      </c>
      <c r="S61" s="107" t="s">
        <v>84</v>
      </c>
      <c r="T61" s="108"/>
      <c r="U61" s="108"/>
      <c r="V61" s="108"/>
      <c r="W61" s="108"/>
      <c r="X61" s="109"/>
      <c r="Y61" s="114">
        <f>20.95+16.08+25.6+86+19.49+17.46+893.84+56.1+439.38+84.57+5.83+31.42+919.73+104.73+4.61+30.58+3.49+9.31+436.39+8.73</f>
        <v>3214.2899999999995</v>
      </c>
      <c r="Z61" s="107" t="s">
        <v>84</v>
      </c>
      <c r="AA61" s="108"/>
      <c r="AB61" s="108"/>
      <c r="AC61" s="108"/>
      <c r="AD61" s="108"/>
      <c r="AE61" s="109"/>
      <c r="AF61" s="114">
        <f>21.53+4.61+23.23+3.49+139.64+436.39+45.52+919.73+12.8+47.62+377.03+65.85</f>
        <v>2097.4399999999996</v>
      </c>
      <c r="AG61" s="107" t="s">
        <v>84</v>
      </c>
      <c r="AH61" s="108"/>
      <c r="AI61" s="108"/>
      <c r="AJ61" s="108"/>
      <c r="AK61" s="108"/>
      <c r="AL61" s="109"/>
      <c r="AM61" s="114">
        <f>14.08+4.61+244.38+33.7+6.06+3.49+848.63+436.39+8.73+195.5+38.4+43.15+494.37+58.38+919.73+21.53</f>
        <v>3371.1300000000006</v>
      </c>
      <c r="AN61" s="107"/>
      <c r="AO61" s="108"/>
      <c r="AP61" s="108"/>
      <c r="AQ61" s="108"/>
      <c r="AR61" s="108"/>
      <c r="AS61" s="109"/>
      <c r="AT61" s="114"/>
      <c r="AU61" s="107"/>
      <c r="AV61" s="108"/>
      <c r="AW61" s="108"/>
      <c r="AX61" s="108"/>
      <c r="AY61" s="108"/>
      <c r="AZ61" s="109"/>
      <c r="BA61" s="114"/>
      <c r="BB61" s="107"/>
      <c r="BC61" s="108"/>
      <c r="BD61" s="108"/>
      <c r="BE61" s="108"/>
      <c r="BF61" s="108"/>
      <c r="BG61" s="109"/>
      <c r="BH61" s="114"/>
      <c r="BI61" s="107"/>
      <c r="BJ61" s="108"/>
      <c r="BK61" s="108"/>
      <c r="BL61" s="108"/>
      <c r="BM61" s="108"/>
      <c r="BN61" s="109"/>
      <c r="BO61" s="114"/>
      <c r="BP61" s="107"/>
      <c r="BQ61" s="108"/>
      <c r="BR61" s="108"/>
      <c r="BS61" s="108"/>
      <c r="BT61" s="108"/>
      <c r="BU61" s="109"/>
      <c r="BV61" s="114"/>
      <c r="BW61" s="107"/>
      <c r="BX61" s="108"/>
      <c r="BY61" s="108"/>
      <c r="BZ61" s="108"/>
      <c r="CA61" s="108"/>
      <c r="CB61" s="109"/>
      <c r="CC61" s="114"/>
      <c r="CD61" s="107"/>
      <c r="CE61" s="108"/>
      <c r="CF61" s="108"/>
      <c r="CG61" s="108"/>
      <c r="CH61" s="108"/>
      <c r="CI61" s="109"/>
      <c r="CJ61" s="114"/>
      <c r="CK61" s="107"/>
      <c r="CL61" s="108"/>
      <c r="CM61" s="108"/>
      <c r="CN61" s="108"/>
      <c r="CO61" s="108"/>
      <c r="CP61" s="109"/>
      <c r="CQ61" s="114"/>
    </row>
    <row r="62" spans="1:99" ht="14.25" customHeight="1" x14ac:dyDescent="0.2">
      <c r="L62" s="107" t="s">
        <v>86</v>
      </c>
      <c r="M62" s="108"/>
      <c r="N62" s="108"/>
      <c r="O62" s="108"/>
      <c r="P62" s="108"/>
      <c r="Q62" s="109"/>
      <c r="R62" s="114">
        <f>522.02</f>
        <v>522.02</v>
      </c>
      <c r="S62" s="107" t="s">
        <v>86</v>
      </c>
      <c r="T62" s="108"/>
      <c r="U62" s="108"/>
      <c r="V62" s="108"/>
      <c r="W62" s="108"/>
      <c r="X62" s="109"/>
      <c r="Y62" s="114">
        <f>412.01</f>
        <v>412.01</v>
      </c>
      <c r="Z62" s="107" t="s">
        <v>86</v>
      </c>
      <c r="AA62" s="108"/>
      <c r="AB62" s="108"/>
      <c r="AC62" s="108"/>
      <c r="AD62" s="108"/>
      <c r="AE62" s="109"/>
      <c r="AF62" s="114">
        <f>533.74</f>
        <v>533.74</v>
      </c>
      <c r="AG62" s="107" t="s">
        <v>86</v>
      </c>
      <c r="AH62" s="108"/>
      <c r="AI62" s="108"/>
      <c r="AJ62" s="108"/>
      <c r="AK62" s="108"/>
      <c r="AL62" s="109"/>
      <c r="AM62" s="114">
        <f>498.16</f>
        <v>498.16</v>
      </c>
      <c r="AN62" s="107"/>
      <c r="AO62" s="108"/>
      <c r="AP62" s="108"/>
      <c r="AQ62" s="108"/>
      <c r="AR62" s="108"/>
      <c r="AS62" s="109"/>
      <c r="AT62" s="114"/>
      <c r="AU62" s="107"/>
      <c r="AV62" s="108"/>
      <c r="AW62" s="108"/>
      <c r="AX62" s="108"/>
      <c r="AY62" s="108"/>
      <c r="AZ62" s="109"/>
      <c r="BA62" s="114"/>
      <c r="BB62" s="107"/>
      <c r="BC62" s="108"/>
      <c r="BD62" s="108"/>
      <c r="BE62" s="108"/>
      <c r="BF62" s="108"/>
      <c r="BG62" s="109"/>
      <c r="BH62" s="114"/>
      <c r="BI62" s="107"/>
      <c r="BJ62" s="108"/>
      <c r="BK62" s="108"/>
      <c r="BL62" s="108"/>
      <c r="BM62" s="108"/>
      <c r="BN62" s="109"/>
      <c r="BO62" s="114"/>
      <c r="BP62" s="107"/>
      <c r="BQ62" s="108"/>
      <c r="BR62" s="108"/>
      <c r="BS62" s="108"/>
      <c r="BT62" s="108"/>
      <c r="BU62" s="109"/>
      <c r="BV62" s="114"/>
      <c r="BW62" s="107"/>
      <c r="BX62" s="108"/>
      <c r="BY62" s="108"/>
      <c r="BZ62" s="108"/>
      <c r="CA62" s="108"/>
      <c r="CB62" s="109"/>
      <c r="CC62" s="114"/>
      <c r="CD62" s="107"/>
      <c r="CE62" s="108"/>
      <c r="CF62" s="108"/>
      <c r="CG62" s="108"/>
      <c r="CH62" s="108"/>
      <c r="CI62" s="109"/>
      <c r="CJ62" s="114"/>
      <c r="CK62" s="107"/>
      <c r="CL62" s="108"/>
      <c r="CM62" s="108"/>
      <c r="CN62" s="108"/>
      <c r="CO62" s="108"/>
      <c r="CP62" s="109"/>
      <c r="CQ62" s="114"/>
    </row>
    <row r="63" spans="1:99" ht="14.25" customHeight="1" x14ac:dyDescent="0.2">
      <c r="L63" s="107" t="s">
        <v>87</v>
      </c>
      <c r="M63" s="108"/>
      <c r="N63" s="108"/>
      <c r="O63" s="108"/>
      <c r="P63" s="108"/>
      <c r="Q63" s="109"/>
      <c r="R63" s="114">
        <f>407.82</f>
        <v>407.82</v>
      </c>
      <c r="S63" s="107" t="s">
        <v>87</v>
      </c>
      <c r="T63" s="108"/>
      <c r="U63" s="108"/>
      <c r="V63" s="108"/>
      <c r="W63" s="108"/>
      <c r="X63" s="109"/>
      <c r="Y63" s="110">
        <f>827.94</f>
        <v>827.94</v>
      </c>
      <c r="Z63" s="107" t="s">
        <v>87</v>
      </c>
      <c r="AA63" s="108"/>
      <c r="AB63" s="108"/>
      <c r="AC63" s="108"/>
      <c r="AD63" s="108"/>
      <c r="AE63" s="109"/>
      <c r="AF63" s="110">
        <f>448.74</f>
        <v>448.74</v>
      </c>
      <c r="AG63" s="107" t="s">
        <v>87</v>
      </c>
      <c r="AH63" s="108"/>
      <c r="AI63" s="108"/>
      <c r="AJ63" s="108"/>
      <c r="AK63" s="108"/>
      <c r="AL63" s="109"/>
      <c r="AM63" s="110">
        <f>255.18+120</f>
        <v>375.18</v>
      </c>
      <c r="AN63" s="107"/>
      <c r="AO63" s="108"/>
      <c r="AP63" s="108"/>
      <c r="AQ63" s="108"/>
      <c r="AR63" s="108"/>
      <c r="AS63" s="109"/>
      <c r="AT63" s="110"/>
      <c r="AU63" s="107"/>
      <c r="AV63" s="108"/>
      <c r="AW63" s="108"/>
      <c r="AX63" s="108"/>
      <c r="AY63" s="108"/>
      <c r="AZ63" s="109"/>
      <c r="BA63" s="110"/>
      <c r="BB63" s="107"/>
      <c r="BC63" s="108"/>
      <c r="BD63" s="108"/>
      <c r="BE63" s="108"/>
      <c r="BF63" s="108"/>
      <c r="BG63" s="109"/>
      <c r="BH63" s="110"/>
      <c r="BI63" s="107"/>
      <c r="BJ63" s="108"/>
      <c r="BK63" s="108"/>
      <c r="BL63" s="108"/>
      <c r="BM63" s="108"/>
      <c r="BN63" s="109"/>
      <c r="BO63" s="110"/>
      <c r="BP63" s="107"/>
      <c r="BQ63" s="108"/>
      <c r="BR63" s="108"/>
      <c r="BS63" s="108"/>
      <c r="BT63" s="108"/>
      <c r="BU63" s="109"/>
      <c r="BV63" s="110"/>
      <c r="BW63" s="107"/>
      <c r="BX63" s="108"/>
      <c r="BY63" s="108"/>
      <c r="BZ63" s="108"/>
      <c r="CA63" s="108"/>
      <c r="CB63" s="109"/>
      <c r="CC63" s="110"/>
      <c r="CD63" s="107"/>
      <c r="CE63" s="108"/>
      <c r="CF63" s="108"/>
      <c r="CG63" s="108"/>
      <c r="CH63" s="108"/>
      <c r="CI63" s="109"/>
      <c r="CJ63" s="110"/>
      <c r="CK63" s="107"/>
      <c r="CL63" s="108"/>
      <c r="CM63" s="108"/>
      <c r="CN63" s="108"/>
      <c r="CO63" s="108"/>
      <c r="CP63" s="109"/>
      <c r="CQ63" s="110"/>
    </row>
    <row r="64" spans="1:99" ht="14.25" customHeight="1" x14ac:dyDescent="0.2">
      <c r="L64" s="107" t="s">
        <v>89</v>
      </c>
      <c r="M64" s="108"/>
      <c r="N64" s="108"/>
      <c r="O64" s="108"/>
      <c r="P64" s="108"/>
      <c r="Q64" s="109"/>
      <c r="R64" s="114">
        <f>410.41</f>
        <v>410.41</v>
      </c>
      <c r="S64" s="107" t="s">
        <v>89</v>
      </c>
      <c r="T64" s="108"/>
      <c r="U64" s="108"/>
      <c r="V64" s="108"/>
      <c r="W64" s="108"/>
      <c r="X64" s="109"/>
      <c r="Y64" s="110">
        <f>445.92+290.04</f>
        <v>735.96</v>
      </c>
      <c r="Z64" s="107" t="s">
        <v>89</v>
      </c>
      <c r="AA64" s="108"/>
      <c r="AB64" s="108"/>
      <c r="AC64" s="108"/>
      <c r="AD64" s="108"/>
      <c r="AE64" s="109"/>
      <c r="AF64" s="110">
        <f>55.3</f>
        <v>55.3</v>
      </c>
      <c r="AG64" s="107" t="s">
        <v>89</v>
      </c>
      <c r="AH64" s="108"/>
      <c r="AI64" s="108"/>
      <c r="AJ64" s="108"/>
      <c r="AK64" s="108"/>
      <c r="AL64" s="109"/>
      <c r="AM64" s="110">
        <f>327.52</f>
        <v>327.52</v>
      </c>
      <c r="AN64" s="107"/>
      <c r="AO64" s="108"/>
      <c r="AP64" s="108"/>
      <c r="AQ64" s="108"/>
      <c r="AR64" s="108"/>
      <c r="AS64" s="109"/>
      <c r="AT64" s="110"/>
      <c r="AU64" s="107"/>
      <c r="AV64" s="108"/>
      <c r="AW64" s="108"/>
      <c r="AX64" s="108"/>
      <c r="AY64" s="108"/>
      <c r="AZ64" s="109"/>
      <c r="BA64" s="110"/>
      <c r="BB64" s="107"/>
      <c r="BC64" s="108"/>
      <c r="BD64" s="108"/>
      <c r="BE64" s="108"/>
      <c r="BF64" s="108"/>
      <c r="BG64" s="109"/>
      <c r="BH64" s="110"/>
      <c r="BI64" s="107"/>
      <c r="BJ64" s="108"/>
      <c r="BK64" s="108"/>
      <c r="BL64" s="108"/>
      <c r="BM64" s="108"/>
      <c r="BN64" s="109"/>
      <c r="BO64" s="110"/>
      <c r="BP64" s="107"/>
      <c r="BQ64" s="108"/>
      <c r="BR64" s="108"/>
      <c r="BS64" s="108"/>
      <c r="BT64" s="108"/>
      <c r="BU64" s="109"/>
      <c r="BV64" s="110"/>
      <c r="BW64" s="107"/>
      <c r="BX64" s="108"/>
      <c r="BY64" s="108"/>
      <c r="BZ64" s="108"/>
      <c r="CA64" s="108"/>
      <c r="CB64" s="109"/>
      <c r="CC64" s="110"/>
      <c r="CD64" s="107"/>
      <c r="CE64" s="108"/>
      <c r="CF64" s="108"/>
      <c r="CG64" s="108"/>
      <c r="CH64" s="108"/>
      <c r="CI64" s="109"/>
      <c r="CJ64" s="110"/>
      <c r="CK64" s="107"/>
      <c r="CL64" s="108"/>
      <c r="CM64" s="108"/>
      <c r="CN64" s="108"/>
      <c r="CO64" s="108"/>
      <c r="CP64" s="109"/>
      <c r="CQ64" s="110"/>
    </row>
    <row r="65" spans="12:99" ht="14.25" customHeight="1" x14ac:dyDescent="0.2">
      <c r="L65" s="107" t="s">
        <v>94</v>
      </c>
      <c r="M65" s="108"/>
      <c r="N65" s="108"/>
      <c r="O65" s="108"/>
      <c r="P65" s="108"/>
      <c r="Q65" s="109"/>
      <c r="R65" s="114">
        <f>117.58</f>
        <v>117.58</v>
      </c>
      <c r="S65" s="107" t="s">
        <v>94</v>
      </c>
      <c r="T65" s="108"/>
      <c r="U65" s="108"/>
      <c r="V65" s="108"/>
      <c r="W65" s="108"/>
      <c r="X65" s="109"/>
      <c r="Y65" s="110"/>
      <c r="Z65" s="107" t="s">
        <v>94</v>
      </c>
      <c r="AA65" s="108"/>
      <c r="AB65" s="108"/>
      <c r="AC65" s="108"/>
      <c r="AD65" s="108"/>
      <c r="AE65" s="109"/>
      <c r="AF65" s="110"/>
      <c r="AG65" s="107" t="s">
        <v>94</v>
      </c>
      <c r="AH65" s="108"/>
      <c r="AI65" s="108"/>
      <c r="AJ65" s="108"/>
      <c r="AK65" s="108"/>
      <c r="AL65" s="109"/>
      <c r="AM65" s="110"/>
      <c r="AN65" s="107"/>
      <c r="AO65" s="108"/>
      <c r="AP65" s="108"/>
      <c r="AQ65" s="108"/>
      <c r="AR65" s="108"/>
      <c r="AS65" s="109"/>
      <c r="AT65" s="110"/>
      <c r="AU65" s="107"/>
      <c r="AV65" s="108"/>
      <c r="AW65" s="108"/>
      <c r="AX65" s="108"/>
      <c r="AY65" s="108"/>
      <c r="AZ65" s="109"/>
      <c r="BA65" s="110"/>
      <c r="BB65" s="107"/>
      <c r="BC65" s="108"/>
      <c r="BD65" s="108"/>
      <c r="BE65" s="108"/>
      <c r="BF65" s="108"/>
      <c r="BG65" s="109"/>
      <c r="BH65" s="110"/>
      <c r="BI65" s="107"/>
      <c r="BJ65" s="108"/>
      <c r="BK65" s="108"/>
      <c r="BL65" s="108"/>
      <c r="BM65" s="108"/>
      <c r="BN65" s="109"/>
      <c r="BO65" s="110"/>
      <c r="BP65" s="107"/>
      <c r="BQ65" s="108"/>
      <c r="BR65" s="108"/>
      <c r="BS65" s="108"/>
      <c r="BT65" s="108"/>
      <c r="BU65" s="109"/>
      <c r="BV65" s="110"/>
      <c r="BW65" s="107"/>
      <c r="BX65" s="108"/>
      <c r="BY65" s="108"/>
      <c r="BZ65" s="108"/>
      <c r="CA65" s="108"/>
      <c r="CB65" s="109"/>
      <c r="CC65" s="110"/>
      <c r="CD65" s="107"/>
      <c r="CE65" s="108"/>
      <c r="CF65" s="108"/>
      <c r="CG65" s="108"/>
      <c r="CH65" s="108"/>
      <c r="CI65" s="109"/>
      <c r="CJ65" s="110"/>
      <c r="CK65" s="107"/>
      <c r="CL65" s="108"/>
      <c r="CM65" s="108"/>
      <c r="CN65" s="108"/>
      <c r="CO65" s="108"/>
      <c r="CP65" s="109"/>
      <c r="CQ65" s="110"/>
    </row>
    <row r="66" spans="12:99" ht="14.25" customHeight="1" x14ac:dyDescent="0.2">
      <c r="L66" s="107" t="s">
        <v>136</v>
      </c>
      <c r="M66" s="108"/>
      <c r="N66" s="108"/>
      <c r="O66" s="108"/>
      <c r="P66" s="108"/>
      <c r="Q66" s="109"/>
      <c r="R66" s="114">
        <f>570</f>
        <v>570</v>
      </c>
      <c r="S66" s="107" t="s">
        <v>169</v>
      </c>
      <c r="T66" s="108"/>
      <c r="U66" s="108"/>
      <c r="V66" s="108"/>
      <c r="W66" s="108"/>
      <c r="X66" s="109"/>
      <c r="Y66" s="110">
        <v>1000</v>
      </c>
      <c r="Z66" s="107" t="s">
        <v>169</v>
      </c>
      <c r="AA66" s="108"/>
      <c r="AB66" s="108"/>
      <c r="AC66" s="108"/>
      <c r="AD66" s="108"/>
      <c r="AE66" s="109"/>
      <c r="AF66" s="110"/>
      <c r="AG66" s="107" t="s">
        <v>169</v>
      </c>
      <c r="AH66" s="108"/>
      <c r="AI66" s="108"/>
      <c r="AJ66" s="108"/>
      <c r="AK66" s="108"/>
      <c r="AL66" s="109"/>
      <c r="AM66" s="110"/>
      <c r="AN66" s="107"/>
      <c r="AO66" s="108"/>
      <c r="AP66" s="108"/>
      <c r="AQ66" s="108"/>
      <c r="AR66" s="108"/>
      <c r="AS66" s="109"/>
      <c r="AT66" s="110"/>
      <c r="AU66" s="107"/>
      <c r="AV66" s="108"/>
      <c r="AW66" s="108"/>
      <c r="AX66" s="108"/>
      <c r="AY66" s="108"/>
      <c r="AZ66" s="109"/>
      <c r="BA66" s="110"/>
      <c r="BB66" s="107"/>
      <c r="BC66" s="108"/>
      <c r="BD66" s="108"/>
      <c r="BE66" s="108"/>
      <c r="BF66" s="108"/>
      <c r="BG66" s="109"/>
      <c r="BH66" s="110"/>
      <c r="BI66" s="107"/>
      <c r="BJ66" s="108"/>
      <c r="BK66" s="108"/>
      <c r="BL66" s="108"/>
      <c r="BM66" s="108"/>
      <c r="BN66" s="109"/>
      <c r="BO66" s="110"/>
      <c r="BP66" s="107"/>
      <c r="BQ66" s="108"/>
      <c r="BR66" s="108"/>
      <c r="BS66" s="108"/>
      <c r="BT66" s="108"/>
      <c r="BU66" s="109"/>
      <c r="BV66" s="110"/>
      <c r="BW66" s="107"/>
      <c r="BX66" s="108"/>
      <c r="BY66" s="108"/>
      <c r="BZ66" s="108"/>
      <c r="CA66" s="108"/>
      <c r="CB66" s="109"/>
      <c r="CC66" s="110"/>
      <c r="CD66" s="107"/>
      <c r="CE66" s="108"/>
      <c r="CF66" s="108"/>
      <c r="CG66" s="108"/>
      <c r="CH66" s="108"/>
      <c r="CI66" s="109"/>
      <c r="CJ66" s="110"/>
      <c r="CK66" s="107"/>
      <c r="CL66" s="108"/>
      <c r="CM66" s="108"/>
      <c r="CN66" s="108"/>
      <c r="CO66" s="108"/>
      <c r="CP66" s="109"/>
      <c r="CQ66" s="110"/>
    </row>
    <row r="67" spans="12:99" ht="14.25" customHeight="1" x14ac:dyDescent="0.2">
      <c r="L67" s="107" t="s">
        <v>170</v>
      </c>
      <c r="M67" s="108"/>
      <c r="N67" s="108"/>
      <c r="O67" s="108"/>
      <c r="P67" s="108"/>
      <c r="Q67" s="109"/>
      <c r="R67" s="114">
        <f>98.84</f>
        <v>98.84</v>
      </c>
      <c r="S67" s="107" t="s">
        <v>129</v>
      </c>
      <c r="T67" s="108"/>
      <c r="U67" s="108"/>
      <c r="V67" s="108"/>
      <c r="W67" s="108"/>
      <c r="X67" s="109"/>
      <c r="Y67" s="110">
        <v>238.74</v>
      </c>
      <c r="Z67" s="107" t="s">
        <v>129</v>
      </c>
      <c r="AA67" s="108"/>
      <c r="AB67" s="108"/>
      <c r="AC67" s="108"/>
      <c r="AD67" s="108"/>
      <c r="AE67" s="109"/>
      <c r="AF67" s="110"/>
      <c r="AG67" s="107" t="s">
        <v>129</v>
      </c>
      <c r="AH67" s="108"/>
      <c r="AI67" s="108"/>
      <c r="AJ67" s="108"/>
      <c r="AK67" s="108"/>
      <c r="AL67" s="109"/>
      <c r="AM67" s="110">
        <v>238.74</v>
      </c>
      <c r="AN67" s="107"/>
      <c r="AO67" s="108"/>
      <c r="AP67" s="108"/>
      <c r="AQ67" s="108"/>
      <c r="AR67" s="108"/>
      <c r="AS67" s="109"/>
      <c r="AT67" s="110"/>
      <c r="AU67" s="107"/>
      <c r="AV67" s="108"/>
      <c r="AW67" s="108"/>
      <c r="AX67" s="108"/>
      <c r="AY67" s="108"/>
      <c r="AZ67" s="109"/>
      <c r="BA67" s="110"/>
      <c r="BB67" s="107"/>
      <c r="BC67" s="108"/>
      <c r="BD67" s="108"/>
      <c r="BE67" s="108"/>
      <c r="BF67" s="108"/>
      <c r="BG67" s="109"/>
      <c r="BH67" s="110"/>
      <c r="BI67" s="107"/>
      <c r="BJ67" s="108"/>
      <c r="BK67" s="108"/>
      <c r="BL67" s="108"/>
      <c r="BM67" s="108"/>
      <c r="BN67" s="109"/>
      <c r="BO67" s="110"/>
      <c r="BP67" s="107"/>
      <c r="BQ67" s="108"/>
      <c r="BR67" s="108"/>
      <c r="BS67" s="108"/>
      <c r="BT67" s="108"/>
      <c r="BU67" s="109"/>
      <c r="BV67" s="110"/>
      <c r="BW67" s="107"/>
      <c r="BX67" s="108"/>
      <c r="BY67" s="108"/>
      <c r="BZ67" s="108"/>
      <c r="CA67" s="108"/>
      <c r="CB67" s="109"/>
      <c r="CC67" s="110"/>
      <c r="CD67" s="107"/>
      <c r="CE67" s="108"/>
      <c r="CF67" s="108"/>
      <c r="CG67" s="108"/>
      <c r="CH67" s="108"/>
      <c r="CI67" s="109"/>
      <c r="CJ67" s="110"/>
      <c r="CK67" s="107"/>
      <c r="CL67" s="108"/>
      <c r="CM67" s="108"/>
      <c r="CN67" s="108"/>
      <c r="CO67" s="108"/>
      <c r="CP67" s="109"/>
      <c r="CQ67" s="110"/>
    </row>
    <row r="68" spans="12:99" ht="14.25" customHeight="1" x14ac:dyDescent="0.2">
      <c r="L68" s="107" t="s">
        <v>90</v>
      </c>
      <c r="M68" s="108"/>
      <c r="N68" s="108"/>
      <c r="O68" s="108"/>
      <c r="P68" s="108"/>
      <c r="Q68" s="109"/>
      <c r="R68" s="114">
        <f>393</f>
        <v>393</v>
      </c>
      <c r="S68" s="107" t="s">
        <v>90</v>
      </c>
      <c r="T68" s="108"/>
      <c r="U68" s="108"/>
      <c r="V68" s="108"/>
      <c r="W68" s="108"/>
      <c r="X68" s="109"/>
      <c r="Y68" s="110">
        <f>180+3050</f>
        <v>3230</v>
      </c>
      <c r="Z68" s="107" t="s">
        <v>90</v>
      </c>
      <c r="AA68" s="108"/>
      <c r="AB68" s="108"/>
      <c r="AC68" s="108"/>
      <c r="AD68" s="108"/>
      <c r="AE68" s="109"/>
      <c r="AF68" s="110">
        <f>211+449.2</f>
        <v>660.2</v>
      </c>
      <c r="AG68" s="107" t="s">
        <v>90</v>
      </c>
      <c r="AH68" s="108"/>
      <c r="AI68" s="108"/>
      <c r="AJ68" s="108"/>
      <c r="AK68" s="108"/>
      <c r="AL68" s="109"/>
      <c r="AM68" s="110">
        <f>1060+351</f>
        <v>1411</v>
      </c>
      <c r="AN68" s="107"/>
      <c r="AO68" s="108"/>
      <c r="AP68" s="108"/>
      <c r="AQ68" s="108"/>
      <c r="AR68" s="108"/>
      <c r="AS68" s="109"/>
      <c r="AT68" s="110"/>
      <c r="AU68" s="107"/>
      <c r="AV68" s="108"/>
      <c r="AW68" s="108"/>
      <c r="AX68" s="108"/>
      <c r="AY68" s="108"/>
      <c r="AZ68" s="109"/>
      <c r="BA68" s="110"/>
      <c r="BB68" s="107"/>
      <c r="BC68" s="108"/>
      <c r="BD68" s="108"/>
      <c r="BE68" s="108"/>
      <c r="BF68" s="108"/>
      <c r="BG68" s="109"/>
      <c r="BH68" s="110"/>
      <c r="BI68" s="107"/>
      <c r="BJ68" s="108"/>
      <c r="BK68" s="108"/>
      <c r="BL68" s="108"/>
      <c r="BM68" s="108"/>
      <c r="BN68" s="109"/>
      <c r="BO68" s="110"/>
      <c r="BP68" s="107"/>
      <c r="BQ68" s="108"/>
      <c r="BR68" s="108"/>
      <c r="BS68" s="108"/>
      <c r="BT68" s="108"/>
      <c r="BU68" s="109"/>
      <c r="BV68" s="110"/>
      <c r="BW68" s="107"/>
      <c r="BX68" s="108"/>
      <c r="BY68" s="108"/>
      <c r="BZ68" s="108"/>
      <c r="CA68" s="108"/>
      <c r="CB68" s="109"/>
      <c r="CC68" s="110"/>
      <c r="CD68" s="107"/>
      <c r="CE68" s="108"/>
      <c r="CF68" s="108"/>
      <c r="CG68" s="108"/>
      <c r="CH68" s="108"/>
      <c r="CI68" s="109"/>
      <c r="CJ68" s="110"/>
      <c r="CK68" s="107"/>
      <c r="CL68" s="108"/>
      <c r="CM68" s="108"/>
      <c r="CN68" s="108"/>
      <c r="CO68" s="108"/>
      <c r="CP68" s="109"/>
      <c r="CQ68" s="110"/>
    </row>
    <row r="69" spans="12:99" ht="14.25" customHeight="1" x14ac:dyDescent="0.2">
      <c r="L69" s="107" t="s">
        <v>96</v>
      </c>
      <c r="M69" s="108"/>
      <c r="N69" s="108"/>
      <c r="O69" s="108"/>
      <c r="P69" s="108"/>
      <c r="Q69" s="109"/>
      <c r="R69" s="114">
        <f>702</f>
        <v>702</v>
      </c>
      <c r="S69" s="107" t="s">
        <v>96</v>
      </c>
      <c r="T69" s="108"/>
      <c r="U69" s="108"/>
      <c r="V69" s="108"/>
      <c r="W69" s="108"/>
      <c r="X69" s="109"/>
      <c r="Y69" s="110"/>
      <c r="Z69" s="107" t="s">
        <v>96</v>
      </c>
      <c r="AA69" s="108"/>
      <c r="AB69" s="108"/>
      <c r="AC69" s="108"/>
      <c r="AD69" s="108"/>
      <c r="AE69" s="109"/>
      <c r="AF69" s="110"/>
      <c r="AG69" s="107" t="s">
        <v>96</v>
      </c>
      <c r="AH69" s="108"/>
      <c r="AI69" s="108"/>
      <c r="AJ69" s="108"/>
      <c r="AK69" s="108"/>
      <c r="AL69" s="109"/>
      <c r="AM69" s="110"/>
      <c r="AN69" s="107"/>
      <c r="AO69" s="108"/>
      <c r="AP69" s="108"/>
      <c r="AQ69" s="108"/>
      <c r="AR69" s="108"/>
      <c r="AS69" s="109"/>
      <c r="AT69" s="110"/>
      <c r="AU69" s="107"/>
      <c r="AV69" s="108"/>
      <c r="AW69" s="108"/>
      <c r="AX69" s="108"/>
      <c r="AY69" s="108"/>
      <c r="AZ69" s="109"/>
      <c r="BA69" s="110"/>
      <c r="BB69" s="107"/>
      <c r="BC69" s="108"/>
      <c r="BD69" s="108"/>
      <c r="BE69" s="108"/>
      <c r="BF69" s="108"/>
      <c r="BG69" s="109"/>
      <c r="BH69" s="110"/>
      <c r="BI69" s="107"/>
      <c r="BJ69" s="108"/>
      <c r="BK69" s="108"/>
      <c r="BL69" s="108"/>
      <c r="BM69" s="108"/>
      <c r="BN69" s="109"/>
      <c r="BO69" s="110"/>
      <c r="BP69" s="107"/>
      <c r="BQ69" s="108"/>
      <c r="BR69" s="108"/>
      <c r="BS69" s="108"/>
      <c r="BT69" s="108"/>
      <c r="BU69" s="109"/>
      <c r="BV69" s="110"/>
      <c r="BW69" s="107"/>
      <c r="BX69" s="108"/>
      <c r="BY69" s="108"/>
      <c r="BZ69" s="108"/>
      <c r="CA69" s="108"/>
      <c r="CB69" s="109"/>
      <c r="CC69" s="110"/>
      <c r="CD69" s="107"/>
      <c r="CE69" s="108"/>
      <c r="CF69" s="108"/>
      <c r="CG69" s="108"/>
      <c r="CH69" s="108"/>
      <c r="CI69" s="109"/>
      <c r="CJ69" s="110"/>
      <c r="CK69" s="107"/>
      <c r="CL69" s="108"/>
      <c r="CM69" s="108"/>
      <c r="CN69" s="108"/>
      <c r="CO69" s="108"/>
      <c r="CP69" s="109"/>
      <c r="CQ69" s="110"/>
    </row>
    <row r="70" spans="12:99" ht="14.25" customHeight="1" x14ac:dyDescent="0.2">
      <c r="L70" s="107" t="s">
        <v>159</v>
      </c>
      <c r="M70" s="108"/>
      <c r="N70" s="108"/>
      <c r="O70" s="108"/>
      <c r="P70" s="108"/>
      <c r="Q70" s="109"/>
      <c r="R70" s="114">
        <f>551.4</f>
        <v>551.4</v>
      </c>
      <c r="S70" s="107" t="s">
        <v>159</v>
      </c>
      <c r="T70" s="108"/>
      <c r="U70" s="108"/>
      <c r="V70" s="108"/>
      <c r="W70" s="108"/>
      <c r="X70" s="108"/>
      <c r="Y70" s="110">
        <f>751.51+134.22+239.9</f>
        <v>1125.6300000000001</v>
      </c>
      <c r="Z70" s="107" t="s">
        <v>159</v>
      </c>
      <c r="AA70" s="108"/>
      <c r="AB70" s="108"/>
      <c r="AC70" s="108"/>
      <c r="AD70" s="108"/>
      <c r="AE70" s="108"/>
      <c r="AF70" s="168"/>
      <c r="AG70" s="107" t="s">
        <v>159</v>
      </c>
      <c r="AH70" s="108"/>
      <c r="AI70" s="108"/>
      <c r="AJ70" s="108"/>
      <c r="AK70" s="108"/>
      <c r="AL70" s="108"/>
      <c r="AM70" s="110">
        <f>134.22+150.7</f>
        <v>284.91999999999996</v>
      </c>
      <c r="AN70" s="107"/>
      <c r="AO70" s="108"/>
      <c r="AP70" s="108"/>
      <c r="AQ70" s="108"/>
      <c r="AR70" s="108"/>
      <c r="AS70" s="108"/>
      <c r="AT70" s="168"/>
      <c r="AU70" s="107"/>
      <c r="AV70" s="108"/>
      <c r="AW70" s="108"/>
      <c r="AX70" s="108"/>
      <c r="AY70" s="108"/>
      <c r="AZ70" s="108"/>
      <c r="BA70" s="168"/>
      <c r="BB70" s="107"/>
      <c r="BC70" s="108"/>
      <c r="BD70" s="108"/>
      <c r="BE70" s="108"/>
      <c r="BF70" s="108"/>
      <c r="BG70" s="108"/>
      <c r="BH70" s="168"/>
      <c r="BI70" s="107"/>
      <c r="BJ70" s="108"/>
      <c r="BK70" s="108"/>
      <c r="BL70" s="108"/>
      <c r="BM70" s="108"/>
      <c r="BN70" s="108"/>
      <c r="BO70" s="168"/>
      <c r="BP70" s="107"/>
      <c r="BQ70" s="108"/>
      <c r="BR70" s="108"/>
      <c r="BS70" s="108"/>
      <c r="BT70" s="108"/>
      <c r="BU70" s="108"/>
      <c r="BV70" s="168"/>
      <c r="BW70" s="107"/>
      <c r="BX70" s="108"/>
      <c r="BY70" s="108"/>
      <c r="BZ70" s="108"/>
      <c r="CA70" s="108"/>
      <c r="CB70" s="108"/>
      <c r="CC70" s="168"/>
      <c r="CD70" s="107"/>
      <c r="CE70" s="108"/>
      <c r="CF70" s="108"/>
      <c r="CG70" s="108"/>
      <c r="CH70" s="108"/>
      <c r="CI70" s="108"/>
      <c r="CJ70" s="168"/>
      <c r="CK70" s="107"/>
      <c r="CL70" s="108"/>
      <c r="CM70" s="108"/>
      <c r="CN70" s="108"/>
      <c r="CO70" s="108"/>
      <c r="CP70" s="108"/>
      <c r="CQ70" s="168"/>
    </row>
    <row r="71" spans="12:99" ht="14.25" customHeight="1" x14ac:dyDescent="0.2">
      <c r="L71" s="107" t="s">
        <v>98</v>
      </c>
      <c r="M71" s="108"/>
      <c r="N71" s="108"/>
      <c r="O71" s="108"/>
      <c r="P71" s="108"/>
      <c r="Q71" s="109"/>
      <c r="R71" s="114">
        <f>194.57</f>
        <v>194.57</v>
      </c>
      <c r="S71" s="107" t="s">
        <v>98</v>
      </c>
      <c r="T71" s="108"/>
      <c r="U71" s="108"/>
      <c r="V71" s="108"/>
      <c r="W71" s="108"/>
      <c r="X71" s="108"/>
      <c r="Y71" s="110">
        <f>102.35</f>
        <v>102.35</v>
      </c>
      <c r="Z71" s="107" t="s">
        <v>98</v>
      </c>
      <c r="AA71" s="108"/>
      <c r="AB71" s="108"/>
      <c r="AC71" s="108"/>
      <c r="AD71" s="108"/>
      <c r="AE71" s="108"/>
      <c r="AF71" s="110">
        <f>102.35</f>
        <v>102.35</v>
      </c>
      <c r="AG71" s="107" t="s">
        <v>98</v>
      </c>
      <c r="AH71" s="108"/>
      <c r="AI71" s="108"/>
      <c r="AJ71" s="108"/>
      <c r="AK71" s="108"/>
      <c r="AL71" s="108"/>
      <c r="AM71" s="110">
        <v>102.35</v>
      </c>
      <c r="AN71" s="107"/>
      <c r="AO71" s="108"/>
      <c r="AP71" s="108"/>
      <c r="AQ71" s="108"/>
      <c r="AR71" s="108"/>
      <c r="AS71" s="108"/>
      <c r="AT71" s="110"/>
      <c r="AU71" s="107"/>
      <c r="AV71" s="108"/>
      <c r="AW71" s="108"/>
      <c r="AX71" s="108"/>
      <c r="AY71" s="108"/>
      <c r="AZ71" s="108"/>
      <c r="BA71" s="110"/>
      <c r="BB71" s="107"/>
      <c r="BC71" s="108"/>
      <c r="BD71" s="108"/>
      <c r="BE71" s="108"/>
      <c r="BF71" s="108"/>
      <c r="BG71" s="108"/>
      <c r="BH71" s="110"/>
      <c r="BI71" s="107"/>
      <c r="BJ71" s="108"/>
      <c r="BK71" s="108"/>
      <c r="BL71" s="108"/>
      <c r="BM71" s="108"/>
      <c r="BN71" s="108"/>
      <c r="BO71" s="110"/>
      <c r="BP71" s="107"/>
      <c r="BQ71" s="108"/>
      <c r="BR71" s="108"/>
      <c r="BS71" s="108"/>
      <c r="BT71" s="108"/>
      <c r="BU71" s="108"/>
      <c r="BV71" s="110"/>
      <c r="BW71" s="107"/>
      <c r="BX71" s="108"/>
      <c r="BY71" s="108"/>
      <c r="BZ71" s="108"/>
      <c r="CA71" s="108"/>
      <c r="CB71" s="108"/>
      <c r="CC71" s="110"/>
      <c r="CD71" s="107"/>
      <c r="CE71" s="108"/>
      <c r="CF71" s="108"/>
      <c r="CG71" s="108"/>
      <c r="CH71" s="108"/>
      <c r="CI71" s="108"/>
      <c r="CJ71" s="110"/>
      <c r="CK71" s="107"/>
      <c r="CL71" s="108"/>
      <c r="CM71" s="108"/>
      <c r="CN71" s="108"/>
      <c r="CO71" s="108"/>
      <c r="CP71" s="108"/>
      <c r="CQ71" s="110"/>
      <c r="CU71" s="154"/>
    </row>
    <row r="72" spans="12:99" ht="14.25" customHeight="1" x14ac:dyDescent="0.2">
      <c r="L72" s="107" t="s">
        <v>163</v>
      </c>
      <c r="M72" s="108"/>
      <c r="N72" s="108"/>
      <c r="O72" s="108"/>
      <c r="P72" s="108"/>
      <c r="Q72" s="109"/>
      <c r="R72" s="114">
        <v>34.32</v>
      </c>
      <c r="S72" s="107" t="s">
        <v>163</v>
      </c>
      <c r="T72" s="108"/>
      <c r="U72" s="108"/>
      <c r="V72" s="108"/>
      <c r="W72" s="108"/>
      <c r="X72" s="108"/>
      <c r="Y72" s="110"/>
      <c r="Z72" s="107" t="s">
        <v>163</v>
      </c>
      <c r="AA72" s="108"/>
      <c r="AB72" s="108"/>
      <c r="AC72" s="108"/>
      <c r="AD72" s="108"/>
      <c r="AE72" s="108"/>
      <c r="AF72" s="110"/>
      <c r="AG72" s="107" t="s">
        <v>163</v>
      </c>
      <c r="AH72" s="108"/>
      <c r="AI72" s="108"/>
      <c r="AJ72" s="108"/>
      <c r="AK72" s="108"/>
      <c r="AL72" s="108"/>
      <c r="AM72" s="110"/>
      <c r="AN72" s="107"/>
      <c r="AO72" s="108"/>
      <c r="AP72" s="108"/>
      <c r="AQ72" s="108"/>
      <c r="AR72" s="108"/>
      <c r="AS72" s="108"/>
      <c r="AT72" s="110"/>
      <c r="AU72" s="107"/>
      <c r="AV72" s="108"/>
      <c r="AW72" s="108"/>
      <c r="AX72" s="108"/>
      <c r="AY72" s="108"/>
      <c r="AZ72" s="108"/>
      <c r="BA72" s="110"/>
      <c r="BB72" s="107"/>
      <c r="BC72" s="108"/>
      <c r="BD72" s="108"/>
      <c r="BE72" s="108"/>
      <c r="BF72" s="108"/>
      <c r="BG72" s="108"/>
      <c r="BH72" s="110"/>
      <c r="BI72" s="107"/>
      <c r="BJ72" s="108"/>
      <c r="BK72" s="108"/>
      <c r="BL72" s="108"/>
      <c r="BM72" s="108"/>
      <c r="BN72" s="108"/>
      <c r="BO72" s="110"/>
      <c r="BP72" s="107"/>
      <c r="BQ72" s="108"/>
      <c r="BR72" s="108"/>
      <c r="BS72" s="108"/>
      <c r="BT72" s="108"/>
      <c r="BU72" s="108"/>
      <c r="BV72" s="110"/>
      <c r="BW72" s="107"/>
      <c r="BX72" s="108"/>
      <c r="BY72" s="108"/>
      <c r="BZ72" s="108"/>
      <c r="CA72" s="108"/>
      <c r="CB72" s="108"/>
      <c r="CC72" s="110"/>
      <c r="CD72" s="107"/>
      <c r="CE72" s="108"/>
      <c r="CF72" s="108"/>
      <c r="CG72" s="108"/>
      <c r="CH72" s="108"/>
      <c r="CI72" s="108"/>
      <c r="CJ72" s="110"/>
      <c r="CK72" s="107"/>
      <c r="CL72" s="108"/>
      <c r="CM72" s="108"/>
      <c r="CN72" s="108"/>
      <c r="CO72" s="108"/>
      <c r="CP72" s="108"/>
      <c r="CQ72" s="110"/>
      <c r="CU72" s="154"/>
    </row>
    <row r="73" spans="12:99" ht="14.25" customHeight="1" x14ac:dyDescent="0.2">
      <c r="L73" s="107" t="s">
        <v>171</v>
      </c>
      <c r="M73" s="108"/>
      <c r="N73" s="108"/>
      <c r="O73" s="108"/>
      <c r="P73" s="108"/>
      <c r="Q73" s="109"/>
      <c r="R73" s="114">
        <v>482.59</v>
      </c>
      <c r="S73" s="107" t="s">
        <v>171</v>
      </c>
      <c r="T73" s="108"/>
      <c r="U73" s="108"/>
      <c r="V73" s="108"/>
      <c r="W73" s="108"/>
      <c r="X73" s="108"/>
      <c r="Y73" s="167"/>
      <c r="Z73" s="107" t="s">
        <v>171</v>
      </c>
      <c r="AA73" s="108"/>
      <c r="AB73" s="108"/>
      <c r="AC73" s="108"/>
      <c r="AD73" s="108"/>
      <c r="AE73" s="108"/>
      <c r="AF73" s="167"/>
      <c r="AG73" s="107" t="s">
        <v>171</v>
      </c>
      <c r="AH73" s="108"/>
      <c r="AI73" s="108"/>
      <c r="AJ73" s="108"/>
      <c r="AK73" s="108"/>
      <c r="AL73" s="108"/>
      <c r="AM73" s="167"/>
      <c r="AN73" s="107"/>
      <c r="AO73" s="108"/>
      <c r="AP73" s="108"/>
      <c r="AQ73" s="108"/>
      <c r="AR73" s="108"/>
      <c r="AS73" s="108"/>
      <c r="AT73" s="167"/>
      <c r="AU73" s="107"/>
      <c r="AV73" s="108"/>
      <c r="AW73" s="108"/>
      <c r="AX73" s="108"/>
      <c r="AY73" s="108"/>
      <c r="AZ73" s="108"/>
      <c r="BA73" s="167"/>
      <c r="BB73" s="107"/>
      <c r="BC73" s="108"/>
      <c r="BD73" s="108"/>
      <c r="BE73" s="108"/>
      <c r="BF73" s="108"/>
      <c r="BG73" s="108"/>
      <c r="BH73" s="167"/>
      <c r="BI73" s="107"/>
      <c r="BJ73" s="108"/>
      <c r="BK73" s="108"/>
      <c r="BL73" s="108"/>
      <c r="BM73" s="108"/>
      <c r="BN73" s="108"/>
      <c r="BO73" s="167"/>
      <c r="BP73" s="107"/>
      <c r="BQ73" s="108"/>
      <c r="BR73" s="108"/>
      <c r="BS73" s="108"/>
      <c r="BT73" s="108"/>
      <c r="BU73" s="108"/>
      <c r="BV73" s="167"/>
      <c r="BW73" s="107"/>
      <c r="BX73" s="108"/>
      <c r="BY73" s="108"/>
      <c r="BZ73" s="108"/>
      <c r="CA73" s="108"/>
      <c r="CB73" s="108"/>
      <c r="CC73" s="167"/>
      <c r="CD73" s="107"/>
      <c r="CE73" s="108"/>
      <c r="CF73" s="108"/>
      <c r="CG73" s="108"/>
      <c r="CH73" s="108"/>
      <c r="CI73" s="108"/>
      <c r="CJ73" s="167"/>
      <c r="CK73" s="107"/>
      <c r="CL73" s="108"/>
      <c r="CM73" s="108"/>
      <c r="CN73" s="108"/>
      <c r="CO73" s="108"/>
      <c r="CP73" s="108"/>
      <c r="CQ73" s="167"/>
      <c r="CU73" s="154"/>
    </row>
    <row r="74" spans="12:99" ht="14.25" customHeight="1" x14ac:dyDescent="0.2">
      <c r="L74" s="107"/>
      <c r="M74" s="108"/>
      <c r="N74" s="108"/>
      <c r="O74" s="108"/>
      <c r="P74" s="108"/>
      <c r="Q74" s="109"/>
      <c r="R74" s="114"/>
      <c r="S74" s="107" t="s">
        <v>172</v>
      </c>
      <c r="T74" s="108"/>
      <c r="U74" s="108"/>
      <c r="V74" s="108"/>
      <c r="W74" s="108"/>
      <c r="X74" s="108"/>
      <c r="Y74" s="167">
        <f>220</f>
        <v>220</v>
      </c>
      <c r="Z74" s="107" t="s">
        <v>172</v>
      </c>
      <c r="AA74" s="108"/>
      <c r="AB74" s="108"/>
      <c r="AC74" s="108"/>
      <c r="AD74" s="108"/>
      <c r="AE74" s="108"/>
      <c r="AF74" s="176"/>
      <c r="AG74" s="107" t="s">
        <v>172</v>
      </c>
      <c r="AH74" s="108"/>
      <c r="AI74" s="108"/>
      <c r="AJ74" s="108"/>
      <c r="AK74" s="108"/>
      <c r="AL74" s="108"/>
      <c r="AM74" s="167"/>
      <c r="AN74" s="107"/>
      <c r="AO74" s="108"/>
      <c r="AP74" s="108"/>
      <c r="AQ74" s="108"/>
      <c r="AR74" s="108"/>
      <c r="AS74" s="108"/>
      <c r="AT74" s="176"/>
      <c r="AU74" s="107"/>
      <c r="AV74" s="108"/>
      <c r="AW74" s="108"/>
      <c r="AX74" s="108"/>
      <c r="AY74" s="108"/>
      <c r="AZ74" s="108"/>
      <c r="BA74" s="176"/>
      <c r="BB74" s="107"/>
      <c r="BC74" s="108"/>
      <c r="BD74" s="108"/>
      <c r="BE74" s="108"/>
      <c r="BF74" s="108"/>
      <c r="BG74" s="108"/>
      <c r="BH74" s="176"/>
      <c r="BI74" s="107"/>
      <c r="BJ74" s="108"/>
      <c r="BK74" s="108"/>
      <c r="BL74" s="108"/>
      <c r="BM74" s="108"/>
      <c r="BN74" s="108"/>
      <c r="BO74" s="176"/>
      <c r="BP74" s="107"/>
      <c r="BQ74" s="108"/>
      <c r="BR74" s="108"/>
      <c r="BS74" s="108"/>
      <c r="BT74" s="108"/>
      <c r="BU74" s="108"/>
      <c r="BV74" s="176"/>
      <c r="BW74" s="107"/>
      <c r="BX74" s="108"/>
      <c r="BY74" s="108"/>
      <c r="BZ74" s="108"/>
      <c r="CA74" s="108"/>
      <c r="CB74" s="108"/>
      <c r="CC74" s="176"/>
      <c r="CD74" s="107"/>
      <c r="CE74" s="108"/>
      <c r="CF74" s="108"/>
      <c r="CG74" s="108"/>
      <c r="CH74" s="108"/>
      <c r="CI74" s="108"/>
      <c r="CJ74" s="176"/>
      <c r="CK74" s="107"/>
      <c r="CL74" s="108"/>
      <c r="CM74" s="108"/>
      <c r="CN74" s="108"/>
      <c r="CO74" s="108"/>
      <c r="CP74" s="108"/>
      <c r="CQ74" s="176"/>
      <c r="CU74" s="154"/>
    </row>
    <row r="75" spans="12:99" ht="14.25" customHeight="1" x14ac:dyDescent="0.2">
      <c r="L75" s="107"/>
      <c r="M75" s="108"/>
      <c r="N75" s="108"/>
      <c r="O75" s="108"/>
      <c r="P75" s="108"/>
      <c r="Q75" s="109"/>
      <c r="R75" s="114"/>
      <c r="S75" s="107"/>
      <c r="T75" s="108"/>
      <c r="U75" s="108"/>
      <c r="V75" s="108"/>
      <c r="W75" s="108"/>
      <c r="X75" s="108"/>
      <c r="Y75" s="110"/>
      <c r="Z75" s="107" t="s">
        <v>173</v>
      </c>
      <c r="AA75" s="108"/>
      <c r="AB75" s="108"/>
      <c r="AC75" s="108"/>
      <c r="AD75" s="108"/>
      <c r="AE75" s="108"/>
      <c r="AF75" s="110">
        <v>600</v>
      </c>
      <c r="AG75" s="107" t="s">
        <v>173</v>
      </c>
      <c r="AH75" s="108"/>
      <c r="AI75" s="108"/>
      <c r="AJ75" s="108"/>
      <c r="AK75" s="108"/>
      <c r="AL75" s="108"/>
      <c r="AM75" s="110">
        <v>630</v>
      </c>
      <c r="AN75" s="107"/>
      <c r="AO75" s="108"/>
      <c r="AP75" s="108"/>
      <c r="AQ75" s="108"/>
      <c r="AR75" s="108"/>
      <c r="AS75" s="108"/>
      <c r="AT75" s="110"/>
      <c r="AU75" s="107"/>
      <c r="AV75" s="108"/>
      <c r="AW75" s="108"/>
      <c r="AX75" s="108"/>
      <c r="AY75" s="108"/>
      <c r="AZ75" s="108"/>
      <c r="BA75" s="110"/>
      <c r="BB75" s="107"/>
      <c r="BC75" s="108"/>
      <c r="BD75" s="108"/>
      <c r="BE75" s="108"/>
      <c r="BF75" s="108"/>
      <c r="BG75" s="108"/>
      <c r="BH75" s="110"/>
      <c r="BI75" s="107"/>
      <c r="BJ75" s="108"/>
      <c r="BK75" s="108"/>
      <c r="BL75" s="108"/>
      <c r="BM75" s="108"/>
      <c r="BN75" s="108"/>
      <c r="BO75" s="110"/>
      <c r="BP75" s="107"/>
      <c r="BQ75" s="108"/>
      <c r="BR75" s="108"/>
      <c r="BS75" s="108"/>
      <c r="BT75" s="108"/>
      <c r="BU75" s="108"/>
      <c r="BV75" s="110"/>
      <c r="BW75" s="107"/>
      <c r="BX75" s="108"/>
      <c r="BY75" s="108"/>
      <c r="BZ75" s="108"/>
      <c r="CA75" s="108"/>
      <c r="CB75" s="108"/>
      <c r="CC75" s="110"/>
      <c r="CD75" s="107"/>
      <c r="CE75" s="108"/>
      <c r="CF75" s="108"/>
      <c r="CG75" s="108"/>
      <c r="CH75" s="108"/>
      <c r="CI75" s="108"/>
      <c r="CJ75" s="110"/>
      <c r="CK75" s="107"/>
      <c r="CL75" s="108"/>
      <c r="CM75" s="108"/>
      <c r="CN75" s="108"/>
      <c r="CO75" s="108"/>
      <c r="CP75" s="108"/>
      <c r="CQ75" s="110"/>
      <c r="CU75" s="154"/>
    </row>
    <row r="76" spans="12:99" ht="14.25" customHeight="1" x14ac:dyDescent="0.2">
      <c r="L76" s="107"/>
      <c r="M76" s="108"/>
      <c r="N76" s="108"/>
      <c r="O76" s="108"/>
      <c r="P76" s="108"/>
      <c r="Q76" s="109"/>
      <c r="R76" s="114"/>
      <c r="S76" s="107"/>
      <c r="T76" s="108"/>
      <c r="U76" s="108"/>
      <c r="V76" s="108"/>
      <c r="W76" s="108"/>
      <c r="X76" s="108"/>
      <c r="Y76" s="110"/>
      <c r="Z76" s="107"/>
      <c r="AA76" s="108"/>
      <c r="AB76" s="108"/>
      <c r="AC76" s="108"/>
      <c r="AD76" s="108"/>
      <c r="AE76" s="108"/>
      <c r="AF76" s="110"/>
      <c r="AG76" s="107" t="s">
        <v>174</v>
      </c>
      <c r="AH76" s="108"/>
      <c r="AI76" s="108"/>
      <c r="AJ76" s="108"/>
      <c r="AK76" s="108"/>
      <c r="AL76" s="108"/>
      <c r="AM76" s="110">
        <f>208.26</f>
        <v>208.26</v>
      </c>
      <c r="AN76" s="107"/>
      <c r="AO76" s="108"/>
      <c r="AP76" s="108"/>
      <c r="AQ76" s="108"/>
      <c r="AR76" s="108"/>
      <c r="AS76" s="108"/>
      <c r="AT76" s="110"/>
      <c r="AU76" s="107"/>
      <c r="AV76" s="108"/>
      <c r="AW76" s="108"/>
      <c r="AX76" s="108"/>
      <c r="AY76" s="108"/>
      <c r="AZ76" s="108"/>
      <c r="BA76" s="110"/>
      <c r="BB76" s="107"/>
      <c r="BC76" s="108"/>
      <c r="BD76" s="108"/>
      <c r="BE76" s="108"/>
      <c r="BF76" s="108"/>
      <c r="BG76" s="108"/>
      <c r="BH76" s="110"/>
      <c r="BI76" s="107"/>
      <c r="BJ76" s="108"/>
      <c r="BK76" s="108"/>
      <c r="BL76" s="108"/>
      <c r="BM76" s="108"/>
      <c r="BN76" s="108"/>
      <c r="BO76" s="110"/>
      <c r="BP76" s="107"/>
      <c r="BQ76" s="108"/>
      <c r="BR76" s="108"/>
      <c r="BS76" s="108"/>
      <c r="BT76" s="108"/>
      <c r="BU76" s="108"/>
      <c r="BV76" s="110"/>
      <c r="BW76" s="107"/>
      <c r="BX76" s="108"/>
      <c r="BY76" s="108"/>
      <c r="BZ76" s="108"/>
      <c r="CA76" s="108"/>
      <c r="CB76" s="108"/>
      <c r="CC76" s="110"/>
      <c r="CD76" s="107"/>
      <c r="CE76" s="108"/>
      <c r="CF76" s="108"/>
      <c r="CG76" s="108"/>
      <c r="CH76" s="108"/>
      <c r="CI76" s="108"/>
      <c r="CJ76" s="110"/>
      <c r="CK76" s="107"/>
      <c r="CL76" s="108"/>
      <c r="CM76" s="108"/>
      <c r="CN76" s="108"/>
      <c r="CO76" s="108"/>
      <c r="CP76" s="108"/>
      <c r="CQ76" s="110"/>
    </row>
    <row r="77" spans="12:99" ht="14.25" customHeight="1" x14ac:dyDescent="0.2">
      <c r="L77" s="107"/>
      <c r="M77" s="108"/>
      <c r="N77" s="108"/>
      <c r="O77" s="108"/>
      <c r="P77" s="108"/>
      <c r="Q77" s="109"/>
      <c r="R77" s="114"/>
      <c r="S77" s="107"/>
      <c r="T77" s="108"/>
      <c r="U77" s="108"/>
      <c r="V77" s="108"/>
      <c r="W77" s="108"/>
      <c r="X77" s="108"/>
      <c r="Y77" s="110"/>
      <c r="Z77" s="107"/>
      <c r="AA77" s="108"/>
      <c r="AB77" s="108"/>
      <c r="AC77" s="108"/>
      <c r="AD77" s="108"/>
      <c r="AE77" s="108"/>
      <c r="AF77" s="110"/>
      <c r="AG77" s="107"/>
      <c r="AH77" s="108"/>
      <c r="AI77" s="108"/>
      <c r="AJ77" s="108"/>
      <c r="AK77" s="108"/>
      <c r="AL77" s="108"/>
      <c r="AM77" s="110"/>
      <c r="AN77" s="107"/>
      <c r="AO77" s="108"/>
      <c r="AP77" s="108"/>
      <c r="AQ77" s="108"/>
      <c r="AR77" s="108"/>
      <c r="AS77" s="108"/>
      <c r="AT77" s="110"/>
      <c r="AU77" s="107"/>
      <c r="AV77" s="108"/>
      <c r="AW77" s="108"/>
      <c r="AX77" s="108"/>
      <c r="AY77" s="108"/>
      <c r="AZ77" s="108"/>
      <c r="BA77" s="110"/>
      <c r="BB77" s="107"/>
      <c r="BC77" s="108"/>
      <c r="BD77" s="108"/>
      <c r="BE77" s="108"/>
      <c r="BF77" s="108"/>
      <c r="BG77" s="108"/>
      <c r="BH77" s="110"/>
      <c r="BI77" s="107"/>
      <c r="BJ77" s="108"/>
      <c r="BK77" s="108"/>
      <c r="BL77" s="108"/>
      <c r="BM77" s="108"/>
      <c r="BN77" s="108"/>
      <c r="BO77" s="110"/>
      <c r="BP77" s="107"/>
      <c r="BQ77" s="108"/>
      <c r="BR77" s="108"/>
      <c r="BS77" s="108"/>
      <c r="BT77" s="108"/>
      <c r="BU77" s="108"/>
      <c r="BV77" s="110"/>
      <c r="BW77" s="107"/>
      <c r="BX77" s="108"/>
      <c r="BY77" s="108"/>
      <c r="BZ77" s="108"/>
      <c r="CA77" s="108"/>
      <c r="CB77" s="108"/>
      <c r="CC77" s="110"/>
      <c r="CD77" s="107"/>
      <c r="CE77" s="108"/>
      <c r="CF77" s="108"/>
      <c r="CG77" s="108"/>
      <c r="CH77" s="108"/>
      <c r="CI77" s="108"/>
      <c r="CJ77" s="110"/>
      <c r="CK77" s="107"/>
      <c r="CL77" s="108"/>
      <c r="CM77" s="108"/>
      <c r="CN77" s="108"/>
      <c r="CO77" s="108"/>
      <c r="CP77" s="108"/>
      <c r="CQ77" s="110"/>
    </row>
    <row r="78" spans="12:99" ht="14.25" customHeight="1" x14ac:dyDescent="0.2">
      <c r="L78" s="107"/>
      <c r="M78" s="108"/>
      <c r="N78" s="108"/>
      <c r="O78" s="108"/>
      <c r="P78" s="108"/>
      <c r="Q78" s="109"/>
      <c r="R78" s="114"/>
      <c r="S78" s="107"/>
      <c r="T78" s="108"/>
      <c r="U78" s="108"/>
      <c r="V78" s="108"/>
      <c r="W78" s="108"/>
      <c r="X78" s="108"/>
      <c r="Y78" s="110"/>
      <c r="Z78" s="107"/>
      <c r="AA78" s="108"/>
      <c r="AB78" s="108"/>
      <c r="AC78" s="108"/>
      <c r="AD78" s="108"/>
      <c r="AE78" s="108"/>
      <c r="AF78" s="110"/>
      <c r="AG78" s="107"/>
      <c r="AH78" s="108"/>
      <c r="AI78" s="108"/>
      <c r="AJ78" s="108"/>
      <c r="AK78" s="108"/>
      <c r="AL78" s="108"/>
      <c r="AM78" s="110"/>
      <c r="AN78" s="107"/>
      <c r="AO78" s="108"/>
      <c r="AP78" s="108"/>
      <c r="AQ78" s="108"/>
      <c r="AR78" s="108"/>
      <c r="AS78" s="108"/>
      <c r="AT78" s="110"/>
      <c r="AU78" s="107"/>
      <c r="AV78" s="108"/>
      <c r="AW78" s="108"/>
      <c r="AX78" s="108"/>
      <c r="AY78" s="108"/>
      <c r="AZ78" s="108"/>
      <c r="BA78" s="110"/>
      <c r="BB78" s="107"/>
      <c r="BC78" s="108"/>
      <c r="BD78" s="108"/>
      <c r="BE78" s="108"/>
      <c r="BF78" s="108"/>
      <c r="BG78" s="108"/>
      <c r="BH78" s="110"/>
      <c r="BI78" s="107"/>
      <c r="BJ78" s="108"/>
      <c r="BK78" s="108"/>
      <c r="BL78" s="108"/>
      <c r="BM78" s="108"/>
      <c r="BN78" s="108"/>
      <c r="BO78" s="110"/>
      <c r="BP78" s="107"/>
      <c r="BQ78" s="108"/>
      <c r="BR78" s="108"/>
      <c r="BS78" s="108"/>
      <c r="BT78" s="108"/>
      <c r="BU78" s="108"/>
      <c r="BV78" s="110"/>
      <c r="BW78" s="107"/>
      <c r="BX78" s="108"/>
      <c r="BY78" s="108"/>
      <c r="BZ78" s="108"/>
      <c r="CA78" s="108"/>
      <c r="CB78" s="108"/>
      <c r="CC78" s="110"/>
      <c r="CD78" s="107"/>
      <c r="CE78" s="108"/>
      <c r="CF78" s="108"/>
      <c r="CG78" s="108"/>
      <c r="CH78" s="108"/>
      <c r="CI78" s="108"/>
      <c r="CJ78" s="110"/>
      <c r="CK78" s="107"/>
      <c r="CL78" s="108"/>
      <c r="CM78" s="108"/>
      <c r="CN78" s="108"/>
      <c r="CO78" s="108"/>
      <c r="CP78" s="108"/>
      <c r="CQ78" s="110"/>
    </row>
    <row r="79" spans="12:99" ht="14.25" customHeight="1" x14ac:dyDescent="0.2">
      <c r="L79" s="107" t="s">
        <v>82</v>
      </c>
      <c r="M79" s="108"/>
      <c r="N79" s="108"/>
      <c r="O79" s="108"/>
      <c r="P79" s="108"/>
      <c r="Q79" s="109"/>
      <c r="R79" s="114">
        <f>SUM(R61:R78)</f>
        <v>9694.1499999999978</v>
      </c>
      <c r="S79" s="107" t="s">
        <v>82</v>
      </c>
      <c r="T79" s="108"/>
      <c r="U79" s="108"/>
      <c r="V79" s="108"/>
      <c r="W79" s="108"/>
      <c r="X79" s="108"/>
      <c r="Y79" s="114">
        <f>SUM(Y61:Y78)</f>
        <v>11106.92</v>
      </c>
      <c r="Z79" s="107" t="s">
        <v>82</v>
      </c>
      <c r="AA79" s="108"/>
      <c r="AB79" s="108"/>
      <c r="AC79" s="108"/>
      <c r="AD79" s="108"/>
      <c r="AE79" s="108"/>
      <c r="AF79" s="114">
        <f>SUM(AF61:AF78)</f>
        <v>4497.7699999999986</v>
      </c>
      <c r="AG79" s="107" t="s">
        <v>82</v>
      </c>
      <c r="AH79" s="108"/>
      <c r="AI79" s="108"/>
      <c r="AJ79" s="108"/>
      <c r="AK79" s="108"/>
      <c r="AL79" s="108"/>
      <c r="AM79" s="114">
        <f>SUM(AM61:AM78)</f>
        <v>7447.26</v>
      </c>
      <c r="AN79" s="107"/>
      <c r="AO79" s="108"/>
      <c r="AP79" s="108"/>
      <c r="AQ79" s="108"/>
      <c r="AR79" s="108"/>
      <c r="AS79" s="108"/>
      <c r="AT79" s="114"/>
      <c r="AU79" s="107"/>
      <c r="AV79" s="108"/>
      <c r="AW79" s="108"/>
      <c r="AX79" s="108"/>
      <c r="AY79" s="108"/>
      <c r="AZ79" s="108"/>
      <c r="BA79" s="114"/>
      <c r="BB79" s="107"/>
      <c r="BC79" s="108"/>
      <c r="BD79" s="108"/>
      <c r="BE79" s="108"/>
      <c r="BF79" s="108"/>
      <c r="BG79" s="108"/>
      <c r="BH79" s="114"/>
      <c r="BI79" s="107"/>
      <c r="BJ79" s="108"/>
      <c r="BK79" s="108"/>
      <c r="BL79" s="108"/>
      <c r="BM79" s="108"/>
      <c r="BN79" s="108"/>
      <c r="BO79" s="114"/>
      <c r="BP79" s="107"/>
      <c r="BQ79" s="108"/>
      <c r="BR79" s="108"/>
      <c r="BS79" s="108"/>
      <c r="BT79" s="108"/>
      <c r="BU79" s="108"/>
      <c r="BV79" s="114"/>
      <c r="BW79" s="107"/>
      <c r="BX79" s="108"/>
      <c r="BY79" s="108"/>
      <c r="BZ79" s="108"/>
      <c r="CA79" s="108"/>
      <c r="CB79" s="108"/>
      <c r="CC79" s="114"/>
      <c r="CD79" s="107"/>
      <c r="CE79" s="108"/>
      <c r="CF79" s="108"/>
      <c r="CG79" s="108"/>
      <c r="CH79" s="108"/>
      <c r="CI79" s="108"/>
      <c r="CJ79" s="114"/>
      <c r="CK79" s="107"/>
      <c r="CL79" s="108"/>
      <c r="CM79" s="108"/>
      <c r="CN79" s="108"/>
      <c r="CO79" s="108"/>
      <c r="CP79" s="108"/>
      <c r="CQ79" s="114"/>
    </row>
    <row r="80" spans="12:99" ht="14.25" customHeight="1" x14ac:dyDescent="0.2"/>
    <row r="81" spans="53:53" ht="14.25" customHeight="1" x14ac:dyDescent="0.2"/>
    <row r="82" spans="53:53" ht="14.25" customHeight="1" x14ac:dyDescent="0.2"/>
    <row r="83" spans="53:53" ht="14.25" customHeight="1" x14ac:dyDescent="0.2">
      <c r="BA83" s="139"/>
    </row>
    <row r="84" spans="53:53" ht="14.25" customHeight="1" x14ac:dyDescent="0.2">
      <c r="BA84" s="139"/>
    </row>
    <row r="85" spans="53:53" ht="14.25" customHeight="1" x14ac:dyDescent="0.2"/>
    <row r="86" spans="53:53" ht="14.25" customHeight="1" x14ac:dyDescent="0.2"/>
    <row r="87" spans="53:53" ht="14.25" customHeight="1" x14ac:dyDescent="0.2"/>
    <row r="88" spans="53:53" ht="14.25" customHeight="1" x14ac:dyDescent="0.2"/>
    <row r="89" spans="53:53" ht="14.25" customHeight="1" x14ac:dyDescent="0.2"/>
    <row r="90" spans="53:53" ht="14.25" customHeight="1" x14ac:dyDescent="0.2"/>
    <row r="91" spans="53:53" ht="14.25" customHeight="1" x14ac:dyDescent="0.2"/>
    <row r="92" spans="53:53" ht="14.25" customHeight="1" x14ac:dyDescent="0.2"/>
    <row r="93" spans="53:53" ht="14.25" customHeight="1" x14ac:dyDescent="0.2"/>
    <row r="94" spans="53:53" ht="14.25" customHeight="1" x14ac:dyDescent="0.2"/>
    <row r="95" spans="53:53" ht="14.25" customHeight="1" x14ac:dyDescent="0.2"/>
    <row r="96" spans="53:53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spans="99:99" ht="14.25" customHeight="1" x14ac:dyDescent="0.2">
      <c r="CU193" s="154"/>
    </row>
    <row r="194" spans="99:99" ht="14.25" customHeight="1" x14ac:dyDescent="0.2">
      <c r="CU194" s="154"/>
    </row>
    <row r="195" spans="99:99" ht="14.25" customHeight="1" x14ac:dyDescent="0.2">
      <c r="CU195" s="154"/>
    </row>
    <row r="196" spans="99:99" ht="14.25" customHeight="1" x14ac:dyDescent="0.2">
      <c r="CU196" s="154"/>
    </row>
    <row r="197" spans="99:99" ht="14.25" customHeight="1" x14ac:dyDescent="0.2">
      <c r="CU197" s="154"/>
    </row>
    <row r="198" spans="99:99" ht="14.25" customHeight="1" x14ac:dyDescent="0.2">
      <c r="CU198" s="154"/>
    </row>
    <row r="199" spans="99:99" ht="14.25" customHeight="1" x14ac:dyDescent="0.2">
      <c r="CU199" s="154"/>
    </row>
    <row r="200" spans="99:99" ht="14.25" customHeight="1" x14ac:dyDescent="0.2">
      <c r="CU200" s="154"/>
    </row>
    <row r="201" spans="99:99" ht="14.25" customHeight="1" x14ac:dyDescent="0.2">
      <c r="CU201" s="154"/>
    </row>
    <row r="202" spans="99:99" ht="14.25" customHeight="1" x14ac:dyDescent="0.2">
      <c r="CU202" s="154"/>
    </row>
    <row r="203" spans="99:99" ht="14.25" customHeight="1" x14ac:dyDescent="0.2">
      <c r="CU203" s="154"/>
    </row>
    <row r="204" spans="99:99" ht="14.25" customHeight="1" x14ac:dyDescent="0.2">
      <c r="CU204" s="154"/>
    </row>
    <row r="205" spans="99:99" ht="14.25" customHeight="1" x14ac:dyDescent="0.2">
      <c r="CU205" s="154"/>
    </row>
    <row r="206" spans="99:99" ht="14.25" customHeight="1" x14ac:dyDescent="0.2">
      <c r="CU206" s="154"/>
    </row>
    <row r="207" spans="99:99" ht="14.25" customHeight="1" x14ac:dyDescent="0.2">
      <c r="CU207" s="154"/>
    </row>
    <row r="208" spans="99:99" ht="14.25" customHeight="1" x14ac:dyDescent="0.2">
      <c r="CU208" s="154"/>
    </row>
    <row r="209" spans="99:99" ht="14.25" customHeight="1" x14ac:dyDescent="0.2">
      <c r="CU209" s="154"/>
    </row>
    <row r="210" spans="99:99" ht="14.25" customHeight="1" x14ac:dyDescent="0.2">
      <c r="CU210" s="154"/>
    </row>
    <row r="211" spans="99:99" ht="14.25" customHeight="1" x14ac:dyDescent="0.2">
      <c r="CU211" s="154"/>
    </row>
    <row r="212" spans="99:99" ht="14.25" customHeight="1" x14ac:dyDescent="0.2">
      <c r="CU212" s="154"/>
    </row>
    <row r="213" spans="99:99" ht="14.25" customHeight="1" x14ac:dyDescent="0.2">
      <c r="CU213" s="154"/>
    </row>
    <row r="214" spans="99:99" ht="14.25" customHeight="1" x14ac:dyDescent="0.2">
      <c r="CU214" s="154"/>
    </row>
    <row r="215" spans="99:99" ht="14.25" customHeight="1" x14ac:dyDescent="0.2">
      <c r="CU215" s="154"/>
    </row>
    <row r="216" spans="99:99" ht="14.25" customHeight="1" x14ac:dyDescent="0.2">
      <c r="CU216" s="154"/>
    </row>
    <row r="217" spans="99:99" ht="14.25" customHeight="1" x14ac:dyDescent="0.2">
      <c r="CU217" s="154"/>
    </row>
    <row r="218" spans="99:99" ht="14.25" customHeight="1" x14ac:dyDescent="0.2">
      <c r="CU218" s="154"/>
    </row>
    <row r="219" spans="99:99" ht="14.25" customHeight="1" x14ac:dyDescent="0.2">
      <c r="CU219" s="154"/>
    </row>
    <row r="220" spans="99:99" ht="14.25" customHeight="1" x14ac:dyDescent="0.2">
      <c r="CU220" s="154"/>
    </row>
    <row r="221" spans="99:99" ht="14.25" customHeight="1" x14ac:dyDescent="0.2">
      <c r="CU221" s="154"/>
    </row>
    <row r="222" spans="99:99" ht="14.25" customHeight="1" x14ac:dyDescent="0.2">
      <c r="CU222" s="154"/>
    </row>
    <row r="223" spans="99:99" ht="14.25" customHeight="1" x14ac:dyDescent="0.2">
      <c r="CU223" s="154"/>
    </row>
    <row r="224" spans="99:99" ht="14.25" customHeight="1" x14ac:dyDescent="0.2">
      <c r="CU224" s="154"/>
    </row>
    <row r="225" spans="99:99" ht="14.25" customHeight="1" x14ac:dyDescent="0.2">
      <c r="CU225" s="154"/>
    </row>
    <row r="226" spans="99:99" ht="14.25" customHeight="1" x14ac:dyDescent="0.2">
      <c r="CU226" s="154"/>
    </row>
    <row r="227" spans="99:99" ht="14.25" customHeight="1" x14ac:dyDescent="0.2">
      <c r="CU227" s="154"/>
    </row>
    <row r="228" spans="99:99" ht="14.25" customHeight="1" x14ac:dyDescent="0.2">
      <c r="CU228" s="154"/>
    </row>
    <row r="229" spans="99:99" ht="14.25" customHeight="1" x14ac:dyDescent="0.2">
      <c r="CU229" s="154"/>
    </row>
    <row r="230" spans="99:99" ht="14.25" customHeight="1" x14ac:dyDescent="0.2">
      <c r="CU230" s="154"/>
    </row>
    <row r="231" spans="99:99" ht="14.25" customHeight="1" x14ac:dyDescent="0.2">
      <c r="CU231" s="154"/>
    </row>
    <row r="232" spans="99:99" ht="14.25" customHeight="1" x14ac:dyDescent="0.2">
      <c r="CU232" s="154"/>
    </row>
    <row r="233" spans="99:99" ht="14.25" customHeight="1" x14ac:dyDescent="0.2">
      <c r="CU233" s="154"/>
    </row>
    <row r="234" spans="99:99" ht="14.25" customHeight="1" x14ac:dyDescent="0.2">
      <c r="CU234" s="154"/>
    </row>
    <row r="235" spans="99:99" ht="14.25" customHeight="1" x14ac:dyDescent="0.2">
      <c r="CU235" s="154"/>
    </row>
    <row r="236" spans="99:99" ht="14.25" customHeight="1" x14ac:dyDescent="0.2">
      <c r="CU236" s="154"/>
    </row>
    <row r="237" spans="99:99" ht="14.25" customHeight="1" x14ac:dyDescent="0.2">
      <c r="CU237" s="154"/>
    </row>
    <row r="238" spans="99:99" ht="14.25" customHeight="1" x14ac:dyDescent="0.2">
      <c r="CU238" s="154"/>
    </row>
    <row r="239" spans="99:99" ht="14.25" customHeight="1" x14ac:dyDescent="0.2">
      <c r="CU239" s="154"/>
    </row>
    <row r="240" spans="99:99" ht="14.25" customHeight="1" x14ac:dyDescent="0.2">
      <c r="CU240" s="154"/>
    </row>
    <row r="241" spans="99:99" ht="14.25" customHeight="1" x14ac:dyDescent="0.2">
      <c r="CU241" s="154"/>
    </row>
    <row r="242" spans="99:99" ht="14.25" customHeight="1" x14ac:dyDescent="0.2">
      <c r="CU242" s="154"/>
    </row>
    <row r="243" spans="99:99" ht="14.25" customHeight="1" x14ac:dyDescent="0.2">
      <c r="CU243" s="154"/>
    </row>
    <row r="244" spans="99:99" ht="14.25" customHeight="1" x14ac:dyDescent="0.2">
      <c r="CU244" s="154"/>
    </row>
    <row r="245" spans="99:99" ht="14.25" customHeight="1" x14ac:dyDescent="0.2">
      <c r="CU245" s="154"/>
    </row>
    <row r="246" spans="99:99" ht="14.25" customHeight="1" x14ac:dyDescent="0.2">
      <c r="CU246" s="154"/>
    </row>
    <row r="247" spans="99:99" ht="14.25" customHeight="1" x14ac:dyDescent="0.2">
      <c r="CU247" s="154"/>
    </row>
    <row r="248" spans="99:99" ht="14.25" customHeight="1" x14ac:dyDescent="0.2">
      <c r="CU248" s="154"/>
    </row>
    <row r="249" spans="99:99" ht="14.25" customHeight="1" x14ac:dyDescent="0.2">
      <c r="CU249" s="154"/>
    </row>
    <row r="250" spans="99:99" ht="14.25" customHeight="1" x14ac:dyDescent="0.2">
      <c r="CU250" s="154"/>
    </row>
    <row r="251" spans="99:99" ht="14.25" customHeight="1" x14ac:dyDescent="0.2">
      <c r="CU251" s="154"/>
    </row>
    <row r="252" spans="99:99" ht="14.25" customHeight="1" x14ac:dyDescent="0.2">
      <c r="CU252" s="154"/>
    </row>
    <row r="253" spans="99:99" ht="14.25" customHeight="1" x14ac:dyDescent="0.2">
      <c r="CU253" s="154"/>
    </row>
    <row r="254" spans="99:99" ht="14.25" customHeight="1" x14ac:dyDescent="0.2">
      <c r="CU254" s="154"/>
    </row>
    <row r="255" spans="99:99" ht="14.25" customHeight="1" x14ac:dyDescent="0.2">
      <c r="CU255" s="154"/>
    </row>
    <row r="256" spans="99:99" ht="14.25" customHeight="1" x14ac:dyDescent="0.2">
      <c r="CU256" s="154"/>
    </row>
    <row r="257" spans="99:99" ht="14.25" customHeight="1" x14ac:dyDescent="0.2">
      <c r="CU257" s="154"/>
    </row>
    <row r="258" spans="99:99" ht="14.25" customHeight="1" x14ac:dyDescent="0.2">
      <c r="CU258" s="154"/>
    </row>
    <row r="259" spans="99:99" ht="14.25" customHeight="1" x14ac:dyDescent="0.2">
      <c r="CU259" s="154"/>
    </row>
    <row r="260" spans="99:99" ht="14.25" customHeight="1" x14ac:dyDescent="0.2">
      <c r="CU260" s="154"/>
    </row>
    <row r="261" spans="99:99" ht="14.25" customHeight="1" x14ac:dyDescent="0.2">
      <c r="CU261" s="154"/>
    </row>
    <row r="262" spans="99:99" ht="14.25" customHeight="1" x14ac:dyDescent="0.2">
      <c r="CU262" s="154"/>
    </row>
    <row r="263" spans="99:99" ht="14.25" customHeight="1" x14ac:dyDescent="0.2">
      <c r="CU263" s="154"/>
    </row>
    <row r="264" spans="99:99" ht="14.25" customHeight="1" x14ac:dyDescent="0.2">
      <c r="CU264" s="154"/>
    </row>
    <row r="265" spans="99:99" ht="14.25" customHeight="1" x14ac:dyDescent="0.2">
      <c r="CU265" s="154"/>
    </row>
    <row r="266" spans="99:99" ht="14.25" customHeight="1" x14ac:dyDescent="0.2">
      <c r="CU266" s="154"/>
    </row>
    <row r="267" spans="99:99" ht="14.25" customHeight="1" x14ac:dyDescent="0.2">
      <c r="CU267" s="154"/>
    </row>
    <row r="268" spans="99:99" ht="14.25" customHeight="1" x14ac:dyDescent="0.2">
      <c r="CU268" s="154"/>
    </row>
    <row r="269" spans="99:99" ht="14.25" customHeight="1" x14ac:dyDescent="0.2">
      <c r="CU269" s="154"/>
    </row>
    <row r="270" spans="99:99" ht="14.25" customHeight="1" x14ac:dyDescent="0.2">
      <c r="CU270" s="154"/>
    </row>
    <row r="271" spans="99:99" ht="14.25" customHeight="1" x14ac:dyDescent="0.2">
      <c r="CU271" s="154"/>
    </row>
    <row r="272" spans="99:99" ht="14.25" customHeight="1" x14ac:dyDescent="0.2">
      <c r="CU272" s="154"/>
    </row>
    <row r="273" spans="99:99" ht="14.25" customHeight="1" x14ac:dyDescent="0.2">
      <c r="CU273" s="154"/>
    </row>
    <row r="274" spans="99:99" ht="14.25" customHeight="1" x14ac:dyDescent="0.2">
      <c r="CU274" s="154"/>
    </row>
    <row r="275" spans="99:99" ht="14.25" customHeight="1" x14ac:dyDescent="0.2">
      <c r="CU275" s="154"/>
    </row>
    <row r="276" spans="99:99" ht="14.25" customHeight="1" x14ac:dyDescent="0.2">
      <c r="CU276" s="154"/>
    </row>
    <row r="277" spans="99:99" ht="14.25" customHeight="1" x14ac:dyDescent="0.2">
      <c r="CU277" s="154"/>
    </row>
    <row r="278" spans="99:99" ht="14.25" customHeight="1" x14ac:dyDescent="0.2">
      <c r="CU278" s="154"/>
    </row>
    <row r="279" spans="99:99" ht="14.25" customHeight="1" x14ac:dyDescent="0.2">
      <c r="CU279" s="154"/>
    </row>
    <row r="280" spans="99:99" ht="14.25" customHeight="1" x14ac:dyDescent="0.2">
      <c r="CU280" s="154"/>
    </row>
    <row r="281" spans="99:99" ht="14.25" customHeight="1" x14ac:dyDescent="0.2">
      <c r="CU281" s="154"/>
    </row>
    <row r="282" spans="99:99" ht="14.25" customHeight="1" x14ac:dyDescent="0.2">
      <c r="CU282" s="154"/>
    </row>
    <row r="283" spans="99:99" ht="14.25" customHeight="1" x14ac:dyDescent="0.2">
      <c r="CU283" s="154"/>
    </row>
    <row r="284" spans="99:99" ht="14.25" customHeight="1" x14ac:dyDescent="0.2">
      <c r="CU284" s="154"/>
    </row>
    <row r="285" spans="99:99" ht="14.25" customHeight="1" x14ac:dyDescent="0.2">
      <c r="CU285" s="154"/>
    </row>
    <row r="286" spans="99:99" ht="14.25" customHeight="1" x14ac:dyDescent="0.2">
      <c r="CU286" s="154"/>
    </row>
    <row r="287" spans="99:99" ht="14.25" customHeight="1" x14ac:dyDescent="0.2">
      <c r="CU287" s="154"/>
    </row>
    <row r="288" spans="99:99" ht="14.25" customHeight="1" x14ac:dyDescent="0.2">
      <c r="CU288" s="154"/>
    </row>
    <row r="289" spans="99:99" ht="14.25" customHeight="1" x14ac:dyDescent="0.2">
      <c r="CU289" s="154"/>
    </row>
    <row r="290" spans="99:99" ht="14.25" customHeight="1" x14ac:dyDescent="0.2">
      <c r="CU290" s="154"/>
    </row>
    <row r="291" spans="99:99" ht="14.25" customHeight="1" x14ac:dyDescent="0.2">
      <c r="CU291" s="154"/>
    </row>
    <row r="292" spans="99:99" ht="14.25" customHeight="1" x14ac:dyDescent="0.2">
      <c r="CU292" s="154"/>
    </row>
    <row r="293" spans="99:99" ht="14.25" customHeight="1" x14ac:dyDescent="0.2">
      <c r="CU293" s="154"/>
    </row>
    <row r="294" spans="99:99" ht="14.25" customHeight="1" x14ac:dyDescent="0.2">
      <c r="CU294" s="154"/>
    </row>
    <row r="295" spans="99:99" ht="14.25" customHeight="1" x14ac:dyDescent="0.2">
      <c r="CU295" s="154"/>
    </row>
    <row r="296" spans="99:99" ht="14.25" customHeight="1" x14ac:dyDescent="0.2">
      <c r="CU296" s="154"/>
    </row>
    <row r="297" spans="99:99" ht="14.25" customHeight="1" x14ac:dyDescent="0.2">
      <c r="CU297" s="154"/>
    </row>
    <row r="298" spans="99:99" ht="14.25" customHeight="1" x14ac:dyDescent="0.2">
      <c r="CU298" s="154"/>
    </row>
    <row r="299" spans="99:99" ht="14.25" customHeight="1" x14ac:dyDescent="0.2">
      <c r="CU299" s="154"/>
    </row>
    <row r="300" spans="99:99" ht="14.25" customHeight="1" x14ac:dyDescent="0.2">
      <c r="CU300" s="154"/>
    </row>
    <row r="301" spans="99:99" ht="14.25" customHeight="1" x14ac:dyDescent="0.2">
      <c r="CU301" s="154"/>
    </row>
    <row r="302" spans="99:99" ht="14.25" customHeight="1" x14ac:dyDescent="0.2">
      <c r="CU302" s="154"/>
    </row>
    <row r="303" spans="99:99" ht="14.25" customHeight="1" x14ac:dyDescent="0.2">
      <c r="CU303" s="154"/>
    </row>
    <row r="304" spans="99:99" ht="14.25" customHeight="1" x14ac:dyDescent="0.2">
      <c r="CU304" s="154"/>
    </row>
    <row r="305" spans="99:99" ht="14.25" customHeight="1" x14ac:dyDescent="0.2">
      <c r="CU305" s="154"/>
    </row>
    <row r="306" spans="99:99" ht="14.25" customHeight="1" x14ac:dyDescent="0.2">
      <c r="CU306" s="154"/>
    </row>
    <row r="307" spans="99:99" ht="14.25" customHeight="1" x14ac:dyDescent="0.2">
      <c r="CU307" s="154"/>
    </row>
    <row r="308" spans="99:99" ht="14.25" customHeight="1" x14ac:dyDescent="0.2">
      <c r="CU308" s="154"/>
    </row>
    <row r="309" spans="99:99" ht="14.25" customHeight="1" x14ac:dyDescent="0.2">
      <c r="CU309" s="154"/>
    </row>
    <row r="310" spans="99:99" ht="14.25" customHeight="1" x14ac:dyDescent="0.2">
      <c r="CU310" s="154"/>
    </row>
    <row r="311" spans="99:99" ht="14.25" customHeight="1" x14ac:dyDescent="0.2">
      <c r="CU311" s="154"/>
    </row>
    <row r="312" spans="99:99" ht="14.25" customHeight="1" x14ac:dyDescent="0.2">
      <c r="CU312" s="154"/>
    </row>
    <row r="313" spans="99:99" ht="14.25" customHeight="1" x14ac:dyDescent="0.2">
      <c r="CU313" s="154"/>
    </row>
    <row r="314" spans="99:99" ht="14.25" customHeight="1" x14ac:dyDescent="0.2">
      <c r="CU314" s="154"/>
    </row>
    <row r="315" spans="99:99" ht="14.25" customHeight="1" x14ac:dyDescent="0.2">
      <c r="CU315" s="154"/>
    </row>
    <row r="316" spans="99:99" ht="14.25" customHeight="1" x14ac:dyDescent="0.2">
      <c r="CU316" s="154"/>
    </row>
    <row r="317" spans="99:99" ht="14.25" customHeight="1" x14ac:dyDescent="0.2">
      <c r="CU317" s="154"/>
    </row>
    <row r="318" spans="99:99" ht="14.25" customHeight="1" x14ac:dyDescent="0.2">
      <c r="CU318" s="154"/>
    </row>
    <row r="319" spans="99:99" ht="14.25" customHeight="1" x14ac:dyDescent="0.2">
      <c r="CU319" s="154"/>
    </row>
    <row r="320" spans="99:99" ht="14.25" customHeight="1" x14ac:dyDescent="0.2">
      <c r="CU320" s="154"/>
    </row>
    <row r="321" spans="99:99" ht="14.25" customHeight="1" x14ac:dyDescent="0.2">
      <c r="CU321" s="154"/>
    </row>
    <row r="322" spans="99:99" ht="14.25" customHeight="1" x14ac:dyDescent="0.2">
      <c r="CU322" s="154"/>
    </row>
    <row r="323" spans="99:99" ht="14.25" customHeight="1" x14ac:dyDescent="0.2">
      <c r="CU323" s="154"/>
    </row>
    <row r="324" spans="99:99" ht="14.25" customHeight="1" x14ac:dyDescent="0.2">
      <c r="CU324" s="154"/>
    </row>
    <row r="325" spans="99:99" ht="14.25" customHeight="1" x14ac:dyDescent="0.2">
      <c r="CU325" s="154"/>
    </row>
    <row r="326" spans="99:99" ht="14.25" customHeight="1" x14ac:dyDescent="0.2">
      <c r="CU326" s="154"/>
    </row>
    <row r="327" spans="99:99" ht="14.25" customHeight="1" x14ac:dyDescent="0.2">
      <c r="CU327" s="154"/>
    </row>
    <row r="328" spans="99:99" ht="14.25" customHeight="1" x14ac:dyDescent="0.2">
      <c r="CU328" s="154"/>
    </row>
    <row r="329" spans="99:99" ht="14.25" customHeight="1" x14ac:dyDescent="0.2">
      <c r="CU329" s="154"/>
    </row>
    <row r="330" spans="99:99" ht="14.25" customHeight="1" x14ac:dyDescent="0.2">
      <c r="CU330" s="154"/>
    </row>
    <row r="331" spans="99:99" ht="14.25" customHeight="1" x14ac:dyDescent="0.2">
      <c r="CU331" s="154"/>
    </row>
    <row r="332" spans="99:99" ht="14.25" customHeight="1" x14ac:dyDescent="0.2">
      <c r="CU332" s="154"/>
    </row>
    <row r="333" spans="99:99" ht="14.25" customHeight="1" x14ac:dyDescent="0.2">
      <c r="CU333" s="154"/>
    </row>
    <row r="334" spans="99:99" ht="14.25" customHeight="1" x14ac:dyDescent="0.2">
      <c r="CU334" s="154"/>
    </row>
    <row r="335" spans="99:99" ht="14.25" customHeight="1" x14ac:dyDescent="0.2">
      <c r="CU335" s="154"/>
    </row>
    <row r="336" spans="99:99" ht="14.25" customHeight="1" x14ac:dyDescent="0.2">
      <c r="CU336" s="154"/>
    </row>
    <row r="337" spans="99:99" ht="14.25" customHeight="1" x14ac:dyDescent="0.2">
      <c r="CU337" s="154"/>
    </row>
    <row r="338" spans="99:99" ht="14.25" customHeight="1" x14ac:dyDescent="0.2">
      <c r="CU338" s="154"/>
    </row>
    <row r="339" spans="99:99" ht="14.25" customHeight="1" x14ac:dyDescent="0.2">
      <c r="CU339" s="154"/>
    </row>
    <row r="340" spans="99:99" ht="14.25" customHeight="1" x14ac:dyDescent="0.2">
      <c r="CU340" s="154"/>
    </row>
    <row r="341" spans="99:99" ht="14.25" customHeight="1" x14ac:dyDescent="0.2">
      <c r="CU341" s="154"/>
    </row>
    <row r="342" spans="99:99" ht="14.25" customHeight="1" x14ac:dyDescent="0.2">
      <c r="CU342" s="154"/>
    </row>
    <row r="343" spans="99:99" ht="14.25" customHeight="1" x14ac:dyDescent="0.2">
      <c r="CU343" s="154"/>
    </row>
    <row r="344" spans="99:99" ht="14.25" customHeight="1" x14ac:dyDescent="0.2">
      <c r="CU344" s="154"/>
    </row>
    <row r="345" spans="99:99" ht="14.25" customHeight="1" x14ac:dyDescent="0.2">
      <c r="CU345" s="154"/>
    </row>
    <row r="346" spans="99:99" ht="14.25" customHeight="1" x14ac:dyDescent="0.2">
      <c r="CU346" s="154"/>
    </row>
    <row r="347" spans="99:99" ht="14.25" customHeight="1" x14ac:dyDescent="0.2">
      <c r="CU347" s="154"/>
    </row>
    <row r="348" spans="99:99" ht="14.25" customHeight="1" x14ac:dyDescent="0.2">
      <c r="CU348" s="154"/>
    </row>
    <row r="349" spans="99:99" ht="14.25" customHeight="1" x14ac:dyDescent="0.2">
      <c r="CU349" s="154"/>
    </row>
    <row r="350" spans="99:99" ht="14.25" customHeight="1" x14ac:dyDescent="0.2">
      <c r="CU350" s="154"/>
    </row>
    <row r="351" spans="99:99" ht="14.25" customHeight="1" x14ac:dyDescent="0.2">
      <c r="CU351" s="154"/>
    </row>
    <row r="352" spans="99:99" ht="14.25" customHeight="1" x14ac:dyDescent="0.2">
      <c r="CU352" s="154"/>
    </row>
    <row r="353" spans="99:99" ht="14.25" customHeight="1" x14ac:dyDescent="0.2">
      <c r="CU353" s="154"/>
    </row>
    <row r="354" spans="99:99" ht="14.25" customHeight="1" x14ac:dyDescent="0.2">
      <c r="CU354" s="154"/>
    </row>
    <row r="355" spans="99:99" ht="14.25" customHeight="1" x14ac:dyDescent="0.2">
      <c r="CU355" s="154"/>
    </row>
    <row r="356" spans="99:99" ht="14.25" customHeight="1" x14ac:dyDescent="0.2">
      <c r="CU356" s="154"/>
    </row>
    <row r="357" spans="99:99" ht="14.25" customHeight="1" x14ac:dyDescent="0.2">
      <c r="CU357" s="154"/>
    </row>
    <row r="358" spans="99:99" ht="14.25" customHeight="1" x14ac:dyDescent="0.2">
      <c r="CU358" s="154"/>
    </row>
    <row r="359" spans="99:99" ht="14.25" customHeight="1" x14ac:dyDescent="0.2">
      <c r="CU359" s="154"/>
    </row>
    <row r="360" spans="99:99" ht="14.25" customHeight="1" x14ac:dyDescent="0.2">
      <c r="CU360" s="154"/>
    </row>
    <row r="361" spans="99:99" ht="14.25" customHeight="1" x14ac:dyDescent="0.2">
      <c r="CU361" s="154"/>
    </row>
    <row r="362" spans="99:99" ht="14.25" customHeight="1" x14ac:dyDescent="0.2">
      <c r="CU362" s="154"/>
    </row>
    <row r="363" spans="99:99" ht="14.25" customHeight="1" x14ac:dyDescent="0.2">
      <c r="CU363" s="154"/>
    </row>
    <row r="364" spans="99:99" ht="14.25" customHeight="1" x14ac:dyDescent="0.2">
      <c r="CU364" s="154"/>
    </row>
    <row r="365" spans="99:99" ht="14.25" customHeight="1" x14ac:dyDescent="0.2">
      <c r="CU365" s="154"/>
    </row>
    <row r="366" spans="99:99" ht="14.25" customHeight="1" x14ac:dyDescent="0.2">
      <c r="CU366" s="154"/>
    </row>
    <row r="367" spans="99:99" ht="14.25" customHeight="1" x14ac:dyDescent="0.2">
      <c r="CU367" s="154"/>
    </row>
    <row r="368" spans="99:99" ht="14.25" customHeight="1" x14ac:dyDescent="0.2">
      <c r="CU368" s="154"/>
    </row>
    <row r="369" spans="99:99" ht="14.25" customHeight="1" x14ac:dyDescent="0.2">
      <c r="CU369" s="154"/>
    </row>
    <row r="370" spans="99:99" ht="14.25" customHeight="1" x14ac:dyDescent="0.2">
      <c r="CU370" s="154"/>
    </row>
    <row r="371" spans="99:99" ht="14.25" customHeight="1" x14ac:dyDescent="0.2">
      <c r="CU371" s="154"/>
    </row>
    <row r="372" spans="99:99" ht="14.25" customHeight="1" x14ac:dyDescent="0.2">
      <c r="CU372" s="154"/>
    </row>
    <row r="373" spans="99:99" ht="14.25" customHeight="1" x14ac:dyDescent="0.2">
      <c r="CU373" s="154"/>
    </row>
    <row r="374" spans="99:99" ht="14.25" customHeight="1" x14ac:dyDescent="0.2">
      <c r="CU374" s="154"/>
    </row>
    <row r="375" spans="99:99" ht="14.25" customHeight="1" x14ac:dyDescent="0.2">
      <c r="CU375" s="154"/>
    </row>
    <row r="376" spans="99:99" ht="14.25" customHeight="1" x14ac:dyDescent="0.2">
      <c r="CU376" s="154"/>
    </row>
    <row r="377" spans="99:99" ht="14.25" customHeight="1" x14ac:dyDescent="0.2">
      <c r="CU377" s="154"/>
    </row>
    <row r="378" spans="99:99" ht="14.25" customHeight="1" x14ac:dyDescent="0.2">
      <c r="CU378" s="154"/>
    </row>
    <row r="379" spans="99:99" ht="14.25" customHeight="1" x14ac:dyDescent="0.2">
      <c r="CU379" s="154"/>
    </row>
    <row r="380" spans="99:99" ht="14.25" customHeight="1" x14ac:dyDescent="0.2">
      <c r="CU380" s="154"/>
    </row>
    <row r="381" spans="99:99" ht="14.25" customHeight="1" x14ac:dyDescent="0.2">
      <c r="CU381" s="154"/>
    </row>
    <row r="382" spans="99:99" ht="14.25" customHeight="1" x14ac:dyDescent="0.2">
      <c r="CU382" s="154"/>
    </row>
    <row r="383" spans="99:99" ht="14.25" customHeight="1" x14ac:dyDescent="0.2">
      <c r="CU383" s="154"/>
    </row>
    <row r="384" spans="99:99" ht="14.25" customHeight="1" x14ac:dyDescent="0.2">
      <c r="CU384" s="154"/>
    </row>
    <row r="385" spans="99:99" ht="14.25" customHeight="1" x14ac:dyDescent="0.2">
      <c r="CU385" s="154"/>
    </row>
    <row r="386" spans="99:99" ht="14.25" customHeight="1" x14ac:dyDescent="0.2">
      <c r="CU386" s="154"/>
    </row>
    <row r="387" spans="99:99" ht="14.25" customHeight="1" x14ac:dyDescent="0.2">
      <c r="CU387" s="154"/>
    </row>
    <row r="388" spans="99:99" ht="14.25" customHeight="1" x14ac:dyDescent="0.2">
      <c r="CU388" s="154"/>
    </row>
    <row r="389" spans="99:99" ht="14.25" customHeight="1" x14ac:dyDescent="0.2">
      <c r="CU389" s="154"/>
    </row>
    <row r="390" spans="99:99" ht="14.25" customHeight="1" x14ac:dyDescent="0.2">
      <c r="CU390" s="154"/>
    </row>
    <row r="391" spans="99:99" ht="14.25" customHeight="1" x14ac:dyDescent="0.2">
      <c r="CU391" s="154"/>
    </row>
    <row r="392" spans="99:99" ht="14.25" customHeight="1" x14ac:dyDescent="0.2">
      <c r="CU392" s="154"/>
    </row>
    <row r="393" spans="99:99" ht="14.25" customHeight="1" x14ac:dyDescent="0.2">
      <c r="CU393" s="154"/>
    </row>
    <row r="394" spans="99:99" ht="14.25" customHeight="1" x14ac:dyDescent="0.2">
      <c r="CU394" s="154"/>
    </row>
    <row r="395" spans="99:99" ht="14.25" customHeight="1" x14ac:dyDescent="0.2">
      <c r="CU395" s="154"/>
    </row>
    <row r="396" spans="99:99" ht="14.25" customHeight="1" x14ac:dyDescent="0.2">
      <c r="CU396" s="154"/>
    </row>
    <row r="397" spans="99:99" ht="14.25" customHeight="1" x14ac:dyDescent="0.2">
      <c r="CU397" s="154"/>
    </row>
    <row r="398" spans="99:99" ht="14.25" customHeight="1" x14ac:dyDescent="0.2">
      <c r="CU398" s="154"/>
    </row>
    <row r="399" spans="99:99" ht="14.25" customHeight="1" x14ac:dyDescent="0.2">
      <c r="CU399" s="154"/>
    </row>
    <row r="400" spans="99:99" ht="14.25" customHeight="1" x14ac:dyDescent="0.2">
      <c r="CU400" s="154"/>
    </row>
    <row r="401" spans="99:99" ht="14.25" customHeight="1" x14ac:dyDescent="0.2">
      <c r="CU401" s="154"/>
    </row>
    <row r="402" spans="99:99" ht="14.25" customHeight="1" x14ac:dyDescent="0.2">
      <c r="CU402" s="154"/>
    </row>
    <row r="403" spans="99:99" ht="14.25" customHeight="1" x14ac:dyDescent="0.2">
      <c r="CU403" s="154"/>
    </row>
    <row r="404" spans="99:99" ht="14.25" customHeight="1" x14ac:dyDescent="0.2">
      <c r="CU404" s="154"/>
    </row>
    <row r="405" spans="99:99" ht="14.25" customHeight="1" x14ac:dyDescent="0.2">
      <c r="CU405" s="154"/>
    </row>
    <row r="406" spans="99:99" ht="14.25" customHeight="1" x14ac:dyDescent="0.2">
      <c r="CU406" s="154"/>
    </row>
    <row r="407" spans="99:99" ht="14.25" customHeight="1" x14ac:dyDescent="0.2">
      <c r="CU407" s="154"/>
    </row>
    <row r="408" spans="99:99" ht="14.25" customHeight="1" x14ac:dyDescent="0.2">
      <c r="CU408" s="154"/>
    </row>
    <row r="409" spans="99:99" ht="14.25" customHeight="1" x14ac:dyDescent="0.2">
      <c r="CU409" s="154"/>
    </row>
    <row r="410" spans="99:99" ht="14.25" customHeight="1" x14ac:dyDescent="0.2">
      <c r="CU410" s="154"/>
    </row>
    <row r="411" spans="99:99" ht="14.25" customHeight="1" x14ac:dyDescent="0.2">
      <c r="CU411" s="154"/>
    </row>
    <row r="412" spans="99:99" ht="14.25" customHeight="1" x14ac:dyDescent="0.2">
      <c r="CU412" s="154"/>
    </row>
    <row r="413" spans="99:99" ht="14.25" customHeight="1" x14ac:dyDescent="0.2">
      <c r="CU413" s="154"/>
    </row>
    <row r="414" spans="99:99" ht="14.25" customHeight="1" x14ac:dyDescent="0.2">
      <c r="CU414" s="154"/>
    </row>
    <row r="415" spans="99:99" ht="14.25" customHeight="1" x14ac:dyDescent="0.2">
      <c r="CU415" s="154"/>
    </row>
    <row r="416" spans="99:99" ht="14.25" customHeight="1" x14ac:dyDescent="0.2">
      <c r="CU416" s="154"/>
    </row>
    <row r="417" spans="99:99" ht="14.25" customHeight="1" x14ac:dyDescent="0.2">
      <c r="CU417" s="154"/>
    </row>
    <row r="418" spans="99:99" ht="14.25" customHeight="1" x14ac:dyDescent="0.2">
      <c r="CU418" s="154"/>
    </row>
    <row r="419" spans="99:99" ht="14.25" customHeight="1" x14ac:dyDescent="0.2">
      <c r="CU419" s="154"/>
    </row>
    <row r="420" spans="99:99" ht="14.25" customHeight="1" x14ac:dyDescent="0.2">
      <c r="CU420" s="154"/>
    </row>
    <row r="421" spans="99:99" ht="14.25" customHeight="1" x14ac:dyDescent="0.2">
      <c r="CU421" s="154"/>
    </row>
    <row r="422" spans="99:99" ht="14.25" customHeight="1" x14ac:dyDescent="0.2">
      <c r="CU422" s="154"/>
    </row>
    <row r="423" spans="99:99" ht="14.25" customHeight="1" x14ac:dyDescent="0.2">
      <c r="CU423" s="154"/>
    </row>
    <row r="424" spans="99:99" ht="14.25" customHeight="1" x14ac:dyDescent="0.2">
      <c r="CU424" s="154"/>
    </row>
    <row r="425" spans="99:99" ht="14.25" customHeight="1" x14ac:dyDescent="0.2">
      <c r="CU425" s="154"/>
    </row>
    <row r="426" spans="99:99" ht="14.25" customHeight="1" x14ac:dyDescent="0.2">
      <c r="CU426" s="154"/>
    </row>
    <row r="427" spans="99:99" ht="14.25" customHeight="1" x14ac:dyDescent="0.2">
      <c r="CU427" s="154"/>
    </row>
    <row r="428" spans="99:99" ht="14.25" customHeight="1" x14ac:dyDescent="0.2">
      <c r="CU428" s="154"/>
    </row>
    <row r="429" spans="99:99" ht="14.25" customHeight="1" x14ac:dyDescent="0.2">
      <c r="CU429" s="154"/>
    </row>
    <row r="430" spans="99:99" ht="14.25" customHeight="1" x14ac:dyDescent="0.2">
      <c r="CU430" s="154"/>
    </row>
    <row r="431" spans="99:99" ht="14.25" customHeight="1" x14ac:dyDescent="0.2">
      <c r="CU431" s="154"/>
    </row>
    <row r="432" spans="99:99" ht="14.25" customHeight="1" x14ac:dyDescent="0.2">
      <c r="CU432" s="154"/>
    </row>
    <row r="433" spans="99:99" ht="14.25" customHeight="1" x14ac:dyDescent="0.2">
      <c r="CU433" s="154"/>
    </row>
    <row r="434" spans="99:99" ht="14.25" customHeight="1" x14ac:dyDescent="0.2">
      <c r="CU434" s="154"/>
    </row>
    <row r="435" spans="99:99" ht="14.25" customHeight="1" x14ac:dyDescent="0.2">
      <c r="CU435" s="154"/>
    </row>
    <row r="436" spans="99:99" ht="14.25" customHeight="1" x14ac:dyDescent="0.2">
      <c r="CU436" s="154"/>
    </row>
    <row r="437" spans="99:99" ht="14.25" customHeight="1" x14ac:dyDescent="0.2">
      <c r="CU437" s="154"/>
    </row>
    <row r="438" spans="99:99" ht="14.25" customHeight="1" x14ac:dyDescent="0.2">
      <c r="CU438" s="154"/>
    </row>
    <row r="439" spans="99:99" ht="14.25" customHeight="1" x14ac:dyDescent="0.2">
      <c r="CU439" s="154"/>
    </row>
    <row r="440" spans="99:99" ht="14.25" customHeight="1" x14ac:dyDescent="0.2">
      <c r="CU440" s="154"/>
    </row>
    <row r="441" spans="99:99" ht="14.25" customHeight="1" x14ac:dyDescent="0.2">
      <c r="CU441" s="154"/>
    </row>
    <row r="442" spans="99:99" ht="14.25" customHeight="1" x14ac:dyDescent="0.2">
      <c r="CU442" s="154"/>
    </row>
    <row r="443" spans="99:99" ht="14.25" customHeight="1" x14ac:dyDescent="0.2">
      <c r="CU443" s="154"/>
    </row>
    <row r="444" spans="99:99" ht="14.25" customHeight="1" x14ac:dyDescent="0.2">
      <c r="CU444" s="154"/>
    </row>
    <row r="445" spans="99:99" ht="14.25" customHeight="1" x14ac:dyDescent="0.2">
      <c r="CU445" s="154"/>
    </row>
    <row r="446" spans="99:99" ht="14.25" customHeight="1" x14ac:dyDescent="0.2">
      <c r="CU446" s="154"/>
    </row>
    <row r="447" spans="99:99" ht="14.25" customHeight="1" x14ac:dyDescent="0.2">
      <c r="CU447" s="154"/>
    </row>
    <row r="448" spans="99:99" ht="14.25" customHeight="1" x14ac:dyDescent="0.2">
      <c r="CU448" s="154"/>
    </row>
    <row r="449" spans="99:99" ht="14.25" customHeight="1" x14ac:dyDescent="0.2">
      <c r="CU449" s="154"/>
    </row>
    <row r="450" spans="99:99" ht="14.25" customHeight="1" x14ac:dyDescent="0.2">
      <c r="CU450" s="154"/>
    </row>
    <row r="451" spans="99:99" ht="14.25" customHeight="1" x14ac:dyDescent="0.2">
      <c r="CU451" s="154"/>
    </row>
    <row r="452" spans="99:99" ht="14.25" customHeight="1" x14ac:dyDescent="0.2">
      <c r="CU452" s="154"/>
    </row>
    <row r="453" spans="99:99" ht="14.25" customHeight="1" x14ac:dyDescent="0.2">
      <c r="CU453" s="154"/>
    </row>
    <row r="454" spans="99:99" ht="14.25" customHeight="1" x14ac:dyDescent="0.2">
      <c r="CU454" s="154"/>
    </row>
    <row r="455" spans="99:99" ht="14.25" customHeight="1" x14ac:dyDescent="0.2">
      <c r="CU455" s="154"/>
    </row>
    <row r="456" spans="99:99" ht="14.25" customHeight="1" x14ac:dyDescent="0.2">
      <c r="CU456" s="154"/>
    </row>
    <row r="457" spans="99:99" ht="14.25" customHeight="1" x14ac:dyDescent="0.2">
      <c r="CU457" s="154"/>
    </row>
    <row r="458" spans="99:99" ht="14.25" customHeight="1" x14ac:dyDescent="0.2">
      <c r="CU458" s="154"/>
    </row>
    <row r="459" spans="99:99" ht="14.25" customHeight="1" x14ac:dyDescent="0.2">
      <c r="CU459" s="154"/>
    </row>
    <row r="460" spans="99:99" ht="14.25" customHeight="1" x14ac:dyDescent="0.2">
      <c r="CU460" s="154"/>
    </row>
    <row r="461" spans="99:99" ht="14.25" customHeight="1" x14ac:dyDescent="0.2">
      <c r="CU461" s="154"/>
    </row>
    <row r="462" spans="99:99" ht="14.25" customHeight="1" x14ac:dyDescent="0.2">
      <c r="CU462" s="154"/>
    </row>
    <row r="463" spans="99:99" ht="14.25" customHeight="1" x14ac:dyDescent="0.2">
      <c r="CU463" s="154"/>
    </row>
    <row r="464" spans="99:99" ht="14.25" customHeight="1" x14ac:dyDescent="0.2">
      <c r="CU464" s="154"/>
    </row>
    <row r="465" spans="99:99" ht="14.25" customHeight="1" x14ac:dyDescent="0.2">
      <c r="CU465" s="154"/>
    </row>
    <row r="466" spans="99:99" ht="14.25" customHeight="1" x14ac:dyDescent="0.2">
      <c r="CU466" s="154"/>
    </row>
    <row r="467" spans="99:99" ht="14.25" customHeight="1" x14ac:dyDescent="0.2">
      <c r="CU467" s="154"/>
    </row>
    <row r="468" spans="99:99" ht="14.25" customHeight="1" x14ac:dyDescent="0.2">
      <c r="CU468" s="154"/>
    </row>
    <row r="469" spans="99:99" ht="14.25" customHeight="1" x14ac:dyDescent="0.2">
      <c r="CU469" s="154"/>
    </row>
    <row r="470" spans="99:99" ht="14.25" customHeight="1" x14ac:dyDescent="0.2">
      <c r="CU470" s="154"/>
    </row>
    <row r="471" spans="99:99" ht="14.25" customHeight="1" x14ac:dyDescent="0.2">
      <c r="CU471" s="154"/>
    </row>
    <row r="472" spans="99:99" ht="14.25" customHeight="1" x14ac:dyDescent="0.2">
      <c r="CU472" s="154"/>
    </row>
    <row r="473" spans="99:99" ht="14.25" customHeight="1" x14ac:dyDescent="0.2">
      <c r="CU473" s="154"/>
    </row>
    <row r="474" spans="99:99" ht="14.25" customHeight="1" x14ac:dyDescent="0.2">
      <c r="CU474" s="154"/>
    </row>
    <row r="475" spans="99:99" ht="14.25" customHeight="1" x14ac:dyDescent="0.2">
      <c r="CU475" s="154"/>
    </row>
    <row r="476" spans="99:99" ht="14.25" customHeight="1" x14ac:dyDescent="0.2">
      <c r="CU476" s="154"/>
    </row>
    <row r="477" spans="99:99" ht="14.25" customHeight="1" x14ac:dyDescent="0.2">
      <c r="CU477" s="154"/>
    </row>
    <row r="478" spans="99:99" ht="14.25" customHeight="1" x14ac:dyDescent="0.2">
      <c r="CU478" s="154"/>
    </row>
    <row r="479" spans="99:99" ht="14.25" customHeight="1" x14ac:dyDescent="0.2">
      <c r="CU479" s="154"/>
    </row>
    <row r="480" spans="99:99" ht="14.25" customHeight="1" x14ac:dyDescent="0.2">
      <c r="CU480" s="154"/>
    </row>
    <row r="481" spans="99:99" ht="14.25" customHeight="1" x14ac:dyDescent="0.2">
      <c r="CU481" s="154"/>
    </row>
    <row r="482" spans="99:99" ht="14.25" customHeight="1" x14ac:dyDescent="0.2">
      <c r="CU482" s="154"/>
    </row>
    <row r="483" spans="99:99" ht="14.25" customHeight="1" x14ac:dyDescent="0.2">
      <c r="CU483" s="154"/>
    </row>
    <row r="484" spans="99:99" ht="14.25" customHeight="1" x14ac:dyDescent="0.2">
      <c r="CU484" s="154"/>
    </row>
    <row r="485" spans="99:99" ht="14.25" customHeight="1" x14ac:dyDescent="0.2">
      <c r="CU485" s="154"/>
    </row>
    <row r="486" spans="99:99" ht="14.25" customHeight="1" x14ac:dyDescent="0.2">
      <c r="CU486" s="154"/>
    </row>
    <row r="487" spans="99:99" ht="14.25" customHeight="1" x14ac:dyDescent="0.2">
      <c r="CU487" s="154"/>
    </row>
    <row r="488" spans="99:99" ht="14.25" customHeight="1" x14ac:dyDescent="0.2">
      <c r="CU488" s="154"/>
    </row>
    <row r="489" spans="99:99" ht="14.25" customHeight="1" x14ac:dyDescent="0.2">
      <c r="CU489" s="154"/>
    </row>
    <row r="490" spans="99:99" ht="14.25" customHeight="1" x14ac:dyDescent="0.2">
      <c r="CU490" s="154"/>
    </row>
    <row r="491" spans="99:99" ht="14.25" customHeight="1" x14ac:dyDescent="0.2">
      <c r="CU491" s="154"/>
    </row>
    <row r="492" spans="99:99" ht="14.25" customHeight="1" x14ac:dyDescent="0.2">
      <c r="CU492" s="154"/>
    </row>
    <row r="493" spans="99:99" ht="14.25" customHeight="1" x14ac:dyDescent="0.2">
      <c r="CU493" s="154"/>
    </row>
    <row r="494" spans="99:99" ht="14.25" customHeight="1" x14ac:dyDescent="0.2">
      <c r="CU494" s="154"/>
    </row>
    <row r="495" spans="99:99" ht="14.25" customHeight="1" x14ac:dyDescent="0.2">
      <c r="CU495" s="154"/>
    </row>
    <row r="496" spans="99:99" ht="14.25" customHeight="1" x14ac:dyDescent="0.2">
      <c r="CU496" s="154"/>
    </row>
    <row r="497" spans="99:99" ht="14.25" customHeight="1" x14ac:dyDescent="0.2">
      <c r="CU497" s="154"/>
    </row>
    <row r="498" spans="99:99" ht="14.25" customHeight="1" x14ac:dyDescent="0.2">
      <c r="CU498" s="154"/>
    </row>
    <row r="499" spans="99:99" ht="14.25" customHeight="1" x14ac:dyDescent="0.2">
      <c r="CU499" s="154"/>
    </row>
    <row r="500" spans="99:99" ht="14.25" customHeight="1" x14ac:dyDescent="0.2">
      <c r="CU500" s="154"/>
    </row>
    <row r="501" spans="99:99" ht="14.25" customHeight="1" x14ac:dyDescent="0.2">
      <c r="CU501" s="154"/>
    </row>
    <row r="502" spans="99:99" ht="14.25" customHeight="1" x14ac:dyDescent="0.2">
      <c r="CU502" s="154"/>
    </row>
    <row r="503" spans="99:99" ht="14.25" customHeight="1" x14ac:dyDescent="0.2">
      <c r="CU503" s="154"/>
    </row>
    <row r="504" spans="99:99" ht="14.25" customHeight="1" x14ac:dyDescent="0.2">
      <c r="CU504" s="154"/>
    </row>
    <row r="505" spans="99:99" ht="14.25" customHeight="1" x14ac:dyDescent="0.2">
      <c r="CU505" s="154"/>
    </row>
    <row r="506" spans="99:99" ht="14.25" customHeight="1" x14ac:dyDescent="0.2">
      <c r="CU506" s="154"/>
    </row>
    <row r="507" spans="99:99" ht="14.25" customHeight="1" x14ac:dyDescent="0.2">
      <c r="CU507" s="154"/>
    </row>
    <row r="508" spans="99:99" ht="14.25" customHeight="1" x14ac:dyDescent="0.2">
      <c r="CU508" s="154"/>
    </row>
    <row r="509" spans="99:99" ht="14.25" customHeight="1" x14ac:dyDescent="0.2">
      <c r="CU509" s="154"/>
    </row>
    <row r="510" spans="99:99" ht="14.25" customHeight="1" x14ac:dyDescent="0.2">
      <c r="CU510" s="154"/>
    </row>
    <row r="511" spans="99:99" ht="14.25" customHeight="1" x14ac:dyDescent="0.2">
      <c r="CU511" s="154"/>
    </row>
    <row r="512" spans="99:99" ht="14.25" customHeight="1" x14ac:dyDescent="0.2">
      <c r="CU512" s="154"/>
    </row>
    <row r="513" spans="99:99" ht="14.25" customHeight="1" x14ac:dyDescent="0.2">
      <c r="CU513" s="154"/>
    </row>
    <row r="514" spans="99:99" ht="14.25" customHeight="1" x14ac:dyDescent="0.2">
      <c r="CU514" s="154"/>
    </row>
    <row r="515" spans="99:99" ht="14.25" customHeight="1" x14ac:dyDescent="0.2">
      <c r="CU515" s="154"/>
    </row>
    <row r="516" spans="99:99" ht="14.25" customHeight="1" x14ac:dyDescent="0.2">
      <c r="CU516" s="154"/>
    </row>
    <row r="517" spans="99:99" ht="14.25" customHeight="1" x14ac:dyDescent="0.2">
      <c r="CU517" s="154"/>
    </row>
    <row r="518" spans="99:99" ht="14.25" customHeight="1" x14ac:dyDescent="0.2">
      <c r="CU518" s="154"/>
    </row>
    <row r="519" spans="99:99" ht="14.25" customHeight="1" x14ac:dyDescent="0.2">
      <c r="CU519" s="154"/>
    </row>
    <row r="520" spans="99:99" ht="14.25" customHeight="1" x14ac:dyDescent="0.2">
      <c r="CU520" s="154"/>
    </row>
    <row r="521" spans="99:99" ht="14.25" customHeight="1" x14ac:dyDescent="0.2">
      <c r="CU521" s="154"/>
    </row>
    <row r="522" spans="99:99" ht="14.25" customHeight="1" x14ac:dyDescent="0.2">
      <c r="CU522" s="154"/>
    </row>
    <row r="523" spans="99:99" ht="14.25" customHeight="1" x14ac:dyDescent="0.2">
      <c r="CU523" s="154"/>
    </row>
    <row r="524" spans="99:99" ht="14.25" customHeight="1" x14ac:dyDescent="0.2">
      <c r="CU524" s="154"/>
    </row>
    <row r="525" spans="99:99" ht="14.25" customHeight="1" x14ac:dyDescent="0.2">
      <c r="CU525" s="154"/>
    </row>
    <row r="526" spans="99:99" ht="14.25" customHeight="1" x14ac:dyDescent="0.2">
      <c r="CU526" s="154"/>
    </row>
    <row r="527" spans="99:99" ht="14.25" customHeight="1" x14ac:dyDescent="0.2">
      <c r="CU527" s="154"/>
    </row>
    <row r="528" spans="99:99" ht="14.25" customHeight="1" x14ac:dyDescent="0.2">
      <c r="CU528" s="154"/>
    </row>
    <row r="529" spans="99:99" ht="14.25" customHeight="1" x14ac:dyDescent="0.2">
      <c r="CU529" s="154"/>
    </row>
    <row r="530" spans="99:99" ht="14.25" customHeight="1" x14ac:dyDescent="0.2">
      <c r="CU530" s="154"/>
    </row>
    <row r="531" spans="99:99" ht="14.25" customHeight="1" x14ac:dyDescent="0.2">
      <c r="CU531" s="154"/>
    </row>
    <row r="532" spans="99:99" ht="14.25" customHeight="1" x14ac:dyDescent="0.2">
      <c r="CU532" s="154"/>
    </row>
    <row r="533" spans="99:99" ht="14.25" customHeight="1" x14ac:dyDescent="0.2">
      <c r="CU533" s="154"/>
    </row>
    <row r="534" spans="99:99" ht="14.25" customHeight="1" x14ac:dyDescent="0.2">
      <c r="CU534" s="154"/>
    </row>
    <row r="535" spans="99:99" ht="14.25" customHeight="1" x14ac:dyDescent="0.2">
      <c r="CU535" s="154"/>
    </row>
    <row r="536" spans="99:99" ht="14.25" customHeight="1" x14ac:dyDescent="0.2">
      <c r="CU536" s="154"/>
    </row>
    <row r="537" spans="99:99" ht="14.25" customHeight="1" x14ac:dyDescent="0.2">
      <c r="CU537" s="154"/>
    </row>
    <row r="538" spans="99:99" ht="14.25" customHeight="1" x14ac:dyDescent="0.2">
      <c r="CU538" s="154"/>
    </row>
    <row r="539" spans="99:99" ht="14.25" customHeight="1" x14ac:dyDescent="0.2">
      <c r="CU539" s="154"/>
    </row>
    <row r="540" spans="99:99" ht="14.25" customHeight="1" x14ac:dyDescent="0.2">
      <c r="CU540" s="154"/>
    </row>
    <row r="541" spans="99:99" ht="14.25" customHeight="1" x14ac:dyDescent="0.2">
      <c r="CU541" s="154"/>
    </row>
    <row r="542" spans="99:99" ht="14.25" customHeight="1" x14ac:dyDescent="0.2">
      <c r="CU542" s="154"/>
    </row>
    <row r="543" spans="99:99" ht="14.25" customHeight="1" x14ac:dyDescent="0.2">
      <c r="CU543" s="154"/>
    </row>
    <row r="544" spans="99:99" ht="14.25" customHeight="1" x14ac:dyDescent="0.2">
      <c r="CU544" s="154"/>
    </row>
    <row r="545" spans="99:99" ht="14.25" customHeight="1" x14ac:dyDescent="0.2">
      <c r="CU545" s="154"/>
    </row>
    <row r="546" spans="99:99" ht="14.25" customHeight="1" x14ac:dyDescent="0.2">
      <c r="CU546" s="154"/>
    </row>
    <row r="547" spans="99:99" ht="14.25" customHeight="1" x14ac:dyDescent="0.2">
      <c r="CU547" s="154"/>
    </row>
    <row r="548" spans="99:99" ht="14.25" customHeight="1" x14ac:dyDescent="0.2">
      <c r="CU548" s="154"/>
    </row>
    <row r="549" spans="99:99" ht="14.25" customHeight="1" x14ac:dyDescent="0.2">
      <c r="CU549" s="154"/>
    </row>
    <row r="550" spans="99:99" ht="14.25" customHeight="1" x14ac:dyDescent="0.2">
      <c r="CU550" s="154"/>
    </row>
    <row r="551" spans="99:99" ht="14.25" customHeight="1" x14ac:dyDescent="0.2">
      <c r="CU551" s="154"/>
    </row>
    <row r="552" spans="99:99" ht="14.25" customHeight="1" x14ac:dyDescent="0.2">
      <c r="CU552" s="154"/>
    </row>
    <row r="553" spans="99:99" ht="14.25" customHeight="1" x14ac:dyDescent="0.2">
      <c r="CU553" s="154"/>
    </row>
    <row r="554" spans="99:99" ht="14.25" customHeight="1" x14ac:dyDescent="0.2">
      <c r="CU554" s="154"/>
    </row>
    <row r="555" spans="99:99" ht="14.25" customHeight="1" x14ac:dyDescent="0.2">
      <c r="CU555" s="154"/>
    </row>
    <row r="556" spans="99:99" ht="14.25" customHeight="1" x14ac:dyDescent="0.2">
      <c r="CU556" s="154"/>
    </row>
    <row r="557" spans="99:99" ht="14.25" customHeight="1" x14ac:dyDescent="0.2">
      <c r="CU557" s="154"/>
    </row>
    <row r="558" spans="99:99" ht="14.25" customHeight="1" x14ac:dyDescent="0.2">
      <c r="CU558" s="154"/>
    </row>
    <row r="559" spans="99:99" ht="14.25" customHeight="1" x14ac:dyDescent="0.2">
      <c r="CU559" s="154"/>
    </row>
    <row r="560" spans="99:99" ht="14.25" customHeight="1" x14ac:dyDescent="0.2">
      <c r="CU560" s="154"/>
    </row>
    <row r="561" spans="99:99" ht="14.25" customHeight="1" x14ac:dyDescent="0.2">
      <c r="CU561" s="154"/>
    </row>
    <row r="562" spans="99:99" ht="14.25" customHeight="1" x14ac:dyDescent="0.2">
      <c r="CU562" s="154"/>
    </row>
    <row r="563" spans="99:99" ht="14.25" customHeight="1" x14ac:dyDescent="0.2">
      <c r="CU563" s="154"/>
    </row>
    <row r="564" spans="99:99" ht="14.25" customHeight="1" x14ac:dyDescent="0.2">
      <c r="CU564" s="154"/>
    </row>
    <row r="565" spans="99:99" ht="14.25" customHeight="1" x14ac:dyDescent="0.2">
      <c r="CU565" s="154"/>
    </row>
    <row r="566" spans="99:99" ht="14.25" customHeight="1" x14ac:dyDescent="0.2">
      <c r="CU566" s="154"/>
    </row>
    <row r="567" spans="99:99" ht="14.25" customHeight="1" x14ac:dyDescent="0.2">
      <c r="CU567" s="154"/>
    </row>
    <row r="568" spans="99:99" ht="14.25" customHeight="1" x14ac:dyDescent="0.2">
      <c r="CU568" s="154"/>
    </row>
    <row r="569" spans="99:99" ht="14.25" customHeight="1" x14ac:dyDescent="0.2">
      <c r="CU569" s="154"/>
    </row>
    <row r="570" spans="99:99" ht="14.25" customHeight="1" x14ac:dyDescent="0.2">
      <c r="CU570" s="154"/>
    </row>
    <row r="571" spans="99:99" ht="14.25" customHeight="1" x14ac:dyDescent="0.2">
      <c r="CU571" s="154"/>
    </row>
    <row r="572" spans="99:99" ht="14.25" customHeight="1" x14ac:dyDescent="0.2">
      <c r="CU572" s="154"/>
    </row>
    <row r="573" spans="99:99" ht="14.25" customHeight="1" x14ac:dyDescent="0.2">
      <c r="CU573" s="154"/>
    </row>
    <row r="574" spans="99:99" ht="14.25" customHeight="1" x14ac:dyDescent="0.2">
      <c r="CU574" s="154"/>
    </row>
    <row r="575" spans="99:99" ht="14.25" customHeight="1" x14ac:dyDescent="0.2">
      <c r="CU575" s="154"/>
    </row>
    <row r="576" spans="99:99" ht="14.25" customHeight="1" x14ac:dyDescent="0.2">
      <c r="CU576" s="154"/>
    </row>
    <row r="577" spans="99:99" ht="14.25" customHeight="1" x14ac:dyDescent="0.2">
      <c r="CU577" s="154"/>
    </row>
    <row r="578" spans="99:99" ht="14.25" customHeight="1" x14ac:dyDescent="0.2">
      <c r="CU578" s="154"/>
    </row>
    <row r="579" spans="99:99" ht="14.25" customHeight="1" x14ac:dyDescent="0.2">
      <c r="CU579" s="154"/>
    </row>
    <row r="580" spans="99:99" ht="14.25" customHeight="1" x14ac:dyDescent="0.2">
      <c r="CU580" s="154"/>
    </row>
    <row r="581" spans="99:99" ht="14.25" customHeight="1" x14ac:dyDescent="0.2">
      <c r="CU581" s="154"/>
    </row>
    <row r="582" spans="99:99" ht="14.25" customHeight="1" x14ac:dyDescent="0.2">
      <c r="CU582" s="154"/>
    </row>
    <row r="583" spans="99:99" ht="14.25" customHeight="1" x14ac:dyDescent="0.2">
      <c r="CU583" s="154"/>
    </row>
    <row r="584" spans="99:99" ht="14.25" customHeight="1" x14ac:dyDescent="0.2">
      <c r="CU584" s="154"/>
    </row>
    <row r="585" spans="99:99" ht="14.25" customHeight="1" x14ac:dyDescent="0.2">
      <c r="CU585" s="154"/>
    </row>
    <row r="586" spans="99:99" ht="14.25" customHeight="1" x14ac:dyDescent="0.2">
      <c r="CU586" s="154"/>
    </row>
    <row r="587" spans="99:99" ht="14.25" customHeight="1" x14ac:dyDescent="0.2">
      <c r="CU587" s="154"/>
    </row>
    <row r="588" spans="99:99" ht="14.25" customHeight="1" x14ac:dyDescent="0.2">
      <c r="CU588" s="154"/>
    </row>
    <row r="589" spans="99:99" ht="14.25" customHeight="1" x14ac:dyDescent="0.2">
      <c r="CU589" s="154"/>
    </row>
    <row r="590" spans="99:99" ht="14.25" customHeight="1" x14ac:dyDescent="0.2">
      <c r="CU590" s="154"/>
    </row>
    <row r="591" spans="99:99" ht="14.25" customHeight="1" x14ac:dyDescent="0.2">
      <c r="CU591" s="154"/>
    </row>
    <row r="592" spans="99:99" ht="14.25" customHeight="1" x14ac:dyDescent="0.2">
      <c r="CU592" s="154"/>
    </row>
    <row r="593" spans="99:99" ht="14.25" customHeight="1" x14ac:dyDescent="0.2">
      <c r="CU593" s="154"/>
    </row>
    <row r="594" spans="99:99" ht="14.25" customHeight="1" x14ac:dyDescent="0.2">
      <c r="CU594" s="154"/>
    </row>
    <row r="595" spans="99:99" ht="14.25" customHeight="1" x14ac:dyDescent="0.2">
      <c r="CU595" s="154"/>
    </row>
    <row r="596" spans="99:99" ht="14.25" customHeight="1" x14ac:dyDescent="0.2">
      <c r="CU596" s="154"/>
    </row>
    <row r="597" spans="99:99" ht="14.25" customHeight="1" x14ac:dyDescent="0.2">
      <c r="CU597" s="154"/>
    </row>
    <row r="598" spans="99:99" ht="14.25" customHeight="1" x14ac:dyDescent="0.2">
      <c r="CU598" s="154"/>
    </row>
    <row r="599" spans="99:99" ht="14.25" customHeight="1" x14ac:dyDescent="0.2">
      <c r="CU599" s="154"/>
    </row>
    <row r="600" spans="99:99" ht="14.25" customHeight="1" x14ac:dyDescent="0.2">
      <c r="CU600" s="154"/>
    </row>
    <row r="601" spans="99:99" ht="14.25" customHeight="1" x14ac:dyDescent="0.2">
      <c r="CU601" s="154"/>
    </row>
    <row r="602" spans="99:99" ht="14.25" customHeight="1" x14ac:dyDescent="0.2">
      <c r="CU602" s="154"/>
    </row>
    <row r="603" spans="99:99" ht="14.25" customHeight="1" x14ac:dyDescent="0.2">
      <c r="CU603" s="154"/>
    </row>
    <row r="604" spans="99:99" ht="14.25" customHeight="1" x14ac:dyDescent="0.2">
      <c r="CU604" s="154"/>
    </row>
    <row r="605" spans="99:99" ht="14.25" customHeight="1" x14ac:dyDescent="0.2">
      <c r="CU605" s="154"/>
    </row>
    <row r="606" spans="99:99" ht="14.25" customHeight="1" x14ac:dyDescent="0.2">
      <c r="CU606" s="154"/>
    </row>
    <row r="607" spans="99:99" ht="14.25" customHeight="1" x14ac:dyDescent="0.2">
      <c r="CU607" s="154"/>
    </row>
    <row r="608" spans="99:99" ht="14.25" customHeight="1" x14ac:dyDescent="0.2">
      <c r="CU608" s="154"/>
    </row>
    <row r="609" spans="99:99" ht="14.25" customHeight="1" x14ac:dyDescent="0.2">
      <c r="CU609" s="154"/>
    </row>
    <row r="610" spans="99:99" ht="14.25" customHeight="1" x14ac:dyDescent="0.2">
      <c r="CU610" s="154"/>
    </row>
    <row r="611" spans="99:99" ht="14.25" customHeight="1" x14ac:dyDescent="0.2">
      <c r="CU611" s="154"/>
    </row>
    <row r="612" spans="99:99" ht="14.25" customHeight="1" x14ac:dyDescent="0.2">
      <c r="CU612" s="154"/>
    </row>
    <row r="613" spans="99:99" ht="14.25" customHeight="1" x14ac:dyDescent="0.2">
      <c r="CU613" s="154"/>
    </row>
    <row r="614" spans="99:99" ht="14.25" customHeight="1" x14ac:dyDescent="0.2">
      <c r="CU614" s="154"/>
    </row>
    <row r="615" spans="99:99" ht="14.25" customHeight="1" x14ac:dyDescent="0.2">
      <c r="CU615" s="154"/>
    </row>
    <row r="616" spans="99:99" ht="14.25" customHeight="1" x14ac:dyDescent="0.2">
      <c r="CU616" s="154"/>
    </row>
    <row r="617" spans="99:99" ht="14.25" customHeight="1" x14ac:dyDescent="0.2">
      <c r="CU617" s="154"/>
    </row>
    <row r="618" spans="99:99" ht="14.25" customHeight="1" x14ac:dyDescent="0.2">
      <c r="CU618" s="154"/>
    </row>
    <row r="619" spans="99:99" ht="14.25" customHeight="1" x14ac:dyDescent="0.2">
      <c r="CU619" s="154"/>
    </row>
    <row r="620" spans="99:99" ht="14.25" customHeight="1" x14ac:dyDescent="0.2">
      <c r="CU620" s="154"/>
    </row>
    <row r="621" spans="99:99" ht="14.25" customHeight="1" x14ac:dyDescent="0.2">
      <c r="CU621" s="154"/>
    </row>
    <row r="622" spans="99:99" ht="14.25" customHeight="1" x14ac:dyDescent="0.2">
      <c r="CU622" s="154"/>
    </row>
    <row r="623" spans="99:99" ht="14.25" customHeight="1" x14ac:dyDescent="0.2">
      <c r="CU623" s="154"/>
    </row>
    <row r="624" spans="99:99" ht="14.25" customHeight="1" x14ac:dyDescent="0.2">
      <c r="CU624" s="154"/>
    </row>
    <row r="625" spans="99:99" ht="14.25" customHeight="1" x14ac:dyDescent="0.2">
      <c r="CU625" s="154"/>
    </row>
    <row r="626" spans="99:99" ht="14.25" customHeight="1" x14ac:dyDescent="0.2">
      <c r="CU626" s="154"/>
    </row>
    <row r="627" spans="99:99" ht="14.25" customHeight="1" x14ac:dyDescent="0.2">
      <c r="CU627" s="154"/>
    </row>
    <row r="628" spans="99:99" ht="14.25" customHeight="1" x14ac:dyDescent="0.2">
      <c r="CU628" s="154"/>
    </row>
    <row r="629" spans="99:99" ht="14.25" customHeight="1" x14ac:dyDescent="0.2">
      <c r="CU629" s="154"/>
    </row>
    <row r="630" spans="99:99" ht="14.25" customHeight="1" x14ac:dyDescent="0.2">
      <c r="CU630" s="154"/>
    </row>
    <row r="631" spans="99:99" ht="14.25" customHeight="1" x14ac:dyDescent="0.2">
      <c r="CU631" s="154"/>
    </row>
    <row r="632" spans="99:99" ht="14.25" customHeight="1" x14ac:dyDescent="0.2">
      <c r="CU632" s="154"/>
    </row>
    <row r="633" spans="99:99" ht="14.25" customHeight="1" x14ac:dyDescent="0.2">
      <c r="CU633" s="154"/>
    </row>
    <row r="634" spans="99:99" ht="14.25" customHeight="1" x14ac:dyDescent="0.2">
      <c r="CU634" s="154"/>
    </row>
    <row r="635" spans="99:99" ht="14.25" customHeight="1" x14ac:dyDescent="0.2">
      <c r="CU635" s="154"/>
    </row>
    <row r="636" spans="99:99" ht="14.25" customHeight="1" x14ac:dyDescent="0.2">
      <c r="CU636" s="154"/>
    </row>
    <row r="637" spans="99:99" ht="14.25" customHeight="1" x14ac:dyDescent="0.2">
      <c r="CU637" s="154"/>
    </row>
    <row r="638" spans="99:99" ht="14.25" customHeight="1" x14ac:dyDescent="0.2">
      <c r="CU638" s="154"/>
    </row>
    <row r="639" spans="99:99" ht="14.25" customHeight="1" x14ac:dyDescent="0.2">
      <c r="CU639" s="154"/>
    </row>
    <row r="640" spans="99:99" ht="14.25" customHeight="1" x14ac:dyDescent="0.2">
      <c r="CU640" s="154"/>
    </row>
    <row r="641" spans="99:99" ht="14.25" customHeight="1" x14ac:dyDescent="0.2">
      <c r="CU641" s="154"/>
    </row>
    <row r="642" spans="99:99" ht="14.25" customHeight="1" x14ac:dyDescent="0.2">
      <c r="CU642" s="154"/>
    </row>
    <row r="643" spans="99:99" ht="14.25" customHeight="1" x14ac:dyDescent="0.2">
      <c r="CU643" s="154"/>
    </row>
    <row r="644" spans="99:99" ht="14.25" customHeight="1" x14ac:dyDescent="0.2">
      <c r="CU644" s="154"/>
    </row>
    <row r="645" spans="99:99" ht="14.25" customHeight="1" x14ac:dyDescent="0.2">
      <c r="CU645" s="154"/>
    </row>
    <row r="646" spans="99:99" ht="14.25" customHeight="1" x14ac:dyDescent="0.2">
      <c r="CU646" s="154"/>
    </row>
    <row r="647" spans="99:99" ht="14.25" customHeight="1" x14ac:dyDescent="0.2">
      <c r="CU647" s="154"/>
    </row>
    <row r="648" spans="99:99" ht="14.25" customHeight="1" x14ac:dyDescent="0.2">
      <c r="CU648" s="154"/>
    </row>
    <row r="649" spans="99:99" ht="14.25" customHeight="1" x14ac:dyDescent="0.2">
      <c r="CU649" s="154"/>
    </row>
    <row r="650" spans="99:99" ht="14.25" customHeight="1" x14ac:dyDescent="0.2">
      <c r="CU650" s="154"/>
    </row>
    <row r="651" spans="99:99" ht="14.25" customHeight="1" x14ac:dyDescent="0.2">
      <c r="CU651" s="154"/>
    </row>
    <row r="652" spans="99:99" ht="14.25" customHeight="1" x14ac:dyDescent="0.2">
      <c r="CU652" s="154"/>
    </row>
    <row r="653" spans="99:99" ht="14.25" customHeight="1" x14ac:dyDescent="0.2">
      <c r="CU653" s="154"/>
    </row>
    <row r="654" spans="99:99" ht="14.25" customHeight="1" x14ac:dyDescent="0.2">
      <c r="CU654" s="154"/>
    </row>
    <row r="655" spans="99:99" ht="14.25" customHeight="1" x14ac:dyDescent="0.2">
      <c r="CU655" s="154"/>
    </row>
    <row r="656" spans="99:99" ht="14.25" customHeight="1" x14ac:dyDescent="0.2">
      <c r="CU656" s="154"/>
    </row>
    <row r="657" spans="99:99" ht="14.25" customHeight="1" x14ac:dyDescent="0.2">
      <c r="CU657" s="154"/>
    </row>
    <row r="658" spans="99:99" ht="14.25" customHeight="1" x14ac:dyDescent="0.2">
      <c r="CU658" s="154"/>
    </row>
    <row r="659" spans="99:99" ht="14.25" customHeight="1" x14ac:dyDescent="0.2">
      <c r="CU659" s="154"/>
    </row>
    <row r="660" spans="99:99" ht="14.25" customHeight="1" x14ac:dyDescent="0.2">
      <c r="CU660" s="154"/>
    </row>
    <row r="661" spans="99:99" ht="14.25" customHeight="1" x14ac:dyDescent="0.2">
      <c r="CU661" s="154"/>
    </row>
    <row r="662" spans="99:99" ht="14.25" customHeight="1" x14ac:dyDescent="0.2">
      <c r="CU662" s="154"/>
    </row>
    <row r="663" spans="99:99" ht="14.25" customHeight="1" x14ac:dyDescent="0.2">
      <c r="CU663" s="154"/>
    </row>
    <row r="664" spans="99:99" ht="14.25" customHeight="1" x14ac:dyDescent="0.2">
      <c r="CU664" s="154"/>
    </row>
    <row r="665" spans="99:99" ht="14.25" customHeight="1" x14ac:dyDescent="0.2">
      <c r="CU665" s="154"/>
    </row>
    <row r="666" spans="99:99" ht="14.25" customHeight="1" x14ac:dyDescent="0.2">
      <c r="CU666" s="154"/>
    </row>
    <row r="667" spans="99:99" ht="14.25" customHeight="1" x14ac:dyDescent="0.2">
      <c r="CU667" s="154"/>
    </row>
    <row r="668" spans="99:99" ht="14.25" customHeight="1" x14ac:dyDescent="0.2">
      <c r="CU668" s="154"/>
    </row>
    <row r="669" spans="99:99" ht="14.25" customHeight="1" x14ac:dyDescent="0.2">
      <c r="CU669" s="154"/>
    </row>
    <row r="670" spans="99:99" ht="14.25" customHeight="1" x14ac:dyDescent="0.2">
      <c r="CU670" s="154"/>
    </row>
    <row r="671" spans="99:99" ht="14.25" customHeight="1" x14ac:dyDescent="0.2">
      <c r="CU671" s="154"/>
    </row>
    <row r="672" spans="99:99" ht="14.25" customHeight="1" x14ac:dyDescent="0.2">
      <c r="CU672" s="154"/>
    </row>
    <row r="673" spans="99:99" ht="14.25" customHeight="1" x14ac:dyDescent="0.2">
      <c r="CU673" s="154"/>
    </row>
    <row r="674" spans="99:99" ht="14.25" customHeight="1" x14ac:dyDescent="0.2">
      <c r="CU674" s="154"/>
    </row>
    <row r="675" spans="99:99" ht="14.25" customHeight="1" x14ac:dyDescent="0.2">
      <c r="CU675" s="154"/>
    </row>
    <row r="676" spans="99:99" ht="14.25" customHeight="1" x14ac:dyDescent="0.2">
      <c r="CU676" s="154"/>
    </row>
    <row r="677" spans="99:99" ht="14.25" customHeight="1" x14ac:dyDescent="0.2">
      <c r="CU677" s="154"/>
    </row>
    <row r="678" spans="99:99" ht="14.25" customHeight="1" x14ac:dyDescent="0.2">
      <c r="CU678" s="154"/>
    </row>
    <row r="679" spans="99:99" ht="14.25" customHeight="1" x14ac:dyDescent="0.2">
      <c r="CU679" s="154"/>
    </row>
    <row r="680" spans="99:99" ht="14.25" customHeight="1" x14ac:dyDescent="0.2">
      <c r="CU680" s="154"/>
    </row>
    <row r="681" spans="99:99" ht="14.25" customHeight="1" x14ac:dyDescent="0.2">
      <c r="CU681" s="154"/>
    </row>
    <row r="682" spans="99:99" ht="14.25" customHeight="1" x14ac:dyDescent="0.2">
      <c r="CU682" s="154"/>
    </row>
    <row r="683" spans="99:99" ht="14.25" customHeight="1" x14ac:dyDescent="0.2">
      <c r="CU683" s="154"/>
    </row>
    <row r="684" spans="99:99" ht="14.25" customHeight="1" x14ac:dyDescent="0.2">
      <c r="CU684" s="154"/>
    </row>
    <row r="685" spans="99:99" ht="14.25" customHeight="1" x14ac:dyDescent="0.2">
      <c r="CU685" s="154"/>
    </row>
    <row r="686" spans="99:99" ht="14.25" customHeight="1" x14ac:dyDescent="0.2">
      <c r="CU686" s="154"/>
    </row>
    <row r="687" spans="99:99" ht="14.25" customHeight="1" x14ac:dyDescent="0.2">
      <c r="CU687" s="154"/>
    </row>
    <row r="688" spans="99:99" ht="14.25" customHeight="1" x14ac:dyDescent="0.2">
      <c r="CU688" s="154"/>
    </row>
    <row r="689" spans="99:99" ht="14.25" customHeight="1" x14ac:dyDescent="0.2">
      <c r="CU689" s="154"/>
    </row>
    <row r="690" spans="99:99" ht="14.25" customHeight="1" x14ac:dyDescent="0.2">
      <c r="CU690" s="154"/>
    </row>
    <row r="691" spans="99:99" ht="14.25" customHeight="1" x14ac:dyDescent="0.2">
      <c r="CU691" s="154"/>
    </row>
    <row r="692" spans="99:99" ht="14.25" customHeight="1" x14ac:dyDescent="0.2">
      <c r="CU692" s="154"/>
    </row>
    <row r="693" spans="99:99" ht="14.25" customHeight="1" x14ac:dyDescent="0.2">
      <c r="CU693" s="154"/>
    </row>
    <row r="694" spans="99:99" ht="14.25" customHeight="1" x14ac:dyDescent="0.2">
      <c r="CU694" s="154"/>
    </row>
    <row r="695" spans="99:99" ht="14.25" customHeight="1" x14ac:dyDescent="0.2">
      <c r="CU695" s="154"/>
    </row>
    <row r="696" spans="99:99" ht="14.25" customHeight="1" x14ac:dyDescent="0.2">
      <c r="CU696" s="154"/>
    </row>
    <row r="697" spans="99:99" ht="14.25" customHeight="1" x14ac:dyDescent="0.2">
      <c r="CU697" s="154"/>
    </row>
    <row r="698" spans="99:99" ht="14.25" customHeight="1" x14ac:dyDescent="0.2">
      <c r="CU698" s="154"/>
    </row>
    <row r="699" spans="99:99" ht="14.25" customHeight="1" x14ac:dyDescent="0.2">
      <c r="CU699" s="154"/>
    </row>
    <row r="700" spans="99:99" ht="14.25" customHeight="1" x14ac:dyDescent="0.2">
      <c r="CU700" s="154"/>
    </row>
    <row r="701" spans="99:99" ht="14.25" customHeight="1" x14ac:dyDescent="0.2">
      <c r="CU701" s="154"/>
    </row>
    <row r="702" spans="99:99" ht="14.25" customHeight="1" x14ac:dyDescent="0.2">
      <c r="CU702" s="154"/>
    </row>
    <row r="703" spans="99:99" ht="14.25" customHeight="1" x14ac:dyDescent="0.2">
      <c r="CU703" s="154"/>
    </row>
    <row r="704" spans="99:99" ht="14.25" customHeight="1" x14ac:dyDescent="0.2">
      <c r="CU704" s="154"/>
    </row>
    <row r="705" spans="99:99" ht="14.25" customHeight="1" x14ac:dyDescent="0.2">
      <c r="CU705" s="154"/>
    </row>
    <row r="706" spans="99:99" ht="14.25" customHeight="1" x14ac:dyDescent="0.2">
      <c r="CU706" s="154"/>
    </row>
    <row r="707" spans="99:99" ht="14.25" customHeight="1" x14ac:dyDescent="0.2">
      <c r="CU707" s="154"/>
    </row>
    <row r="708" spans="99:99" ht="14.25" customHeight="1" x14ac:dyDescent="0.2">
      <c r="CU708" s="154"/>
    </row>
    <row r="709" spans="99:99" ht="14.25" customHeight="1" x14ac:dyDescent="0.2">
      <c r="CU709" s="154"/>
    </row>
    <row r="710" spans="99:99" ht="14.25" customHeight="1" x14ac:dyDescent="0.2">
      <c r="CU710" s="154"/>
    </row>
    <row r="711" spans="99:99" ht="14.25" customHeight="1" x14ac:dyDescent="0.2">
      <c r="CU711" s="154"/>
    </row>
    <row r="712" spans="99:99" ht="14.25" customHeight="1" x14ac:dyDescent="0.2">
      <c r="CU712" s="154"/>
    </row>
    <row r="713" spans="99:99" ht="14.25" customHeight="1" x14ac:dyDescent="0.2">
      <c r="CU713" s="154"/>
    </row>
    <row r="714" spans="99:99" ht="14.25" customHeight="1" x14ac:dyDescent="0.2">
      <c r="CU714" s="154"/>
    </row>
    <row r="715" spans="99:99" ht="14.25" customHeight="1" x14ac:dyDescent="0.2">
      <c r="CU715" s="154"/>
    </row>
    <row r="716" spans="99:99" ht="14.25" customHeight="1" x14ac:dyDescent="0.2">
      <c r="CU716" s="154"/>
    </row>
    <row r="717" spans="99:99" ht="14.25" customHeight="1" x14ac:dyDescent="0.2">
      <c r="CU717" s="154"/>
    </row>
    <row r="718" spans="99:99" ht="14.25" customHeight="1" x14ac:dyDescent="0.2">
      <c r="CU718" s="154"/>
    </row>
    <row r="719" spans="99:99" ht="14.25" customHeight="1" x14ac:dyDescent="0.2">
      <c r="CU719" s="154"/>
    </row>
    <row r="720" spans="99:99" ht="14.25" customHeight="1" x14ac:dyDescent="0.2">
      <c r="CU720" s="154"/>
    </row>
    <row r="721" spans="99:99" ht="14.25" customHeight="1" x14ac:dyDescent="0.2">
      <c r="CU721" s="154"/>
    </row>
    <row r="722" spans="99:99" ht="14.25" customHeight="1" x14ac:dyDescent="0.2">
      <c r="CU722" s="154"/>
    </row>
    <row r="723" spans="99:99" ht="14.25" customHeight="1" x14ac:dyDescent="0.2">
      <c r="CU723" s="154"/>
    </row>
    <row r="724" spans="99:99" ht="14.25" customHeight="1" x14ac:dyDescent="0.2">
      <c r="CU724" s="154"/>
    </row>
    <row r="725" spans="99:99" ht="14.25" customHeight="1" x14ac:dyDescent="0.2">
      <c r="CU725" s="154"/>
    </row>
    <row r="726" spans="99:99" ht="14.25" customHeight="1" x14ac:dyDescent="0.2">
      <c r="CU726" s="154"/>
    </row>
    <row r="727" spans="99:99" ht="14.25" customHeight="1" x14ac:dyDescent="0.2">
      <c r="CU727" s="154"/>
    </row>
    <row r="728" spans="99:99" ht="14.25" customHeight="1" x14ac:dyDescent="0.2">
      <c r="CU728" s="154"/>
    </row>
    <row r="729" spans="99:99" ht="14.25" customHeight="1" x14ac:dyDescent="0.2">
      <c r="CU729" s="154"/>
    </row>
    <row r="730" spans="99:99" ht="14.25" customHeight="1" x14ac:dyDescent="0.2">
      <c r="CU730" s="154"/>
    </row>
    <row r="731" spans="99:99" ht="14.25" customHeight="1" x14ac:dyDescent="0.2">
      <c r="CU731" s="154"/>
    </row>
    <row r="732" spans="99:99" ht="14.25" customHeight="1" x14ac:dyDescent="0.2">
      <c r="CU732" s="154"/>
    </row>
    <row r="733" spans="99:99" ht="14.25" customHeight="1" x14ac:dyDescent="0.2">
      <c r="CU733" s="154"/>
    </row>
    <row r="734" spans="99:99" ht="14.25" customHeight="1" x14ac:dyDescent="0.2">
      <c r="CU734" s="154"/>
    </row>
    <row r="735" spans="99:99" ht="14.25" customHeight="1" x14ac:dyDescent="0.2">
      <c r="CU735" s="154"/>
    </row>
    <row r="736" spans="99:99" ht="14.25" customHeight="1" x14ac:dyDescent="0.2">
      <c r="CU736" s="154"/>
    </row>
    <row r="737" spans="99:99" ht="14.25" customHeight="1" x14ac:dyDescent="0.2">
      <c r="CU737" s="154"/>
    </row>
    <row r="738" spans="99:99" ht="14.25" customHeight="1" x14ac:dyDescent="0.2">
      <c r="CU738" s="154"/>
    </row>
    <row r="739" spans="99:99" ht="14.25" customHeight="1" x14ac:dyDescent="0.2">
      <c r="CU739" s="154"/>
    </row>
    <row r="740" spans="99:99" ht="14.25" customHeight="1" x14ac:dyDescent="0.2">
      <c r="CU740" s="154"/>
    </row>
    <row r="741" spans="99:99" ht="14.25" customHeight="1" x14ac:dyDescent="0.2">
      <c r="CU741" s="154"/>
    </row>
    <row r="742" spans="99:99" ht="14.25" customHeight="1" x14ac:dyDescent="0.2">
      <c r="CU742" s="154"/>
    </row>
    <row r="743" spans="99:99" ht="14.25" customHeight="1" x14ac:dyDescent="0.2">
      <c r="CU743" s="154"/>
    </row>
    <row r="744" spans="99:99" ht="14.25" customHeight="1" x14ac:dyDescent="0.2">
      <c r="CU744" s="154"/>
    </row>
    <row r="745" spans="99:99" ht="14.25" customHeight="1" x14ac:dyDescent="0.2">
      <c r="CU745" s="154"/>
    </row>
    <row r="746" spans="99:99" ht="14.25" customHeight="1" x14ac:dyDescent="0.2">
      <c r="CU746" s="154"/>
    </row>
    <row r="747" spans="99:99" ht="14.25" customHeight="1" x14ac:dyDescent="0.2">
      <c r="CU747" s="154"/>
    </row>
    <row r="748" spans="99:99" ht="14.25" customHeight="1" x14ac:dyDescent="0.2">
      <c r="CU748" s="154"/>
    </row>
    <row r="749" spans="99:99" ht="14.25" customHeight="1" x14ac:dyDescent="0.2">
      <c r="CU749" s="154"/>
    </row>
    <row r="750" spans="99:99" ht="14.25" customHeight="1" x14ac:dyDescent="0.2">
      <c r="CU750" s="154"/>
    </row>
    <row r="751" spans="99:99" ht="14.25" customHeight="1" x14ac:dyDescent="0.2">
      <c r="CU751" s="154"/>
    </row>
    <row r="752" spans="99:99" ht="14.25" customHeight="1" x14ac:dyDescent="0.2">
      <c r="CU752" s="154"/>
    </row>
    <row r="753" spans="99:99" ht="14.25" customHeight="1" x14ac:dyDescent="0.2">
      <c r="CU753" s="154"/>
    </row>
    <row r="754" spans="99:99" ht="14.25" customHeight="1" x14ac:dyDescent="0.2">
      <c r="CU754" s="154"/>
    </row>
    <row r="755" spans="99:99" ht="14.25" customHeight="1" x14ac:dyDescent="0.2">
      <c r="CU755" s="154"/>
    </row>
    <row r="756" spans="99:99" ht="14.25" customHeight="1" x14ac:dyDescent="0.2">
      <c r="CU756" s="154"/>
    </row>
    <row r="757" spans="99:99" ht="14.25" customHeight="1" x14ac:dyDescent="0.2">
      <c r="CU757" s="154"/>
    </row>
    <row r="758" spans="99:99" ht="14.25" customHeight="1" x14ac:dyDescent="0.2">
      <c r="CU758" s="154"/>
    </row>
    <row r="759" spans="99:99" ht="14.25" customHeight="1" x14ac:dyDescent="0.2">
      <c r="CU759" s="154"/>
    </row>
    <row r="760" spans="99:99" ht="14.25" customHeight="1" x14ac:dyDescent="0.2">
      <c r="CU760" s="154"/>
    </row>
    <row r="761" spans="99:99" ht="14.25" customHeight="1" x14ac:dyDescent="0.2">
      <c r="CU761" s="154"/>
    </row>
    <row r="762" spans="99:99" ht="14.25" customHeight="1" x14ac:dyDescent="0.2">
      <c r="CU762" s="154"/>
    </row>
    <row r="763" spans="99:99" ht="14.25" customHeight="1" x14ac:dyDescent="0.2">
      <c r="CU763" s="154"/>
    </row>
    <row r="764" spans="99:99" ht="14.25" customHeight="1" x14ac:dyDescent="0.2">
      <c r="CU764" s="154"/>
    </row>
    <row r="765" spans="99:99" ht="14.25" customHeight="1" x14ac:dyDescent="0.2">
      <c r="CU765" s="154"/>
    </row>
    <row r="766" spans="99:99" ht="14.25" customHeight="1" x14ac:dyDescent="0.2">
      <c r="CU766" s="154"/>
    </row>
    <row r="767" spans="99:99" ht="14.25" customHeight="1" x14ac:dyDescent="0.2">
      <c r="CU767" s="154"/>
    </row>
    <row r="768" spans="99:99" ht="14.25" customHeight="1" x14ac:dyDescent="0.2">
      <c r="CU768" s="154"/>
    </row>
    <row r="769" spans="99:99" ht="14.25" customHeight="1" x14ac:dyDescent="0.2">
      <c r="CU769" s="154"/>
    </row>
    <row r="770" spans="99:99" ht="14.25" customHeight="1" x14ac:dyDescent="0.2">
      <c r="CU770" s="154"/>
    </row>
    <row r="771" spans="99:99" ht="14.25" customHeight="1" x14ac:dyDescent="0.2">
      <c r="CU771" s="154"/>
    </row>
    <row r="772" spans="99:99" ht="14.25" customHeight="1" x14ac:dyDescent="0.2">
      <c r="CU772" s="154"/>
    </row>
    <row r="773" spans="99:99" ht="14.25" customHeight="1" x14ac:dyDescent="0.2">
      <c r="CU773" s="154"/>
    </row>
    <row r="774" spans="99:99" ht="14.25" customHeight="1" x14ac:dyDescent="0.2">
      <c r="CU774" s="154"/>
    </row>
    <row r="775" spans="99:99" ht="14.25" customHeight="1" x14ac:dyDescent="0.2">
      <c r="CU775" s="154"/>
    </row>
    <row r="776" spans="99:99" ht="14.25" customHeight="1" x14ac:dyDescent="0.2">
      <c r="CU776" s="154"/>
    </row>
    <row r="777" spans="99:99" ht="14.25" customHeight="1" x14ac:dyDescent="0.2">
      <c r="CU777" s="154"/>
    </row>
    <row r="778" spans="99:99" ht="14.25" customHeight="1" x14ac:dyDescent="0.2">
      <c r="CU778" s="154"/>
    </row>
    <row r="779" spans="99:99" ht="14.25" customHeight="1" x14ac:dyDescent="0.2">
      <c r="CU779" s="154"/>
    </row>
    <row r="780" spans="99:99" ht="14.25" customHeight="1" x14ac:dyDescent="0.2">
      <c r="CU780" s="154"/>
    </row>
    <row r="781" spans="99:99" ht="14.25" customHeight="1" x14ac:dyDescent="0.2">
      <c r="CU781" s="154"/>
    </row>
    <row r="782" spans="99:99" ht="14.25" customHeight="1" x14ac:dyDescent="0.2">
      <c r="CU782" s="154"/>
    </row>
    <row r="783" spans="99:99" ht="14.25" customHeight="1" x14ac:dyDescent="0.2">
      <c r="CU783" s="154"/>
    </row>
    <row r="784" spans="99:99" ht="14.25" customHeight="1" x14ac:dyDescent="0.2">
      <c r="CU784" s="154"/>
    </row>
    <row r="785" spans="99:99" ht="14.25" customHeight="1" x14ac:dyDescent="0.2">
      <c r="CU785" s="154"/>
    </row>
    <row r="786" spans="99:99" ht="14.25" customHeight="1" x14ac:dyDescent="0.2">
      <c r="CU786" s="154"/>
    </row>
    <row r="787" spans="99:99" ht="14.25" customHeight="1" x14ac:dyDescent="0.2">
      <c r="CU787" s="154"/>
    </row>
    <row r="788" spans="99:99" ht="14.25" customHeight="1" x14ac:dyDescent="0.2">
      <c r="CU788" s="154"/>
    </row>
    <row r="789" spans="99:99" ht="14.25" customHeight="1" x14ac:dyDescent="0.2">
      <c r="CU789" s="154"/>
    </row>
    <row r="790" spans="99:99" ht="14.25" customHeight="1" x14ac:dyDescent="0.2">
      <c r="CU790" s="154"/>
    </row>
    <row r="791" spans="99:99" ht="14.25" customHeight="1" x14ac:dyDescent="0.2">
      <c r="CU791" s="154"/>
    </row>
    <row r="792" spans="99:99" ht="14.25" customHeight="1" x14ac:dyDescent="0.2">
      <c r="CU792" s="154"/>
    </row>
    <row r="793" spans="99:99" ht="14.25" customHeight="1" x14ac:dyDescent="0.2">
      <c r="CU793" s="154"/>
    </row>
    <row r="794" spans="99:99" ht="14.25" customHeight="1" x14ac:dyDescent="0.2">
      <c r="CU794" s="154"/>
    </row>
    <row r="795" spans="99:99" ht="14.25" customHeight="1" x14ac:dyDescent="0.2">
      <c r="CU795" s="154"/>
    </row>
    <row r="796" spans="99:99" ht="14.25" customHeight="1" x14ac:dyDescent="0.2">
      <c r="CU796" s="154"/>
    </row>
    <row r="797" spans="99:99" ht="14.25" customHeight="1" x14ac:dyDescent="0.2">
      <c r="CU797" s="154"/>
    </row>
    <row r="798" spans="99:99" ht="14.25" customHeight="1" x14ac:dyDescent="0.2">
      <c r="CU798" s="154"/>
    </row>
    <row r="799" spans="99:99" ht="14.25" customHeight="1" x14ac:dyDescent="0.2">
      <c r="CU799" s="154"/>
    </row>
    <row r="800" spans="99:99" ht="14.25" customHeight="1" x14ac:dyDescent="0.2">
      <c r="CU800" s="154"/>
    </row>
    <row r="801" spans="99:99" ht="14.25" customHeight="1" x14ac:dyDescent="0.2">
      <c r="CU801" s="154"/>
    </row>
    <row r="802" spans="99:99" ht="14.25" customHeight="1" x14ac:dyDescent="0.2">
      <c r="CU802" s="154"/>
    </row>
    <row r="803" spans="99:99" ht="14.25" customHeight="1" x14ac:dyDescent="0.2">
      <c r="CU803" s="154"/>
    </row>
    <row r="804" spans="99:99" ht="14.25" customHeight="1" x14ac:dyDescent="0.2">
      <c r="CU804" s="154"/>
    </row>
    <row r="805" spans="99:99" ht="14.25" customHeight="1" x14ac:dyDescent="0.2">
      <c r="CU805" s="154"/>
    </row>
    <row r="806" spans="99:99" ht="14.25" customHeight="1" x14ac:dyDescent="0.2">
      <c r="CU806" s="154"/>
    </row>
    <row r="807" spans="99:99" ht="14.25" customHeight="1" x14ac:dyDescent="0.2">
      <c r="CU807" s="154"/>
    </row>
    <row r="808" spans="99:99" ht="14.25" customHeight="1" x14ac:dyDescent="0.2">
      <c r="CU808" s="154"/>
    </row>
    <row r="809" spans="99:99" ht="14.25" customHeight="1" x14ac:dyDescent="0.2">
      <c r="CU809" s="154"/>
    </row>
    <row r="810" spans="99:99" ht="14.25" customHeight="1" x14ac:dyDescent="0.2">
      <c r="CU810" s="154"/>
    </row>
    <row r="811" spans="99:99" ht="14.25" customHeight="1" x14ac:dyDescent="0.2">
      <c r="CU811" s="154"/>
    </row>
    <row r="812" spans="99:99" ht="14.25" customHeight="1" x14ac:dyDescent="0.2">
      <c r="CU812" s="154"/>
    </row>
    <row r="813" spans="99:99" ht="14.25" customHeight="1" x14ac:dyDescent="0.2">
      <c r="CU813" s="154"/>
    </row>
    <row r="814" spans="99:99" ht="14.25" customHeight="1" x14ac:dyDescent="0.2">
      <c r="CU814" s="154"/>
    </row>
    <row r="815" spans="99:99" ht="14.25" customHeight="1" x14ac:dyDescent="0.2">
      <c r="CU815" s="154"/>
    </row>
    <row r="816" spans="99:99" ht="14.25" customHeight="1" x14ac:dyDescent="0.2">
      <c r="CU816" s="154"/>
    </row>
    <row r="817" spans="99:99" ht="14.25" customHeight="1" x14ac:dyDescent="0.2">
      <c r="CU817" s="154"/>
    </row>
    <row r="818" spans="99:99" ht="14.25" customHeight="1" x14ac:dyDescent="0.2">
      <c r="CU818" s="154"/>
    </row>
    <row r="819" spans="99:99" ht="14.25" customHeight="1" x14ac:dyDescent="0.2">
      <c r="CU819" s="154"/>
    </row>
    <row r="820" spans="99:99" ht="14.25" customHeight="1" x14ac:dyDescent="0.2">
      <c r="CU820" s="154"/>
    </row>
    <row r="821" spans="99:99" ht="14.25" customHeight="1" x14ac:dyDescent="0.2">
      <c r="CU821" s="154"/>
    </row>
    <row r="822" spans="99:99" ht="14.25" customHeight="1" x14ac:dyDescent="0.2">
      <c r="CU822" s="154"/>
    </row>
    <row r="823" spans="99:99" ht="14.25" customHeight="1" x14ac:dyDescent="0.2">
      <c r="CU823" s="154"/>
    </row>
    <row r="824" spans="99:99" ht="14.25" customHeight="1" x14ac:dyDescent="0.2">
      <c r="CU824" s="154"/>
    </row>
    <row r="825" spans="99:99" ht="14.25" customHeight="1" x14ac:dyDescent="0.2">
      <c r="CU825" s="154"/>
    </row>
    <row r="826" spans="99:99" ht="14.25" customHeight="1" x14ac:dyDescent="0.2">
      <c r="CU826" s="154"/>
    </row>
    <row r="827" spans="99:99" ht="14.25" customHeight="1" x14ac:dyDescent="0.2">
      <c r="CU827" s="154"/>
    </row>
    <row r="828" spans="99:99" ht="14.25" customHeight="1" x14ac:dyDescent="0.2">
      <c r="CU828" s="154"/>
    </row>
    <row r="829" spans="99:99" ht="14.25" customHeight="1" x14ac:dyDescent="0.2">
      <c r="CU829" s="154"/>
    </row>
    <row r="830" spans="99:99" ht="14.25" customHeight="1" x14ac:dyDescent="0.2">
      <c r="CU830" s="154"/>
    </row>
    <row r="831" spans="99:99" ht="14.25" customHeight="1" x14ac:dyDescent="0.2">
      <c r="CU831" s="154"/>
    </row>
    <row r="832" spans="99:99" ht="14.25" customHeight="1" x14ac:dyDescent="0.2">
      <c r="CU832" s="154"/>
    </row>
    <row r="833" spans="99:99" ht="14.25" customHeight="1" x14ac:dyDescent="0.2">
      <c r="CU833" s="154"/>
    </row>
    <row r="834" spans="99:99" ht="14.25" customHeight="1" x14ac:dyDescent="0.2">
      <c r="CU834" s="154"/>
    </row>
    <row r="835" spans="99:99" ht="14.25" customHeight="1" x14ac:dyDescent="0.2">
      <c r="CU835" s="154"/>
    </row>
    <row r="836" spans="99:99" ht="14.25" customHeight="1" x14ac:dyDescent="0.2">
      <c r="CU836" s="154"/>
    </row>
    <row r="837" spans="99:99" ht="14.25" customHeight="1" x14ac:dyDescent="0.2">
      <c r="CU837" s="154"/>
    </row>
    <row r="838" spans="99:99" ht="14.25" customHeight="1" x14ac:dyDescent="0.2">
      <c r="CU838" s="154"/>
    </row>
    <row r="839" spans="99:99" ht="14.25" customHeight="1" x14ac:dyDescent="0.2">
      <c r="CU839" s="154"/>
    </row>
    <row r="840" spans="99:99" ht="14.25" customHeight="1" x14ac:dyDescent="0.2">
      <c r="CU840" s="154"/>
    </row>
    <row r="841" spans="99:99" ht="14.25" customHeight="1" x14ac:dyDescent="0.2">
      <c r="CU841" s="154"/>
    </row>
    <row r="842" spans="99:99" ht="14.25" customHeight="1" x14ac:dyDescent="0.2">
      <c r="CU842" s="154"/>
    </row>
    <row r="843" spans="99:99" ht="14.25" customHeight="1" x14ac:dyDescent="0.2">
      <c r="CU843" s="154"/>
    </row>
    <row r="844" spans="99:99" ht="14.25" customHeight="1" x14ac:dyDescent="0.2">
      <c r="CU844" s="154"/>
    </row>
    <row r="845" spans="99:99" ht="14.25" customHeight="1" x14ac:dyDescent="0.2">
      <c r="CU845" s="154"/>
    </row>
    <row r="846" spans="99:99" ht="14.25" customHeight="1" x14ac:dyDescent="0.2">
      <c r="CU846" s="154"/>
    </row>
    <row r="847" spans="99:99" ht="14.25" customHeight="1" x14ac:dyDescent="0.2">
      <c r="CU847" s="154"/>
    </row>
    <row r="848" spans="99:99" ht="14.25" customHeight="1" x14ac:dyDescent="0.2">
      <c r="CU848" s="154"/>
    </row>
    <row r="849" spans="99:99" ht="14.25" customHeight="1" x14ac:dyDescent="0.2">
      <c r="CU849" s="154"/>
    </row>
    <row r="850" spans="99:99" ht="14.25" customHeight="1" x14ac:dyDescent="0.2">
      <c r="CU850" s="154"/>
    </row>
    <row r="851" spans="99:99" ht="14.25" customHeight="1" x14ac:dyDescent="0.2">
      <c r="CU851" s="154"/>
    </row>
    <row r="852" spans="99:99" ht="14.25" customHeight="1" x14ac:dyDescent="0.2">
      <c r="CU852" s="154"/>
    </row>
    <row r="853" spans="99:99" ht="14.25" customHeight="1" x14ac:dyDescent="0.2">
      <c r="CU853" s="154"/>
    </row>
    <row r="854" spans="99:99" ht="14.25" customHeight="1" x14ac:dyDescent="0.2">
      <c r="CU854" s="154"/>
    </row>
    <row r="855" spans="99:99" ht="14.25" customHeight="1" x14ac:dyDescent="0.2">
      <c r="CU855" s="154"/>
    </row>
    <row r="856" spans="99:99" ht="14.25" customHeight="1" x14ac:dyDescent="0.2">
      <c r="CU856" s="154"/>
    </row>
    <row r="857" spans="99:99" ht="14.25" customHeight="1" x14ac:dyDescent="0.2">
      <c r="CU857" s="154"/>
    </row>
    <row r="858" spans="99:99" ht="14.25" customHeight="1" x14ac:dyDescent="0.2">
      <c r="CU858" s="154"/>
    </row>
    <row r="859" spans="99:99" ht="14.25" customHeight="1" x14ac:dyDescent="0.2">
      <c r="CU859" s="154"/>
    </row>
    <row r="860" spans="99:99" ht="14.25" customHeight="1" x14ac:dyDescent="0.2">
      <c r="CU860" s="154"/>
    </row>
    <row r="861" spans="99:99" ht="14.25" customHeight="1" x14ac:dyDescent="0.2">
      <c r="CU861" s="154"/>
    </row>
    <row r="862" spans="99:99" ht="14.25" customHeight="1" x14ac:dyDescent="0.2">
      <c r="CU862" s="154"/>
    </row>
    <row r="863" spans="99:99" ht="14.25" customHeight="1" x14ac:dyDescent="0.2">
      <c r="CU863" s="154"/>
    </row>
    <row r="864" spans="99:99" ht="14.25" customHeight="1" x14ac:dyDescent="0.2">
      <c r="CU864" s="154"/>
    </row>
    <row r="865" spans="99:99" ht="14.25" customHeight="1" x14ac:dyDescent="0.2">
      <c r="CU865" s="154"/>
    </row>
    <row r="866" spans="99:99" ht="14.25" customHeight="1" x14ac:dyDescent="0.2">
      <c r="CU866" s="154"/>
    </row>
    <row r="867" spans="99:99" ht="14.25" customHeight="1" x14ac:dyDescent="0.2">
      <c r="CU867" s="154"/>
    </row>
    <row r="868" spans="99:99" ht="14.25" customHeight="1" x14ac:dyDescent="0.2">
      <c r="CU868" s="154"/>
    </row>
    <row r="869" spans="99:99" ht="14.25" customHeight="1" x14ac:dyDescent="0.2">
      <c r="CU869" s="154"/>
    </row>
    <row r="870" spans="99:99" ht="14.25" customHeight="1" x14ac:dyDescent="0.2">
      <c r="CU870" s="154"/>
    </row>
    <row r="871" spans="99:99" ht="14.25" customHeight="1" x14ac:dyDescent="0.2">
      <c r="CU871" s="154"/>
    </row>
    <row r="872" spans="99:99" ht="14.25" customHeight="1" x14ac:dyDescent="0.2">
      <c r="CU872" s="154"/>
    </row>
    <row r="873" spans="99:99" ht="14.25" customHeight="1" x14ac:dyDescent="0.2">
      <c r="CU873" s="154"/>
    </row>
    <row r="874" spans="99:99" ht="14.25" customHeight="1" x14ac:dyDescent="0.2">
      <c r="CU874" s="154"/>
    </row>
    <row r="875" spans="99:99" ht="14.25" customHeight="1" x14ac:dyDescent="0.2">
      <c r="CU875" s="154"/>
    </row>
    <row r="876" spans="99:99" ht="14.25" customHeight="1" x14ac:dyDescent="0.2">
      <c r="CU876" s="154"/>
    </row>
    <row r="877" spans="99:99" ht="14.25" customHeight="1" x14ac:dyDescent="0.2">
      <c r="CU877" s="154"/>
    </row>
    <row r="878" spans="99:99" ht="14.25" customHeight="1" x14ac:dyDescent="0.2">
      <c r="CU878" s="154"/>
    </row>
    <row r="879" spans="99:99" ht="14.25" customHeight="1" x14ac:dyDescent="0.2">
      <c r="CU879" s="154"/>
    </row>
    <row r="880" spans="99:99" ht="14.25" customHeight="1" x14ac:dyDescent="0.2">
      <c r="CU880" s="154"/>
    </row>
    <row r="881" spans="99:99" ht="14.25" customHeight="1" x14ac:dyDescent="0.2">
      <c r="CU881" s="154"/>
    </row>
    <row r="882" spans="99:99" ht="14.25" customHeight="1" x14ac:dyDescent="0.2">
      <c r="CU882" s="154"/>
    </row>
    <row r="883" spans="99:99" ht="14.25" customHeight="1" x14ac:dyDescent="0.2">
      <c r="CU883" s="154"/>
    </row>
    <row r="884" spans="99:99" ht="14.25" customHeight="1" x14ac:dyDescent="0.2">
      <c r="CU884" s="154"/>
    </row>
    <row r="885" spans="99:99" ht="14.25" customHeight="1" x14ac:dyDescent="0.2">
      <c r="CU885" s="154"/>
    </row>
    <row r="886" spans="99:99" ht="14.25" customHeight="1" x14ac:dyDescent="0.2">
      <c r="CU886" s="154"/>
    </row>
    <row r="887" spans="99:99" ht="14.25" customHeight="1" x14ac:dyDescent="0.2">
      <c r="CU887" s="154"/>
    </row>
    <row r="888" spans="99:99" ht="14.25" customHeight="1" x14ac:dyDescent="0.2">
      <c r="CU888" s="154"/>
    </row>
    <row r="889" spans="99:99" ht="14.25" customHeight="1" x14ac:dyDescent="0.2">
      <c r="CU889" s="154"/>
    </row>
    <row r="890" spans="99:99" ht="14.25" customHeight="1" x14ac:dyDescent="0.2">
      <c r="CU890" s="154"/>
    </row>
    <row r="891" spans="99:99" ht="14.25" customHeight="1" x14ac:dyDescent="0.2">
      <c r="CU891" s="154"/>
    </row>
    <row r="892" spans="99:99" ht="14.25" customHeight="1" x14ac:dyDescent="0.2">
      <c r="CU892" s="154"/>
    </row>
    <row r="893" spans="99:99" ht="14.25" customHeight="1" x14ac:dyDescent="0.2">
      <c r="CU893" s="154"/>
    </row>
    <row r="894" spans="99:99" ht="14.25" customHeight="1" x14ac:dyDescent="0.2">
      <c r="CU894" s="154"/>
    </row>
    <row r="895" spans="99:99" ht="14.25" customHeight="1" x14ac:dyDescent="0.2">
      <c r="CU895" s="154"/>
    </row>
    <row r="896" spans="99:99" ht="14.25" customHeight="1" x14ac:dyDescent="0.2">
      <c r="CU896" s="154"/>
    </row>
    <row r="897" spans="99:99" ht="14.25" customHeight="1" x14ac:dyDescent="0.2">
      <c r="CU897" s="154"/>
    </row>
    <row r="898" spans="99:99" ht="14.25" customHeight="1" x14ac:dyDescent="0.2">
      <c r="CU898" s="154"/>
    </row>
    <row r="899" spans="99:99" ht="14.25" customHeight="1" x14ac:dyDescent="0.2">
      <c r="CU899" s="154"/>
    </row>
    <row r="900" spans="99:99" ht="14.25" customHeight="1" x14ac:dyDescent="0.2">
      <c r="CU900" s="154"/>
    </row>
    <row r="901" spans="99:99" ht="14.25" customHeight="1" x14ac:dyDescent="0.2">
      <c r="CU901" s="154"/>
    </row>
    <row r="902" spans="99:99" ht="14.25" customHeight="1" x14ac:dyDescent="0.2">
      <c r="CU902" s="154"/>
    </row>
    <row r="903" spans="99:99" ht="14.25" customHeight="1" x14ac:dyDescent="0.2">
      <c r="CU903" s="154"/>
    </row>
    <row r="904" spans="99:99" ht="14.25" customHeight="1" x14ac:dyDescent="0.2">
      <c r="CU904" s="154"/>
    </row>
    <row r="905" spans="99:99" ht="14.25" customHeight="1" x14ac:dyDescent="0.2">
      <c r="CU905" s="154"/>
    </row>
    <row r="906" spans="99:99" ht="14.25" customHeight="1" x14ac:dyDescent="0.2">
      <c r="CU906" s="154"/>
    </row>
    <row r="907" spans="99:99" ht="14.25" customHeight="1" x14ac:dyDescent="0.2">
      <c r="CU907" s="154"/>
    </row>
    <row r="908" spans="99:99" ht="14.25" customHeight="1" x14ac:dyDescent="0.2">
      <c r="CU908" s="154"/>
    </row>
    <row r="909" spans="99:99" ht="14.25" customHeight="1" x14ac:dyDescent="0.2">
      <c r="CU909" s="154"/>
    </row>
    <row r="910" spans="99:99" ht="14.25" customHeight="1" x14ac:dyDescent="0.2">
      <c r="CU910" s="154"/>
    </row>
    <row r="911" spans="99:99" ht="14.25" customHeight="1" x14ac:dyDescent="0.2">
      <c r="CU911" s="154"/>
    </row>
    <row r="912" spans="99:99" ht="14.25" customHeight="1" x14ac:dyDescent="0.2">
      <c r="CU912" s="154"/>
    </row>
    <row r="913" spans="99:99" ht="14.25" customHeight="1" x14ac:dyDescent="0.2">
      <c r="CU913" s="154"/>
    </row>
    <row r="914" spans="99:99" ht="14.25" customHeight="1" x14ac:dyDescent="0.2">
      <c r="CU914" s="154"/>
    </row>
    <row r="915" spans="99:99" ht="14.25" customHeight="1" x14ac:dyDescent="0.2">
      <c r="CU915" s="154"/>
    </row>
    <row r="916" spans="99:99" ht="14.25" customHeight="1" x14ac:dyDescent="0.2">
      <c r="CU916" s="154"/>
    </row>
    <row r="917" spans="99:99" ht="14.25" customHeight="1" x14ac:dyDescent="0.2">
      <c r="CU917" s="154"/>
    </row>
    <row r="918" spans="99:99" ht="14.25" customHeight="1" x14ac:dyDescent="0.2">
      <c r="CU918" s="154"/>
    </row>
    <row r="919" spans="99:99" ht="14.25" customHeight="1" x14ac:dyDescent="0.2">
      <c r="CU919" s="154"/>
    </row>
    <row r="920" spans="99:99" ht="14.25" customHeight="1" x14ac:dyDescent="0.2">
      <c r="CU920" s="154"/>
    </row>
    <row r="921" spans="99:99" ht="14.25" customHeight="1" x14ac:dyDescent="0.2">
      <c r="CU921" s="154"/>
    </row>
    <row r="922" spans="99:99" ht="14.25" customHeight="1" x14ac:dyDescent="0.2">
      <c r="CU922" s="154"/>
    </row>
    <row r="923" spans="99:99" ht="14.25" customHeight="1" x14ac:dyDescent="0.2">
      <c r="CU923" s="154"/>
    </row>
    <row r="924" spans="99:99" ht="14.25" customHeight="1" x14ac:dyDescent="0.2">
      <c r="CU924" s="154"/>
    </row>
    <row r="925" spans="99:99" ht="14.25" customHeight="1" x14ac:dyDescent="0.2">
      <c r="CU925" s="154"/>
    </row>
    <row r="926" spans="99:99" ht="14.25" customHeight="1" x14ac:dyDescent="0.2">
      <c r="CU926" s="154"/>
    </row>
    <row r="927" spans="99:99" ht="14.25" customHeight="1" x14ac:dyDescent="0.2">
      <c r="CU927" s="154"/>
    </row>
    <row r="928" spans="99:99" ht="14.25" customHeight="1" x14ac:dyDescent="0.2">
      <c r="CU928" s="154"/>
    </row>
    <row r="929" spans="99:99" ht="14.25" customHeight="1" x14ac:dyDescent="0.2">
      <c r="CU929" s="154"/>
    </row>
    <row r="930" spans="99:99" ht="14.25" customHeight="1" x14ac:dyDescent="0.2">
      <c r="CU930" s="154"/>
    </row>
    <row r="931" spans="99:99" ht="14.25" customHeight="1" x14ac:dyDescent="0.2">
      <c r="CU931" s="154"/>
    </row>
    <row r="932" spans="99:99" ht="14.25" customHeight="1" x14ac:dyDescent="0.2">
      <c r="CU932" s="154"/>
    </row>
    <row r="933" spans="99:99" ht="14.25" customHeight="1" x14ac:dyDescent="0.2">
      <c r="CU933" s="154"/>
    </row>
    <row r="934" spans="99:99" ht="14.25" customHeight="1" x14ac:dyDescent="0.2">
      <c r="CU934" s="154"/>
    </row>
    <row r="935" spans="99:99" ht="14.25" customHeight="1" x14ac:dyDescent="0.2">
      <c r="CU935" s="154"/>
    </row>
    <row r="936" spans="99:99" ht="14.25" customHeight="1" x14ac:dyDescent="0.2">
      <c r="CU936" s="154"/>
    </row>
    <row r="937" spans="99:99" ht="14.25" customHeight="1" x14ac:dyDescent="0.2">
      <c r="CU937" s="154"/>
    </row>
    <row r="938" spans="99:99" ht="14.25" customHeight="1" x14ac:dyDescent="0.2">
      <c r="CU938" s="154"/>
    </row>
    <row r="939" spans="99:99" ht="14.25" customHeight="1" x14ac:dyDescent="0.2">
      <c r="CU939" s="154"/>
    </row>
    <row r="940" spans="99:99" ht="14.25" customHeight="1" x14ac:dyDescent="0.2">
      <c r="CU940" s="154"/>
    </row>
    <row r="941" spans="99:99" ht="14.25" customHeight="1" x14ac:dyDescent="0.2">
      <c r="CU941" s="154"/>
    </row>
    <row r="942" spans="99:99" ht="14.25" customHeight="1" x14ac:dyDescent="0.2">
      <c r="CU942" s="154"/>
    </row>
    <row r="943" spans="99:99" ht="14.25" customHeight="1" x14ac:dyDescent="0.2">
      <c r="CU943" s="154"/>
    </row>
    <row r="944" spans="99:99" ht="14.25" customHeight="1" x14ac:dyDescent="0.2">
      <c r="CU944" s="154"/>
    </row>
    <row r="945" spans="99:99" ht="14.25" customHeight="1" x14ac:dyDescent="0.2">
      <c r="CU945" s="154"/>
    </row>
    <row r="946" spans="99:99" ht="14.25" customHeight="1" x14ac:dyDescent="0.2">
      <c r="CU946" s="154"/>
    </row>
    <row r="947" spans="99:99" ht="14.25" customHeight="1" x14ac:dyDescent="0.2">
      <c r="CU947" s="154"/>
    </row>
    <row r="948" spans="99:99" ht="14.25" customHeight="1" x14ac:dyDescent="0.2">
      <c r="CU948" s="154"/>
    </row>
    <row r="949" spans="99:99" ht="14.25" customHeight="1" x14ac:dyDescent="0.2">
      <c r="CU949" s="154"/>
    </row>
    <row r="950" spans="99:99" ht="14.25" customHeight="1" x14ac:dyDescent="0.2">
      <c r="CU950" s="154"/>
    </row>
    <row r="951" spans="99:99" ht="14.25" customHeight="1" x14ac:dyDescent="0.2">
      <c r="CU951" s="154"/>
    </row>
    <row r="952" spans="99:99" ht="14.25" customHeight="1" x14ac:dyDescent="0.2">
      <c r="CU952" s="154"/>
    </row>
    <row r="953" spans="99:99" ht="14.25" customHeight="1" x14ac:dyDescent="0.2">
      <c r="CU953" s="154"/>
    </row>
    <row r="954" spans="99:99" ht="14.25" customHeight="1" x14ac:dyDescent="0.2">
      <c r="CU954" s="154"/>
    </row>
    <row r="955" spans="99:99" ht="14.25" customHeight="1" x14ac:dyDescent="0.2">
      <c r="CU955" s="154"/>
    </row>
    <row r="956" spans="99:99" ht="14.25" customHeight="1" x14ac:dyDescent="0.2">
      <c r="CU956" s="154"/>
    </row>
    <row r="957" spans="99:99" ht="14.25" customHeight="1" x14ac:dyDescent="0.2">
      <c r="CU957" s="154"/>
    </row>
    <row r="958" spans="99:99" ht="14.25" customHeight="1" x14ac:dyDescent="0.2">
      <c r="CU958" s="154"/>
    </row>
    <row r="959" spans="99:99" ht="14.25" customHeight="1" x14ac:dyDescent="0.2">
      <c r="CU959" s="154"/>
    </row>
    <row r="960" spans="99:99" ht="14.25" customHeight="1" x14ac:dyDescent="0.2">
      <c r="CU960" s="154"/>
    </row>
    <row r="961" spans="99:99" ht="14.25" customHeight="1" x14ac:dyDescent="0.2">
      <c r="CU961" s="154"/>
    </row>
    <row r="962" spans="99:99" ht="14.25" customHeight="1" x14ac:dyDescent="0.2">
      <c r="CU962" s="154"/>
    </row>
    <row r="963" spans="99:99" ht="14.25" customHeight="1" x14ac:dyDescent="0.2">
      <c r="CU963" s="154"/>
    </row>
    <row r="964" spans="99:99" ht="14.25" customHeight="1" x14ac:dyDescent="0.2">
      <c r="CU964" s="154"/>
    </row>
    <row r="965" spans="99:99" ht="14.25" customHeight="1" x14ac:dyDescent="0.2">
      <c r="CU965" s="154"/>
    </row>
    <row r="966" spans="99:99" ht="14.25" customHeight="1" x14ac:dyDescent="0.2">
      <c r="CU966" s="154"/>
    </row>
    <row r="967" spans="99:99" ht="14.25" customHeight="1" x14ac:dyDescent="0.2">
      <c r="CU967" s="154"/>
    </row>
    <row r="968" spans="99:99" ht="14.25" customHeight="1" x14ac:dyDescent="0.2">
      <c r="CU968" s="154"/>
    </row>
    <row r="969" spans="99:99" ht="14.25" customHeight="1" x14ac:dyDescent="0.2">
      <c r="CU969" s="154"/>
    </row>
    <row r="970" spans="99:99" ht="14.25" customHeight="1" x14ac:dyDescent="0.2">
      <c r="CU970" s="154"/>
    </row>
    <row r="971" spans="99:99" ht="14.25" customHeight="1" x14ac:dyDescent="0.2">
      <c r="CU971" s="154"/>
    </row>
    <row r="972" spans="99:99" ht="14.25" customHeight="1" x14ac:dyDescent="0.2">
      <c r="CU972" s="154"/>
    </row>
    <row r="973" spans="99:99" ht="14.25" customHeight="1" x14ac:dyDescent="0.2">
      <c r="CU973" s="154"/>
    </row>
    <row r="974" spans="99:99" ht="14.25" customHeight="1" x14ac:dyDescent="0.2">
      <c r="CU974" s="154"/>
    </row>
    <row r="975" spans="99:99" ht="14.25" customHeight="1" x14ac:dyDescent="0.2">
      <c r="CU975" s="154"/>
    </row>
    <row r="976" spans="99:99" ht="14.25" customHeight="1" x14ac:dyDescent="0.2">
      <c r="CU976" s="154"/>
    </row>
    <row r="977" spans="99:99" ht="14.25" customHeight="1" x14ac:dyDescent="0.2">
      <c r="CU977" s="154"/>
    </row>
    <row r="978" spans="99:99" ht="14.25" customHeight="1" x14ac:dyDescent="0.2">
      <c r="CU978" s="154"/>
    </row>
    <row r="979" spans="99:99" ht="14.25" customHeight="1" x14ac:dyDescent="0.2">
      <c r="CU979" s="154"/>
    </row>
    <row r="980" spans="99:99" ht="14.25" customHeight="1" x14ac:dyDescent="0.2">
      <c r="CU980" s="154"/>
    </row>
    <row r="981" spans="99:99" ht="14.25" customHeight="1" x14ac:dyDescent="0.2">
      <c r="CU981" s="154"/>
    </row>
    <row r="982" spans="99:99" ht="14.25" customHeight="1" x14ac:dyDescent="0.2">
      <c r="CU982" s="154"/>
    </row>
    <row r="983" spans="99:99" ht="14.25" customHeight="1" x14ac:dyDescent="0.2">
      <c r="CU983" s="154"/>
    </row>
    <row r="984" spans="99:99" ht="14.25" customHeight="1" x14ac:dyDescent="0.2">
      <c r="CU984" s="154"/>
    </row>
    <row r="985" spans="99:99" ht="14.25" customHeight="1" x14ac:dyDescent="0.2">
      <c r="CU985" s="154"/>
    </row>
    <row r="986" spans="99:99" ht="14.25" customHeight="1" x14ac:dyDescent="0.2">
      <c r="CU986" s="154"/>
    </row>
    <row r="987" spans="99:99" ht="14.25" customHeight="1" x14ac:dyDescent="0.2">
      <c r="CU987" s="154"/>
    </row>
    <row r="988" spans="99:99" ht="14.25" customHeight="1" x14ac:dyDescent="0.2">
      <c r="CU988" s="154"/>
    </row>
    <row r="989" spans="99:99" ht="14.25" customHeight="1" x14ac:dyDescent="0.2">
      <c r="CU989" s="154"/>
    </row>
    <row r="990" spans="99:99" ht="14.25" customHeight="1" x14ac:dyDescent="0.2">
      <c r="CU990" s="154"/>
    </row>
    <row r="991" spans="99:99" ht="14.25" customHeight="1" x14ac:dyDescent="0.2">
      <c r="CU991" s="154"/>
    </row>
    <row r="992" spans="99:99" ht="14.25" customHeight="1" x14ac:dyDescent="0.2">
      <c r="CU992" s="154"/>
    </row>
    <row r="993" spans="99:99" ht="14.25" customHeight="1" x14ac:dyDescent="0.2">
      <c r="CU993" s="154"/>
    </row>
    <row r="994" spans="99:99" ht="14.25" customHeight="1" x14ac:dyDescent="0.2">
      <c r="CU994" s="154"/>
    </row>
    <row r="995" spans="99:99" ht="14.25" customHeight="1" x14ac:dyDescent="0.2">
      <c r="CU995" s="154"/>
    </row>
    <row r="996" spans="99:99" ht="14.25" customHeight="1" x14ac:dyDescent="0.2">
      <c r="CU996" s="154"/>
    </row>
    <row r="997" spans="99:99" ht="14.25" customHeight="1" x14ac:dyDescent="0.2">
      <c r="CU997" s="154"/>
    </row>
    <row r="998" spans="99:99" ht="14.25" customHeight="1" x14ac:dyDescent="0.2">
      <c r="CU998" s="154"/>
    </row>
    <row r="999" spans="99:99" ht="14.25" customHeight="1" x14ac:dyDescent="0.2">
      <c r="CU999" s="154"/>
    </row>
    <row r="1000" spans="99:99" ht="14.25" customHeight="1" x14ac:dyDescent="0.2">
      <c r="CU1000" s="154"/>
    </row>
  </sheetData>
  <mergeCells count="25">
    <mergeCell ref="BP2:BV2"/>
    <mergeCell ref="BW2:CC2"/>
    <mergeCell ref="CD2:CJ2"/>
    <mergeCell ref="B2:K2"/>
    <mergeCell ref="L2:R2"/>
    <mergeCell ref="S2:Y2"/>
    <mergeCell ref="Z2:AF2"/>
    <mergeCell ref="AG2:AM2"/>
    <mergeCell ref="AN2:AT2"/>
    <mergeCell ref="BW60:CC60"/>
    <mergeCell ref="CD60:CJ60"/>
    <mergeCell ref="CK60:CQ60"/>
    <mergeCell ref="CK2:CQ2"/>
    <mergeCell ref="L60:R60"/>
    <mergeCell ref="S60:Y60"/>
    <mergeCell ref="Z60:AF60"/>
    <mergeCell ref="AG60:AM60"/>
    <mergeCell ref="AN60:AT60"/>
    <mergeCell ref="AU60:BA60"/>
    <mergeCell ref="BB60:BH60"/>
    <mergeCell ref="BI60:BO60"/>
    <mergeCell ref="BP60:BV60"/>
    <mergeCell ref="AU2:BA2"/>
    <mergeCell ref="BB2:BH2"/>
    <mergeCell ref="BI2:BO2"/>
  </mergeCells>
  <printOptions horizontalCentered="1"/>
  <pageMargins left="9.8425196850393706E-2" right="9.8425196850393706E-2" top="0.59055118110236227" bottom="0.39370078740157483" header="0" footer="0"/>
  <pageSetup paperSize="9" scale="4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12</vt:i4>
      </vt:variant>
    </vt:vector>
  </HeadingPairs>
  <TitlesOfParts>
    <vt:vector size="24" baseType="lpstr">
      <vt:lpstr>SLP</vt:lpstr>
      <vt:lpstr>ROSA</vt:lpstr>
      <vt:lpstr>STA ANA</vt:lpstr>
      <vt:lpstr>BOA</vt:lpstr>
      <vt:lpstr>STA MARIA</vt:lpstr>
      <vt:lpstr>CB I</vt:lpstr>
      <vt:lpstr>IG</vt:lpstr>
      <vt:lpstr>PN</vt:lpstr>
      <vt:lpstr>MJ</vt:lpstr>
      <vt:lpstr>RB I</vt:lpstr>
      <vt:lpstr>SF I</vt:lpstr>
      <vt:lpstr>TOTAL PRODUÇÃO</vt:lpstr>
      <vt:lpstr>BOA!Print_Area</vt:lpstr>
      <vt:lpstr>'CB I'!Print_Area</vt:lpstr>
      <vt:lpstr>IG!Print_Area</vt:lpstr>
      <vt:lpstr>MJ!Print_Area</vt:lpstr>
      <vt:lpstr>PN!Print_Area</vt:lpstr>
      <vt:lpstr>'RB I'!Print_Area</vt:lpstr>
      <vt:lpstr>ROSA!Print_Area</vt:lpstr>
      <vt:lpstr>'SF I'!Print_Area</vt:lpstr>
      <vt:lpstr>SLP!Print_Area</vt:lpstr>
      <vt:lpstr>'STA ANA'!Print_Area</vt:lpstr>
      <vt:lpstr>'STA MARIA'!Print_Area</vt:lpstr>
      <vt:lpstr>'TOTAL PRODUÇÃO'!Print_Area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Rodolfo Castro</dc:creator>
  <cp:lastModifiedBy>Rodolfo Castro</cp:lastModifiedBy>
  <dcterms:created xsi:type="dcterms:W3CDTF">2024-10-24T18:29:27Z</dcterms:created>
  <dcterms:modified xsi:type="dcterms:W3CDTF">2024-12-18T15:50:13Z</dcterms:modified>
</cp:coreProperties>
</file>