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Desktop/"/>
    </mc:Choice>
  </mc:AlternateContent>
  <xr:revisionPtr revIDLastSave="0" documentId="13_ncr:1_{FC4DB09F-0ED3-F44F-BE92-51AEFB044EF6}" xr6:coauthVersionLast="47" xr6:coauthVersionMax="47" xr10:uidLastSave="{00000000-0000-0000-0000-000000000000}"/>
  <bookViews>
    <workbookView xWindow="580" yWindow="880" windowWidth="28420" windowHeight="18060" xr2:uid="{AC82ADC5-E628-F847-8939-89BAF5623AE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24" i="2"/>
  <c r="M25" i="2"/>
  <c r="M26" i="2"/>
  <c r="M27" i="2"/>
  <c r="M28" i="2"/>
  <c r="M29" i="2"/>
  <c r="M30" i="2"/>
  <c r="M31" i="2"/>
  <c r="M32" i="2"/>
  <c r="M33" i="2"/>
  <c r="M34" i="2"/>
  <c r="M22" i="2"/>
  <c r="N55" i="1"/>
  <c r="N52" i="1"/>
  <c r="N51" i="1"/>
  <c r="J55" i="1"/>
  <c r="J52" i="1"/>
  <c r="J51" i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P19" i="2"/>
  <c r="Q19" i="2"/>
  <c r="R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P20" i="2"/>
  <c r="Q20" i="2"/>
  <c r="R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P21" i="2"/>
  <c r="Q21" i="2"/>
  <c r="R21" i="2"/>
  <c r="T21" i="2"/>
  <c r="U21" i="2"/>
  <c r="V21" i="2"/>
  <c r="W21" i="2"/>
  <c r="X21" i="2"/>
  <c r="Y21" i="2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W22" i="2"/>
  <c r="X22" i="2"/>
  <c r="Y22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W23" i="2"/>
  <c r="X23" i="2"/>
  <c r="Y23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W24" i="2"/>
  <c r="X24" i="2"/>
  <c r="Y24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W25" i="2"/>
  <c r="X25" i="2"/>
  <c r="Y25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X26" i="2"/>
  <c r="Y26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W27" i="2"/>
  <c r="X27" i="2"/>
  <c r="Y27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W28" i="2"/>
  <c r="X28" i="2"/>
  <c r="Y28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W29" i="2"/>
  <c r="X29" i="2"/>
  <c r="Y29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W30" i="2"/>
  <c r="X30" i="2"/>
  <c r="Y30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W31" i="2"/>
  <c r="X31" i="2"/>
  <c r="Y31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W32" i="2"/>
  <c r="X32" i="2"/>
  <c r="Y32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W33" i="2"/>
  <c r="X33" i="2"/>
  <c r="Y33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W34" i="2"/>
  <c r="X34" i="2"/>
  <c r="Y34" i="2"/>
  <c r="C33" i="2"/>
  <c r="C34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G9" i="1" l="1"/>
  <c r="R42" i="1"/>
  <c r="P42" i="1"/>
  <c r="O42" i="1"/>
  <c r="V53" i="1"/>
  <c r="Q53" i="1"/>
  <c r="L52" i="1"/>
  <c r="S16" i="1"/>
  <c r="J16" i="1"/>
  <c r="D16" i="1"/>
  <c r="K16" i="1" s="1"/>
  <c r="X56" i="1"/>
  <c r="V16" i="1" s="1"/>
  <c r="W56" i="1"/>
  <c r="U16" i="1" s="1"/>
  <c r="V56" i="1"/>
  <c r="T16" i="1" s="1"/>
  <c r="U56" i="1"/>
  <c r="P56" i="1"/>
  <c r="N16" i="1" s="1"/>
  <c r="O56" i="1"/>
  <c r="M16" i="1" s="1"/>
  <c r="D56" i="1"/>
  <c r="T56" i="1"/>
  <c r="R16" i="1" s="1"/>
  <c r="I90" i="1"/>
  <c r="D72" i="1"/>
  <c r="H59" i="1"/>
  <c r="H61" i="1"/>
  <c r="K61" i="1"/>
  <c r="H63" i="1"/>
  <c r="I93" i="1"/>
  <c r="I94" i="1" s="1"/>
  <c r="I95" i="1" s="1"/>
  <c r="R55" i="1" l="1"/>
  <c r="S21" i="2" s="1"/>
  <c r="O21" i="2"/>
  <c r="C16" i="1"/>
  <c r="E16" i="1" s="1"/>
  <c r="Q56" i="1"/>
  <c r="O16" i="1" s="1"/>
  <c r="S56" i="1"/>
  <c r="Q16" i="1" s="1"/>
  <c r="R56" i="1"/>
  <c r="P16" i="1" s="1"/>
  <c r="N56" i="1"/>
  <c r="L16" i="1" s="1"/>
  <c r="J61" i="1"/>
  <c r="N61" i="1" s="1"/>
  <c r="K20" i="1"/>
  <c r="W72" i="1"/>
  <c r="V72" i="1"/>
  <c r="S72" i="1"/>
  <c r="Q72" i="1"/>
  <c r="P72" i="1"/>
  <c r="O72" i="1"/>
  <c r="J59" i="1"/>
  <c r="W97" i="1"/>
  <c r="U97" i="1"/>
  <c r="S97" i="1"/>
  <c r="R97" i="1"/>
  <c r="Q97" i="1"/>
  <c r="P97" i="1"/>
  <c r="O97" i="1"/>
  <c r="O87" i="1"/>
  <c r="P87" i="1"/>
  <c r="R87" i="1"/>
  <c r="S87" i="1"/>
  <c r="T87" i="1"/>
  <c r="U87" i="1"/>
  <c r="V87" i="1"/>
  <c r="W87" i="1"/>
  <c r="X87" i="1"/>
  <c r="O20" i="2"/>
  <c r="O19" i="2"/>
  <c r="F16" i="1" l="1"/>
  <c r="G16" i="1" s="1"/>
  <c r="X53" i="1"/>
  <c r="V15" i="1" s="1"/>
  <c r="P53" i="1"/>
  <c r="N15" i="1" s="1"/>
  <c r="O53" i="1"/>
  <c r="M15" i="1" s="1"/>
  <c r="D53" i="1"/>
  <c r="R52" i="1"/>
  <c r="R51" i="1"/>
  <c r="R53" i="1" l="1"/>
  <c r="S19" i="2"/>
  <c r="S52" i="1"/>
  <c r="S20" i="2"/>
  <c r="O15" i="1"/>
  <c r="T15" i="1"/>
  <c r="S51" i="1"/>
  <c r="T19" i="2" s="1"/>
  <c r="N53" i="1"/>
  <c r="D18" i="1"/>
  <c r="K18" i="1" s="1"/>
  <c r="J13" i="1"/>
  <c r="J14" i="1"/>
  <c r="J15" i="1"/>
  <c r="J17" i="1"/>
  <c r="J18" i="1"/>
  <c r="J19" i="1"/>
  <c r="J12" i="1"/>
  <c r="D15" i="1"/>
  <c r="K15" i="1" s="1"/>
  <c r="C15" i="1"/>
  <c r="M18" i="1"/>
  <c r="N18" i="1"/>
  <c r="O18" i="1"/>
  <c r="Q18" i="1"/>
  <c r="T18" i="1"/>
  <c r="U18" i="1"/>
  <c r="K60" i="1"/>
  <c r="K62" i="1" s="1"/>
  <c r="T52" i="1" l="1"/>
  <c r="T20" i="2"/>
  <c r="P15" i="1"/>
  <c r="S53" i="1"/>
  <c r="J62" i="1"/>
  <c r="N62" i="1" s="1"/>
  <c r="U62" i="1" s="1"/>
  <c r="Y62" i="1" s="1"/>
  <c r="K63" i="1"/>
  <c r="F15" i="1"/>
  <c r="G15" i="1" s="1"/>
  <c r="E15" i="1"/>
  <c r="T51" i="1"/>
  <c r="U19" i="2" s="1"/>
  <c r="J48" i="1"/>
  <c r="N48" i="1" s="1"/>
  <c r="N45" i="1"/>
  <c r="N44" i="1"/>
  <c r="J28" i="1"/>
  <c r="N28" i="1" s="1"/>
  <c r="J30" i="1"/>
  <c r="N30" i="1" s="1"/>
  <c r="J29" i="1"/>
  <c r="N29" i="1" s="1"/>
  <c r="U20" i="2" l="1"/>
  <c r="U52" i="1"/>
  <c r="Q15" i="1"/>
  <c r="T53" i="1"/>
  <c r="U51" i="1"/>
  <c r="V19" i="2" s="1"/>
  <c r="K64" i="1"/>
  <c r="W53" i="1" l="1"/>
  <c r="U15" i="1" s="1"/>
  <c r="V20" i="2"/>
  <c r="U53" i="1"/>
  <c r="S15" i="1" s="1"/>
  <c r="R15" i="1"/>
  <c r="K65" i="1"/>
  <c r="L15" i="1" l="1"/>
  <c r="K66" i="1"/>
  <c r="K67" i="1" l="1"/>
  <c r="K68" i="1" l="1"/>
  <c r="K69" i="1" l="1"/>
  <c r="K70" i="1" l="1"/>
  <c r="K71" i="1" l="1"/>
  <c r="L91" i="1" l="1"/>
  <c r="L92" i="1" s="1"/>
  <c r="L93" i="1" s="1"/>
  <c r="L94" i="1" s="1"/>
  <c r="L95" i="1" s="1"/>
  <c r="I92" i="1"/>
  <c r="I91" i="1"/>
  <c r="P78" i="1"/>
  <c r="Q78" i="1"/>
  <c r="R78" i="1"/>
  <c r="S78" i="1"/>
  <c r="T78" i="1"/>
  <c r="U78" i="1"/>
  <c r="V78" i="1"/>
  <c r="W78" i="1"/>
  <c r="X78" i="1"/>
  <c r="D77" i="1"/>
  <c r="D83" i="1" l="1"/>
  <c r="N83" i="1" s="1"/>
  <c r="D90" i="1"/>
  <c r="N90" i="1" s="1"/>
  <c r="T90" i="1" s="1"/>
  <c r="D92" i="1"/>
  <c r="N92" i="1" s="1"/>
  <c r="D79" i="1"/>
  <c r="N79" i="1" s="1"/>
  <c r="D91" i="1"/>
  <c r="N91" i="1" s="1"/>
  <c r="D81" i="1"/>
  <c r="N81" i="1" s="1"/>
  <c r="D84" i="1"/>
  <c r="N84" i="1" s="1"/>
  <c r="D80" i="1"/>
  <c r="N80" i="1" s="1"/>
  <c r="D82" i="1"/>
  <c r="N82" i="1" s="1"/>
  <c r="D94" i="1"/>
  <c r="D93" i="1"/>
  <c r="N93" i="1" s="1"/>
  <c r="D95" i="1"/>
  <c r="D85" i="1"/>
  <c r="N85" i="1" s="1"/>
  <c r="O78" i="1"/>
  <c r="O49" i="1"/>
  <c r="M14" i="1" s="1"/>
  <c r="P49" i="1"/>
  <c r="N14" i="1" s="1"/>
  <c r="Q49" i="1"/>
  <c r="O14" i="1" s="1"/>
  <c r="S49" i="1"/>
  <c r="Q14" i="1" s="1"/>
  <c r="T49" i="1"/>
  <c r="R14" i="1" s="1"/>
  <c r="U49" i="1"/>
  <c r="S14" i="1" s="1"/>
  <c r="V49" i="1"/>
  <c r="T14" i="1" s="1"/>
  <c r="W49" i="1"/>
  <c r="U14" i="1" s="1"/>
  <c r="X49" i="1"/>
  <c r="V14" i="1" s="1"/>
  <c r="O46" i="1"/>
  <c r="M13" i="1" s="1"/>
  <c r="P46" i="1"/>
  <c r="N13" i="1" s="1"/>
  <c r="Q46" i="1"/>
  <c r="O13" i="1" s="1"/>
  <c r="X46" i="1"/>
  <c r="V13" i="1" s="1"/>
  <c r="X42" i="1"/>
  <c r="V12" i="1" s="1"/>
  <c r="P12" i="1"/>
  <c r="N12" i="1"/>
  <c r="M12" i="1"/>
  <c r="D49" i="1"/>
  <c r="D46" i="1"/>
  <c r="D42" i="1"/>
  <c r="D13" i="1"/>
  <c r="K13" i="1" s="1"/>
  <c r="D14" i="1"/>
  <c r="K14" i="1" s="1"/>
  <c r="D12" i="1"/>
  <c r="H60" i="1"/>
  <c r="J60" i="1" s="1"/>
  <c r="T45" i="1"/>
  <c r="C13" i="1"/>
  <c r="F13" i="1" s="1"/>
  <c r="H41" i="1"/>
  <c r="J41" i="1" s="1"/>
  <c r="N41" i="1" s="1"/>
  <c r="H40" i="1"/>
  <c r="J40" i="1" s="1"/>
  <c r="N40" i="1" s="1"/>
  <c r="H39" i="1"/>
  <c r="J39" i="1" s="1"/>
  <c r="N39" i="1" s="1"/>
  <c r="H38" i="1"/>
  <c r="J38" i="1" s="1"/>
  <c r="N38" i="1" s="1"/>
  <c r="H37" i="1"/>
  <c r="J37" i="1" s="1"/>
  <c r="N37" i="1" s="1"/>
  <c r="H36" i="1"/>
  <c r="H35" i="1"/>
  <c r="J35" i="1" s="1"/>
  <c r="N35" i="1" s="1"/>
  <c r="H34" i="1"/>
  <c r="J34" i="1" s="1"/>
  <c r="N34" i="1" s="1"/>
  <c r="H33" i="1"/>
  <c r="J33" i="1" s="1"/>
  <c r="N33" i="1" s="1"/>
  <c r="H32" i="1"/>
  <c r="J32" i="1" s="1"/>
  <c r="N32" i="1" s="1"/>
  <c r="H31" i="1"/>
  <c r="J31" i="1" s="1"/>
  <c r="N31" i="1" s="1"/>
  <c r="M17" i="1" l="1"/>
  <c r="N17" i="1"/>
  <c r="N19" i="1" s="1"/>
  <c r="N20" i="1" s="1"/>
  <c r="K12" i="1"/>
  <c r="D17" i="1"/>
  <c r="K17" i="1" s="1"/>
  <c r="V17" i="1"/>
  <c r="D96" i="1"/>
  <c r="G13" i="1"/>
  <c r="M19" i="1"/>
  <c r="M20" i="1" s="1"/>
  <c r="J36" i="1"/>
  <c r="N36" i="1" s="1"/>
  <c r="V36" i="1" s="1"/>
  <c r="N94" i="1"/>
  <c r="D86" i="1"/>
  <c r="N95" i="1"/>
  <c r="N46" i="1"/>
  <c r="E13" i="1"/>
  <c r="U45" i="1"/>
  <c r="R44" i="1"/>
  <c r="D19" i="1" l="1"/>
  <c r="K19" i="1" s="1"/>
  <c r="V45" i="1"/>
  <c r="S44" i="1"/>
  <c r="R46" i="1"/>
  <c r="P13" i="1" s="1"/>
  <c r="J63" i="1"/>
  <c r="V46" i="1" l="1"/>
  <c r="T13" i="1" s="1"/>
  <c r="W45" i="1"/>
  <c r="Y45" i="1"/>
  <c r="T44" i="1"/>
  <c r="S46" i="1"/>
  <c r="Q13" i="1" s="1"/>
  <c r="H64" i="1"/>
  <c r="J64" i="1" s="1"/>
  <c r="W46" i="1" l="1"/>
  <c r="U13" i="1" s="1"/>
  <c r="U44" i="1"/>
  <c r="T46" i="1"/>
  <c r="R13" i="1" s="1"/>
  <c r="Y44" i="1"/>
  <c r="H65" i="1"/>
  <c r="J65" i="1" s="1"/>
  <c r="U46" i="1" l="1"/>
  <c r="H66" i="1"/>
  <c r="J66" i="1" s="1"/>
  <c r="Y46" i="1" l="1"/>
  <c r="S13" i="1"/>
  <c r="L13" i="1" s="1"/>
  <c r="H67" i="1"/>
  <c r="J67" i="1" s="1"/>
  <c r="V92" i="1" l="1"/>
  <c r="V96" i="1" s="1"/>
  <c r="V97" i="1" s="1"/>
  <c r="Q81" i="1"/>
  <c r="Q82" i="1"/>
  <c r="Q83" i="1"/>
  <c r="Q84" i="1"/>
  <c r="Q85" i="1"/>
  <c r="X93" i="1"/>
  <c r="X94" i="1"/>
  <c r="X95" i="1"/>
  <c r="N59" i="1"/>
  <c r="R59" i="1" s="1"/>
  <c r="N60" i="1"/>
  <c r="R60" i="1" s="1"/>
  <c r="U72" i="1"/>
  <c r="S18" i="1" s="1"/>
  <c r="N63" i="1"/>
  <c r="R63" i="1" s="1"/>
  <c r="N64" i="1"/>
  <c r="R64" i="1" s="1"/>
  <c r="N65" i="1"/>
  <c r="R65" i="1" s="1"/>
  <c r="N66" i="1"/>
  <c r="R66" i="1" s="1"/>
  <c r="H68" i="1"/>
  <c r="N67" i="1"/>
  <c r="R67" i="1" s="1"/>
  <c r="H69" i="1" l="1"/>
  <c r="J69" i="1" s="1"/>
  <c r="J68" i="1"/>
  <c r="T72" i="1"/>
  <c r="R18" i="1" s="1"/>
  <c r="N69" i="1"/>
  <c r="R69" i="1" s="1"/>
  <c r="H70" i="1"/>
  <c r="J70" i="1" s="1"/>
  <c r="N42" i="1"/>
  <c r="T91" i="1"/>
  <c r="T96" i="1" s="1"/>
  <c r="T97" i="1" s="1"/>
  <c r="N96" i="1"/>
  <c r="N97" i="1" s="1"/>
  <c r="N86" i="1"/>
  <c r="N87" i="1" s="1"/>
  <c r="Q86" i="1"/>
  <c r="Q87" i="1" s="1"/>
  <c r="X96" i="1"/>
  <c r="X97" i="1" s="1"/>
  <c r="R48" i="1"/>
  <c r="C12" i="1"/>
  <c r="N68" i="1"/>
  <c r="R68" i="1" s="1"/>
  <c r="Y66" i="1"/>
  <c r="Y60" i="1"/>
  <c r="Y67" i="1"/>
  <c r="Y65" i="1"/>
  <c r="Y64" i="1"/>
  <c r="Y63" i="1"/>
  <c r="T31" i="1"/>
  <c r="Q30" i="1"/>
  <c r="Y30" i="1" s="1"/>
  <c r="S33" i="1"/>
  <c r="Y33" i="1" s="1"/>
  <c r="Q28" i="1"/>
  <c r="Q42" i="1" s="1"/>
  <c r="S32" i="1"/>
  <c r="Q29" i="1"/>
  <c r="Y29" i="1" s="1"/>
  <c r="U37" i="1"/>
  <c r="Y37" i="1" s="1"/>
  <c r="W41" i="1"/>
  <c r="V40" i="1"/>
  <c r="U39" i="1"/>
  <c r="Y39" i="1" s="1"/>
  <c r="T34" i="1"/>
  <c r="Y34" i="1" s="1"/>
  <c r="U38" i="1"/>
  <c r="Y38" i="1" s="1"/>
  <c r="T35" i="1"/>
  <c r="Y35" i="1" s="1"/>
  <c r="T42" i="1" l="1"/>
  <c r="S42" i="1"/>
  <c r="N70" i="1"/>
  <c r="R70" i="1" s="1"/>
  <c r="H71" i="1"/>
  <c r="Y69" i="1"/>
  <c r="F12" i="1"/>
  <c r="C20" i="1"/>
  <c r="C14" i="1"/>
  <c r="C17" i="1" s="1"/>
  <c r="R49" i="1"/>
  <c r="P14" i="1" s="1"/>
  <c r="P17" i="1" s="1"/>
  <c r="Y48" i="1"/>
  <c r="N49" i="1"/>
  <c r="Y68" i="1"/>
  <c r="Y40" i="1"/>
  <c r="V42" i="1"/>
  <c r="T12" i="1" s="1"/>
  <c r="T17" i="1" s="1"/>
  <c r="Y41" i="1"/>
  <c r="W42" i="1"/>
  <c r="U12" i="1" s="1"/>
  <c r="U17" i="1" s="1"/>
  <c r="Y31" i="1"/>
  <c r="R12" i="1"/>
  <c r="R17" i="1" s="1"/>
  <c r="Y36" i="1"/>
  <c r="U42" i="1"/>
  <c r="S12" i="1" s="1"/>
  <c r="S17" i="1" s="1"/>
  <c r="E12" i="1"/>
  <c r="Y32" i="1"/>
  <c r="Q12" i="1"/>
  <c r="Q17" i="1" s="1"/>
  <c r="Y28" i="1"/>
  <c r="O12" i="1"/>
  <c r="O17" i="1" s="1"/>
  <c r="Y59" i="1"/>
  <c r="J71" i="1" l="1"/>
  <c r="N71" i="1" s="1"/>
  <c r="O19" i="1"/>
  <c r="O20" i="1" s="1"/>
  <c r="L12" i="1"/>
  <c r="G12" i="1"/>
  <c r="L14" i="1"/>
  <c r="R19" i="1"/>
  <c r="R20" i="1" s="1"/>
  <c r="U19" i="1"/>
  <c r="U20" i="1" s="1"/>
  <c r="T19" i="1"/>
  <c r="T20" i="1" s="1"/>
  <c r="Q19" i="1"/>
  <c r="Q20" i="1" s="1"/>
  <c r="S19" i="1"/>
  <c r="S20" i="1" s="1"/>
  <c r="E17" i="1"/>
  <c r="Y49" i="1"/>
  <c r="F14" i="1"/>
  <c r="G14" i="1" s="1"/>
  <c r="E14" i="1"/>
  <c r="Y42" i="1"/>
  <c r="L17" i="1" l="1"/>
  <c r="F17" i="1"/>
  <c r="C18" i="1"/>
  <c r="F18" i="1" s="1"/>
  <c r="G18" i="1" s="1"/>
  <c r="R71" i="1"/>
  <c r="R72" i="1" s="1"/>
  <c r="P18" i="1" s="1"/>
  <c r="P19" i="1" s="1"/>
  <c r="P20" i="1" s="1"/>
  <c r="N72" i="1"/>
  <c r="X72" i="1"/>
  <c r="V18" i="1" s="1"/>
  <c r="V19" i="1" s="1"/>
  <c r="V20" i="1" s="1"/>
  <c r="G17" i="1"/>
  <c r="Y70" i="1"/>
  <c r="L18" i="1" l="1"/>
  <c r="C19" i="1"/>
  <c r="E19" i="1" s="1"/>
  <c r="E18" i="1"/>
  <c r="L19" i="1"/>
  <c r="L20" i="1" s="1"/>
  <c r="Y71" i="1"/>
  <c r="F19" i="1"/>
  <c r="G19" i="1" s="1"/>
  <c r="C21" i="1" l="1"/>
</calcChain>
</file>

<file path=xl/sharedStrings.xml><?xml version="1.0" encoding="utf-8"?>
<sst xmlns="http://schemas.openxmlformats.org/spreadsheetml/2006/main" count="291" uniqueCount="106">
  <si>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</si>
  <si>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</si>
  <si>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</si>
  <si>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</si>
  <si>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</si>
  <si>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</si>
  <si>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</si>
  <si>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</si>
  <si>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</si>
  <si>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</si>
  <si>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</si>
  <si>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</si>
  <si>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</si>
  <si>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</si>
  <si>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</si>
  <si>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</si>
  <si>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</si>
  <si>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</si>
  <si>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</si>
  <si>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</si>
  <si>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</si>
  <si>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</si>
  <si>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check</t>
  </si>
  <si>
    <t>Preço (cts/lb) *</t>
  </si>
  <si>
    <t>Xorxos</t>
  </si>
  <si>
    <t>Southland</t>
  </si>
  <si>
    <t>031/24</t>
  </si>
  <si>
    <t>032/24</t>
  </si>
  <si>
    <t>-</t>
  </si>
  <si>
    <t>4x</t>
  </si>
  <si>
    <t>021/24</t>
  </si>
  <si>
    <t>Estimativa</t>
  </si>
  <si>
    <t>em aberto</t>
  </si>
  <si>
    <t>Preços NY</t>
  </si>
  <si>
    <t>TOTAL</t>
  </si>
  <si>
    <t>Média (R$/sc)</t>
  </si>
  <si>
    <t>Resumo</t>
  </si>
  <si>
    <t>Sub-total Unroasted</t>
  </si>
  <si>
    <t>Sub-total Southland</t>
  </si>
  <si>
    <t>Sub-total Xorxos</t>
  </si>
  <si>
    <t>Sub-total Estimativa</t>
  </si>
  <si>
    <t>em R$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</si>
  <si>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</si>
  <si>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</si>
  <si>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</si>
  <si>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</si>
  <si>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</si>
  <si>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</si>
  <si>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</si>
  <si>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</si>
  <si>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</si>
  <si>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</si>
  <si>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</si>
  <si>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Result. (R$)</t>
  </si>
  <si>
    <t>Result. (U$)</t>
  </si>
  <si>
    <t>Média (U$/sc)</t>
  </si>
  <si>
    <t>(=) Resultado</t>
  </si>
  <si>
    <t>(+/-) Hedge</t>
  </si>
  <si>
    <t>Vendas contratadas</t>
  </si>
  <si>
    <t>Vendas estimadas</t>
  </si>
  <si>
    <t>Hedges liquidados</t>
  </si>
  <si>
    <t xml:space="preserve">Hedges em aberto </t>
  </si>
  <si>
    <t>Sub-total Hedge Liquidado</t>
  </si>
  <si>
    <t>Sub-total Hedge Ativos</t>
  </si>
  <si>
    <t>referência</t>
  </si>
  <si>
    <t>preço</t>
  </si>
  <si>
    <t>Vendas Contratadas</t>
  </si>
  <si>
    <t>Data da última atualização:</t>
  </si>
  <si>
    <t>Los Baristas</t>
  </si>
  <si>
    <t>033/24</t>
  </si>
  <si>
    <t>034/24</t>
  </si>
  <si>
    <t>1+3</t>
  </si>
  <si>
    <t>* em reais</t>
  </si>
  <si>
    <t>obs. (1) o preço refere-se ao preço em que o contrato foi liquidado ou contrato futuro mais próximo.</t>
  </si>
  <si>
    <t>Cash Flow - Fazenda São Pedro da Canastra - Safra 2024</t>
  </si>
  <si>
    <t>17/18</t>
  </si>
  <si>
    <t>16/18</t>
  </si>
  <si>
    <t>14/16</t>
  </si>
  <si>
    <t>14/15</t>
  </si>
  <si>
    <t>Bica</t>
  </si>
  <si>
    <t>FVR</t>
  </si>
  <si>
    <t>Grinders</t>
  </si>
  <si>
    <t>MOKA</t>
  </si>
  <si>
    <t>Fundo</t>
  </si>
  <si>
    <t>Escolha</t>
  </si>
  <si>
    <t>Resíduo</t>
  </si>
  <si>
    <t>obs. (1) o preço refere-se ao preço fixado pelo cliente ou contrato futuro mais próximo ou hedge; (2) última estimativa enviada em 20/11/24.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</si>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</sst>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/yy"/>
    <numFmt numFmtId="165" formatCode="0.0000"/>
    <numFmt numFmtId="166" formatCode="0.000"/>
    <numFmt numFmtId="167" formatCode="#,##0_ ;[Red]\-#,##0\ "/>
    <numFmt numFmtId="168" formatCode="0.0"/>
  </numFmts>
  <fonts count="7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7" borderId="0" xfId="0" applyFont="1" applyFill="1"/>
    <xf numFmtId="3" fontId="3" fillId="7" borderId="0" xfId="0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3" fontId="1" fillId="6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" fontId="1" fillId="6" borderId="0" xfId="0" applyNumberFormat="1" applyFont="1" applyFill="1" applyAlignment="1">
      <alignment horizontal="center"/>
    </xf>
    <xf numFmtId="0" fontId="3" fillId="6" borderId="0" xfId="0" applyFont="1" applyFill="1"/>
    <xf numFmtId="167" fontId="1" fillId="5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dimension ref="A1:Y34"/>
  <sheetViews>
    <sheetView tabSelected="1" zoomScale="80" zoomScaleNormal="80" workbookViewId="0">
      <selection activeCell="G16" sqref="G16"/>
    </sheetView>
  </sheetViews>
  <sheetFormatPr baseColWidth="10" defaultRowHeight="14" x14ac:dyDescent="0.2"/>
  <cols>
    <col min="1" max="16384" width="10.83203125" style="50"/>
  </cols>
  <sheetData>
    <row r="1" spans="1:25" x14ac:dyDescent="0.2">
      <c r="A1" s="14" t="s">
        <v>90</v>
      </c>
      <c r="B1" s="14" t="s">
        <v>103</v>
      </c>
      <c r="C1" s="14" t="s">
        <v>16</v>
      </c>
      <c r="D1" s="14" t="s">
        <v>15</v>
      </c>
      <c r="E1" s="8" t="s">
        <v>14</v>
      </c>
      <c r="F1" s="8" t="s">
        <v>91</v>
      </c>
      <c r="G1" s="8" t="s">
        <v>92</v>
      </c>
      <c r="H1" s="8" t="s">
        <v>13</v>
      </c>
      <c r="I1" s="8" t="s">
        <v>23</v>
      </c>
      <c r="J1" s="8" t="s">
        <v>17</v>
      </c>
      <c r="K1" s="8" t="s">
        <v>18</v>
      </c>
      <c r="L1" s="8" t="s">
        <v>64</v>
      </c>
      <c r="M1" s="31" t="s">
        <v>20</v>
      </c>
      <c r="N1" s="15" t="s">
        <v>21</v>
      </c>
      <c r="O1" s="15" t="s">
        <v>19</v>
      </c>
      <c r="P1" s="15">
        <v>45536</v>
      </c>
      <c r="Q1" s="15">
        <v>45566</v>
      </c>
      <c r="R1" s="15">
        <v>45597</v>
      </c>
      <c r="S1" s="15">
        <v>45627</v>
      </c>
      <c r="T1" s="15">
        <v>45658</v>
      </c>
      <c r="U1" s="15">
        <v>45689</v>
      </c>
      <c r="V1" s="15">
        <v>45717</v>
      </c>
      <c r="W1" s="15">
        <v>45748</v>
      </c>
      <c r="X1" s="15">
        <v>45778</v>
      </c>
      <c r="Y1" s="15" t="s">
        <v>32</v>
      </c>
    </row>
    <row r="2" spans="1:25" x14ac:dyDescent="0.2">
      <c r="A2" s="11">
        <v>2024</v>
      </c>
      <c r="B2" s="9" t="s">
        <v>104</v>
      </c>
      <c r="C2" s="9" t="str">
        <f>Sheet1!B28</f>
        <v>Unroasted</v>
      </c>
      <c r="D2" s="11" t="str">
        <f>Sheet1!C28</f>
        <v>018/24</v>
      </c>
      <c r="E2" s="11">
        <f>Sheet1!D28</f>
        <v>320</v>
      </c>
      <c r="F2" s="11" t="str">
        <f>Sheet1!E28</f>
        <v>16/18</v>
      </c>
      <c r="G2" s="11" t="str">
        <f>Sheet1!F28</f>
        <v>Fine Cup</v>
      </c>
      <c r="H2" s="11">
        <f>Sheet1!G28</f>
        <v>10</v>
      </c>
      <c r="I2" s="13">
        <f>Sheet1!H28</f>
        <v>251.05</v>
      </c>
      <c r="J2" s="13">
        <f>Sheet1!I28</f>
        <v>245</v>
      </c>
      <c r="K2" s="13">
        <f>Sheet1!J28</f>
        <v>345.31693999999999</v>
      </c>
      <c r="L2" s="11" t="str">
        <f>Sheet1!K28</f>
        <v>preço</v>
      </c>
      <c r="M2" s="20">
        <f>Sheet1!L28</f>
        <v>45564</v>
      </c>
      <c r="N2" s="11">
        <f>Sheet1!M28</f>
        <v>60</v>
      </c>
      <c r="O2" s="16">
        <f>Sheet1!N28</f>
        <v>110501.42079999999</v>
      </c>
      <c r="P2" s="16">
        <f>Sheet1!O28</f>
        <v>0</v>
      </c>
      <c r="Q2" s="16">
        <f>Sheet1!P28</f>
        <v>0</v>
      </c>
      <c r="R2" s="16">
        <f>Sheet1!Q28</f>
        <v>110501.42079999999</v>
      </c>
      <c r="S2" s="16">
        <f>Sheet1!R28</f>
        <v>0</v>
      </c>
      <c r="T2" s="16">
        <f>Sheet1!S28</f>
        <v>0</v>
      </c>
      <c r="U2" s="16">
        <f>Sheet1!T28</f>
        <v>0</v>
      </c>
      <c r="V2" s="16">
        <f>Sheet1!U28</f>
        <v>0</v>
      </c>
      <c r="W2" s="16">
        <f>Sheet1!V28</f>
        <v>0</v>
      </c>
      <c r="X2" s="16">
        <f>Sheet1!W28</f>
        <v>0</v>
      </c>
      <c r="Y2" s="16">
        <f>Sheet1!X28</f>
        <v>0</v>
      </c>
    </row>
    <row r="3" spans="1:25" x14ac:dyDescent="0.2">
      <c r="A3" s="22">
        <v>2024</v>
      </c>
      <c r="B3" s="17" t="s">
        <v>104</v>
      </c>
      <c r="C3" s="17" t="str">
        <f>Sheet1!B29</f>
        <v>Unroasted</v>
      </c>
      <c r="D3" s="22" t="str">
        <f>Sheet1!C29</f>
        <v>019/24</v>
      </c>
      <c r="E3" s="22">
        <f>Sheet1!D29</f>
        <v>320</v>
      </c>
      <c r="F3" s="22" t="str">
        <f>Sheet1!E29</f>
        <v>16/18</v>
      </c>
      <c r="G3" s="22" t="str">
        <f>Sheet1!F29</f>
        <v>Fine Cup</v>
      </c>
      <c r="H3" s="22">
        <f>Sheet1!G29</f>
        <v>10</v>
      </c>
      <c r="I3" s="23">
        <f>Sheet1!H29</f>
        <v>251.05</v>
      </c>
      <c r="J3" s="23">
        <f>Sheet1!I29</f>
        <v>245</v>
      </c>
      <c r="K3" s="23">
        <f>Sheet1!J29</f>
        <v>345.31693999999999</v>
      </c>
      <c r="L3" s="22" t="str">
        <f>Sheet1!K29</f>
        <v>preço</v>
      </c>
      <c r="M3" s="24">
        <f>Sheet1!L29</f>
        <v>45564</v>
      </c>
      <c r="N3" s="22">
        <f>Sheet1!M29</f>
        <v>60</v>
      </c>
      <c r="O3" s="18">
        <f>Sheet1!N29</f>
        <v>110501.42079999999</v>
      </c>
      <c r="P3" s="18">
        <f>Sheet1!O29</f>
        <v>0</v>
      </c>
      <c r="Q3" s="18">
        <f>Sheet1!P29</f>
        <v>0</v>
      </c>
      <c r="R3" s="18">
        <f>Sheet1!Q29</f>
        <v>110501.42079999999</v>
      </c>
      <c r="S3" s="18">
        <f>Sheet1!R29</f>
        <v>0</v>
      </c>
      <c r="T3" s="18">
        <f>Sheet1!S29</f>
        <v>0</v>
      </c>
      <c r="U3" s="18">
        <f>Sheet1!T29</f>
        <v>0</v>
      </c>
      <c r="V3" s="18">
        <f>Sheet1!U29</f>
        <v>0</v>
      </c>
      <c r="W3" s="18">
        <f>Sheet1!V29</f>
        <v>0</v>
      </c>
      <c r="X3" s="18">
        <f>Sheet1!W29</f>
        <v>0</v>
      </c>
      <c r="Y3" s="18">
        <f>Sheet1!X29</f>
        <v>0</v>
      </c>
    </row>
    <row r="4" spans="1:25" x14ac:dyDescent="0.2">
      <c r="A4" s="11">
        <v>2024</v>
      </c>
      <c r="B4" s="9" t="s">
        <v>104</v>
      </c>
      <c r="C4" s="9" t="str">
        <f>Sheet1!B30</f>
        <v>Unroasted</v>
      </c>
      <c r="D4" s="11" t="str">
        <f>Sheet1!C30</f>
        <v>022/24</v>
      </c>
      <c r="E4" s="11">
        <f>Sheet1!D30</f>
        <v>320</v>
      </c>
      <c r="F4" s="11" t="str">
        <f>Sheet1!E30</f>
        <v>16/18</v>
      </c>
      <c r="G4" s="11" t="str">
        <f>Sheet1!F30</f>
        <v>Benedictos</v>
      </c>
      <c r="H4" s="11">
        <f>Sheet1!G30</f>
        <v>10</v>
      </c>
      <c r="I4" s="13">
        <f>Sheet1!H30</f>
        <v>251.05</v>
      </c>
      <c r="J4" s="13">
        <f>Sheet1!I30</f>
        <v>231.1</v>
      </c>
      <c r="K4" s="13">
        <f>Sheet1!J30</f>
        <v>345.31693999999999</v>
      </c>
      <c r="L4" s="11" t="str">
        <f>Sheet1!K30</f>
        <v>preço</v>
      </c>
      <c r="M4" s="20">
        <f>Sheet1!L30</f>
        <v>45564</v>
      </c>
      <c r="N4" s="11">
        <f>Sheet1!M30</f>
        <v>60</v>
      </c>
      <c r="O4" s="16">
        <f>Sheet1!N30</f>
        <v>110501.42079999999</v>
      </c>
      <c r="P4" s="16">
        <f>Sheet1!O30</f>
        <v>0</v>
      </c>
      <c r="Q4" s="16">
        <f>Sheet1!P30</f>
        <v>0</v>
      </c>
      <c r="R4" s="16">
        <f>Sheet1!Q30</f>
        <v>110501.42079999999</v>
      </c>
      <c r="S4" s="16">
        <f>Sheet1!R30</f>
        <v>0</v>
      </c>
      <c r="T4" s="16">
        <f>Sheet1!S30</f>
        <v>0</v>
      </c>
      <c r="U4" s="16">
        <f>Sheet1!T30</f>
        <v>0</v>
      </c>
      <c r="V4" s="16">
        <f>Sheet1!U30</f>
        <v>0</v>
      </c>
      <c r="W4" s="16">
        <f>Sheet1!V30</f>
        <v>0</v>
      </c>
      <c r="X4" s="16">
        <f>Sheet1!W30</f>
        <v>0</v>
      </c>
      <c r="Y4" s="16">
        <f>Sheet1!X30</f>
        <v>0</v>
      </c>
    </row>
    <row r="5" spans="1:25" x14ac:dyDescent="0.2">
      <c r="A5" s="22">
        <v>2024</v>
      </c>
      <c r="B5" s="17" t="s">
        <v>104</v>
      </c>
      <c r="C5" s="17" t="str">
        <f>Sheet1!B31</f>
        <v>Unroasted</v>
      </c>
      <c r="D5" s="22" t="str">
        <f>Sheet1!C31</f>
        <v>027/24</v>
      </c>
      <c r="E5" s="22">
        <f>Sheet1!D31</f>
        <v>160</v>
      </c>
      <c r="F5" s="22" t="str">
        <f>Sheet1!E31</f>
        <v>16/18</v>
      </c>
      <c r="G5" s="22" t="str">
        <f>Sheet1!F31</f>
        <v>Ortu Sollis</v>
      </c>
      <c r="H5" s="22">
        <f>Sheet1!G31</f>
        <v>25</v>
      </c>
      <c r="I5" s="23">
        <f>Sheet1!H31</f>
        <v>328.8</v>
      </c>
      <c r="J5" s="23">
        <f>Sheet1!I31</f>
        <v>243.16</v>
      </c>
      <c r="K5" s="23">
        <f>Sheet1!J31</f>
        <v>468.00664</v>
      </c>
      <c r="L5" s="22" t="str">
        <f>Sheet1!K31</f>
        <v>preço</v>
      </c>
      <c r="M5" s="24">
        <f>Sheet1!L31</f>
        <v>45598</v>
      </c>
      <c r="N5" s="22">
        <f>Sheet1!M31</f>
        <v>90</v>
      </c>
      <c r="O5" s="18">
        <f>Sheet1!N31</f>
        <v>74881.062399999995</v>
      </c>
      <c r="P5" s="18">
        <f>Sheet1!O31</f>
        <v>0</v>
      </c>
      <c r="Q5" s="18">
        <f>Sheet1!P31</f>
        <v>0</v>
      </c>
      <c r="R5" s="18">
        <f>Sheet1!Q31</f>
        <v>0</v>
      </c>
      <c r="S5" s="18">
        <f>Sheet1!R31</f>
        <v>0</v>
      </c>
      <c r="T5" s="18">
        <f>Sheet1!S31</f>
        <v>0</v>
      </c>
      <c r="U5" s="18">
        <f>Sheet1!T31</f>
        <v>74881.062399999995</v>
      </c>
      <c r="V5" s="18">
        <f>Sheet1!U31</f>
        <v>0</v>
      </c>
      <c r="W5" s="18">
        <f>Sheet1!V31</f>
        <v>0</v>
      </c>
      <c r="X5" s="18">
        <f>Sheet1!W31</f>
        <v>0</v>
      </c>
      <c r="Y5" s="18">
        <f>Sheet1!X31</f>
        <v>0</v>
      </c>
    </row>
    <row r="6" spans="1:25" x14ac:dyDescent="0.2">
      <c r="A6" s="11">
        <v>2024</v>
      </c>
      <c r="B6" s="9" t="s">
        <v>104</v>
      </c>
      <c r="C6" s="9" t="str">
        <f>Sheet1!B32</f>
        <v>Unroasted</v>
      </c>
      <c r="D6" s="11" t="str">
        <f>Sheet1!C32</f>
        <v>028/24</v>
      </c>
      <c r="E6" s="11">
        <f>Sheet1!D32</f>
        <v>160</v>
      </c>
      <c r="F6" s="11" t="str">
        <f>Sheet1!E32</f>
        <v>14/16</v>
      </c>
      <c r="G6" s="11" t="str">
        <f>Sheet1!F32</f>
        <v>Petrus</v>
      </c>
      <c r="H6" s="11">
        <f>Sheet1!G32</f>
        <v>-8</v>
      </c>
      <c r="I6" s="13">
        <f>Sheet1!H32</f>
        <v>328.8</v>
      </c>
      <c r="J6" s="13">
        <f>Sheet1!I32</f>
        <v>243.16</v>
      </c>
      <c r="K6" s="13">
        <f>Sheet1!J32</f>
        <v>424.35424</v>
      </c>
      <c r="L6" s="11" t="str">
        <f>Sheet1!K32</f>
        <v>preço</v>
      </c>
      <c r="M6" s="20">
        <f>Sheet1!L32</f>
        <v>45598</v>
      </c>
      <c r="N6" s="11">
        <f>Sheet1!M32</f>
        <v>60</v>
      </c>
      <c r="O6" s="16">
        <f>Sheet1!N32</f>
        <v>67896.678400000004</v>
      </c>
      <c r="P6" s="16">
        <f>Sheet1!O32</f>
        <v>0</v>
      </c>
      <c r="Q6" s="16">
        <f>Sheet1!P32</f>
        <v>0</v>
      </c>
      <c r="R6" s="16">
        <f>Sheet1!Q32</f>
        <v>0</v>
      </c>
      <c r="S6" s="16">
        <f>Sheet1!R32</f>
        <v>0</v>
      </c>
      <c r="T6" s="16">
        <f>Sheet1!S32</f>
        <v>67896.678400000004</v>
      </c>
      <c r="U6" s="16">
        <f>Sheet1!T32</f>
        <v>0</v>
      </c>
      <c r="V6" s="16">
        <f>Sheet1!U32</f>
        <v>0</v>
      </c>
      <c r="W6" s="16">
        <f>Sheet1!V32</f>
        <v>0</v>
      </c>
      <c r="X6" s="16">
        <f>Sheet1!W32</f>
        <v>0</v>
      </c>
      <c r="Y6" s="16">
        <f>Sheet1!X32</f>
        <v>0</v>
      </c>
    </row>
    <row r="7" spans="1:25" x14ac:dyDescent="0.2">
      <c r="A7" s="22">
        <v>2024</v>
      </c>
      <c r="B7" s="17" t="s">
        <v>104</v>
      </c>
      <c r="C7" s="17" t="str">
        <f>Sheet1!B33</f>
        <v>Unroasted</v>
      </c>
      <c r="D7" s="22" t="str">
        <f>Sheet1!C33</f>
        <v>024/24</v>
      </c>
      <c r="E7" s="22">
        <f>Sheet1!D33</f>
        <v>320</v>
      </c>
      <c r="F7" s="22" t="str">
        <f>Sheet1!E33</f>
        <v>16/18</v>
      </c>
      <c r="G7" s="22" t="str">
        <f>Sheet1!F33</f>
        <v>Petrus</v>
      </c>
      <c r="H7" s="22">
        <f>Sheet1!G33</f>
        <v>10</v>
      </c>
      <c r="I7" s="23">
        <f>Sheet1!H33</f>
        <v>328.8</v>
      </c>
      <c r="J7" s="23">
        <f>Sheet1!I33</f>
        <v>240.91</v>
      </c>
      <c r="K7" s="23">
        <f>Sheet1!J33</f>
        <v>448.16464000000002</v>
      </c>
      <c r="L7" s="22" t="str">
        <f>Sheet1!K33</f>
        <v>preço</v>
      </c>
      <c r="M7" s="24">
        <f>Sheet1!L33</f>
        <v>45626</v>
      </c>
      <c r="N7" s="22">
        <f>Sheet1!M33</f>
        <v>60</v>
      </c>
      <c r="O7" s="18">
        <f>Sheet1!N33</f>
        <v>143412.68480000002</v>
      </c>
      <c r="P7" s="18">
        <f>Sheet1!O33</f>
        <v>0</v>
      </c>
      <c r="Q7" s="18">
        <f>Sheet1!P33</f>
        <v>0</v>
      </c>
      <c r="R7" s="18">
        <f>Sheet1!Q33</f>
        <v>0</v>
      </c>
      <c r="S7" s="18">
        <f>Sheet1!R33</f>
        <v>0</v>
      </c>
      <c r="T7" s="18">
        <f>Sheet1!S33</f>
        <v>143412.68480000002</v>
      </c>
      <c r="U7" s="18">
        <f>Sheet1!T33</f>
        <v>0</v>
      </c>
      <c r="V7" s="18">
        <f>Sheet1!U33</f>
        <v>0</v>
      </c>
      <c r="W7" s="18">
        <f>Sheet1!V33</f>
        <v>0</v>
      </c>
      <c r="X7" s="18">
        <f>Sheet1!W33</f>
        <v>0</v>
      </c>
      <c r="Y7" s="18">
        <f>Sheet1!X33</f>
        <v>0</v>
      </c>
    </row>
    <row r="8" spans="1:25" x14ac:dyDescent="0.2">
      <c r="A8" s="11">
        <v>2024</v>
      </c>
      <c r="B8" s="9" t="s">
        <v>104</v>
      </c>
      <c r="C8" s="9" t="str">
        <f>Sheet1!B34</f>
        <v>Unroasted</v>
      </c>
      <c r="D8" s="11" t="str">
        <f>Sheet1!C34</f>
        <v>030/24</v>
      </c>
      <c r="E8" s="11">
        <f>Sheet1!D34</f>
        <v>320</v>
      </c>
      <c r="F8" s="11" t="str">
        <f>Sheet1!E34</f>
        <v>16/18</v>
      </c>
      <c r="G8" s="11" t="str">
        <f>Sheet1!F34</f>
        <v>Brasilis</v>
      </c>
      <c r="H8" s="11">
        <f>Sheet1!G34</f>
        <v>50</v>
      </c>
      <c r="I8" s="13">
        <f>Sheet1!H34</f>
        <v>328.8</v>
      </c>
      <c r="J8" s="13">
        <f>Sheet1!I34</f>
        <v>240.91</v>
      </c>
      <c r="K8" s="13">
        <f>Sheet1!J34</f>
        <v>501.07664</v>
      </c>
      <c r="L8" s="11" t="str">
        <f>Sheet1!K34</f>
        <v>preço</v>
      </c>
      <c r="M8" s="20">
        <f>Sheet1!L34</f>
        <v>45626</v>
      </c>
      <c r="N8" s="11">
        <f>Sheet1!M34</f>
        <v>90</v>
      </c>
      <c r="O8" s="16">
        <f>Sheet1!N34</f>
        <v>160344.52480000001</v>
      </c>
      <c r="P8" s="16">
        <f>Sheet1!O34</f>
        <v>0</v>
      </c>
      <c r="Q8" s="16">
        <f>Sheet1!P34</f>
        <v>0</v>
      </c>
      <c r="R8" s="16">
        <f>Sheet1!Q34</f>
        <v>0</v>
      </c>
      <c r="S8" s="16">
        <f>Sheet1!R34</f>
        <v>0</v>
      </c>
      <c r="T8" s="16">
        <f>Sheet1!S34</f>
        <v>0</v>
      </c>
      <c r="U8" s="16">
        <f>Sheet1!T34</f>
        <v>160344.52480000001</v>
      </c>
      <c r="V8" s="16">
        <f>Sheet1!U34</f>
        <v>0</v>
      </c>
      <c r="W8" s="16">
        <f>Sheet1!V34</f>
        <v>0</v>
      </c>
      <c r="X8" s="16">
        <f>Sheet1!W34</f>
        <v>0</v>
      </c>
      <c r="Y8" s="16">
        <f>Sheet1!X34</f>
        <v>0</v>
      </c>
    </row>
    <row r="9" spans="1:25" x14ac:dyDescent="0.2">
      <c r="A9" s="22">
        <v>2024</v>
      </c>
      <c r="B9" s="17" t="s">
        <v>104</v>
      </c>
      <c r="C9" s="17" t="str">
        <f>Sheet1!B35</f>
        <v>Unroasted</v>
      </c>
      <c r="D9" s="22" t="str">
        <f>Sheet1!C35</f>
        <v>035/24</v>
      </c>
      <c r="E9" s="22">
        <f>Sheet1!D35</f>
        <v>320</v>
      </c>
      <c r="F9" s="22" t="str">
        <f>Sheet1!E35</f>
        <v>14/16</v>
      </c>
      <c r="G9" s="22" t="str">
        <f>Sheet1!F35</f>
        <v>Essentia</v>
      </c>
      <c r="H9" s="22">
        <f>Sheet1!G35</f>
        <v>-8</v>
      </c>
      <c r="I9" s="23">
        <f>Sheet1!H35</f>
        <v>328.8</v>
      </c>
      <c r="J9" s="23">
        <f>Sheet1!I35</f>
        <v>240.91</v>
      </c>
      <c r="K9" s="23">
        <f>Sheet1!J35</f>
        <v>424.35424</v>
      </c>
      <c r="L9" s="22" t="str">
        <f>Sheet1!K35</f>
        <v>preço</v>
      </c>
      <c r="M9" s="24">
        <f>Sheet1!L35</f>
        <v>45626</v>
      </c>
      <c r="N9" s="22">
        <f>Sheet1!M35</f>
        <v>90</v>
      </c>
      <c r="O9" s="18">
        <f>Sheet1!N35</f>
        <v>135793.35680000001</v>
      </c>
      <c r="P9" s="18">
        <f>Sheet1!O35</f>
        <v>0</v>
      </c>
      <c r="Q9" s="18">
        <f>Sheet1!P35</f>
        <v>0</v>
      </c>
      <c r="R9" s="18">
        <f>Sheet1!Q35</f>
        <v>0</v>
      </c>
      <c r="S9" s="18">
        <f>Sheet1!R35</f>
        <v>0</v>
      </c>
      <c r="T9" s="18">
        <f>Sheet1!S35</f>
        <v>0</v>
      </c>
      <c r="U9" s="18">
        <f>Sheet1!T35</f>
        <v>135793.35680000001</v>
      </c>
      <c r="V9" s="18">
        <f>Sheet1!U35</f>
        <v>0</v>
      </c>
      <c r="W9" s="18">
        <f>Sheet1!V35</f>
        <v>0</v>
      </c>
      <c r="X9" s="18">
        <f>Sheet1!W35</f>
        <v>0</v>
      </c>
      <c r="Y9" s="18">
        <f>Sheet1!X35</f>
        <v>0</v>
      </c>
    </row>
    <row r="10" spans="1:25" x14ac:dyDescent="0.2">
      <c r="A10" s="11">
        <v>2024</v>
      </c>
      <c r="B10" s="9" t="s">
        <v>104</v>
      </c>
      <c r="C10" s="9" t="str">
        <f>Sheet1!B36</f>
        <v>Unroasted</v>
      </c>
      <c r="D10" s="11" t="str">
        <f>Sheet1!C36</f>
        <v>027/24</v>
      </c>
      <c r="E10" s="11">
        <f>Sheet1!D36</f>
        <v>160</v>
      </c>
      <c r="F10" s="11" t="str">
        <f>Sheet1!E36</f>
        <v>16/18</v>
      </c>
      <c r="G10" s="11" t="str">
        <f>Sheet1!F36</f>
        <v>Ortu Sollis</v>
      </c>
      <c r="H10" s="11">
        <f>Sheet1!G36</f>
        <v>25</v>
      </c>
      <c r="I10" s="13">
        <f>Sheet1!H36</f>
        <v>326</v>
      </c>
      <c r="J10" s="13">
        <f>Sheet1!I36</f>
        <v>0</v>
      </c>
      <c r="K10" s="13">
        <f>Sheet1!J36</f>
        <v>464.30279999999999</v>
      </c>
      <c r="L10" s="11" t="str">
        <f>Sheet1!K36</f>
        <v>preço</v>
      </c>
      <c r="M10" s="20">
        <f>Sheet1!L36</f>
        <v>45687</v>
      </c>
      <c r="N10" s="11">
        <f>Sheet1!M36</f>
        <v>90</v>
      </c>
      <c r="O10" s="16">
        <f>Sheet1!N36</f>
        <v>74288.448000000004</v>
      </c>
      <c r="P10" s="16">
        <f>Sheet1!O36</f>
        <v>0</v>
      </c>
      <c r="Q10" s="16">
        <f>Sheet1!P36</f>
        <v>0</v>
      </c>
      <c r="R10" s="16">
        <f>Sheet1!Q36</f>
        <v>0</v>
      </c>
      <c r="S10" s="16">
        <f>Sheet1!R36</f>
        <v>0</v>
      </c>
      <c r="T10" s="16">
        <f>Sheet1!S36</f>
        <v>0</v>
      </c>
      <c r="U10" s="16">
        <f>Sheet1!T36</f>
        <v>0</v>
      </c>
      <c r="V10" s="16">
        <f>Sheet1!U36</f>
        <v>0</v>
      </c>
      <c r="W10" s="16">
        <f>Sheet1!V36</f>
        <v>74288.448000000004</v>
      </c>
      <c r="X10" s="16">
        <f>Sheet1!W36</f>
        <v>0</v>
      </c>
      <c r="Y10" s="16">
        <f>Sheet1!X36</f>
        <v>0</v>
      </c>
    </row>
    <row r="11" spans="1:25" x14ac:dyDescent="0.2">
      <c r="A11" s="22">
        <v>2024</v>
      </c>
      <c r="B11" s="17" t="s">
        <v>104</v>
      </c>
      <c r="C11" s="17" t="str">
        <f>Sheet1!B37</f>
        <v>Unroasted</v>
      </c>
      <c r="D11" s="22" t="str">
        <f>Sheet1!C37</f>
        <v>028/24</v>
      </c>
      <c r="E11" s="22">
        <f>Sheet1!D37</f>
        <v>160</v>
      </c>
      <c r="F11" s="22" t="str">
        <f>Sheet1!E37</f>
        <v>16/18</v>
      </c>
      <c r="G11" s="22" t="str">
        <f>Sheet1!F37</f>
        <v>Petrus</v>
      </c>
      <c r="H11" s="22">
        <f>Sheet1!G37</f>
        <v>-8</v>
      </c>
      <c r="I11" s="23">
        <f>Sheet1!H37</f>
        <v>326</v>
      </c>
      <c r="J11" s="23">
        <f>Sheet1!I37</f>
        <v>0</v>
      </c>
      <c r="K11" s="23">
        <f>Sheet1!J37</f>
        <v>420.65039999999999</v>
      </c>
      <c r="L11" s="22" t="str">
        <f>Sheet1!K37</f>
        <v>preço</v>
      </c>
      <c r="M11" s="24">
        <f>Sheet1!L37</f>
        <v>45687</v>
      </c>
      <c r="N11" s="22">
        <f>Sheet1!M37</f>
        <v>60</v>
      </c>
      <c r="O11" s="18">
        <f>Sheet1!N37</f>
        <v>67304.063999999998</v>
      </c>
      <c r="P11" s="18">
        <f>Sheet1!O37</f>
        <v>0</v>
      </c>
      <c r="Q11" s="18">
        <f>Sheet1!P37</f>
        <v>0</v>
      </c>
      <c r="R11" s="18">
        <f>Sheet1!Q37</f>
        <v>0</v>
      </c>
      <c r="S11" s="18">
        <f>Sheet1!R37</f>
        <v>0</v>
      </c>
      <c r="T11" s="18">
        <f>Sheet1!S37</f>
        <v>0</v>
      </c>
      <c r="U11" s="18">
        <f>Sheet1!T37</f>
        <v>0</v>
      </c>
      <c r="V11" s="18">
        <f>Sheet1!U37</f>
        <v>67304.063999999998</v>
      </c>
      <c r="W11" s="18">
        <f>Sheet1!V37</f>
        <v>0</v>
      </c>
      <c r="X11" s="18">
        <f>Sheet1!W37</f>
        <v>0</v>
      </c>
      <c r="Y11" s="18">
        <f>Sheet1!X37</f>
        <v>0</v>
      </c>
    </row>
    <row r="12" spans="1:25" x14ac:dyDescent="0.2">
      <c r="A12" s="11">
        <v>2024</v>
      </c>
      <c r="B12" s="9" t="s">
        <v>104</v>
      </c>
      <c r="C12" s="9" t="str">
        <f>Sheet1!B38</f>
        <v>Unroasted</v>
      </c>
      <c r="D12" s="11" t="str">
        <f>Sheet1!C38</f>
        <v>025/24</v>
      </c>
      <c r="E12" s="11">
        <f>Sheet1!D38</f>
        <v>320</v>
      </c>
      <c r="F12" s="11" t="str">
        <f>Sheet1!E38</f>
        <v>16/18</v>
      </c>
      <c r="G12" s="11" t="str">
        <f>Sheet1!F38</f>
        <v>Petrus</v>
      </c>
      <c r="H12" s="11">
        <f>Sheet1!G38</f>
        <v>10</v>
      </c>
      <c r="I12" s="13">
        <f>Sheet1!H38</f>
        <v>326</v>
      </c>
      <c r="J12" s="13">
        <f>Sheet1!I38</f>
        <v>240.91</v>
      </c>
      <c r="K12" s="13">
        <f>Sheet1!J38</f>
        <v>444.46080000000001</v>
      </c>
      <c r="L12" s="11" t="str">
        <f>Sheet1!K38</f>
        <v>preço</v>
      </c>
      <c r="M12" s="20">
        <f>Sheet1!L38</f>
        <v>45687</v>
      </c>
      <c r="N12" s="11">
        <f>Sheet1!M38</f>
        <v>60</v>
      </c>
      <c r="O12" s="16">
        <f>Sheet1!N38</f>
        <v>142227.45600000001</v>
      </c>
      <c r="P12" s="16">
        <f>Sheet1!O38</f>
        <v>0</v>
      </c>
      <c r="Q12" s="16">
        <f>Sheet1!P38</f>
        <v>0</v>
      </c>
      <c r="R12" s="16">
        <f>Sheet1!Q38</f>
        <v>0</v>
      </c>
      <c r="S12" s="16">
        <f>Sheet1!R38</f>
        <v>0</v>
      </c>
      <c r="T12" s="16">
        <f>Sheet1!S38</f>
        <v>0</v>
      </c>
      <c r="U12" s="16">
        <f>Sheet1!T38</f>
        <v>0</v>
      </c>
      <c r="V12" s="16">
        <f>Sheet1!U38</f>
        <v>142227.45600000001</v>
      </c>
      <c r="W12" s="16">
        <f>Sheet1!V38</f>
        <v>0</v>
      </c>
      <c r="X12" s="16">
        <f>Sheet1!W38</f>
        <v>0</v>
      </c>
      <c r="Y12" s="16">
        <f>Sheet1!X38</f>
        <v>0</v>
      </c>
    </row>
    <row r="13" spans="1:25" x14ac:dyDescent="0.2">
      <c r="A13" s="22">
        <v>2024</v>
      </c>
      <c r="B13" s="17" t="s">
        <v>104</v>
      </c>
      <c r="C13" s="17" t="str">
        <f>Sheet1!B39</f>
        <v>Unroasted</v>
      </c>
      <c r="D13" s="22" t="str">
        <f>Sheet1!C39</f>
        <v>023/24</v>
      </c>
      <c r="E13" s="22">
        <f>Sheet1!D39</f>
        <v>320</v>
      </c>
      <c r="F13" s="22" t="str">
        <f>Sheet1!E39</f>
        <v>16/18</v>
      </c>
      <c r="G13" s="22" t="str">
        <f>Sheet1!F39</f>
        <v>Benedictos</v>
      </c>
      <c r="H13" s="22">
        <f>Sheet1!G39</f>
        <v>10</v>
      </c>
      <c r="I13" s="23">
        <f>Sheet1!H39</f>
        <v>326</v>
      </c>
      <c r="J13" s="23">
        <f>Sheet1!I39</f>
        <v>240.91</v>
      </c>
      <c r="K13" s="23">
        <f>Sheet1!J39</f>
        <v>444.46080000000001</v>
      </c>
      <c r="L13" s="22" t="str">
        <f>Sheet1!K39</f>
        <v>preço</v>
      </c>
      <c r="M13" s="24">
        <f>Sheet1!L39</f>
        <v>45687</v>
      </c>
      <c r="N13" s="22">
        <f>Sheet1!M39</f>
        <v>60</v>
      </c>
      <c r="O13" s="18">
        <f>Sheet1!N39</f>
        <v>142227.45600000001</v>
      </c>
      <c r="P13" s="18">
        <f>Sheet1!O39</f>
        <v>0</v>
      </c>
      <c r="Q13" s="18">
        <f>Sheet1!P39</f>
        <v>0</v>
      </c>
      <c r="R13" s="18">
        <f>Sheet1!Q39</f>
        <v>0</v>
      </c>
      <c r="S13" s="18">
        <f>Sheet1!R39</f>
        <v>0</v>
      </c>
      <c r="T13" s="18">
        <f>Sheet1!S39</f>
        <v>0</v>
      </c>
      <c r="U13" s="18">
        <f>Sheet1!T39</f>
        <v>0</v>
      </c>
      <c r="V13" s="18">
        <f>Sheet1!U39</f>
        <v>142227.45600000001</v>
      </c>
      <c r="W13" s="18">
        <f>Sheet1!V39</f>
        <v>0</v>
      </c>
      <c r="X13" s="18">
        <f>Sheet1!W39</f>
        <v>0</v>
      </c>
      <c r="Y13" s="18">
        <f>Sheet1!X39</f>
        <v>0</v>
      </c>
    </row>
    <row r="14" spans="1:25" x14ac:dyDescent="0.2">
      <c r="A14" s="11">
        <v>2024</v>
      </c>
      <c r="B14" s="9" t="s">
        <v>104</v>
      </c>
      <c r="C14" s="9" t="str">
        <f>Sheet1!B40</f>
        <v>Unroasted</v>
      </c>
      <c r="D14" s="11" t="str">
        <f>Sheet1!C40</f>
        <v>029/24</v>
      </c>
      <c r="E14" s="11">
        <f>Sheet1!D40</f>
        <v>320</v>
      </c>
      <c r="F14" s="11" t="str">
        <f>Sheet1!E40</f>
        <v>Grinders</v>
      </c>
      <c r="G14" s="11" t="str">
        <f>Sheet1!F40</f>
        <v>Essentia</v>
      </c>
      <c r="H14" s="11">
        <f>Sheet1!G40</f>
        <v>-28</v>
      </c>
      <c r="I14" s="13">
        <f>Sheet1!H40</f>
        <v>326</v>
      </c>
      <c r="J14" s="13">
        <f>Sheet1!I40</f>
        <v>238.17</v>
      </c>
      <c r="K14" s="13">
        <f>Sheet1!J40</f>
        <v>394.19439999999997</v>
      </c>
      <c r="L14" s="11" t="str">
        <f>Sheet1!K40</f>
        <v>preço</v>
      </c>
      <c r="M14" s="20">
        <f>Sheet1!L40</f>
        <v>45716</v>
      </c>
      <c r="N14" s="11">
        <f>Sheet1!M40</f>
        <v>60</v>
      </c>
      <c r="O14" s="16">
        <f>Sheet1!N40</f>
        <v>126142.20799999998</v>
      </c>
      <c r="P14" s="16">
        <f>Sheet1!O40</f>
        <v>0</v>
      </c>
      <c r="Q14" s="16">
        <f>Sheet1!P40</f>
        <v>0</v>
      </c>
      <c r="R14" s="16">
        <f>Sheet1!Q40</f>
        <v>0</v>
      </c>
      <c r="S14" s="16">
        <f>Sheet1!R40</f>
        <v>0</v>
      </c>
      <c r="T14" s="16">
        <f>Sheet1!S40</f>
        <v>0</v>
      </c>
      <c r="U14" s="16">
        <f>Sheet1!T40</f>
        <v>0</v>
      </c>
      <c r="V14" s="16">
        <f>Sheet1!U40</f>
        <v>0</v>
      </c>
      <c r="W14" s="16">
        <f>Sheet1!V40</f>
        <v>126142.20799999998</v>
      </c>
      <c r="X14" s="16">
        <f>Sheet1!W40</f>
        <v>0</v>
      </c>
      <c r="Y14" s="16">
        <f>Sheet1!X40</f>
        <v>0</v>
      </c>
    </row>
    <row r="15" spans="1:25" x14ac:dyDescent="0.2">
      <c r="A15" s="22">
        <v>2024</v>
      </c>
      <c r="B15" s="17" t="s">
        <v>104</v>
      </c>
      <c r="C15" s="17" t="str">
        <f>Sheet1!B41</f>
        <v>Unroasted</v>
      </c>
      <c r="D15" s="22" t="str">
        <f>Sheet1!C41</f>
        <v>026/24</v>
      </c>
      <c r="E15" s="22">
        <f>Sheet1!D41</f>
        <v>320</v>
      </c>
      <c r="F15" s="22" t="str">
        <f>Sheet1!E41</f>
        <v>16/18</v>
      </c>
      <c r="G15" s="22" t="str">
        <f>Sheet1!F41</f>
        <v>Petrus</v>
      </c>
      <c r="H15" s="22">
        <f>Sheet1!G41</f>
        <v>10</v>
      </c>
      <c r="I15" s="23">
        <f>Sheet1!H41</f>
        <v>326</v>
      </c>
      <c r="J15" s="23">
        <f>Sheet1!I41</f>
        <v>238.17</v>
      </c>
      <c r="K15" s="23">
        <f>Sheet1!J41</f>
        <v>444.46080000000001</v>
      </c>
      <c r="L15" s="22" t="str">
        <f>Sheet1!K41</f>
        <v>preço</v>
      </c>
      <c r="M15" s="24">
        <f>Sheet1!L41</f>
        <v>45746</v>
      </c>
      <c r="N15" s="22">
        <f>Sheet1!M41</f>
        <v>60</v>
      </c>
      <c r="O15" s="18">
        <f>Sheet1!N41</f>
        <v>142227.45600000001</v>
      </c>
      <c r="P15" s="18">
        <f>Sheet1!O41</f>
        <v>0</v>
      </c>
      <c r="Q15" s="18">
        <f>Sheet1!P41</f>
        <v>0</v>
      </c>
      <c r="R15" s="18">
        <f>Sheet1!Q41</f>
        <v>0</v>
      </c>
      <c r="S15" s="18">
        <f>Sheet1!R41</f>
        <v>0</v>
      </c>
      <c r="T15" s="18">
        <f>Sheet1!S41</f>
        <v>0</v>
      </c>
      <c r="U15" s="18">
        <f>Sheet1!T41</f>
        <v>0</v>
      </c>
      <c r="V15" s="18">
        <f>Sheet1!U41</f>
        <v>0</v>
      </c>
      <c r="W15" s="18">
        <f>Sheet1!V41</f>
        <v>0</v>
      </c>
      <c r="X15" s="18">
        <f>Sheet1!W41</f>
        <v>142227.45600000001</v>
      </c>
      <c r="Y15" s="18">
        <f>Sheet1!X41</f>
        <v>0</v>
      </c>
    </row>
    <row r="16" spans="1:25" x14ac:dyDescent="0.2">
      <c r="A16" s="11">
        <v>2024</v>
      </c>
      <c r="B16" s="9" t="s">
        <v>104</v>
      </c>
      <c r="C16" s="9" t="str">
        <f>Sheet1!B44</f>
        <v>Southland</v>
      </c>
      <c r="D16" s="11" t="str">
        <f>Sheet1!C44</f>
        <v>031/24</v>
      </c>
      <c r="E16" s="11">
        <f>Sheet1!D44</f>
        <v>320</v>
      </c>
      <c r="F16" s="11" t="str">
        <f>Sheet1!E44</f>
        <v>16/18</v>
      </c>
      <c r="G16" s="11" t="str">
        <f>Sheet1!F44</f>
        <v>Petrus</v>
      </c>
      <c r="H16" s="11" t="str">
        <f>Sheet1!G44</f>
        <v>-</v>
      </c>
      <c r="I16" s="13" t="str">
        <f>Sheet1!H44</f>
        <v>-</v>
      </c>
      <c r="J16" s="13">
        <f>Sheet1!I44</f>
        <v>243.16</v>
      </c>
      <c r="K16" s="13">
        <f>Sheet1!J44</f>
        <v>325</v>
      </c>
      <c r="L16" s="11" t="str">
        <f>Sheet1!K44</f>
        <v>preço</v>
      </c>
      <c r="M16" s="20">
        <f>Sheet1!L44</f>
        <v>45626</v>
      </c>
      <c r="N16" s="11" t="str">
        <f>Sheet1!M44</f>
        <v>4x</v>
      </c>
      <c r="O16" s="16">
        <f>Sheet1!N44</f>
        <v>104000</v>
      </c>
      <c r="P16" s="16">
        <f>Sheet1!O44</f>
        <v>0</v>
      </c>
      <c r="Q16" s="16">
        <f>Sheet1!P44</f>
        <v>0</v>
      </c>
      <c r="R16" s="16">
        <f>Sheet1!Q44</f>
        <v>0</v>
      </c>
      <c r="S16" s="16">
        <f>Sheet1!R44</f>
        <v>26000</v>
      </c>
      <c r="T16" s="16">
        <f>Sheet1!S44</f>
        <v>26000</v>
      </c>
      <c r="U16" s="16">
        <f>Sheet1!T44</f>
        <v>26000</v>
      </c>
      <c r="V16" s="16">
        <f>Sheet1!U44</f>
        <v>26000</v>
      </c>
      <c r="W16" s="16">
        <f>Sheet1!V44</f>
        <v>0</v>
      </c>
      <c r="X16" s="16">
        <f>Sheet1!W44</f>
        <v>0</v>
      </c>
      <c r="Y16" s="16">
        <f>Sheet1!X44</f>
        <v>0</v>
      </c>
    </row>
    <row r="17" spans="1:25" x14ac:dyDescent="0.2">
      <c r="A17" s="22">
        <v>2024</v>
      </c>
      <c r="B17" s="17" t="s">
        <v>104</v>
      </c>
      <c r="C17" s="17" t="str">
        <f>Sheet1!B45</f>
        <v>Southland</v>
      </c>
      <c r="D17" s="22" t="str">
        <f>Sheet1!C45</f>
        <v>032/24</v>
      </c>
      <c r="E17" s="22">
        <f>Sheet1!D45</f>
        <v>320</v>
      </c>
      <c r="F17" s="22" t="str">
        <f>Sheet1!E45</f>
        <v>Vários</v>
      </c>
      <c r="G17" s="22" t="str">
        <f>Sheet1!F45</f>
        <v>Vários</v>
      </c>
      <c r="H17" s="22" t="str">
        <f>Sheet1!G45</f>
        <v>-</v>
      </c>
      <c r="I17" s="23" t="str">
        <f>Sheet1!H45</f>
        <v>-</v>
      </c>
      <c r="J17" s="23">
        <f>Sheet1!I45</f>
        <v>243.16</v>
      </c>
      <c r="K17" s="23">
        <f>Sheet1!J45</f>
        <v>325</v>
      </c>
      <c r="L17" s="22" t="str">
        <f>Sheet1!K45</f>
        <v>preço</v>
      </c>
      <c r="M17" s="24">
        <f>Sheet1!L45</f>
        <v>45687</v>
      </c>
      <c r="N17" s="22" t="str">
        <f>Sheet1!M45</f>
        <v>4x</v>
      </c>
      <c r="O17" s="18">
        <f>Sheet1!N45</f>
        <v>104000</v>
      </c>
      <c r="P17" s="18">
        <f>Sheet1!O45</f>
        <v>0</v>
      </c>
      <c r="Q17" s="18">
        <f>Sheet1!P45</f>
        <v>0</v>
      </c>
      <c r="R17" s="18">
        <f>Sheet1!Q45</f>
        <v>0</v>
      </c>
      <c r="S17" s="18">
        <f>Sheet1!R45</f>
        <v>0</v>
      </c>
      <c r="T17" s="18">
        <f>Sheet1!S45</f>
        <v>0</v>
      </c>
      <c r="U17" s="18">
        <f>Sheet1!T45</f>
        <v>26000</v>
      </c>
      <c r="V17" s="18">
        <f>Sheet1!U45</f>
        <v>26000</v>
      </c>
      <c r="W17" s="18">
        <f>Sheet1!V45</f>
        <v>26000</v>
      </c>
      <c r="X17" s="18">
        <f>Sheet1!W45</f>
        <v>26000</v>
      </c>
      <c r="Y17" s="18">
        <f>Sheet1!X45</f>
        <v>0</v>
      </c>
    </row>
    <row r="18" spans="1:25" x14ac:dyDescent="0.2">
      <c r="A18" s="11">
        <v>2024</v>
      </c>
      <c r="B18" s="9" t="s">
        <v>104</v>
      </c>
      <c r="C18" s="9" t="str">
        <f>Sheet1!B48</f>
        <v>Xorxos</v>
      </c>
      <c r="D18" s="11" t="str">
        <f>Sheet1!C48</f>
        <v>021/24</v>
      </c>
      <c r="E18" s="11">
        <f>Sheet1!D48</f>
        <v>320</v>
      </c>
      <c r="F18" s="11" t="str">
        <f>Sheet1!E48</f>
        <v>16/18</v>
      </c>
      <c r="G18" s="11" t="str">
        <f>Sheet1!F48</f>
        <v>Natural</v>
      </c>
      <c r="H18" s="11">
        <f>Sheet1!G48</f>
        <v>25</v>
      </c>
      <c r="I18" s="13">
        <f>Sheet1!H48</f>
        <v>292.5</v>
      </c>
      <c r="J18" s="13">
        <f>Sheet1!I48</f>
        <v>243.16</v>
      </c>
      <c r="K18" s="13">
        <f>Sheet1!J48</f>
        <v>419.98899999999998</v>
      </c>
      <c r="L18" s="11" t="str">
        <f>Sheet1!K48</f>
        <v>preço</v>
      </c>
      <c r="M18" s="20">
        <f>Sheet1!L48</f>
        <v>45656</v>
      </c>
      <c r="N18" s="11">
        <f>Sheet1!M48</f>
        <v>0</v>
      </c>
      <c r="O18" s="16">
        <f>Sheet1!N48</f>
        <v>134396.47999999998</v>
      </c>
      <c r="P18" s="16">
        <f>Sheet1!O48</f>
        <v>0</v>
      </c>
      <c r="Q18" s="16">
        <f>Sheet1!P48</f>
        <v>0</v>
      </c>
      <c r="R18" s="16">
        <f>Sheet1!Q48</f>
        <v>0</v>
      </c>
      <c r="S18" s="16">
        <f>Sheet1!R48</f>
        <v>134396.47999999998</v>
      </c>
      <c r="T18" s="16">
        <f>Sheet1!S48</f>
        <v>0</v>
      </c>
      <c r="U18" s="16">
        <f>Sheet1!T48</f>
        <v>0</v>
      </c>
      <c r="V18" s="16">
        <f>Sheet1!U48</f>
        <v>0</v>
      </c>
      <c r="W18" s="16">
        <f>Sheet1!V48</f>
        <v>0</v>
      </c>
      <c r="X18" s="16">
        <f>Sheet1!W48</f>
        <v>0</v>
      </c>
      <c r="Y18" s="16">
        <f>Sheet1!X48</f>
        <v>0</v>
      </c>
    </row>
    <row r="19" spans="1:25" x14ac:dyDescent="0.2">
      <c r="A19" s="22">
        <v>2024</v>
      </c>
      <c r="B19" s="17" t="s">
        <v>105</v>
      </c>
      <c r="C19" s="17" t="str">
        <f>Sheet1!B51</f>
        <v>Los Baristas</v>
      </c>
      <c r="D19" s="22" t="str">
        <f>Sheet1!C51</f>
        <v>033/24</v>
      </c>
      <c r="E19" s="22">
        <f>Sheet1!D51</f>
        <v>4</v>
      </c>
      <c r="F19" s="22" t="str">
        <f>Sheet1!E51</f>
        <v>Vários</v>
      </c>
      <c r="G19" s="22" t="str">
        <f>Sheet1!F51</f>
        <v>Vários</v>
      </c>
      <c r="H19" s="22" t="str">
        <f>Sheet1!G51</f>
        <v>-</v>
      </c>
      <c r="I19" s="23" t="str">
        <f>Sheet1!H51</f>
        <v>-</v>
      </c>
      <c r="J19" s="23">
        <f>Sheet1!I51</f>
        <v>2500</v>
      </c>
      <c r="K19" s="23">
        <f>Sheet1!J51</f>
        <v>430.3228000742069</v>
      </c>
      <c r="L19" s="22" t="str">
        <f>Sheet1!K51</f>
        <v>preço</v>
      </c>
      <c r="M19" s="24">
        <f>Sheet1!L51</f>
        <v>45656</v>
      </c>
      <c r="N19" s="22" t="str">
        <f>Sheet1!M51</f>
        <v>1+3</v>
      </c>
      <c r="O19" s="18">
        <f>Sheet1!N51</f>
        <v>1721.2912002968276</v>
      </c>
      <c r="P19" s="18">
        <f>Sheet1!O51</f>
        <v>0</v>
      </c>
      <c r="Q19" s="18">
        <f>Sheet1!P51</f>
        <v>0</v>
      </c>
      <c r="R19" s="18">
        <f>Sheet1!Q51</f>
        <v>0</v>
      </c>
      <c r="S19" s="18">
        <f>Sheet1!R51</f>
        <v>430.3228000742069</v>
      </c>
      <c r="T19" s="18">
        <f>Sheet1!S51</f>
        <v>430.3228000742069</v>
      </c>
      <c r="U19" s="18">
        <f>Sheet1!T51</f>
        <v>430.3228000742069</v>
      </c>
      <c r="V19" s="18">
        <f>Sheet1!U51</f>
        <v>430.3228000742069</v>
      </c>
      <c r="W19" s="18">
        <f>Sheet1!V51</f>
        <v>0</v>
      </c>
      <c r="X19" s="18">
        <f>Sheet1!W51</f>
        <v>0</v>
      </c>
      <c r="Y19" s="18">
        <f>Sheet1!X51</f>
        <v>0</v>
      </c>
    </row>
    <row r="20" spans="1:25" x14ac:dyDescent="0.2">
      <c r="A20" s="11">
        <v>2024</v>
      </c>
      <c r="B20" s="9" t="s">
        <v>105</v>
      </c>
      <c r="C20" s="9" t="str">
        <f>Sheet1!B52</f>
        <v>Los Baristas</v>
      </c>
      <c r="D20" s="11" t="str">
        <f>Sheet1!C52</f>
        <v>034/24</v>
      </c>
      <c r="E20" s="11">
        <f>Sheet1!D52</f>
        <v>4</v>
      </c>
      <c r="F20" s="11" t="str">
        <f>Sheet1!E52</f>
        <v>Vários</v>
      </c>
      <c r="G20" s="11" t="str">
        <f>Sheet1!F52</f>
        <v>Vários</v>
      </c>
      <c r="H20" s="11" t="str">
        <f>Sheet1!G52</f>
        <v>-</v>
      </c>
      <c r="I20" s="13" t="str">
        <f>Sheet1!H52</f>
        <v>-</v>
      </c>
      <c r="J20" s="13">
        <f>Sheet1!I52</f>
        <v>2137</v>
      </c>
      <c r="K20" s="13">
        <f>Sheet1!J52</f>
        <v>367.83992950343207</v>
      </c>
      <c r="L20" s="11" t="str">
        <f>Sheet1!K52</f>
        <v>preço</v>
      </c>
      <c r="M20" s="20">
        <f>Sheet1!L52</f>
        <v>45656</v>
      </c>
      <c r="N20" s="11" t="str">
        <f>Sheet1!M52</f>
        <v>1+3</v>
      </c>
      <c r="O20" s="16">
        <f>Sheet1!N52</f>
        <v>1471.3597180137283</v>
      </c>
      <c r="P20" s="16">
        <f>Sheet1!O52</f>
        <v>0</v>
      </c>
      <c r="Q20" s="16">
        <f>Sheet1!P52</f>
        <v>0</v>
      </c>
      <c r="R20" s="16">
        <f>Sheet1!Q52</f>
        <v>0</v>
      </c>
      <c r="S20" s="16">
        <f>Sheet1!R52</f>
        <v>367.83992950343207</v>
      </c>
      <c r="T20" s="16">
        <f>Sheet1!S52</f>
        <v>367.83992950343207</v>
      </c>
      <c r="U20" s="16">
        <f>Sheet1!T52</f>
        <v>367.83992950343207</v>
      </c>
      <c r="V20" s="16">
        <f>Sheet1!U52</f>
        <v>367.83992950343207</v>
      </c>
      <c r="W20" s="16">
        <f>Sheet1!V52</f>
        <v>0</v>
      </c>
      <c r="X20" s="16">
        <f>Sheet1!W52</f>
        <v>0</v>
      </c>
      <c r="Y20" s="16">
        <f>Sheet1!X52</f>
        <v>0</v>
      </c>
    </row>
    <row r="21" spans="1:25" x14ac:dyDescent="0.2">
      <c r="A21" s="22">
        <v>2024</v>
      </c>
      <c r="B21" s="17" t="s">
        <v>105</v>
      </c>
      <c r="C21" s="17" t="str">
        <f>Sheet1!B55</f>
        <v>Louis Dreyfus</v>
      </c>
      <c r="D21" s="22" t="str">
        <f>Sheet1!C55</f>
        <v>036/24</v>
      </c>
      <c r="E21" s="22">
        <f>Sheet1!D55</f>
        <v>500</v>
      </c>
      <c r="F21" s="22" t="str">
        <f>Sheet1!E55</f>
        <v>Moka</v>
      </c>
      <c r="G21" s="22" t="str">
        <f>Sheet1!F55</f>
        <v>Natural</v>
      </c>
      <c r="H21" s="22" t="str">
        <f>Sheet1!G55</f>
        <v>-</v>
      </c>
      <c r="I21" s="23" t="str">
        <f>Sheet1!H55</f>
        <v>-</v>
      </c>
      <c r="J21" s="23">
        <f>Sheet1!I55</f>
        <v>2105</v>
      </c>
      <c r="K21" s="23">
        <f>Sheet1!J55</f>
        <v>362.33179766248219</v>
      </c>
      <c r="L21" s="22" t="str">
        <f>Sheet1!K55</f>
        <v>preço</v>
      </c>
      <c r="M21" s="24">
        <f>Sheet1!L55</f>
        <v>45631</v>
      </c>
      <c r="N21" s="22">
        <f>Sheet1!M55</f>
        <v>0</v>
      </c>
      <c r="O21" s="18">
        <f>Sheet1!N55</f>
        <v>181165.89883124109</v>
      </c>
      <c r="P21" s="18">
        <f>Sheet1!O55</f>
        <v>0</v>
      </c>
      <c r="Q21" s="18">
        <f>Sheet1!P55</f>
        <v>0</v>
      </c>
      <c r="R21" s="18">
        <f>Sheet1!Q55</f>
        <v>0</v>
      </c>
      <c r="S21" s="18">
        <f>Sheet1!R55</f>
        <v>181165.89883124109</v>
      </c>
      <c r="T21" s="18">
        <f>Sheet1!S55</f>
        <v>0</v>
      </c>
      <c r="U21" s="18">
        <f>Sheet1!T55</f>
        <v>0</v>
      </c>
      <c r="V21" s="18">
        <f>Sheet1!U55</f>
        <v>0</v>
      </c>
      <c r="W21" s="18">
        <f>Sheet1!V55</f>
        <v>0</v>
      </c>
      <c r="X21" s="18">
        <f>Sheet1!W55</f>
        <v>0</v>
      </c>
      <c r="Y21" s="18">
        <f>Sheet1!X55</f>
        <v>0</v>
      </c>
    </row>
    <row r="22" spans="1:25" x14ac:dyDescent="0.2">
      <c r="A22" s="11">
        <v>2024</v>
      </c>
      <c r="B22" s="9" t="s">
        <v>104</v>
      </c>
      <c r="C22" s="9" t="str">
        <f>Sheet1!B59</f>
        <v>Estimativa</v>
      </c>
      <c r="D22" s="11"/>
      <c r="E22" s="11">
        <f>Sheet1!D59</f>
        <v>38</v>
      </c>
      <c r="F22" s="11">
        <f>Sheet1!E59</f>
        <v>19</v>
      </c>
      <c r="G22" s="11" t="str">
        <f>Sheet1!F59</f>
        <v>Vários</v>
      </c>
      <c r="H22" s="11">
        <f>Sheet1!G59</f>
        <v>10</v>
      </c>
      <c r="I22" s="13">
        <f>Sheet1!H59</f>
        <v>328.8</v>
      </c>
      <c r="J22" s="13">
        <f>Sheet1!I59</f>
        <v>0</v>
      </c>
      <c r="K22" s="13">
        <f>Sheet1!J59</f>
        <v>448.16464000000002</v>
      </c>
      <c r="L22" s="11" t="str">
        <f>Sheet1!K59</f>
        <v>preço</v>
      </c>
      <c r="M22" s="20">
        <f>Sheet1!L59</f>
        <v>0</v>
      </c>
      <c r="N22" s="11">
        <f>Sheet1!M59</f>
        <v>0</v>
      </c>
      <c r="O22" s="16">
        <f>Sheet1!N59</f>
        <v>17030.25632</v>
      </c>
      <c r="P22" s="16">
        <f>Sheet1!O59</f>
        <v>0</v>
      </c>
      <c r="Q22" s="16">
        <f>Sheet1!P59</f>
        <v>0</v>
      </c>
      <c r="R22" s="16">
        <f>Sheet1!Q59</f>
        <v>0</v>
      </c>
      <c r="S22" s="16">
        <f>Sheet1!R59</f>
        <v>17030.25632</v>
      </c>
      <c r="T22" s="16">
        <f>Sheet1!S59</f>
        <v>0</v>
      </c>
      <c r="U22" s="16">
        <f>Sheet1!T59</f>
        <v>0</v>
      </c>
      <c r="V22" s="16">
        <f>Sheet1!U59</f>
        <v>0</v>
      </c>
      <c r="W22" s="16">
        <f>Sheet1!V59</f>
        <v>0</v>
      </c>
      <c r="X22" s="16">
        <f>Sheet1!W59</f>
        <v>0</v>
      </c>
      <c r="Y22" s="16">
        <f>Sheet1!X59</f>
        <v>0</v>
      </c>
    </row>
    <row r="23" spans="1:25" x14ac:dyDescent="0.2">
      <c r="A23" s="22">
        <v>2024</v>
      </c>
      <c r="B23" s="17" t="s">
        <v>104</v>
      </c>
      <c r="C23" s="17" t="str">
        <f>Sheet1!B60</f>
        <v>Estimativa</v>
      </c>
      <c r="D23" s="22"/>
      <c r="E23" s="22">
        <f>Sheet1!D60</f>
        <v>260</v>
      </c>
      <c r="F23" s="22" t="str">
        <f>Sheet1!E60</f>
        <v>17/18</v>
      </c>
      <c r="G23" s="22" t="str">
        <f>Sheet1!F60</f>
        <v>Vários</v>
      </c>
      <c r="H23" s="22">
        <f>Sheet1!G60</f>
        <v>-5</v>
      </c>
      <c r="I23" s="23">
        <f>Sheet1!H60</f>
        <v>328.8</v>
      </c>
      <c r="J23" s="23">
        <f>Sheet1!I60</f>
        <v>0</v>
      </c>
      <c r="K23" s="23">
        <f>Sheet1!J60</f>
        <v>428.32264000000004</v>
      </c>
      <c r="L23" s="22" t="str">
        <f>Sheet1!K60</f>
        <v>preço</v>
      </c>
      <c r="M23" s="24">
        <f>Sheet1!L60</f>
        <v>0</v>
      </c>
      <c r="N23" s="22">
        <f>Sheet1!M60</f>
        <v>0</v>
      </c>
      <c r="O23" s="18">
        <f>Sheet1!N60</f>
        <v>111363.8864</v>
      </c>
      <c r="P23" s="18">
        <f>Sheet1!O60</f>
        <v>0</v>
      </c>
      <c r="Q23" s="18">
        <f>Sheet1!P60</f>
        <v>0</v>
      </c>
      <c r="R23" s="18">
        <f>Sheet1!Q60</f>
        <v>0</v>
      </c>
      <c r="S23" s="18">
        <f>Sheet1!R60</f>
        <v>111363.8864</v>
      </c>
      <c r="T23" s="18">
        <f>Sheet1!S60</f>
        <v>0</v>
      </c>
      <c r="U23" s="18">
        <f>Sheet1!T60</f>
        <v>0</v>
      </c>
      <c r="V23" s="18">
        <f>Sheet1!U60</f>
        <v>0</v>
      </c>
      <c r="W23" s="18">
        <f>Sheet1!V60</f>
        <v>0</v>
      </c>
      <c r="X23" s="18">
        <f>Sheet1!W60</f>
        <v>0</v>
      </c>
      <c r="Y23" s="18">
        <f>Sheet1!X60</f>
        <v>0</v>
      </c>
    </row>
    <row r="24" spans="1:25" x14ac:dyDescent="0.2">
      <c r="A24" s="11">
        <v>2024</v>
      </c>
      <c r="B24" s="9" t="s">
        <v>104</v>
      </c>
      <c r="C24" s="9" t="str">
        <f>Sheet1!B61</f>
        <v>Estimativa</v>
      </c>
      <c r="D24" s="11"/>
      <c r="E24" s="11">
        <f>Sheet1!D61</f>
        <v>12</v>
      </c>
      <c r="F24" s="11" t="str">
        <f>Sheet1!E61</f>
        <v>16/18</v>
      </c>
      <c r="G24" s="11" t="str">
        <f>Sheet1!F61</f>
        <v>Vários</v>
      </c>
      <c r="H24" s="11">
        <f>Sheet1!G61</f>
        <v>5</v>
      </c>
      <c r="I24" s="13">
        <f>Sheet1!H61</f>
        <v>328.8</v>
      </c>
      <c r="J24" s="13">
        <f>Sheet1!I61</f>
        <v>0</v>
      </c>
      <c r="K24" s="13">
        <f>Sheet1!J61</f>
        <v>441.55063999999999</v>
      </c>
      <c r="L24" s="11" t="str">
        <f>Sheet1!K61</f>
        <v>preço</v>
      </c>
      <c r="M24" s="20">
        <f>Sheet1!L61</f>
        <v>0</v>
      </c>
      <c r="N24" s="11">
        <f>Sheet1!M61</f>
        <v>0</v>
      </c>
      <c r="O24" s="16">
        <f>Sheet1!N61</f>
        <v>5298.6076800000001</v>
      </c>
      <c r="P24" s="16">
        <f>Sheet1!O61</f>
        <v>0</v>
      </c>
      <c r="Q24" s="16">
        <f>Sheet1!P61</f>
        <v>0</v>
      </c>
      <c r="R24" s="16">
        <f>Sheet1!Q61</f>
        <v>0</v>
      </c>
      <c r="S24" s="16">
        <f>Sheet1!R61</f>
        <v>0</v>
      </c>
      <c r="T24" s="16">
        <f>Sheet1!S61</f>
        <v>0</v>
      </c>
      <c r="U24" s="16">
        <f>Sheet1!T61</f>
        <v>0</v>
      </c>
      <c r="V24" s="16">
        <f>Sheet1!U61</f>
        <v>0</v>
      </c>
      <c r="W24" s="16">
        <f>Sheet1!V61</f>
        <v>0</v>
      </c>
      <c r="X24" s="16">
        <f>Sheet1!W61</f>
        <v>0</v>
      </c>
      <c r="Y24" s="16">
        <f>Sheet1!X61</f>
        <v>0</v>
      </c>
    </row>
    <row r="25" spans="1:25" x14ac:dyDescent="0.2">
      <c r="A25" s="22">
        <v>2024</v>
      </c>
      <c r="B25" s="17" t="s">
        <v>104</v>
      </c>
      <c r="C25" s="17" t="str">
        <f>Sheet1!B62</f>
        <v>Estimativa</v>
      </c>
      <c r="D25" s="22"/>
      <c r="E25" s="22">
        <f>Sheet1!D62</f>
        <v>320</v>
      </c>
      <c r="F25" s="22" t="str">
        <f>Sheet1!E62</f>
        <v>16/18</v>
      </c>
      <c r="G25" s="22" t="str">
        <f>Sheet1!F62</f>
        <v>Vários</v>
      </c>
      <c r="H25" s="22">
        <f>Sheet1!G62</f>
        <v>5</v>
      </c>
      <c r="I25" s="23">
        <f>Sheet1!H62</f>
        <v>290.55</v>
      </c>
      <c r="J25" s="23">
        <f>Sheet1!I62</f>
        <v>0</v>
      </c>
      <c r="K25" s="23">
        <f>Sheet1!J62</f>
        <v>390.95354000000003</v>
      </c>
      <c r="L25" s="22" t="str">
        <f>Sheet1!K62</f>
        <v>preço</v>
      </c>
      <c r="M25" s="24">
        <f>Sheet1!L62</f>
        <v>0</v>
      </c>
      <c r="N25" s="22">
        <f>Sheet1!M62</f>
        <v>0</v>
      </c>
      <c r="O25" s="18">
        <f>Sheet1!N62</f>
        <v>125105.13280000001</v>
      </c>
      <c r="P25" s="18">
        <f>Sheet1!O62</f>
        <v>0</v>
      </c>
      <c r="Q25" s="18">
        <f>Sheet1!P62</f>
        <v>0</v>
      </c>
      <c r="R25" s="18">
        <f>Sheet1!Q62</f>
        <v>0</v>
      </c>
      <c r="S25" s="18">
        <f>Sheet1!R62</f>
        <v>0</v>
      </c>
      <c r="T25" s="18">
        <f>Sheet1!S62</f>
        <v>0</v>
      </c>
      <c r="U25" s="18">
        <f>Sheet1!T62</f>
        <v>0</v>
      </c>
      <c r="V25" s="18">
        <f>Sheet1!U62</f>
        <v>125105.13280000001</v>
      </c>
      <c r="W25" s="18">
        <f>Sheet1!V62</f>
        <v>0</v>
      </c>
      <c r="X25" s="18">
        <f>Sheet1!W62</f>
        <v>0</v>
      </c>
      <c r="Y25" s="18">
        <f>Sheet1!X62</f>
        <v>0</v>
      </c>
    </row>
    <row r="26" spans="1:25" x14ac:dyDescent="0.2">
      <c r="A26" s="11">
        <v>2024</v>
      </c>
      <c r="B26" s="9" t="s">
        <v>104</v>
      </c>
      <c r="C26" s="9" t="str">
        <f>Sheet1!B63</f>
        <v>Estimativa</v>
      </c>
      <c r="D26" s="11"/>
      <c r="E26" s="11">
        <f>Sheet1!D63</f>
        <v>120</v>
      </c>
      <c r="F26" s="11" t="str">
        <f>Sheet1!E63</f>
        <v>14/16</v>
      </c>
      <c r="G26" s="11" t="str">
        <f>Sheet1!F63</f>
        <v>Vários</v>
      </c>
      <c r="H26" s="11">
        <f>Sheet1!G63</f>
        <v>-25</v>
      </c>
      <c r="I26" s="13">
        <f>Sheet1!H63</f>
        <v>328.8</v>
      </c>
      <c r="J26" s="13">
        <f>Sheet1!I63</f>
        <v>0</v>
      </c>
      <c r="K26" s="13">
        <f>Sheet1!J63</f>
        <v>401.86664000000002</v>
      </c>
      <c r="L26" s="11" t="str">
        <f>Sheet1!K63</f>
        <v>preço</v>
      </c>
      <c r="M26" s="20">
        <f>Sheet1!L63</f>
        <v>0</v>
      </c>
      <c r="N26" s="11">
        <f>Sheet1!M63</f>
        <v>0</v>
      </c>
      <c r="O26" s="16">
        <f>Sheet1!N63</f>
        <v>48223.996800000001</v>
      </c>
      <c r="P26" s="16">
        <f>Sheet1!O63</f>
        <v>0</v>
      </c>
      <c r="Q26" s="16">
        <f>Sheet1!P63</f>
        <v>0</v>
      </c>
      <c r="R26" s="16">
        <f>Sheet1!Q63</f>
        <v>0</v>
      </c>
      <c r="S26" s="16">
        <f>Sheet1!R63</f>
        <v>48223.996800000001</v>
      </c>
      <c r="T26" s="16">
        <f>Sheet1!S63</f>
        <v>0</v>
      </c>
      <c r="U26" s="16">
        <f>Sheet1!T63</f>
        <v>0</v>
      </c>
      <c r="V26" s="16">
        <f>Sheet1!U63</f>
        <v>0</v>
      </c>
      <c r="W26" s="16">
        <f>Sheet1!V63</f>
        <v>0</v>
      </c>
      <c r="X26" s="16">
        <f>Sheet1!W63</f>
        <v>0</v>
      </c>
      <c r="Y26" s="16">
        <f>Sheet1!X63</f>
        <v>0</v>
      </c>
    </row>
    <row r="27" spans="1:25" x14ac:dyDescent="0.2">
      <c r="A27" s="22">
        <v>2024</v>
      </c>
      <c r="B27" s="17" t="s">
        <v>104</v>
      </c>
      <c r="C27" s="17" t="str">
        <f>Sheet1!B64</f>
        <v>Estimativa</v>
      </c>
      <c r="D27" s="22"/>
      <c r="E27" s="22">
        <f>Sheet1!D64</f>
        <v>10</v>
      </c>
      <c r="F27" s="22" t="str">
        <f>Sheet1!E64</f>
        <v>14/15</v>
      </c>
      <c r="G27" s="22" t="str">
        <f>Sheet1!F64</f>
        <v>Vários</v>
      </c>
      <c r="H27" s="22">
        <f>Sheet1!G64</f>
        <v>-25</v>
      </c>
      <c r="I27" s="23">
        <f>Sheet1!H64</f>
        <v>328.8</v>
      </c>
      <c r="J27" s="23">
        <f>Sheet1!I64</f>
        <v>0</v>
      </c>
      <c r="K27" s="23">
        <f>Sheet1!J64</f>
        <v>401.86664000000002</v>
      </c>
      <c r="L27" s="22" t="str">
        <f>Sheet1!K64</f>
        <v>preço</v>
      </c>
      <c r="M27" s="24">
        <f>Sheet1!L64</f>
        <v>0</v>
      </c>
      <c r="N27" s="22">
        <f>Sheet1!M64</f>
        <v>0</v>
      </c>
      <c r="O27" s="18">
        <f>Sheet1!N64</f>
        <v>4018.6664000000001</v>
      </c>
      <c r="P27" s="18">
        <f>Sheet1!O64</f>
        <v>0</v>
      </c>
      <c r="Q27" s="18">
        <f>Sheet1!P64</f>
        <v>0</v>
      </c>
      <c r="R27" s="18">
        <f>Sheet1!Q64</f>
        <v>0</v>
      </c>
      <c r="S27" s="18">
        <f>Sheet1!R64</f>
        <v>4018.6664000000001</v>
      </c>
      <c r="T27" s="18">
        <f>Sheet1!S64</f>
        <v>0</v>
      </c>
      <c r="U27" s="18">
        <f>Sheet1!T64</f>
        <v>0</v>
      </c>
      <c r="V27" s="18">
        <f>Sheet1!U64</f>
        <v>0</v>
      </c>
      <c r="W27" s="18">
        <f>Sheet1!V64</f>
        <v>0</v>
      </c>
      <c r="X27" s="18">
        <f>Sheet1!W64</f>
        <v>0</v>
      </c>
      <c r="Y27" s="18">
        <f>Sheet1!X64</f>
        <v>0</v>
      </c>
    </row>
    <row r="28" spans="1:25" x14ac:dyDescent="0.2">
      <c r="A28" s="11">
        <v>2024</v>
      </c>
      <c r="B28" s="9" t="s">
        <v>104</v>
      </c>
      <c r="C28" s="9" t="str">
        <f>Sheet1!B65</f>
        <v>Estimativa</v>
      </c>
      <c r="D28" s="11"/>
      <c r="E28" s="11">
        <f>Sheet1!D65</f>
        <v>4</v>
      </c>
      <c r="F28" s="11" t="str">
        <f>Sheet1!E65</f>
        <v>Bica</v>
      </c>
      <c r="G28" s="11" t="str">
        <f>Sheet1!F65</f>
        <v>Vários</v>
      </c>
      <c r="H28" s="11">
        <f>Sheet1!G65</f>
        <v>-20</v>
      </c>
      <c r="I28" s="13">
        <f>Sheet1!H65</f>
        <v>328.8</v>
      </c>
      <c r="J28" s="13">
        <f>Sheet1!I65</f>
        <v>0</v>
      </c>
      <c r="K28" s="13">
        <f>Sheet1!J65</f>
        <v>408.48063999999999</v>
      </c>
      <c r="L28" s="11" t="str">
        <f>Sheet1!K65</f>
        <v>preço</v>
      </c>
      <c r="M28" s="20">
        <f>Sheet1!L65</f>
        <v>0</v>
      </c>
      <c r="N28" s="11">
        <f>Sheet1!M65</f>
        <v>0</v>
      </c>
      <c r="O28" s="16">
        <f>Sheet1!N65</f>
        <v>1633.92256</v>
      </c>
      <c r="P28" s="16">
        <f>Sheet1!O65</f>
        <v>0</v>
      </c>
      <c r="Q28" s="16">
        <f>Sheet1!P65</f>
        <v>0</v>
      </c>
      <c r="R28" s="16">
        <f>Sheet1!Q65</f>
        <v>0</v>
      </c>
      <c r="S28" s="16">
        <f>Sheet1!R65</f>
        <v>1633.92256</v>
      </c>
      <c r="T28" s="16">
        <f>Sheet1!S65</f>
        <v>0</v>
      </c>
      <c r="U28" s="16">
        <f>Sheet1!T65</f>
        <v>0</v>
      </c>
      <c r="V28" s="16">
        <f>Sheet1!U65</f>
        <v>0</v>
      </c>
      <c r="W28" s="16">
        <f>Sheet1!V65</f>
        <v>0</v>
      </c>
      <c r="X28" s="16">
        <f>Sheet1!W65</f>
        <v>0</v>
      </c>
      <c r="Y28" s="16">
        <f>Sheet1!X65</f>
        <v>0</v>
      </c>
    </row>
    <row r="29" spans="1:25" x14ac:dyDescent="0.2">
      <c r="A29" s="22">
        <v>2024</v>
      </c>
      <c r="B29" s="17" t="s">
        <v>104</v>
      </c>
      <c r="C29" s="17" t="str">
        <f>Sheet1!B66</f>
        <v>Estimativa</v>
      </c>
      <c r="D29" s="22"/>
      <c r="E29" s="22">
        <f>Sheet1!D66</f>
        <v>407</v>
      </c>
      <c r="F29" s="22" t="str">
        <f>Sheet1!E66</f>
        <v>FVR</v>
      </c>
      <c r="G29" s="22" t="str">
        <f>Sheet1!F66</f>
        <v>Vários</v>
      </c>
      <c r="H29" s="22">
        <f>Sheet1!G66</f>
        <v>-80</v>
      </c>
      <c r="I29" s="23">
        <f>Sheet1!H66</f>
        <v>328.8</v>
      </c>
      <c r="J29" s="23">
        <f>Sheet1!I66</f>
        <v>0</v>
      </c>
      <c r="K29" s="23">
        <f>Sheet1!J66</f>
        <v>329.11264</v>
      </c>
      <c r="L29" s="22" t="str">
        <f>Sheet1!K66</f>
        <v>preço</v>
      </c>
      <c r="M29" s="24">
        <f>Sheet1!L66</f>
        <v>0</v>
      </c>
      <c r="N29" s="22">
        <f>Sheet1!M66</f>
        <v>0</v>
      </c>
      <c r="O29" s="18">
        <f>Sheet1!N66</f>
        <v>133948.84448</v>
      </c>
      <c r="P29" s="18">
        <f>Sheet1!O66</f>
        <v>0</v>
      </c>
      <c r="Q29" s="18">
        <f>Sheet1!P66</f>
        <v>0</v>
      </c>
      <c r="R29" s="18">
        <f>Sheet1!Q66</f>
        <v>0</v>
      </c>
      <c r="S29" s="18">
        <f>Sheet1!R66</f>
        <v>133948.84448</v>
      </c>
      <c r="T29" s="18">
        <f>Sheet1!S66</f>
        <v>0</v>
      </c>
      <c r="U29" s="18">
        <f>Sheet1!T66</f>
        <v>0</v>
      </c>
      <c r="V29" s="18">
        <f>Sheet1!U66</f>
        <v>0</v>
      </c>
      <c r="W29" s="18">
        <f>Sheet1!V66</f>
        <v>0</v>
      </c>
      <c r="X29" s="18">
        <f>Sheet1!W66</f>
        <v>0</v>
      </c>
      <c r="Y29" s="18">
        <f>Sheet1!X66</f>
        <v>0</v>
      </c>
    </row>
    <row r="30" spans="1:25" x14ac:dyDescent="0.2">
      <c r="A30" s="11">
        <v>2024</v>
      </c>
      <c r="B30" s="9" t="s">
        <v>104</v>
      </c>
      <c r="C30" s="9" t="str">
        <f>Sheet1!B67</f>
        <v>Estimativa</v>
      </c>
      <c r="D30" s="11"/>
      <c r="E30" s="11">
        <f>Sheet1!D67</f>
        <v>43</v>
      </c>
      <c r="F30" s="11" t="str">
        <f>Sheet1!E67</f>
        <v>Grinders</v>
      </c>
      <c r="G30" s="11" t="str">
        <f>Sheet1!F67</f>
        <v>Vários</v>
      </c>
      <c r="H30" s="11">
        <f>Sheet1!G67</f>
        <v>-30</v>
      </c>
      <c r="I30" s="13">
        <f>Sheet1!H67</f>
        <v>328.8</v>
      </c>
      <c r="J30" s="13">
        <f>Sheet1!I67</f>
        <v>0</v>
      </c>
      <c r="K30" s="13">
        <f>Sheet1!J67</f>
        <v>395.25263999999999</v>
      </c>
      <c r="L30" s="11" t="str">
        <f>Sheet1!K67</f>
        <v>preço</v>
      </c>
      <c r="M30" s="20">
        <f>Sheet1!L67</f>
        <v>0</v>
      </c>
      <c r="N30" s="11">
        <f>Sheet1!M67</f>
        <v>0</v>
      </c>
      <c r="O30" s="16">
        <f>Sheet1!N67</f>
        <v>16995.863519999999</v>
      </c>
      <c r="P30" s="16">
        <f>Sheet1!O67</f>
        <v>0</v>
      </c>
      <c r="Q30" s="16">
        <f>Sheet1!P67</f>
        <v>0</v>
      </c>
      <c r="R30" s="16">
        <f>Sheet1!Q67</f>
        <v>0</v>
      </c>
      <c r="S30" s="16">
        <f>Sheet1!R67</f>
        <v>16995.863519999999</v>
      </c>
      <c r="T30" s="16">
        <f>Sheet1!S67</f>
        <v>0</v>
      </c>
      <c r="U30" s="16">
        <f>Sheet1!T67</f>
        <v>0</v>
      </c>
      <c r="V30" s="16">
        <f>Sheet1!U67</f>
        <v>0</v>
      </c>
      <c r="W30" s="16">
        <f>Sheet1!V67</f>
        <v>0</v>
      </c>
      <c r="X30" s="16">
        <f>Sheet1!W67</f>
        <v>0</v>
      </c>
      <c r="Y30" s="16">
        <f>Sheet1!X67</f>
        <v>0</v>
      </c>
    </row>
    <row r="31" spans="1:25" x14ac:dyDescent="0.2">
      <c r="A31" s="22">
        <v>2024</v>
      </c>
      <c r="B31" s="17" t="s">
        <v>104</v>
      </c>
      <c r="C31" s="17" t="str">
        <f>Sheet1!B68</f>
        <v>Estimativa</v>
      </c>
      <c r="D31" s="22"/>
      <c r="E31" s="22">
        <f>Sheet1!D68</f>
        <v>44</v>
      </c>
      <c r="F31" s="22" t="str">
        <f>Sheet1!E68</f>
        <v>MOKA</v>
      </c>
      <c r="G31" s="22" t="str">
        <f>Sheet1!F68</f>
        <v>Vários</v>
      </c>
      <c r="H31" s="22">
        <f>Sheet1!G68</f>
        <v>-25</v>
      </c>
      <c r="I31" s="23">
        <f>Sheet1!H68</f>
        <v>328.8</v>
      </c>
      <c r="J31" s="23">
        <f>Sheet1!I68</f>
        <v>0</v>
      </c>
      <c r="K31" s="23">
        <f>Sheet1!J68</f>
        <v>401.86664000000002</v>
      </c>
      <c r="L31" s="22" t="str">
        <f>Sheet1!K68</f>
        <v>preço</v>
      </c>
      <c r="M31" s="24">
        <f>Sheet1!L68</f>
        <v>0</v>
      </c>
      <c r="N31" s="22">
        <f>Sheet1!M68</f>
        <v>0</v>
      </c>
      <c r="O31" s="18">
        <f>Sheet1!N68</f>
        <v>17682.132160000001</v>
      </c>
      <c r="P31" s="18">
        <f>Sheet1!O68</f>
        <v>0</v>
      </c>
      <c r="Q31" s="18">
        <f>Sheet1!P68</f>
        <v>0</v>
      </c>
      <c r="R31" s="18">
        <f>Sheet1!Q68</f>
        <v>0</v>
      </c>
      <c r="S31" s="18">
        <f>Sheet1!R68</f>
        <v>17682.132160000001</v>
      </c>
      <c r="T31" s="18">
        <f>Sheet1!S68</f>
        <v>0</v>
      </c>
      <c r="U31" s="18">
        <f>Sheet1!T68</f>
        <v>0</v>
      </c>
      <c r="V31" s="18">
        <f>Sheet1!U68</f>
        <v>0</v>
      </c>
      <c r="W31" s="18">
        <f>Sheet1!V68</f>
        <v>0</v>
      </c>
      <c r="X31" s="18">
        <f>Sheet1!W68</f>
        <v>0</v>
      </c>
      <c r="Y31" s="18">
        <f>Sheet1!X68</f>
        <v>0</v>
      </c>
    </row>
    <row r="32" spans="1:25" x14ac:dyDescent="0.2">
      <c r="A32" s="11">
        <v>2024</v>
      </c>
      <c r="B32" s="9" t="s">
        <v>104</v>
      </c>
      <c r="C32" s="9" t="str">
        <f>Sheet1!B69</f>
        <v>Estimativa</v>
      </c>
      <c r="D32" s="11"/>
      <c r="E32" s="11">
        <f>Sheet1!D69</f>
        <v>110</v>
      </c>
      <c r="F32" s="11" t="str">
        <f>Sheet1!E69</f>
        <v>Fundo</v>
      </c>
      <c r="G32" s="11" t="str">
        <f>Sheet1!F69</f>
        <v>Vários</v>
      </c>
      <c r="H32" s="11">
        <f>Sheet1!G69</f>
        <v>-120</v>
      </c>
      <c r="I32" s="13">
        <f>Sheet1!H69</f>
        <v>328.8</v>
      </c>
      <c r="J32" s="13">
        <f>Sheet1!I69</f>
        <v>0</v>
      </c>
      <c r="K32" s="13">
        <f>Sheet1!J69</f>
        <v>276.20064000000002</v>
      </c>
      <c r="L32" s="11" t="str">
        <f>Sheet1!K69</f>
        <v>preço</v>
      </c>
      <c r="M32" s="20">
        <f>Sheet1!L69</f>
        <v>0</v>
      </c>
      <c r="N32" s="11">
        <f>Sheet1!M69</f>
        <v>0</v>
      </c>
      <c r="O32" s="16">
        <f>Sheet1!N69</f>
        <v>30382.070400000004</v>
      </c>
      <c r="P32" s="16">
        <f>Sheet1!O69</f>
        <v>0</v>
      </c>
      <c r="Q32" s="16">
        <f>Sheet1!P69</f>
        <v>0</v>
      </c>
      <c r="R32" s="16">
        <f>Sheet1!Q69</f>
        <v>0</v>
      </c>
      <c r="S32" s="16">
        <f>Sheet1!R69</f>
        <v>30382.070400000004</v>
      </c>
      <c r="T32" s="16">
        <f>Sheet1!S69</f>
        <v>0</v>
      </c>
      <c r="U32" s="16">
        <f>Sheet1!T69</f>
        <v>0</v>
      </c>
      <c r="V32" s="16">
        <f>Sheet1!U69</f>
        <v>0</v>
      </c>
      <c r="W32" s="16">
        <f>Sheet1!V69</f>
        <v>0</v>
      </c>
      <c r="X32" s="16">
        <f>Sheet1!W69</f>
        <v>0</v>
      </c>
      <c r="Y32" s="16">
        <f>Sheet1!X69</f>
        <v>0</v>
      </c>
    </row>
    <row r="33" spans="1:25" x14ac:dyDescent="0.2">
      <c r="A33" s="22">
        <v>2024</v>
      </c>
      <c r="B33" s="17" t="s">
        <v>104</v>
      </c>
      <c r="C33" s="17" t="str">
        <f>Sheet1!B70</f>
        <v>Estimativa</v>
      </c>
      <c r="D33" s="22"/>
      <c r="E33" s="22">
        <f>Sheet1!D70</f>
        <v>1030</v>
      </c>
      <c r="F33" s="22" t="str">
        <f>Sheet1!E70</f>
        <v>Escolha</v>
      </c>
      <c r="G33" s="22" t="str">
        <f>Sheet1!F70</f>
        <v>Vários</v>
      </c>
      <c r="H33" s="22">
        <f>Sheet1!G70</f>
        <v>-150</v>
      </c>
      <c r="I33" s="23">
        <f>Sheet1!H70</f>
        <v>328.8</v>
      </c>
      <c r="J33" s="23">
        <f>Sheet1!I70</f>
        <v>0</v>
      </c>
      <c r="K33" s="23">
        <f>Sheet1!J70</f>
        <v>236.51664000000002</v>
      </c>
      <c r="L33" s="22" t="str">
        <f>Sheet1!K70</f>
        <v>preço</v>
      </c>
      <c r="M33" s="24">
        <f>Sheet1!L70</f>
        <v>0</v>
      </c>
      <c r="N33" s="22">
        <f>Sheet1!M70</f>
        <v>0</v>
      </c>
      <c r="O33" s="18">
        <f>Sheet1!N70</f>
        <v>243612.13920000003</v>
      </c>
      <c r="P33" s="18">
        <f>Sheet1!O70</f>
        <v>0</v>
      </c>
      <c r="Q33" s="18">
        <f>Sheet1!P70</f>
        <v>0</v>
      </c>
      <c r="R33" s="18">
        <f>Sheet1!Q70</f>
        <v>0</v>
      </c>
      <c r="S33" s="18">
        <f>Sheet1!R70</f>
        <v>243612.13920000003</v>
      </c>
      <c r="T33" s="18">
        <f>Sheet1!S70</f>
        <v>0</v>
      </c>
      <c r="U33" s="18">
        <f>Sheet1!T70</f>
        <v>0</v>
      </c>
      <c r="V33" s="18">
        <f>Sheet1!U70</f>
        <v>0</v>
      </c>
      <c r="W33" s="18">
        <f>Sheet1!V70</f>
        <v>0</v>
      </c>
      <c r="X33" s="18">
        <f>Sheet1!W70</f>
        <v>0</v>
      </c>
      <c r="Y33" s="18">
        <f>Sheet1!X70</f>
        <v>0</v>
      </c>
    </row>
    <row r="34" spans="1:25" x14ac:dyDescent="0.2">
      <c r="A34" s="11">
        <v>2024</v>
      </c>
      <c r="B34" s="9" t="s">
        <v>104</v>
      </c>
      <c r="C34" s="9" t="str">
        <f>Sheet1!B71</f>
        <v>Estimativa</v>
      </c>
      <c r="D34" s="11"/>
      <c r="E34" s="11">
        <f>Sheet1!D71</f>
        <v>540</v>
      </c>
      <c r="F34" s="11" t="str">
        <f>Sheet1!E71</f>
        <v>Resíduo</v>
      </c>
      <c r="G34" s="11" t="str">
        <f>Sheet1!F71</f>
        <v>Vários</v>
      </c>
      <c r="H34" s="11">
        <f>Sheet1!G71</f>
        <v>-80</v>
      </c>
      <c r="I34" s="13">
        <f>Sheet1!H71</f>
        <v>328.8</v>
      </c>
      <c r="J34" s="13">
        <f>Sheet1!I71</f>
        <v>0</v>
      </c>
      <c r="K34" s="13">
        <f>Sheet1!J71</f>
        <v>329.11264</v>
      </c>
      <c r="L34" s="11" t="str">
        <f>Sheet1!K71</f>
        <v>preço</v>
      </c>
      <c r="M34" s="20">
        <f>Sheet1!L71</f>
        <v>0</v>
      </c>
      <c r="N34" s="11">
        <f>Sheet1!M71</f>
        <v>0</v>
      </c>
      <c r="O34" s="16">
        <f>Sheet1!N71</f>
        <v>177720.82560000001</v>
      </c>
      <c r="P34" s="16">
        <f>Sheet1!O71</f>
        <v>0</v>
      </c>
      <c r="Q34" s="16">
        <f>Sheet1!P71</f>
        <v>0</v>
      </c>
      <c r="R34" s="16">
        <f>Sheet1!Q71</f>
        <v>0</v>
      </c>
      <c r="S34" s="16">
        <f>Sheet1!R71</f>
        <v>177720.82560000001</v>
      </c>
      <c r="T34" s="16">
        <f>Sheet1!S71</f>
        <v>0</v>
      </c>
      <c r="U34" s="16">
        <f>Sheet1!T71</f>
        <v>0</v>
      </c>
      <c r="V34" s="16">
        <f>Sheet1!U71</f>
        <v>0</v>
      </c>
      <c r="W34" s="16">
        <f>Sheet1!V71</f>
        <v>0</v>
      </c>
      <c r="X34" s="16">
        <f>Sheet1!W71</f>
        <v>0</v>
      </c>
      <c r="Y34" s="16">
        <f>Sheet1!X71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>
    <pageSetUpPr fitToPage="1"/>
  </sheetPr>
  <dimension ref="B2:Y115"/>
  <sheetViews>
    <sheetView topLeftCell="A31" workbookViewId="0">
      <selection activeCell="I64" sqref="I64"/>
    </sheetView>
  </sheetViews>
  <sheetFormatPr baseColWidth="10" defaultRowHeight="14" x14ac:dyDescent="0.2"/>
  <cols>
    <col min="1" max="1" width="10.83203125" style="9"/>
    <col min="2" max="2" width="15.33203125" style="9" customWidth="1"/>
    <col min="3" max="16384" width="10.83203125" style="9"/>
  </cols>
  <sheetData>
    <row r="2" spans="2:22" x14ac:dyDescent="0.2">
      <c r="B2" s="28" t="s">
        <v>74</v>
      </c>
      <c r="C2" s="6"/>
      <c r="D2" s="6"/>
      <c r="E2" s="6"/>
      <c r="F2" s="6"/>
    </row>
    <row r="3" spans="2:22" x14ac:dyDescent="0.2">
      <c r="U3" s="29" t="s">
        <v>67</v>
      </c>
      <c r="V3" s="27">
        <v>45624</v>
      </c>
    </row>
    <row r="4" spans="2:22" x14ac:dyDescent="0.2">
      <c r="B4" s="25" t="s">
        <v>33</v>
      </c>
      <c r="C4" s="26" t="s">
        <v>43</v>
      </c>
      <c r="E4" s="25" t="s">
        <v>33</v>
      </c>
      <c r="F4" s="26" t="s">
        <v>43</v>
      </c>
      <c r="V4" s="11"/>
    </row>
    <row r="5" spans="2:22" x14ac:dyDescent="0.2">
      <c r="B5" s="12">
        <v>45627</v>
      </c>
      <c r="C5" s="13">
        <v>328.8</v>
      </c>
      <c r="E5" s="12">
        <v>45839</v>
      </c>
      <c r="F5" s="13">
        <v>318.14999999999998</v>
      </c>
    </row>
    <row r="6" spans="2:22" x14ac:dyDescent="0.2">
      <c r="B6" s="12">
        <v>45717</v>
      </c>
      <c r="C6" s="13">
        <v>326</v>
      </c>
      <c r="E6" s="12">
        <v>45901</v>
      </c>
      <c r="F6" s="13">
        <v>312.55</v>
      </c>
    </row>
    <row r="7" spans="2:22" x14ac:dyDescent="0.2">
      <c r="B7" s="12">
        <v>45778</v>
      </c>
      <c r="C7" s="13">
        <v>323.35000000000002</v>
      </c>
      <c r="E7" s="12">
        <v>45992</v>
      </c>
      <c r="F7" s="13">
        <v>303.55</v>
      </c>
    </row>
    <row r="9" spans="2:22" x14ac:dyDescent="0.2">
      <c r="F9" s="10" t="s">
        <v>42</v>
      </c>
      <c r="G9" s="35">
        <f>2263.94/389.69</f>
        <v>5.8095922399856299</v>
      </c>
    </row>
    <row r="11" spans="2:22" x14ac:dyDescent="0.2">
      <c r="B11" s="14" t="s">
        <v>36</v>
      </c>
      <c r="C11" s="8" t="s">
        <v>54</v>
      </c>
      <c r="D11" s="8" t="s">
        <v>14</v>
      </c>
      <c r="E11" s="8" t="s">
        <v>55</v>
      </c>
      <c r="F11" s="10" t="s">
        <v>53</v>
      </c>
      <c r="G11" s="10" t="s">
        <v>35</v>
      </c>
      <c r="J11" s="14" t="s">
        <v>36</v>
      </c>
      <c r="K11" s="14" t="s">
        <v>14</v>
      </c>
      <c r="L11" s="8" t="s">
        <v>54</v>
      </c>
      <c r="M11" s="15">
        <v>45536</v>
      </c>
      <c r="N11" s="15">
        <v>45566</v>
      </c>
      <c r="O11" s="15">
        <v>45597</v>
      </c>
      <c r="P11" s="15">
        <v>45627</v>
      </c>
      <c r="Q11" s="15">
        <v>45658</v>
      </c>
      <c r="R11" s="15">
        <v>45689</v>
      </c>
      <c r="S11" s="15">
        <v>45717</v>
      </c>
      <c r="T11" s="15">
        <v>45748</v>
      </c>
      <c r="U11" s="15">
        <v>45778</v>
      </c>
      <c r="V11" s="15" t="s">
        <v>32</v>
      </c>
    </row>
    <row r="12" spans="2:22" x14ac:dyDescent="0.2">
      <c r="B12" s="9" t="s">
        <v>1</v>
      </c>
      <c r="C12" s="16">
        <f>SUMIFS(N$27:N$71,$B$27:$B$71,B12)</f>
        <v>1608249.6575999998</v>
      </c>
      <c r="D12" s="16">
        <f>SUMIFS(D$27:D$71,$B$27:$B$71,B12)</f>
        <v>3840</v>
      </c>
      <c r="E12" s="16">
        <f>C12/D12</f>
        <v>418.81501499999996</v>
      </c>
      <c r="F12" s="16">
        <f>C12*$G$9</f>
        <v>9343274.7307525054</v>
      </c>
      <c r="G12" s="16">
        <f>F12/D12</f>
        <v>2433.144461133465</v>
      </c>
      <c r="J12" s="9" t="str">
        <f>B12</f>
        <v>Unroasted</v>
      </c>
      <c r="K12" s="16">
        <f>D12</f>
        <v>3840</v>
      </c>
      <c r="L12" s="16">
        <f>SUM(M12:V12)</f>
        <v>1608249.6576</v>
      </c>
      <c r="M12" s="16">
        <f t="shared" ref="M12:V12" si="0">O42</f>
        <v>0</v>
      </c>
      <c r="N12" s="16">
        <f t="shared" si="0"/>
        <v>0</v>
      </c>
      <c r="O12" s="16">
        <f t="shared" si="0"/>
        <v>331504.26240000001</v>
      </c>
      <c r="P12" s="16">
        <f t="shared" si="0"/>
        <v>0</v>
      </c>
      <c r="Q12" s="16">
        <f t="shared" si="0"/>
        <v>211309.36320000002</v>
      </c>
      <c r="R12" s="16">
        <f t="shared" si="0"/>
        <v>371018.94400000002</v>
      </c>
      <c r="S12" s="16">
        <f t="shared" si="0"/>
        <v>351758.97600000002</v>
      </c>
      <c r="T12" s="16">
        <f t="shared" si="0"/>
        <v>200430.65599999999</v>
      </c>
      <c r="U12" s="16">
        <f t="shared" si="0"/>
        <v>142227.45600000001</v>
      </c>
      <c r="V12" s="16">
        <f t="shared" si="0"/>
        <v>0</v>
      </c>
    </row>
    <row r="13" spans="2:22" x14ac:dyDescent="0.2">
      <c r="B13" s="17" t="s">
        <v>25</v>
      </c>
      <c r="C13" s="18">
        <f>SUMIFS(N$27:N$71,$B$27:$B$71,B13)</f>
        <v>208000</v>
      </c>
      <c r="D13" s="18">
        <f>SUMIFS(D$27:D$71,$B$27:$B$71,B13)</f>
        <v>640</v>
      </c>
      <c r="E13" s="18">
        <f>C13/D13</f>
        <v>325</v>
      </c>
      <c r="F13" s="18">
        <f>C13*$G$9</f>
        <v>1208395.185917011</v>
      </c>
      <c r="G13" s="18">
        <f>F13/D13</f>
        <v>1888.1174779953296</v>
      </c>
      <c r="J13" s="17" t="str">
        <f>B13</f>
        <v>Southland</v>
      </c>
      <c r="K13" s="18">
        <f>D13</f>
        <v>640</v>
      </c>
      <c r="L13" s="18">
        <f t="shared" ref="L13:L15" si="1">SUM(M13:V13)</f>
        <v>208000</v>
      </c>
      <c r="M13" s="18">
        <f t="shared" ref="M13:V13" si="2">O46</f>
        <v>0</v>
      </c>
      <c r="N13" s="18">
        <f t="shared" si="2"/>
        <v>0</v>
      </c>
      <c r="O13" s="18">
        <f t="shared" si="2"/>
        <v>0</v>
      </c>
      <c r="P13" s="18">
        <f t="shared" si="2"/>
        <v>26000</v>
      </c>
      <c r="Q13" s="18">
        <f t="shared" si="2"/>
        <v>26000</v>
      </c>
      <c r="R13" s="18">
        <f t="shared" si="2"/>
        <v>52000</v>
      </c>
      <c r="S13" s="18">
        <f t="shared" si="2"/>
        <v>52000</v>
      </c>
      <c r="T13" s="18">
        <f t="shared" si="2"/>
        <v>26000</v>
      </c>
      <c r="U13" s="18">
        <f t="shared" si="2"/>
        <v>26000</v>
      </c>
      <c r="V13" s="18">
        <f t="shared" si="2"/>
        <v>0</v>
      </c>
    </row>
    <row r="14" spans="2:22" x14ac:dyDescent="0.2">
      <c r="B14" s="9" t="s">
        <v>24</v>
      </c>
      <c r="C14" s="16">
        <f>SUMIFS(N$27:N$71,$B$27:$B$71,B14)</f>
        <v>134396.47999999998</v>
      </c>
      <c r="D14" s="16">
        <f>SUMIFS(D$27:D$71,$B$27:$B$71,B14)</f>
        <v>320</v>
      </c>
      <c r="E14" s="16">
        <f>C14/D14</f>
        <v>419.98899999999992</v>
      </c>
      <c r="F14" s="16">
        <f>C14*$G$9</f>
        <v>780788.74728938378</v>
      </c>
      <c r="G14" s="16">
        <f>F14/D14</f>
        <v>2439.9648352793242</v>
      </c>
      <c r="J14" s="9" t="str">
        <f>B14</f>
        <v>Xorxos</v>
      </c>
      <c r="K14" s="16">
        <f>D14</f>
        <v>320</v>
      </c>
      <c r="L14" s="16">
        <f t="shared" si="1"/>
        <v>134396.47999999998</v>
      </c>
      <c r="M14" s="16">
        <f t="shared" ref="M14:V14" si="3">O49</f>
        <v>0</v>
      </c>
      <c r="N14" s="16">
        <f t="shared" si="3"/>
        <v>0</v>
      </c>
      <c r="O14" s="16">
        <f t="shared" si="3"/>
        <v>0</v>
      </c>
      <c r="P14" s="16">
        <f t="shared" si="3"/>
        <v>134396.47999999998</v>
      </c>
      <c r="Q14" s="16">
        <f t="shared" si="3"/>
        <v>0</v>
      </c>
      <c r="R14" s="16">
        <f t="shared" si="3"/>
        <v>0</v>
      </c>
      <c r="S14" s="16">
        <f t="shared" si="3"/>
        <v>0</v>
      </c>
      <c r="T14" s="16">
        <f t="shared" si="3"/>
        <v>0</v>
      </c>
      <c r="U14" s="16">
        <f t="shared" si="3"/>
        <v>0</v>
      </c>
      <c r="V14" s="16">
        <f t="shared" si="3"/>
        <v>0</v>
      </c>
    </row>
    <row r="15" spans="2:22" x14ac:dyDescent="0.2">
      <c r="B15" s="17" t="s">
        <v>68</v>
      </c>
      <c r="C15" s="18">
        <f>SUMIFS(N$27:N$71,$B$27:$B$71,B15)</f>
        <v>3192.6509183105559</v>
      </c>
      <c r="D15" s="18">
        <f>SUMIFS(D$27:D$71,$B$27:$B$71,B15)</f>
        <v>8</v>
      </c>
      <c r="E15" s="18">
        <f>C15/D15</f>
        <v>399.08136478881949</v>
      </c>
      <c r="F15" s="18">
        <f>C15*$G$9</f>
        <v>18548</v>
      </c>
      <c r="G15" s="18">
        <f>F15/D15</f>
        <v>2318.5</v>
      </c>
      <c r="J15" s="17" t="str">
        <f>B15</f>
        <v>Los Baristas</v>
      </c>
      <c r="K15" s="18">
        <f>D15</f>
        <v>8</v>
      </c>
      <c r="L15" s="18">
        <f t="shared" si="1"/>
        <v>3192.6509183105559</v>
      </c>
      <c r="M15" s="18">
        <f>O53</f>
        <v>0</v>
      </c>
      <c r="N15" s="18">
        <f t="shared" ref="N15:V15" si="4">P53</f>
        <v>0</v>
      </c>
      <c r="O15" s="18">
        <f t="shared" si="4"/>
        <v>0</v>
      </c>
      <c r="P15" s="18">
        <f t="shared" si="4"/>
        <v>798.16272957763897</v>
      </c>
      <c r="Q15" s="18">
        <f t="shared" si="4"/>
        <v>798.16272957763897</v>
      </c>
      <c r="R15" s="18">
        <f t="shared" si="4"/>
        <v>798.16272957763897</v>
      </c>
      <c r="S15" s="18">
        <f t="shared" si="4"/>
        <v>798.16272957763897</v>
      </c>
      <c r="T15" s="18">
        <f t="shared" si="4"/>
        <v>0</v>
      </c>
      <c r="U15" s="18">
        <f t="shared" si="4"/>
        <v>0</v>
      </c>
      <c r="V15" s="18">
        <f t="shared" si="4"/>
        <v>0</v>
      </c>
    </row>
    <row r="16" spans="2:22" x14ac:dyDescent="0.2">
      <c r="B16" s="9" t="s">
        <v>89</v>
      </c>
      <c r="C16" s="16">
        <f>SUMIFS(N$27:N$71,$B$27:$B$71,B16)</f>
        <v>181165.89883124109</v>
      </c>
      <c r="D16" s="16">
        <f>SUMIFS(D$27:D$71,$B$27:$B$71,B16)</f>
        <v>500</v>
      </c>
      <c r="E16" s="16">
        <f>C16/D16</f>
        <v>362.33179766248219</v>
      </c>
      <c r="F16" s="16">
        <f>C16*$G$9</f>
        <v>1052500</v>
      </c>
      <c r="G16" s="16">
        <f>F16/D16</f>
        <v>2105</v>
      </c>
      <c r="J16" s="9" t="str">
        <f>B16</f>
        <v>Louis Dreyfus</v>
      </c>
      <c r="K16" s="16">
        <f>D16</f>
        <v>500</v>
      </c>
      <c r="L16" s="16">
        <f>N56</f>
        <v>181165.89883124109</v>
      </c>
      <c r="M16" s="16">
        <f t="shared" ref="M16:V16" si="5">O56</f>
        <v>0</v>
      </c>
      <c r="N16" s="16">
        <f t="shared" si="5"/>
        <v>0</v>
      </c>
      <c r="O16" s="16">
        <f t="shared" si="5"/>
        <v>0</v>
      </c>
      <c r="P16" s="16">
        <f t="shared" si="5"/>
        <v>181165.89883124109</v>
      </c>
      <c r="Q16" s="16">
        <f t="shared" si="5"/>
        <v>0</v>
      </c>
      <c r="R16" s="16">
        <f t="shared" si="5"/>
        <v>0</v>
      </c>
      <c r="S16" s="16">
        <f t="shared" si="5"/>
        <v>0</v>
      </c>
      <c r="T16" s="16">
        <f t="shared" si="5"/>
        <v>0</v>
      </c>
      <c r="U16" s="16">
        <f t="shared" si="5"/>
        <v>0</v>
      </c>
      <c r="V16" s="16">
        <f t="shared" si="5"/>
        <v>0</v>
      </c>
    </row>
    <row r="17" spans="2:25" x14ac:dyDescent="0.2">
      <c r="B17" s="3" t="s">
        <v>66</v>
      </c>
      <c r="C17" s="7">
        <f>SUM(C12:C16)</f>
        <v>2135004.6873495514</v>
      </c>
      <c r="D17" s="7">
        <f>SUM(D12:D16)</f>
        <v>5308</v>
      </c>
      <c r="E17" s="4">
        <f>C17/D17</f>
        <v>402.2239426054166</v>
      </c>
      <c r="F17" s="39">
        <f>SUM(F12:F16)</f>
        <v>12403506.6639589</v>
      </c>
      <c r="G17" s="46">
        <f>F17/D17</f>
        <v>2336.7570956968539</v>
      </c>
      <c r="J17" s="3" t="str">
        <f>B17</f>
        <v>Vendas Contratadas</v>
      </c>
      <c r="K17" s="7">
        <f>D17</f>
        <v>5308</v>
      </c>
      <c r="L17" s="7">
        <f>SUM(L12:L16)</f>
        <v>2135004.6873495518</v>
      </c>
      <c r="M17" s="7">
        <f t="shared" ref="M17:V17" si="6">SUM(M12:M16)</f>
        <v>0</v>
      </c>
      <c r="N17" s="7">
        <f t="shared" si="6"/>
        <v>0</v>
      </c>
      <c r="O17" s="7">
        <f t="shared" si="6"/>
        <v>331504.26240000001</v>
      </c>
      <c r="P17" s="7">
        <f t="shared" si="6"/>
        <v>342360.54156081867</v>
      </c>
      <c r="Q17" s="7">
        <f t="shared" si="6"/>
        <v>238107.52592957765</v>
      </c>
      <c r="R17" s="7">
        <f t="shared" si="6"/>
        <v>423817.10672957764</v>
      </c>
      <c r="S17" s="7">
        <f t="shared" si="6"/>
        <v>404557.13872957765</v>
      </c>
      <c r="T17" s="7">
        <f t="shared" si="6"/>
        <v>226430.65599999999</v>
      </c>
      <c r="U17" s="7">
        <f t="shared" si="6"/>
        <v>168227.45600000001</v>
      </c>
      <c r="V17" s="7">
        <f t="shared" si="6"/>
        <v>0</v>
      </c>
    </row>
    <row r="18" spans="2:25" x14ac:dyDescent="0.2">
      <c r="B18" s="17" t="s">
        <v>31</v>
      </c>
      <c r="C18" s="18">
        <f>SUMIFS(N$27:N$71,$B$27:$B$71,B18)</f>
        <v>933016.34432000003</v>
      </c>
      <c r="D18" s="18">
        <f>SUMIFS(D$27:D$71,$B$27:$B$71,B18)</f>
        <v>2938</v>
      </c>
      <c r="E18" s="18">
        <f>C18/D18</f>
        <v>317.56853108236896</v>
      </c>
      <c r="F18" s="18">
        <f>C18*$G$9</f>
        <v>5420444.5137412325</v>
      </c>
      <c r="G18" s="18">
        <f>F18/D18</f>
        <v>1844.943673839766</v>
      </c>
      <c r="J18" s="17" t="str">
        <f>B18</f>
        <v>Estimativa</v>
      </c>
      <c r="K18" s="18">
        <f>D18</f>
        <v>2938</v>
      </c>
      <c r="L18" s="18">
        <f>N72</f>
        <v>933016.34432000003</v>
      </c>
      <c r="M18" s="18">
        <f t="shared" ref="M18:V18" si="7">O72</f>
        <v>0</v>
      </c>
      <c r="N18" s="18">
        <f t="shared" si="7"/>
        <v>0</v>
      </c>
      <c r="O18" s="18">
        <f t="shared" si="7"/>
        <v>0</v>
      </c>
      <c r="P18" s="18">
        <f t="shared" si="7"/>
        <v>802612.60384000011</v>
      </c>
      <c r="Q18" s="18">
        <f t="shared" si="7"/>
        <v>0</v>
      </c>
      <c r="R18" s="18">
        <f t="shared" si="7"/>
        <v>0</v>
      </c>
      <c r="S18" s="18">
        <f t="shared" si="7"/>
        <v>125105.13280000001</v>
      </c>
      <c r="T18" s="18">
        <f t="shared" si="7"/>
        <v>0</v>
      </c>
      <c r="U18" s="18">
        <f t="shared" si="7"/>
        <v>0</v>
      </c>
      <c r="V18" s="18">
        <f t="shared" si="7"/>
        <v>0</v>
      </c>
    </row>
    <row r="19" spans="2:25" x14ac:dyDescent="0.2">
      <c r="B19" s="3" t="s">
        <v>34</v>
      </c>
      <c r="C19" s="7">
        <f>C17+C18</f>
        <v>3068021.0316695515</v>
      </c>
      <c r="D19" s="7">
        <f t="shared" ref="D19:F19" si="8">D17+D18</f>
        <v>8246</v>
      </c>
      <c r="E19" s="7">
        <f>C19/D19</f>
        <v>372.06173073848549</v>
      </c>
      <c r="F19" s="39">
        <f t="shared" si="8"/>
        <v>17823951.177700132</v>
      </c>
      <c r="G19" s="39">
        <f>F19/D19</f>
        <v>2161.5269436939284</v>
      </c>
      <c r="J19" s="3" t="str">
        <f>B19</f>
        <v>TOTAL</v>
      </c>
      <c r="K19" s="7">
        <f>D19</f>
        <v>8246</v>
      </c>
      <c r="L19" s="7">
        <f>L17+L18</f>
        <v>3068021.031669552</v>
      </c>
      <c r="M19" s="7">
        <f t="shared" ref="M19:V19" si="9">M17+M18</f>
        <v>0</v>
      </c>
      <c r="N19" s="7">
        <f t="shared" si="9"/>
        <v>0</v>
      </c>
      <c r="O19" s="7">
        <f t="shared" si="9"/>
        <v>331504.26240000001</v>
      </c>
      <c r="P19" s="7">
        <f t="shared" si="9"/>
        <v>1144973.1454008189</v>
      </c>
      <c r="Q19" s="7">
        <f t="shared" si="9"/>
        <v>238107.52592957765</v>
      </c>
      <c r="R19" s="7">
        <f t="shared" si="9"/>
        <v>423817.10672957764</v>
      </c>
      <c r="S19" s="7">
        <f t="shared" si="9"/>
        <v>529662.27152957767</v>
      </c>
      <c r="T19" s="7">
        <f t="shared" si="9"/>
        <v>226430.65599999999</v>
      </c>
      <c r="U19" s="7">
        <f t="shared" si="9"/>
        <v>168227.45600000001</v>
      </c>
      <c r="V19" s="7">
        <f t="shared" si="9"/>
        <v>0</v>
      </c>
    </row>
    <row r="20" spans="2:25" x14ac:dyDescent="0.2">
      <c r="B20" s="9" t="s">
        <v>57</v>
      </c>
      <c r="C20" s="16">
        <f>N86+N96</f>
        <v>-3095804.1686103069</v>
      </c>
      <c r="D20" s="16"/>
      <c r="E20" s="16"/>
      <c r="F20" s="16"/>
      <c r="H20" s="16"/>
      <c r="I20" s="9" t="s">
        <v>41</v>
      </c>
      <c r="J20" s="47" t="s">
        <v>34</v>
      </c>
      <c r="K20" s="19">
        <f>D20</f>
        <v>0</v>
      </c>
      <c r="L20" s="19">
        <f>L19*$G$9</f>
        <v>17823951.177700136</v>
      </c>
      <c r="M20" s="19">
        <f>M19*$G$9</f>
        <v>0</v>
      </c>
      <c r="N20" s="19">
        <f>N19*$G$9</f>
        <v>0</v>
      </c>
      <c r="O20" s="19">
        <f>O19*$G$9</f>
        <v>1925904.5903612</v>
      </c>
      <c r="P20" s="19">
        <f>P19*$G$9</f>
        <v>6651827.1005125362</v>
      </c>
      <c r="Q20" s="19">
        <f>Q19*$G$9</f>
        <v>1383307.6349226516</v>
      </c>
      <c r="R20" s="19">
        <f>R19*$G$9</f>
        <v>2462204.574429316</v>
      </c>
      <c r="S20" s="19">
        <f>S19*$G$9</f>
        <v>3077121.8224913962</v>
      </c>
      <c r="T20" s="19">
        <f>T19*$G$9</f>
        <v>1315469.7819924555</v>
      </c>
      <c r="U20" s="19">
        <f>U19*$G$9</f>
        <v>977332.92293012398</v>
      </c>
      <c r="V20" s="19">
        <f>V19*$G$9</f>
        <v>0</v>
      </c>
    </row>
    <row r="21" spans="2:25" x14ac:dyDescent="0.2">
      <c r="B21" s="1" t="s">
        <v>56</v>
      </c>
      <c r="C21" s="32">
        <f>C19+C20</f>
        <v>-27783.136940755416</v>
      </c>
      <c r="I21" s="1"/>
      <c r="J21" s="11"/>
      <c r="K21" s="1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2:25" x14ac:dyDescent="0.2">
      <c r="B22" s="1"/>
      <c r="C22" s="32"/>
      <c r="D22" s="32"/>
      <c r="E22" s="32"/>
      <c r="F22" s="32"/>
      <c r="G22" s="32"/>
      <c r="H22" s="32"/>
      <c r="J22" s="32"/>
      <c r="K22" s="1"/>
    </row>
    <row r="23" spans="2:25" x14ac:dyDescent="0.2">
      <c r="B23" s="1"/>
      <c r="C23" s="32"/>
      <c r="D23" s="32"/>
      <c r="E23" s="32"/>
      <c r="F23" s="32"/>
      <c r="G23" s="32"/>
      <c r="H23" s="32"/>
      <c r="J23" s="32"/>
      <c r="K23" s="1"/>
      <c r="M23" s="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2:25" x14ac:dyDescent="0.2">
      <c r="B24" s="1"/>
      <c r="C24" s="32"/>
      <c r="D24" s="32"/>
      <c r="E24" s="32"/>
      <c r="F24" s="32"/>
      <c r="G24" s="32"/>
      <c r="H24" s="32"/>
      <c r="J24" s="32"/>
      <c r="K24" s="1"/>
      <c r="M24" s="1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2:25" x14ac:dyDescent="0.2">
      <c r="B25" s="40" t="s">
        <v>58</v>
      </c>
      <c r="C25" s="42"/>
      <c r="D25" s="42"/>
      <c r="E25" s="42"/>
      <c r="F25" s="42"/>
      <c r="G25" s="42"/>
      <c r="H25" s="42"/>
      <c r="I25" s="41"/>
      <c r="J25" s="42"/>
    </row>
    <row r="26" spans="2:25" x14ac:dyDescent="0.2">
      <c r="J26" s="30">
        <v>1.3228</v>
      </c>
    </row>
    <row r="27" spans="2:25" x14ac:dyDescent="0.2">
      <c r="B27" s="14" t="s">
        <v>16</v>
      </c>
      <c r="C27" s="14" t="s">
        <v>15</v>
      </c>
      <c r="D27" s="8" t="s">
        <v>14</v>
      </c>
      <c r="E27" s="8" t="s">
        <v>91</v>
      </c>
      <c r="F27" s="8" t="s">
        <v>92</v>
      </c>
      <c r="G27" s="8" t="s">
        <v>13</v>
      </c>
      <c r="H27" s="8" t="s">
        <v>23</v>
      </c>
      <c r="I27" s="8" t="s">
        <v>17</v>
      </c>
      <c r="J27" s="8" t="s">
        <v>18</v>
      </c>
      <c r="K27" s="8" t="s">
        <v>64</v>
      </c>
      <c r="L27" s="8" t="s">
        <v>20</v>
      </c>
      <c r="M27" s="8" t="s">
        <v>21</v>
      </c>
      <c r="N27" s="31" t="s">
        <v>19</v>
      </c>
      <c r="O27" s="15">
        <v>45536</v>
      </c>
      <c r="P27" s="15">
        <v>45566</v>
      </c>
      <c r="Q27" s="15">
        <v>45597</v>
      </c>
      <c r="R27" s="15">
        <v>45627</v>
      </c>
      <c r="S27" s="15">
        <v>45658</v>
      </c>
      <c r="T27" s="15">
        <v>45689</v>
      </c>
      <c r="U27" s="15">
        <v>45717</v>
      </c>
      <c r="V27" s="15">
        <v>45748</v>
      </c>
      <c r="W27" s="15">
        <v>45778</v>
      </c>
      <c r="X27" s="31" t="s">
        <v>32</v>
      </c>
      <c r="Y27" s="43" t="s">
        <v>22</v>
      </c>
    </row>
    <row r="28" spans="2:25" x14ac:dyDescent="0.2">
      <c r="B28" s="9" t="s">
        <v>1</v>
      </c>
      <c r="C28" s="11" t="s">
        <v>12</v>
      </c>
      <c r="D28" s="11">
        <v>320</v>
      </c>
      <c r="E28" s="11" t="s">
        <v>76</v>
      </c>
      <c r="F28" s="11" t="s">
        <v>95</v>
      </c>
      <c r="G28" s="11">
        <v>10</v>
      </c>
      <c r="H28" s="13">
        <v>251.05</v>
      </c>
      <c r="I28" s="13">
        <v>245</v>
      </c>
      <c r="J28" s="13">
        <f t="shared" ref="J28:J41" si="10">IF(K28="preço",(H28+G28)*$J$26,(I28+G28)*$J$26)</f>
        <v>345.31693999999999</v>
      </c>
      <c r="K28" s="11" t="s">
        <v>65</v>
      </c>
      <c r="L28" s="20">
        <v>45564</v>
      </c>
      <c r="M28" s="11">
        <v>60</v>
      </c>
      <c r="N28" s="16">
        <f>J28*D28</f>
        <v>110501.42079999999</v>
      </c>
      <c r="O28" s="16"/>
      <c r="P28" s="16"/>
      <c r="Q28" s="16">
        <f>N28</f>
        <v>110501.42079999999</v>
      </c>
      <c r="R28" s="16"/>
      <c r="S28" s="16"/>
      <c r="T28" s="16"/>
      <c r="U28" s="16"/>
      <c r="V28" s="16"/>
      <c r="W28" s="16"/>
      <c r="X28" s="16"/>
      <c r="Y28" s="44">
        <f>N28-SUM(O28:X28)</f>
        <v>0</v>
      </c>
    </row>
    <row r="29" spans="2:25" x14ac:dyDescent="0.2">
      <c r="B29" s="17" t="s">
        <v>1</v>
      </c>
      <c r="C29" s="22" t="s">
        <v>11</v>
      </c>
      <c r="D29" s="22">
        <v>320</v>
      </c>
      <c r="E29" s="22" t="s">
        <v>76</v>
      </c>
      <c r="F29" s="22" t="s">
        <v>95</v>
      </c>
      <c r="G29" s="22">
        <v>10</v>
      </c>
      <c r="H29" s="23">
        <v>251.05</v>
      </c>
      <c r="I29" s="23">
        <v>245</v>
      </c>
      <c r="J29" s="23">
        <f t="shared" si="10"/>
        <v>345.31693999999999</v>
      </c>
      <c r="K29" s="22" t="s">
        <v>65</v>
      </c>
      <c r="L29" s="24">
        <v>45564</v>
      </c>
      <c r="M29" s="22">
        <v>60</v>
      </c>
      <c r="N29" s="18">
        <f t="shared" ref="N29:N41" si="11">J29*D29</f>
        <v>110501.42079999999</v>
      </c>
      <c r="O29" s="18"/>
      <c r="P29" s="18"/>
      <c r="Q29" s="18">
        <f>N29</f>
        <v>110501.42079999999</v>
      </c>
      <c r="R29" s="18"/>
      <c r="S29" s="18"/>
      <c r="T29" s="18"/>
      <c r="U29" s="18"/>
      <c r="V29" s="18"/>
      <c r="W29" s="18"/>
      <c r="X29" s="18"/>
      <c r="Y29" s="44">
        <f t="shared" ref="Y29:Y71" si="12">N29-SUM(O29:X29)</f>
        <v>0</v>
      </c>
    </row>
    <row r="30" spans="2:25" x14ac:dyDescent="0.2">
      <c r="B30" s="9" t="s">
        <v>1</v>
      </c>
      <c r="C30" s="11" t="s">
        <v>10</v>
      </c>
      <c r="D30" s="11">
        <v>320</v>
      </c>
      <c r="E30" s="11" t="s">
        <v>76</v>
      </c>
      <c r="F30" s="11" t="s">
        <v>96</v>
      </c>
      <c r="G30" s="11">
        <v>10</v>
      </c>
      <c r="H30" s="13">
        <v>251.05</v>
      </c>
      <c r="I30" s="13">
        <v>231.1</v>
      </c>
      <c r="J30" s="13">
        <f t="shared" si="10"/>
        <v>345.31693999999999</v>
      </c>
      <c r="K30" s="11" t="s">
        <v>65</v>
      </c>
      <c r="L30" s="20">
        <v>45564</v>
      </c>
      <c r="M30" s="11">
        <v>60</v>
      </c>
      <c r="N30" s="16">
        <f t="shared" si="11"/>
        <v>110501.42079999999</v>
      </c>
      <c r="O30" s="16"/>
      <c r="P30" s="16"/>
      <c r="Q30" s="16">
        <f>N30</f>
        <v>110501.42079999999</v>
      </c>
      <c r="R30" s="16"/>
      <c r="S30" s="16"/>
      <c r="T30" s="16"/>
      <c r="U30" s="16"/>
      <c r="V30" s="16"/>
      <c r="W30" s="16"/>
      <c r="X30" s="16"/>
      <c r="Y30" s="44">
        <f t="shared" si="12"/>
        <v>0</v>
      </c>
    </row>
    <row r="31" spans="2:25" x14ac:dyDescent="0.2">
      <c r="B31" s="17" t="s">
        <v>1</v>
      </c>
      <c r="C31" s="22" t="s">
        <v>5</v>
      </c>
      <c r="D31" s="22">
        <v>160</v>
      </c>
      <c r="E31" s="22" t="s">
        <v>76</v>
      </c>
      <c r="F31" s="22" t="s">
        <v>97</v>
      </c>
      <c r="G31" s="22">
        <v>25</v>
      </c>
      <c r="H31" s="23">
        <f>C5</f>
        <v>328.8</v>
      </c>
      <c r="I31" s="23">
        <v>243.16</v>
      </c>
      <c r="J31" s="23">
        <f t="shared" si="10"/>
        <v>468.00664</v>
      </c>
      <c r="K31" s="22" t="s">
        <v>65</v>
      </c>
      <c r="L31" s="24">
        <v>45598</v>
      </c>
      <c r="M31" s="22">
        <v>90</v>
      </c>
      <c r="N31" s="18">
        <f t="shared" si="11"/>
        <v>74881.062399999995</v>
      </c>
      <c r="O31" s="18"/>
      <c r="P31" s="18"/>
      <c r="Q31" s="18"/>
      <c r="R31" s="18"/>
      <c r="S31" s="18"/>
      <c r="T31" s="18">
        <f>N31</f>
        <v>74881.062399999995</v>
      </c>
      <c r="U31" s="18"/>
      <c r="V31" s="18"/>
      <c r="W31" s="18"/>
      <c r="X31" s="18"/>
      <c r="Y31" s="44">
        <f t="shared" si="12"/>
        <v>0</v>
      </c>
    </row>
    <row r="32" spans="2:25" x14ac:dyDescent="0.2">
      <c r="B32" s="9" t="s">
        <v>1</v>
      </c>
      <c r="C32" s="11" t="s">
        <v>4</v>
      </c>
      <c r="D32" s="11">
        <v>160</v>
      </c>
      <c r="E32" s="11" t="s">
        <v>77</v>
      </c>
      <c r="F32" s="11" t="s">
        <v>98</v>
      </c>
      <c r="G32" s="11">
        <v>-8</v>
      </c>
      <c r="H32" s="13">
        <f>C5</f>
        <v>328.8</v>
      </c>
      <c r="I32" s="13">
        <v>243.16</v>
      </c>
      <c r="J32" s="13">
        <f t="shared" si="10"/>
        <v>424.35424</v>
      </c>
      <c r="K32" s="11" t="s">
        <v>65</v>
      </c>
      <c r="L32" s="20">
        <v>45598</v>
      </c>
      <c r="M32" s="11">
        <v>60</v>
      </c>
      <c r="N32" s="16">
        <f t="shared" si="11"/>
        <v>67896.678400000004</v>
      </c>
      <c r="O32" s="16"/>
      <c r="P32" s="16"/>
      <c r="Q32" s="16"/>
      <c r="R32" s="16"/>
      <c r="S32" s="16">
        <f>N32</f>
        <v>67896.678400000004</v>
      </c>
      <c r="T32" s="16"/>
      <c r="U32" s="16"/>
      <c r="V32" s="16"/>
      <c r="W32" s="16"/>
      <c r="X32" s="16"/>
      <c r="Y32" s="44">
        <f t="shared" si="12"/>
        <v>0</v>
      </c>
    </row>
    <row r="33" spans="2:25" x14ac:dyDescent="0.2">
      <c r="B33" s="17" t="s">
        <v>1</v>
      </c>
      <c r="C33" s="22" t="s">
        <v>9</v>
      </c>
      <c r="D33" s="22">
        <v>320</v>
      </c>
      <c r="E33" s="22" t="s">
        <v>76</v>
      </c>
      <c r="F33" s="22" t="s">
        <v>98</v>
      </c>
      <c r="G33" s="22">
        <v>10</v>
      </c>
      <c r="H33" s="23">
        <f>C5</f>
        <v>328.8</v>
      </c>
      <c r="I33" s="23">
        <v>240.91</v>
      </c>
      <c r="J33" s="23">
        <f t="shared" si="10"/>
        <v>448.16464000000002</v>
      </c>
      <c r="K33" s="22" t="s">
        <v>65</v>
      </c>
      <c r="L33" s="24">
        <v>45626</v>
      </c>
      <c r="M33" s="22">
        <v>60</v>
      </c>
      <c r="N33" s="18">
        <f t="shared" si="11"/>
        <v>143412.68480000002</v>
      </c>
      <c r="O33" s="18"/>
      <c r="P33" s="18"/>
      <c r="Q33" s="18"/>
      <c r="R33" s="18"/>
      <c r="S33" s="18">
        <f>N33</f>
        <v>143412.68480000002</v>
      </c>
      <c r="T33" s="18"/>
      <c r="U33" s="18"/>
      <c r="V33" s="18"/>
      <c r="W33" s="18"/>
      <c r="X33" s="18"/>
      <c r="Y33" s="44">
        <f t="shared" si="12"/>
        <v>0</v>
      </c>
    </row>
    <row r="34" spans="2:25" x14ac:dyDescent="0.2">
      <c r="B34" s="9" t="s">
        <v>1</v>
      </c>
      <c r="C34" s="11" t="s">
        <v>8</v>
      </c>
      <c r="D34" s="11">
        <v>320</v>
      </c>
      <c r="E34" s="11" t="s">
        <v>76</v>
      </c>
      <c r="F34" s="11" t="s">
        <v>99</v>
      </c>
      <c r="G34" s="11">
        <v>50</v>
      </c>
      <c r="H34" s="13">
        <f>C5</f>
        <v>328.8</v>
      </c>
      <c r="I34" s="13">
        <v>240.91</v>
      </c>
      <c r="J34" s="13">
        <f t="shared" si="10"/>
        <v>501.07664</v>
      </c>
      <c r="K34" s="11" t="s">
        <v>65</v>
      </c>
      <c r="L34" s="20">
        <v>45626</v>
      </c>
      <c r="M34" s="11">
        <v>90</v>
      </c>
      <c r="N34" s="16">
        <f t="shared" si="11"/>
        <v>160344.52480000001</v>
      </c>
      <c r="O34" s="16"/>
      <c r="P34" s="16"/>
      <c r="Q34" s="16"/>
      <c r="R34" s="16"/>
      <c r="S34" s="16"/>
      <c r="T34" s="16">
        <f>N34</f>
        <v>160344.52480000001</v>
      </c>
      <c r="U34" s="16"/>
      <c r="V34" s="16"/>
      <c r="W34" s="16"/>
      <c r="X34" s="16"/>
      <c r="Y34" s="44">
        <f t="shared" si="12"/>
        <v>0</v>
      </c>
    </row>
    <row r="35" spans="2:25" x14ac:dyDescent="0.2">
      <c r="B35" s="17" t="s">
        <v>1</v>
      </c>
      <c r="C35" s="22" t="s">
        <v>7</v>
      </c>
      <c r="D35" s="22">
        <v>320</v>
      </c>
      <c r="E35" s="22" t="s">
        <v>77</v>
      </c>
      <c r="F35" s="22" t="s">
        <v>100</v>
      </c>
      <c r="G35" s="22">
        <v>-8</v>
      </c>
      <c r="H35" s="23">
        <f>C5</f>
        <v>328.8</v>
      </c>
      <c r="I35" s="23">
        <v>240.91</v>
      </c>
      <c r="J35" s="23">
        <f t="shared" si="10"/>
        <v>424.35424</v>
      </c>
      <c r="K35" s="22" t="s">
        <v>65</v>
      </c>
      <c r="L35" s="24">
        <v>45626</v>
      </c>
      <c r="M35" s="22">
        <v>90</v>
      </c>
      <c r="N35" s="18">
        <f t="shared" si="11"/>
        <v>135793.35680000001</v>
      </c>
      <c r="O35" s="18"/>
      <c r="P35" s="18"/>
      <c r="Q35" s="18"/>
      <c r="R35" s="18"/>
      <c r="S35" s="18"/>
      <c r="T35" s="18">
        <f>N35</f>
        <v>135793.35680000001</v>
      </c>
      <c r="U35" s="18"/>
      <c r="V35" s="18"/>
      <c r="W35" s="18"/>
      <c r="X35" s="18"/>
      <c r="Y35" s="44">
        <f t="shared" si="12"/>
        <v>0</v>
      </c>
    </row>
    <row r="36" spans="2:25" x14ac:dyDescent="0.2">
      <c r="B36" s="9" t="s">
        <v>1</v>
      </c>
      <c r="C36" s="11" t="s">
        <v>5</v>
      </c>
      <c r="D36" s="11">
        <v>160</v>
      </c>
      <c r="E36" s="11" t="s">
        <v>76</v>
      </c>
      <c r="F36" s="11" t="s">
        <v>97</v>
      </c>
      <c r="G36" s="11">
        <v>25</v>
      </c>
      <c r="H36" s="13">
        <f>C6</f>
        <v>326</v>
      </c>
      <c r="I36" s="13"/>
      <c r="J36" s="13">
        <f t="shared" si="10"/>
        <v>464.30279999999999</v>
      </c>
      <c r="K36" s="11" t="s">
        <v>65</v>
      </c>
      <c r="L36" s="20">
        <v>45687</v>
      </c>
      <c r="M36" s="11">
        <v>90</v>
      </c>
      <c r="N36" s="16">
        <f t="shared" si="11"/>
        <v>74288.448000000004</v>
      </c>
      <c r="O36" s="16"/>
      <c r="P36" s="16"/>
      <c r="Q36" s="16"/>
      <c r="R36" s="16"/>
      <c r="S36" s="16"/>
      <c r="T36" s="16"/>
      <c r="U36" s="16"/>
      <c r="V36" s="16">
        <f>N36</f>
        <v>74288.448000000004</v>
      </c>
      <c r="W36" s="16"/>
      <c r="X36" s="16"/>
      <c r="Y36" s="44">
        <f t="shared" si="12"/>
        <v>0</v>
      </c>
    </row>
    <row r="37" spans="2:25" x14ac:dyDescent="0.2">
      <c r="B37" s="17" t="s">
        <v>1</v>
      </c>
      <c r="C37" s="22" t="s">
        <v>4</v>
      </c>
      <c r="D37" s="22">
        <v>160</v>
      </c>
      <c r="E37" s="22" t="s">
        <v>76</v>
      </c>
      <c r="F37" s="22" t="s">
        <v>98</v>
      </c>
      <c r="G37" s="22">
        <v>-8</v>
      </c>
      <c r="H37" s="23">
        <f>C6</f>
        <v>326</v>
      </c>
      <c r="I37" s="23"/>
      <c r="J37" s="23">
        <f t="shared" si="10"/>
        <v>420.65039999999999</v>
      </c>
      <c r="K37" s="22" t="s">
        <v>65</v>
      </c>
      <c r="L37" s="24">
        <v>45687</v>
      </c>
      <c r="M37" s="22">
        <v>60</v>
      </c>
      <c r="N37" s="18">
        <f t="shared" si="11"/>
        <v>67304.063999999998</v>
      </c>
      <c r="O37" s="18"/>
      <c r="P37" s="18"/>
      <c r="Q37" s="18"/>
      <c r="R37" s="18"/>
      <c r="S37" s="18"/>
      <c r="T37" s="18"/>
      <c r="U37" s="18">
        <f>N37</f>
        <v>67304.063999999998</v>
      </c>
      <c r="V37" s="18"/>
      <c r="W37" s="18"/>
      <c r="X37" s="18"/>
      <c r="Y37" s="44">
        <f t="shared" si="12"/>
        <v>0</v>
      </c>
    </row>
    <row r="38" spans="2:25" x14ac:dyDescent="0.2">
      <c r="B38" s="9" t="s">
        <v>1</v>
      </c>
      <c r="C38" s="11" t="s">
        <v>6</v>
      </c>
      <c r="D38" s="11">
        <v>320</v>
      </c>
      <c r="E38" s="11" t="s">
        <v>76</v>
      </c>
      <c r="F38" s="11" t="s">
        <v>98</v>
      </c>
      <c r="G38" s="11">
        <v>10</v>
      </c>
      <c r="H38" s="13">
        <f>C6</f>
        <v>326</v>
      </c>
      <c r="I38" s="13">
        <v>240.91</v>
      </c>
      <c r="J38" s="13">
        <f t="shared" si="10"/>
        <v>444.46080000000001</v>
      </c>
      <c r="K38" s="11" t="s">
        <v>65</v>
      </c>
      <c r="L38" s="20">
        <v>45687</v>
      </c>
      <c r="M38" s="11">
        <v>60</v>
      </c>
      <c r="N38" s="16">
        <f t="shared" si="11"/>
        <v>142227.45600000001</v>
      </c>
      <c r="O38" s="16"/>
      <c r="P38" s="16"/>
      <c r="Q38" s="16"/>
      <c r="R38" s="16"/>
      <c r="S38" s="16"/>
      <c r="T38" s="16"/>
      <c r="U38" s="16">
        <f>N38</f>
        <v>142227.45600000001</v>
      </c>
      <c r="V38" s="16"/>
      <c r="W38" s="16"/>
      <c r="X38" s="16"/>
      <c r="Y38" s="44">
        <f t="shared" si="12"/>
        <v>0</v>
      </c>
    </row>
    <row r="39" spans="2:25" x14ac:dyDescent="0.2">
      <c r="B39" s="17" t="s">
        <v>1</v>
      </c>
      <c r="C39" s="22" t="s">
        <v>3</v>
      </c>
      <c r="D39" s="22">
        <v>320</v>
      </c>
      <c r="E39" s="22" t="s">
        <v>76</v>
      </c>
      <c r="F39" s="22" t="s">
        <v>96</v>
      </c>
      <c r="G39" s="22">
        <v>10</v>
      </c>
      <c r="H39" s="23">
        <f>C6</f>
        <v>326</v>
      </c>
      <c r="I39" s="23">
        <v>240.91</v>
      </c>
      <c r="J39" s="23">
        <f t="shared" si="10"/>
        <v>444.46080000000001</v>
      </c>
      <c r="K39" s="22" t="s">
        <v>65</v>
      </c>
      <c r="L39" s="24">
        <v>45687</v>
      </c>
      <c r="M39" s="22">
        <v>60</v>
      </c>
      <c r="N39" s="18">
        <f t="shared" si="11"/>
        <v>142227.45600000001</v>
      </c>
      <c r="O39" s="18"/>
      <c r="P39" s="18"/>
      <c r="Q39" s="18"/>
      <c r="R39" s="18"/>
      <c r="S39" s="18"/>
      <c r="T39" s="18"/>
      <c r="U39" s="18">
        <f>N39</f>
        <v>142227.45600000001</v>
      </c>
      <c r="V39" s="18"/>
      <c r="W39" s="18"/>
      <c r="X39" s="18"/>
      <c r="Y39" s="44">
        <f t="shared" si="12"/>
        <v>0</v>
      </c>
    </row>
    <row r="40" spans="2:25" x14ac:dyDescent="0.2">
      <c r="B40" s="9" t="s">
        <v>1</v>
      </c>
      <c r="C40" s="11" t="s">
        <v>2</v>
      </c>
      <c r="D40" s="11">
        <v>320</v>
      </c>
      <c r="E40" s="11" t="s">
        <v>81</v>
      </c>
      <c r="F40" s="11" t="s">
        <v>100</v>
      </c>
      <c r="G40" s="11">
        <v>-28</v>
      </c>
      <c r="H40" s="13">
        <f>C6</f>
        <v>326</v>
      </c>
      <c r="I40" s="13">
        <v>238.17</v>
      </c>
      <c r="J40" s="13">
        <f t="shared" si="10"/>
        <v>394.19439999999997</v>
      </c>
      <c r="K40" s="11" t="s">
        <v>65</v>
      </c>
      <c r="L40" s="20">
        <v>45716</v>
      </c>
      <c r="M40" s="11">
        <v>60</v>
      </c>
      <c r="N40" s="16">
        <f t="shared" si="11"/>
        <v>126142.20799999998</v>
      </c>
      <c r="O40" s="16"/>
      <c r="P40" s="16"/>
      <c r="Q40" s="16"/>
      <c r="R40" s="16"/>
      <c r="S40" s="16"/>
      <c r="T40" s="16"/>
      <c r="U40" s="16"/>
      <c r="V40" s="16">
        <f>N40</f>
        <v>126142.20799999998</v>
      </c>
      <c r="W40" s="16"/>
      <c r="X40" s="16"/>
      <c r="Y40" s="44">
        <f t="shared" si="12"/>
        <v>0</v>
      </c>
    </row>
    <row r="41" spans="2:25" x14ac:dyDescent="0.2">
      <c r="B41" s="17" t="s">
        <v>1</v>
      </c>
      <c r="C41" s="22" t="s">
        <v>0</v>
      </c>
      <c r="D41" s="22">
        <v>320</v>
      </c>
      <c r="E41" s="22" t="s">
        <v>76</v>
      </c>
      <c r="F41" s="22" t="s">
        <v>98</v>
      </c>
      <c r="G41" s="22">
        <v>10</v>
      </c>
      <c r="H41" s="23">
        <f>C6</f>
        <v>326</v>
      </c>
      <c r="I41" s="23">
        <v>238.17</v>
      </c>
      <c r="J41" s="23">
        <f t="shared" si="10"/>
        <v>444.46080000000001</v>
      </c>
      <c r="K41" s="22" t="s">
        <v>65</v>
      </c>
      <c r="L41" s="24">
        <v>45746</v>
      </c>
      <c r="M41" s="22">
        <v>60</v>
      </c>
      <c r="N41" s="18">
        <f t="shared" si="11"/>
        <v>142227.45600000001</v>
      </c>
      <c r="O41" s="18"/>
      <c r="P41" s="18"/>
      <c r="Q41" s="18"/>
      <c r="R41" s="18"/>
      <c r="S41" s="18"/>
      <c r="T41" s="18"/>
      <c r="U41" s="18"/>
      <c r="V41" s="18"/>
      <c r="W41" s="18">
        <f>N41</f>
        <v>142227.45600000001</v>
      </c>
      <c r="X41" s="18"/>
      <c r="Y41" s="44">
        <f t="shared" si="12"/>
        <v>0</v>
      </c>
    </row>
    <row r="42" spans="2:25" x14ac:dyDescent="0.2">
      <c r="B42" s="3" t="s">
        <v>37</v>
      </c>
      <c r="C42" s="3"/>
      <c r="D42" s="5">
        <f>SUM(D28:D41)</f>
        <v>3840</v>
      </c>
      <c r="E42" s="5"/>
      <c r="F42" s="5"/>
      <c r="G42" s="3"/>
      <c r="H42" s="3"/>
      <c r="I42" s="3"/>
      <c r="J42" s="3"/>
      <c r="K42" s="3"/>
      <c r="L42" s="3"/>
      <c r="M42" s="3"/>
      <c r="N42" s="7">
        <f t="shared" ref="N42:X42" si="13">SUM(N28:N41)</f>
        <v>1608249.6575999998</v>
      </c>
      <c r="O42" s="7">
        <f t="shared" ref="O42:T42" si="14">SUM(O28:O41)</f>
        <v>0</v>
      </c>
      <c r="P42" s="7">
        <f t="shared" si="14"/>
        <v>0</v>
      </c>
      <c r="Q42" s="7">
        <f t="shared" si="14"/>
        <v>331504.26240000001</v>
      </c>
      <c r="R42" s="7">
        <f t="shared" si="14"/>
        <v>0</v>
      </c>
      <c r="S42" s="7">
        <f t="shared" si="14"/>
        <v>211309.36320000002</v>
      </c>
      <c r="T42" s="7">
        <f t="shared" si="14"/>
        <v>371018.94400000002</v>
      </c>
      <c r="U42" s="7">
        <f t="shared" si="13"/>
        <v>351758.97600000002</v>
      </c>
      <c r="V42" s="7">
        <f t="shared" si="13"/>
        <v>200430.65599999999</v>
      </c>
      <c r="W42" s="7">
        <f t="shared" si="13"/>
        <v>142227.45600000001</v>
      </c>
      <c r="X42" s="7">
        <f t="shared" si="13"/>
        <v>0</v>
      </c>
      <c r="Y42" s="44">
        <f t="shared" si="12"/>
        <v>0</v>
      </c>
    </row>
    <row r="43" spans="2:25" x14ac:dyDescent="0.2">
      <c r="B43" s="1"/>
      <c r="C43" s="1"/>
      <c r="D43" s="6"/>
      <c r="E43" s="6"/>
      <c r="F43" s="6"/>
      <c r="G43" s="1"/>
      <c r="H43" s="1"/>
      <c r="I43" s="1"/>
      <c r="J43" s="1"/>
      <c r="K43" s="1"/>
      <c r="L43" s="1"/>
      <c r="M43" s="1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44"/>
    </row>
    <row r="44" spans="2:25" x14ac:dyDescent="0.2">
      <c r="B44" s="9" t="s">
        <v>25</v>
      </c>
      <c r="C44" s="11" t="s">
        <v>26</v>
      </c>
      <c r="D44" s="11">
        <v>320</v>
      </c>
      <c r="E44" s="11" t="s">
        <v>76</v>
      </c>
      <c r="F44" s="11" t="s">
        <v>98</v>
      </c>
      <c r="G44" s="11" t="s">
        <v>28</v>
      </c>
      <c r="H44" s="13" t="s">
        <v>28</v>
      </c>
      <c r="I44" s="13">
        <v>243.16</v>
      </c>
      <c r="J44" s="13">
        <v>325</v>
      </c>
      <c r="K44" s="11" t="s">
        <v>65</v>
      </c>
      <c r="L44" s="20">
        <v>45626</v>
      </c>
      <c r="M44" s="11" t="s">
        <v>29</v>
      </c>
      <c r="N44" s="16">
        <f>J44*D44</f>
        <v>104000</v>
      </c>
      <c r="O44" s="16"/>
      <c r="P44" s="16"/>
      <c r="Q44" s="16"/>
      <c r="R44" s="16">
        <f>N44/4</f>
        <v>26000</v>
      </c>
      <c r="S44" s="16">
        <f>R44</f>
        <v>26000</v>
      </c>
      <c r="T44" s="16">
        <f>S44</f>
        <v>26000</v>
      </c>
      <c r="U44" s="16">
        <f>T44</f>
        <v>26000</v>
      </c>
      <c r="V44" s="16"/>
      <c r="W44" s="16"/>
      <c r="X44" s="16"/>
      <c r="Y44" s="44">
        <f t="shared" si="12"/>
        <v>0</v>
      </c>
    </row>
    <row r="45" spans="2:25" x14ac:dyDescent="0.2">
      <c r="B45" s="17" t="s">
        <v>25</v>
      </c>
      <c r="C45" s="22" t="s">
        <v>27</v>
      </c>
      <c r="D45" s="22">
        <v>320</v>
      </c>
      <c r="E45" s="22" t="s">
        <v>93</v>
      </c>
      <c r="F45" s="22" t="s">
        <v>93</v>
      </c>
      <c r="G45" s="22" t="s">
        <v>28</v>
      </c>
      <c r="H45" s="23" t="s">
        <v>28</v>
      </c>
      <c r="I45" s="23">
        <v>243.16</v>
      </c>
      <c r="J45" s="23">
        <v>325</v>
      </c>
      <c r="K45" s="22" t="s">
        <v>65</v>
      </c>
      <c r="L45" s="24">
        <v>45687</v>
      </c>
      <c r="M45" s="22" t="s">
        <v>29</v>
      </c>
      <c r="N45" s="18">
        <f>J45*D45</f>
        <v>104000</v>
      </c>
      <c r="O45" s="18"/>
      <c r="P45" s="18"/>
      <c r="Q45" s="18"/>
      <c r="R45" s="18"/>
      <c r="S45" s="18"/>
      <c r="T45" s="18">
        <f>N45/4</f>
        <v>26000</v>
      </c>
      <c r="U45" s="18">
        <f>T45</f>
        <v>26000</v>
      </c>
      <c r="V45" s="18">
        <f>U45</f>
        <v>26000</v>
      </c>
      <c r="W45" s="18">
        <f>V45</f>
        <v>26000</v>
      </c>
      <c r="X45" s="18"/>
      <c r="Y45" s="44">
        <f t="shared" si="12"/>
        <v>0</v>
      </c>
    </row>
    <row r="46" spans="2:25" x14ac:dyDescent="0.2">
      <c r="B46" s="3" t="s">
        <v>38</v>
      </c>
      <c r="C46" s="3"/>
      <c r="D46" s="5">
        <f>SUM(D44:D45)</f>
        <v>640</v>
      </c>
      <c r="E46" s="5"/>
      <c r="F46" s="5"/>
      <c r="G46" s="5"/>
      <c r="H46" s="5"/>
      <c r="I46" s="5"/>
      <c r="J46" s="5"/>
      <c r="K46" s="5"/>
      <c r="L46" s="5"/>
      <c r="M46" s="5"/>
      <c r="N46" s="7">
        <f t="shared" ref="N46:X46" si="15">SUM(N44:N45)</f>
        <v>208000</v>
      </c>
      <c r="O46" s="7">
        <f t="shared" si="15"/>
        <v>0</v>
      </c>
      <c r="P46" s="7">
        <f t="shared" si="15"/>
        <v>0</v>
      </c>
      <c r="Q46" s="7">
        <f t="shared" si="15"/>
        <v>0</v>
      </c>
      <c r="R46" s="7">
        <f t="shared" si="15"/>
        <v>26000</v>
      </c>
      <c r="S46" s="7">
        <f t="shared" si="15"/>
        <v>26000</v>
      </c>
      <c r="T46" s="7">
        <f t="shared" si="15"/>
        <v>52000</v>
      </c>
      <c r="U46" s="7">
        <f t="shared" si="15"/>
        <v>52000</v>
      </c>
      <c r="V46" s="7">
        <f t="shared" si="15"/>
        <v>26000</v>
      </c>
      <c r="W46" s="7">
        <f t="shared" si="15"/>
        <v>26000</v>
      </c>
      <c r="X46" s="7">
        <f t="shared" si="15"/>
        <v>0</v>
      </c>
      <c r="Y46" s="44">
        <f t="shared" si="12"/>
        <v>0</v>
      </c>
    </row>
    <row r="47" spans="2:25" x14ac:dyDescent="0.2">
      <c r="B47" s="1"/>
      <c r="C47" s="1"/>
      <c r="D47" s="6"/>
      <c r="E47" s="6"/>
      <c r="F47" s="6"/>
      <c r="G47" s="6"/>
      <c r="H47" s="6"/>
      <c r="I47" s="6"/>
      <c r="J47" s="6"/>
      <c r="K47" s="6"/>
      <c r="L47" s="6"/>
      <c r="M47" s="6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44"/>
    </row>
    <row r="48" spans="2:25" x14ac:dyDescent="0.2">
      <c r="B48" s="9" t="s">
        <v>24</v>
      </c>
      <c r="C48" s="11" t="s">
        <v>30</v>
      </c>
      <c r="D48" s="11">
        <v>320</v>
      </c>
      <c r="E48" s="11" t="s">
        <v>76</v>
      </c>
      <c r="F48" s="11" t="s">
        <v>101</v>
      </c>
      <c r="G48" s="11">
        <v>25</v>
      </c>
      <c r="H48" s="13">
        <v>292.5</v>
      </c>
      <c r="I48" s="13">
        <v>243.16</v>
      </c>
      <c r="J48" s="13">
        <f>IF(K48="preço",(H48+G48)*$J$26,(I48+G48)*$J$26)</f>
        <v>419.98899999999998</v>
      </c>
      <c r="K48" s="11" t="s">
        <v>65</v>
      </c>
      <c r="L48" s="20">
        <v>45656</v>
      </c>
      <c r="M48" s="11"/>
      <c r="N48" s="16">
        <f>J48*D48</f>
        <v>134396.47999999998</v>
      </c>
      <c r="O48" s="16"/>
      <c r="P48" s="16"/>
      <c r="Q48" s="16"/>
      <c r="R48" s="16">
        <f>N48</f>
        <v>134396.47999999998</v>
      </c>
      <c r="S48" s="16"/>
      <c r="T48" s="16"/>
      <c r="U48" s="16"/>
      <c r="V48" s="16"/>
      <c r="W48" s="16"/>
      <c r="X48" s="16"/>
      <c r="Y48" s="44">
        <f t="shared" si="12"/>
        <v>0</v>
      </c>
    </row>
    <row r="49" spans="2:25" x14ac:dyDescent="0.2">
      <c r="B49" s="3" t="s">
        <v>39</v>
      </c>
      <c r="C49" s="3"/>
      <c r="D49" s="5">
        <f>D48</f>
        <v>320</v>
      </c>
      <c r="E49" s="5"/>
      <c r="F49" s="5"/>
      <c r="G49" s="5"/>
      <c r="H49" s="5"/>
      <c r="I49" s="5"/>
      <c r="J49" s="5"/>
      <c r="K49" s="5"/>
      <c r="L49" s="5"/>
      <c r="M49" s="5"/>
      <c r="N49" s="7">
        <f t="shared" ref="N49:X49" si="16">N48</f>
        <v>134396.47999999998</v>
      </c>
      <c r="O49" s="7">
        <f t="shared" si="16"/>
        <v>0</v>
      </c>
      <c r="P49" s="7">
        <f t="shared" si="16"/>
        <v>0</v>
      </c>
      <c r="Q49" s="7">
        <f t="shared" si="16"/>
        <v>0</v>
      </c>
      <c r="R49" s="7">
        <f t="shared" si="16"/>
        <v>134396.47999999998</v>
      </c>
      <c r="S49" s="7">
        <f t="shared" si="16"/>
        <v>0</v>
      </c>
      <c r="T49" s="7">
        <f t="shared" si="16"/>
        <v>0</v>
      </c>
      <c r="U49" s="7">
        <f t="shared" si="16"/>
        <v>0</v>
      </c>
      <c r="V49" s="7">
        <f t="shared" si="16"/>
        <v>0</v>
      </c>
      <c r="W49" s="7">
        <f t="shared" si="16"/>
        <v>0</v>
      </c>
      <c r="X49" s="7">
        <f t="shared" si="16"/>
        <v>0</v>
      </c>
      <c r="Y49" s="44">
        <f t="shared" si="12"/>
        <v>0</v>
      </c>
    </row>
    <row r="50" spans="2:25" x14ac:dyDescent="0.2">
      <c r="B50" s="1"/>
      <c r="C50" s="1"/>
      <c r="D50" s="6"/>
      <c r="E50" s="6"/>
      <c r="F50" s="6"/>
      <c r="G50" s="6"/>
      <c r="H50" s="6"/>
      <c r="I50" s="6"/>
      <c r="J50" s="6"/>
      <c r="K50" s="6"/>
      <c r="L50" s="6"/>
      <c r="M50" s="6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44"/>
    </row>
    <row r="51" spans="2:25" x14ac:dyDescent="0.2">
      <c r="B51" s="9" t="s">
        <v>68</v>
      </c>
      <c r="C51" s="11" t="s">
        <v>69</v>
      </c>
      <c r="D51" s="11">
        <v>4</v>
      </c>
      <c r="E51" s="11" t="s">
        <v>93</v>
      </c>
      <c r="F51" s="11" t="s">
        <v>93</v>
      </c>
      <c r="G51" s="11" t="s">
        <v>28</v>
      </c>
      <c r="H51" s="13" t="s">
        <v>28</v>
      </c>
      <c r="I51" s="11">
        <v>2500</v>
      </c>
      <c r="J51" s="13">
        <f>I51/$G$9</f>
        <v>430.3228000742069</v>
      </c>
      <c r="K51" s="11" t="s">
        <v>65</v>
      </c>
      <c r="L51" s="20">
        <v>45656</v>
      </c>
      <c r="M51" s="11" t="s">
        <v>71</v>
      </c>
      <c r="N51" s="16">
        <f>J51*D51</f>
        <v>1721.2912002968276</v>
      </c>
      <c r="O51" s="16"/>
      <c r="P51" s="16"/>
      <c r="R51" s="16">
        <f>N51/4</f>
        <v>430.3228000742069</v>
      </c>
      <c r="S51" s="16">
        <f t="shared" ref="S51:U52" si="17">R51</f>
        <v>430.3228000742069</v>
      </c>
      <c r="T51" s="16">
        <f t="shared" si="17"/>
        <v>430.3228000742069</v>
      </c>
      <c r="U51" s="16">
        <f t="shared" si="17"/>
        <v>430.3228000742069</v>
      </c>
      <c r="V51" s="16"/>
      <c r="W51" s="16"/>
      <c r="X51" s="16"/>
      <c r="Y51" s="44"/>
    </row>
    <row r="52" spans="2:25" x14ac:dyDescent="0.2">
      <c r="B52" s="17" t="s">
        <v>68</v>
      </c>
      <c r="C52" s="22" t="s">
        <v>70</v>
      </c>
      <c r="D52" s="22">
        <v>4</v>
      </c>
      <c r="E52" s="22" t="s">
        <v>93</v>
      </c>
      <c r="F52" s="22" t="s">
        <v>93</v>
      </c>
      <c r="G52" s="22" t="s">
        <v>28</v>
      </c>
      <c r="H52" s="23" t="s">
        <v>28</v>
      </c>
      <c r="I52" s="22">
        <v>2137</v>
      </c>
      <c r="J52" s="23">
        <f>I52/$G$9</f>
        <v>367.83992950343207</v>
      </c>
      <c r="K52" s="22" t="s">
        <v>65</v>
      </c>
      <c r="L52" s="24">
        <f>L51</f>
        <v>45656</v>
      </c>
      <c r="M52" s="22" t="s">
        <v>71</v>
      </c>
      <c r="N52" s="18">
        <f>J52*D52</f>
        <v>1471.3597180137283</v>
      </c>
      <c r="O52" s="18"/>
      <c r="P52" s="18"/>
      <c r="Q52" s="18"/>
      <c r="R52" s="18">
        <f>N52/4</f>
        <v>367.83992950343207</v>
      </c>
      <c r="S52" s="18">
        <f t="shared" si="17"/>
        <v>367.83992950343207</v>
      </c>
      <c r="T52" s="18">
        <f t="shared" si="17"/>
        <v>367.83992950343207</v>
      </c>
      <c r="U52" s="18">
        <f t="shared" si="17"/>
        <v>367.83992950343207</v>
      </c>
      <c r="V52" s="18"/>
      <c r="W52" s="18"/>
      <c r="X52" s="18"/>
      <c r="Y52" s="44"/>
    </row>
    <row r="53" spans="2:25" x14ac:dyDescent="0.2">
      <c r="B53" s="3" t="s">
        <v>87</v>
      </c>
      <c r="C53" s="3"/>
      <c r="D53" s="5">
        <f>SUM(D51:D52)</f>
        <v>8</v>
      </c>
      <c r="E53" s="5"/>
      <c r="F53" s="5"/>
      <c r="G53" s="5"/>
      <c r="H53" s="5"/>
      <c r="I53" s="5" t="s">
        <v>72</v>
      </c>
      <c r="J53" s="5"/>
      <c r="K53" s="5"/>
      <c r="L53" s="5"/>
      <c r="M53" s="5"/>
      <c r="N53" s="7">
        <f t="shared" ref="N53" si="18">SUM(N51:N52)</f>
        <v>3192.6509183105559</v>
      </c>
      <c r="O53" s="7">
        <f t="shared" ref="O53" si="19">SUM(O51:O52)</f>
        <v>0</v>
      </c>
      <c r="P53" s="7">
        <f t="shared" ref="P53" si="20">SUM(P51:P52)</f>
        <v>0</v>
      </c>
      <c r="Q53" s="7">
        <f t="shared" ref="Q53:V53" si="21">SUM(Q51:Q52)</f>
        <v>0</v>
      </c>
      <c r="R53" s="7">
        <f t="shared" si="21"/>
        <v>798.16272957763897</v>
      </c>
      <c r="S53" s="7">
        <f t="shared" si="21"/>
        <v>798.16272957763897</v>
      </c>
      <c r="T53" s="7">
        <f t="shared" si="21"/>
        <v>798.16272957763897</v>
      </c>
      <c r="U53" s="7">
        <f t="shared" si="21"/>
        <v>798.16272957763897</v>
      </c>
      <c r="V53" s="7">
        <f t="shared" si="21"/>
        <v>0</v>
      </c>
      <c r="W53" s="7">
        <f t="shared" ref="W53" si="22">SUM(W51:W52)</f>
        <v>0</v>
      </c>
      <c r="X53" s="7">
        <f t="shared" ref="X53" si="23">SUM(X51:X52)</f>
        <v>0</v>
      </c>
      <c r="Y53" s="44"/>
    </row>
    <row r="54" spans="2:25" x14ac:dyDescent="0.2">
      <c r="B54" s="1"/>
      <c r="C54" s="1"/>
      <c r="D54" s="6"/>
      <c r="E54" s="6"/>
      <c r="F54" s="6"/>
      <c r="G54" s="6"/>
      <c r="H54" s="6"/>
      <c r="I54" s="6"/>
      <c r="J54" s="6"/>
      <c r="K54" s="6"/>
      <c r="L54" s="6"/>
      <c r="M54" s="6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44"/>
    </row>
    <row r="55" spans="2:25" x14ac:dyDescent="0.2">
      <c r="B55" s="9" t="s">
        <v>89</v>
      </c>
      <c r="C55" s="11" t="s">
        <v>102</v>
      </c>
      <c r="D55" s="11">
        <v>500</v>
      </c>
      <c r="E55" s="11" t="s">
        <v>94</v>
      </c>
      <c r="F55" s="11" t="s">
        <v>101</v>
      </c>
      <c r="G55" s="11" t="s">
        <v>28</v>
      </c>
      <c r="H55" s="13" t="s">
        <v>28</v>
      </c>
      <c r="I55" s="11">
        <v>2105</v>
      </c>
      <c r="J55" s="13">
        <f>I55/$G$9</f>
        <v>362.33179766248219</v>
      </c>
      <c r="K55" s="11" t="s">
        <v>65</v>
      </c>
      <c r="L55" s="20">
        <v>45631</v>
      </c>
      <c r="M55" s="11"/>
      <c r="N55" s="16">
        <f>J55*D55</f>
        <v>181165.89883124109</v>
      </c>
      <c r="O55" s="16"/>
      <c r="P55" s="16"/>
      <c r="Q55" s="16"/>
      <c r="R55" s="16">
        <f>N55</f>
        <v>181165.89883124109</v>
      </c>
      <c r="S55" s="16"/>
      <c r="T55" s="16"/>
      <c r="V55" s="16"/>
      <c r="W55" s="16"/>
      <c r="X55" s="16"/>
      <c r="Y55" s="44"/>
    </row>
    <row r="56" spans="2:25" x14ac:dyDescent="0.2">
      <c r="B56" s="3" t="s">
        <v>88</v>
      </c>
      <c r="C56" s="3"/>
      <c r="D56" s="5">
        <f>SUM(D54:D55)</f>
        <v>500</v>
      </c>
      <c r="E56" s="5"/>
      <c r="F56" s="5"/>
      <c r="G56" s="5"/>
      <c r="H56" s="5"/>
      <c r="I56" s="5" t="s">
        <v>72</v>
      </c>
      <c r="J56" s="5"/>
      <c r="K56" s="5"/>
      <c r="L56" s="5"/>
      <c r="M56" s="5"/>
      <c r="N56" s="7">
        <f t="shared" ref="N56:P56" si="24">SUM(N54:N55)</f>
        <v>181165.89883124109</v>
      </c>
      <c r="O56" s="7">
        <f t="shared" si="24"/>
        <v>0</v>
      </c>
      <c r="P56" s="7">
        <f t="shared" si="24"/>
        <v>0</v>
      </c>
      <c r="Q56" s="7">
        <f>SUM(Q54:Q55)</f>
        <v>0</v>
      </c>
      <c r="R56" s="7">
        <f>SUM(R54:R55)</f>
        <v>181165.89883124109</v>
      </c>
      <c r="S56" s="7">
        <f>SUM(S54:S55)</f>
        <v>0</v>
      </c>
      <c r="T56" s="7">
        <f t="shared" ref="T56:X56" si="25">SUM(T54:T55)</f>
        <v>0</v>
      </c>
      <c r="U56" s="7">
        <f t="shared" si="25"/>
        <v>0</v>
      </c>
      <c r="V56" s="7">
        <f t="shared" si="25"/>
        <v>0</v>
      </c>
      <c r="W56" s="7">
        <f t="shared" si="25"/>
        <v>0</v>
      </c>
      <c r="X56" s="7">
        <f t="shared" si="25"/>
        <v>0</v>
      </c>
      <c r="Y56" s="44"/>
    </row>
    <row r="57" spans="2:25" x14ac:dyDescent="0.2">
      <c r="B57" s="1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44"/>
    </row>
    <row r="58" spans="2:25" x14ac:dyDescent="0.2">
      <c r="B58" s="40" t="s">
        <v>59</v>
      </c>
      <c r="C58" s="42"/>
      <c r="D58" s="42"/>
      <c r="E58" s="42"/>
      <c r="F58" s="42"/>
      <c r="G58" s="42"/>
      <c r="H58" s="42"/>
      <c r="I58" s="41"/>
      <c r="J58" s="42"/>
      <c r="K58" s="6"/>
      <c r="M58" s="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44"/>
    </row>
    <row r="59" spans="2:25" x14ac:dyDescent="0.2">
      <c r="B59" s="9" t="s">
        <v>31</v>
      </c>
      <c r="C59" s="11"/>
      <c r="D59" s="11">
        <v>38</v>
      </c>
      <c r="E59" s="11">
        <v>19</v>
      </c>
      <c r="F59" s="11" t="s">
        <v>93</v>
      </c>
      <c r="G59" s="11">
        <v>10</v>
      </c>
      <c r="H59" s="13">
        <f>C5</f>
        <v>328.8</v>
      </c>
      <c r="I59" s="13"/>
      <c r="J59" s="13">
        <f t="shared" ref="J59:J71" si="26">IF(K59="preço",(H59+G59)*$J$26,(I59+G59)*$J$26)</f>
        <v>448.16464000000002</v>
      </c>
      <c r="K59" s="11" t="s">
        <v>65</v>
      </c>
      <c r="L59" s="20"/>
      <c r="M59" s="11"/>
      <c r="N59" s="16">
        <f>IF(K59="preço",J59*D59,(I59+G59)*$J$26*D59)</f>
        <v>17030.25632</v>
      </c>
      <c r="O59" s="16"/>
      <c r="P59" s="16"/>
      <c r="Q59" s="16"/>
      <c r="R59" s="16">
        <f>N59</f>
        <v>17030.25632</v>
      </c>
      <c r="S59" s="16"/>
      <c r="T59" s="16"/>
      <c r="U59" s="16"/>
      <c r="V59" s="16"/>
      <c r="W59" s="16"/>
      <c r="X59" s="16"/>
      <c r="Y59" s="44">
        <f t="shared" si="12"/>
        <v>0</v>
      </c>
    </row>
    <row r="60" spans="2:25" x14ac:dyDescent="0.2">
      <c r="B60" s="17" t="s">
        <v>31</v>
      </c>
      <c r="C60" s="22"/>
      <c r="D60" s="22">
        <v>260</v>
      </c>
      <c r="E60" s="22" t="s">
        <v>75</v>
      </c>
      <c r="F60" s="22" t="s">
        <v>93</v>
      </c>
      <c r="G60" s="22">
        <v>-5</v>
      </c>
      <c r="H60" s="23">
        <f>H59</f>
        <v>328.8</v>
      </c>
      <c r="I60" s="23"/>
      <c r="J60" s="23">
        <f t="shared" si="26"/>
        <v>428.32264000000004</v>
      </c>
      <c r="K60" s="22" t="str">
        <f>K59</f>
        <v>preço</v>
      </c>
      <c r="L60" s="24"/>
      <c r="M60" s="22"/>
      <c r="N60" s="18">
        <f t="shared" ref="N60:N71" si="27">IF(K60="preço",J60*D60,(I60+G60)*$J$26*D60)</f>
        <v>111363.8864</v>
      </c>
      <c r="O60" s="18"/>
      <c r="P60" s="18"/>
      <c r="Q60" s="18"/>
      <c r="R60" s="18">
        <f>N60</f>
        <v>111363.8864</v>
      </c>
      <c r="S60" s="18"/>
      <c r="T60" s="18"/>
      <c r="U60" s="18"/>
      <c r="V60" s="18"/>
      <c r="W60" s="18"/>
      <c r="X60" s="18"/>
      <c r="Y60" s="44">
        <f t="shared" si="12"/>
        <v>0</v>
      </c>
    </row>
    <row r="61" spans="2:25" x14ac:dyDescent="0.2">
      <c r="B61" s="9" t="s">
        <v>31</v>
      </c>
      <c r="C61" s="11"/>
      <c r="D61" s="11">
        <v>12</v>
      </c>
      <c r="E61" s="11" t="s">
        <v>76</v>
      </c>
      <c r="F61" s="11" t="s">
        <v>93</v>
      </c>
      <c r="G61" s="11">
        <v>5</v>
      </c>
      <c r="H61" s="13">
        <f>C5</f>
        <v>328.8</v>
      </c>
      <c r="I61" s="13"/>
      <c r="J61" s="13">
        <f t="shared" ref="J61" si="28">IF(K61="preço",(H61+G61)*$J$26,(I61+G61)*$J$26)</f>
        <v>441.55063999999999</v>
      </c>
      <c r="K61" s="11" t="str">
        <f>K59</f>
        <v>preço</v>
      </c>
      <c r="L61" s="20"/>
      <c r="M61" s="11"/>
      <c r="N61" s="16">
        <f t="shared" ref="N61" si="29">IF(K61="preço",J61*D61,(I61+G61)*$J$26*D61)</f>
        <v>5298.6076800000001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44"/>
    </row>
    <row r="62" spans="2:25" x14ac:dyDescent="0.2">
      <c r="B62" s="17" t="s">
        <v>31</v>
      </c>
      <c r="C62" s="22"/>
      <c r="D62" s="22">
        <v>320</v>
      </c>
      <c r="E62" s="22" t="s">
        <v>76</v>
      </c>
      <c r="F62" s="22" t="s">
        <v>93</v>
      </c>
      <c r="G62" s="22">
        <v>5</v>
      </c>
      <c r="H62" s="23">
        <v>290.55</v>
      </c>
      <c r="I62" s="23"/>
      <c r="J62" s="23">
        <f t="shared" si="26"/>
        <v>390.95354000000003</v>
      </c>
      <c r="K62" s="22" t="str">
        <f>K60</f>
        <v>preço</v>
      </c>
      <c r="L62" s="24"/>
      <c r="M62" s="22"/>
      <c r="N62" s="18">
        <f t="shared" si="27"/>
        <v>125105.13280000001</v>
      </c>
      <c r="O62" s="18"/>
      <c r="P62" s="18"/>
      <c r="Q62" s="18"/>
      <c r="R62" s="18"/>
      <c r="S62" s="18"/>
      <c r="T62" s="18"/>
      <c r="U62" s="18">
        <f>N62</f>
        <v>125105.13280000001</v>
      </c>
      <c r="V62" s="18"/>
      <c r="W62" s="18"/>
      <c r="X62" s="18"/>
      <c r="Y62" s="44">
        <f t="shared" si="12"/>
        <v>0</v>
      </c>
    </row>
    <row r="63" spans="2:25" x14ac:dyDescent="0.2">
      <c r="B63" s="9" t="s">
        <v>31</v>
      </c>
      <c r="C63" s="11"/>
      <c r="D63" s="11">
        <v>120</v>
      </c>
      <c r="E63" s="11" t="s">
        <v>77</v>
      </c>
      <c r="F63" s="11" t="s">
        <v>93</v>
      </c>
      <c r="G63" s="11">
        <v>-25</v>
      </c>
      <c r="H63" s="13">
        <f>C5</f>
        <v>328.8</v>
      </c>
      <c r="I63" s="13"/>
      <c r="J63" s="13">
        <f t="shared" si="26"/>
        <v>401.86664000000002</v>
      </c>
      <c r="K63" s="11" t="str">
        <f t="shared" ref="K63:K71" si="30">K62</f>
        <v>preço</v>
      </c>
      <c r="L63" s="20"/>
      <c r="M63" s="11"/>
      <c r="N63" s="16">
        <f t="shared" si="27"/>
        <v>48223.996800000001</v>
      </c>
      <c r="O63" s="16"/>
      <c r="P63" s="16"/>
      <c r="Q63" s="16"/>
      <c r="R63" s="16">
        <f>N63</f>
        <v>48223.996800000001</v>
      </c>
      <c r="S63" s="16"/>
      <c r="T63" s="16"/>
      <c r="U63" s="16"/>
      <c r="V63" s="16"/>
      <c r="W63" s="16"/>
      <c r="X63" s="16"/>
      <c r="Y63" s="44">
        <f t="shared" si="12"/>
        <v>0</v>
      </c>
    </row>
    <row r="64" spans="2:25" x14ac:dyDescent="0.2">
      <c r="B64" s="17" t="s">
        <v>31</v>
      </c>
      <c r="C64" s="22"/>
      <c r="D64" s="22">
        <v>10</v>
      </c>
      <c r="E64" s="22" t="s">
        <v>78</v>
      </c>
      <c r="F64" s="22" t="s">
        <v>93</v>
      </c>
      <c r="G64" s="22">
        <v>-25</v>
      </c>
      <c r="H64" s="23">
        <f t="shared" ref="H64:H68" si="31">H63</f>
        <v>328.8</v>
      </c>
      <c r="I64" s="23"/>
      <c r="J64" s="23">
        <f t="shared" si="26"/>
        <v>401.86664000000002</v>
      </c>
      <c r="K64" s="22" t="str">
        <f t="shared" si="30"/>
        <v>preço</v>
      </c>
      <c r="L64" s="24"/>
      <c r="M64" s="22"/>
      <c r="N64" s="18">
        <f t="shared" si="27"/>
        <v>4018.6664000000001</v>
      </c>
      <c r="O64" s="18"/>
      <c r="P64" s="18"/>
      <c r="Q64" s="18"/>
      <c r="R64" s="18">
        <f t="shared" ref="R64:R71" si="32">N64</f>
        <v>4018.6664000000001</v>
      </c>
      <c r="S64" s="18"/>
      <c r="T64" s="18"/>
      <c r="U64" s="18"/>
      <c r="V64" s="18"/>
      <c r="W64" s="18"/>
      <c r="X64" s="18"/>
      <c r="Y64" s="44">
        <f t="shared" si="12"/>
        <v>0</v>
      </c>
    </row>
    <row r="65" spans="2:25" x14ac:dyDescent="0.2">
      <c r="B65" s="9" t="s">
        <v>31</v>
      </c>
      <c r="C65" s="11"/>
      <c r="D65" s="11">
        <v>4</v>
      </c>
      <c r="E65" s="11" t="s">
        <v>79</v>
      </c>
      <c r="F65" s="11" t="s">
        <v>93</v>
      </c>
      <c r="G65" s="11">
        <v>-20</v>
      </c>
      <c r="H65" s="13">
        <f t="shared" si="31"/>
        <v>328.8</v>
      </c>
      <c r="I65" s="13"/>
      <c r="J65" s="13">
        <f t="shared" si="26"/>
        <v>408.48063999999999</v>
      </c>
      <c r="K65" s="11" t="str">
        <f t="shared" si="30"/>
        <v>preço</v>
      </c>
      <c r="L65" s="20"/>
      <c r="M65" s="11"/>
      <c r="N65" s="16">
        <f t="shared" si="27"/>
        <v>1633.92256</v>
      </c>
      <c r="O65" s="16"/>
      <c r="P65" s="16"/>
      <c r="Q65" s="16"/>
      <c r="R65" s="16">
        <f t="shared" si="32"/>
        <v>1633.92256</v>
      </c>
      <c r="S65" s="16"/>
      <c r="T65" s="16"/>
      <c r="U65" s="16"/>
      <c r="V65" s="16"/>
      <c r="W65" s="16"/>
      <c r="X65" s="16"/>
      <c r="Y65" s="44">
        <f t="shared" si="12"/>
        <v>0</v>
      </c>
    </row>
    <row r="66" spans="2:25" x14ac:dyDescent="0.2">
      <c r="B66" s="17" t="s">
        <v>31</v>
      </c>
      <c r="C66" s="22"/>
      <c r="D66" s="22">
        <v>407</v>
      </c>
      <c r="E66" s="22" t="s">
        <v>80</v>
      </c>
      <c r="F66" s="22" t="s">
        <v>93</v>
      </c>
      <c r="G66" s="22">
        <v>-80</v>
      </c>
      <c r="H66" s="23">
        <f t="shared" si="31"/>
        <v>328.8</v>
      </c>
      <c r="I66" s="23"/>
      <c r="J66" s="23">
        <f t="shared" si="26"/>
        <v>329.11264</v>
      </c>
      <c r="K66" s="22" t="str">
        <f t="shared" si="30"/>
        <v>preço</v>
      </c>
      <c r="L66" s="24"/>
      <c r="M66" s="22"/>
      <c r="N66" s="18">
        <f t="shared" si="27"/>
        <v>133948.84448</v>
      </c>
      <c r="O66" s="18"/>
      <c r="P66" s="18"/>
      <c r="Q66" s="18"/>
      <c r="R66" s="18">
        <f t="shared" si="32"/>
        <v>133948.84448</v>
      </c>
      <c r="S66" s="18"/>
      <c r="T66" s="18"/>
      <c r="U66" s="18"/>
      <c r="V66" s="18"/>
      <c r="W66" s="18"/>
      <c r="X66" s="18"/>
      <c r="Y66" s="44">
        <f t="shared" si="12"/>
        <v>0</v>
      </c>
    </row>
    <row r="67" spans="2:25" x14ac:dyDescent="0.2">
      <c r="B67" s="9" t="s">
        <v>31</v>
      </c>
      <c r="C67" s="11"/>
      <c r="D67" s="11">
        <v>43</v>
      </c>
      <c r="E67" s="11" t="s">
        <v>81</v>
      </c>
      <c r="F67" s="11" t="s">
        <v>93</v>
      </c>
      <c r="G67" s="11">
        <v>-30</v>
      </c>
      <c r="H67" s="13">
        <f t="shared" si="31"/>
        <v>328.8</v>
      </c>
      <c r="I67" s="13"/>
      <c r="J67" s="13">
        <f t="shared" si="26"/>
        <v>395.25263999999999</v>
      </c>
      <c r="K67" s="11" t="str">
        <f t="shared" si="30"/>
        <v>preço</v>
      </c>
      <c r="L67" s="20"/>
      <c r="M67" s="11"/>
      <c r="N67" s="16">
        <f t="shared" si="27"/>
        <v>16995.863519999999</v>
      </c>
      <c r="O67" s="16"/>
      <c r="P67" s="16"/>
      <c r="Q67" s="16"/>
      <c r="R67" s="16">
        <f t="shared" si="32"/>
        <v>16995.863519999999</v>
      </c>
      <c r="S67" s="16"/>
      <c r="T67" s="16"/>
      <c r="U67" s="16"/>
      <c r="V67" s="16"/>
      <c r="W67" s="16"/>
      <c r="X67" s="16"/>
      <c r="Y67" s="44">
        <f t="shared" si="12"/>
        <v>0</v>
      </c>
    </row>
    <row r="68" spans="2:25" x14ac:dyDescent="0.2">
      <c r="B68" s="17" t="s">
        <v>31</v>
      </c>
      <c r="C68" s="22"/>
      <c r="D68" s="22">
        <v>44</v>
      </c>
      <c r="E68" s="22" t="s">
        <v>82</v>
      </c>
      <c r="F68" s="22" t="s">
        <v>93</v>
      </c>
      <c r="G68" s="22">
        <v>-25</v>
      </c>
      <c r="H68" s="23">
        <f t="shared" si="31"/>
        <v>328.8</v>
      </c>
      <c r="I68" s="23"/>
      <c r="J68" s="23">
        <f t="shared" si="26"/>
        <v>401.86664000000002</v>
      </c>
      <c r="K68" s="22" t="str">
        <f t="shared" si="30"/>
        <v>preço</v>
      </c>
      <c r="L68" s="24"/>
      <c r="M68" s="22"/>
      <c r="N68" s="18">
        <f t="shared" si="27"/>
        <v>17682.132160000001</v>
      </c>
      <c r="O68" s="18"/>
      <c r="P68" s="18"/>
      <c r="Q68" s="18"/>
      <c r="R68" s="18">
        <f t="shared" si="32"/>
        <v>17682.132160000001</v>
      </c>
      <c r="S68" s="18"/>
      <c r="T68" s="18"/>
      <c r="U68" s="18"/>
      <c r="V68" s="18"/>
      <c r="W68" s="18"/>
      <c r="X68" s="18"/>
      <c r="Y68" s="44">
        <f t="shared" si="12"/>
        <v>0</v>
      </c>
    </row>
    <row r="69" spans="2:25" x14ac:dyDescent="0.2">
      <c r="B69" s="9" t="s">
        <v>31</v>
      </c>
      <c r="C69" s="11"/>
      <c r="D69" s="11">
        <v>110</v>
      </c>
      <c r="E69" s="11" t="s">
        <v>83</v>
      </c>
      <c r="F69" s="11" t="s">
        <v>93</v>
      </c>
      <c r="G69" s="11">
        <v>-120</v>
      </c>
      <c r="H69" s="13">
        <f>H68</f>
        <v>328.8</v>
      </c>
      <c r="I69" s="13"/>
      <c r="J69" s="13">
        <f t="shared" si="26"/>
        <v>276.20064000000002</v>
      </c>
      <c r="K69" s="11" t="str">
        <f t="shared" si="30"/>
        <v>preço</v>
      </c>
      <c r="L69" s="20"/>
      <c r="M69" s="11"/>
      <c r="N69" s="16">
        <f t="shared" si="27"/>
        <v>30382.070400000004</v>
      </c>
      <c r="O69" s="16"/>
      <c r="P69" s="16"/>
      <c r="Q69" s="16"/>
      <c r="R69" s="16">
        <f t="shared" si="32"/>
        <v>30382.070400000004</v>
      </c>
      <c r="S69" s="16"/>
      <c r="T69" s="16"/>
      <c r="U69" s="16"/>
      <c r="V69" s="16"/>
      <c r="W69" s="16"/>
      <c r="X69" s="16"/>
      <c r="Y69" s="44">
        <f t="shared" si="12"/>
        <v>0</v>
      </c>
    </row>
    <row r="70" spans="2:25" x14ac:dyDescent="0.2">
      <c r="B70" s="17" t="s">
        <v>31</v>
      </c>
      <c r="C70" s="22"/>
      <c r="D70" s="22">
        <v>1030</v>
      </c>
      <c r="E70" s="22" t="s">
        <v>84</v>
      </c>
      <c r="F70" s="22" t="s">
        <v>93</v>
      </c>
      <c r="G70" s="22">
        <v>-150</v>
      </c>
      <c r="H70" s="23">
        <f>H69</f>
        <v>328.8</v>
      </c>
      <c r="I70" s="23"/>
      <c r="J70" s="23">
        <f t="shared" si="26"/>
        <v>236.51664000000002</v>
      </c>
      <c r="K70" s="22" t="str">
        <f t="shared" si="30"/>
        <v>preço</v>
      </c>
      <c r="L70" s="24"/>
      <c r="M70" s="22"/>
      <c r="N70" s="18">
        <f t="shared" si="27"/>
        <v>243612.13920000003</v>
      </c>
      <c r="O70" s="18"/>
      <c r="P70" s="18"/>
      <c r="Q70" s="18"/>
      <c r="R70" s="18">
        <f t="shared" si="32"/>
        <v>243612.13920000003</v>
      </c>
      <c r="S70" s="18"/>
      <c r="T70" s="18"/>
      <c r="U70" s="18"/>
      <c r="V70" s="18"/>
      <c r="W70" s="18"/>
      <c r="X70" s="18"/>
      <c r="Y70" s="44">
        <f t="shared" si="12"/>
        <v>0</v>
      </c>
    </row>
    <row r="71" spans="2:25" x14ac:dyDescent="0.2">
      <c r="B71" s="9" t="s">
        <v>31</v>
      </c>
      <c r="C71" s="11"/>
      <c r="D71" s="11">
        <v>540</v>
      </c>
      <c r="E71" s="11" t="s">
        <v>85</v>
      </c>
      <c r="F71" s="11" t="s">
        <v>93</v>
      </c>
      <c r="G71" s="11">
        <v>-80</v>
      </c>
      <c r="H71" s="13">
        <f>H70</f>
        <v>328.8</v>
      </c>
      <c r="I71" s="13"/>
      <c r="J71" s="13">
        <f t="shared" si="26"/>
        <v>329.11264</v>
      </c>
      <c r="K71" s="11" t="str">
        <f t="shared" si="30"/>
        <v>preço</v>
      </c>
      <c r="L71" s="20"/>
      <c r="M71" s="11"/>
      <c r="N71" s="16">
        <f t="shared" si="27"/>
        <v>177720.82560000001</v>
      </c>
      <c r="O71" s="16"/>
      <c r="P71" s="16"/>
      <c r="Q71" s="16"/>
      <c r="R71" s="16">
        <f t="shared" si="32"/>
        <v>177720.82560000001</v>
      </c>
      <c r="S71" s="16"/>
      <c r="T71" s="16"/>
      <c r="U71" s="16"/>
      <c r="V71" s="16"/>
      <c r="W71" s="16"/>
      <c r="X71" s="16"/>
      <c r="Y71" s="44">
        <f t="shared" si="12"/>
        <v>0</v>
      </c>
    </row>
    <row r="72" spans="2:25" x14ac:dyDescent="0.2">
      <c r="B72" s="3" t="s">
        <v>40</v>
      </c>
      <c r="C72" s="3"/>
      <c r="D72" s="5">
        <f>SUM(D59:D71)</f>
        <v>2938</v>
      </c>
      <c r="E72" s="5"/>
      <c r="F72" s="5"/>
      <c r="G72" s="5"/>
      <c r="H72" s="5"/>
      <c r="I72" s="5"/>
      <c r="J72" s="49"/>
      <c r="K72" s="5"/>
      <c r="L72" s="5"/>
      <c r="M72" s="5"/>
      <c r="N72" s="7">
        <f t="shared" ref="N72:X72" si="33">SUM(N59:N71)</f>
        <v>933016.34432000003</v>
      </c>
      <c r="O72" s="7">
        <f t="shared" si="33"/>
        <v>0</v>
      </c>
      <c r="P72" s="7">
        <f t="shared" si="33"/>
        <v>0</v>
      </c>
      <c r="Q72" s="7">
        <f t="shared" si="33"/>
        <v>0</v>
      </c>
      <c r="R72" s="7">
        <f t="shared" si="33"/>
        <v>802612.60384000011</v>
      </c>
      <c r="S72" s="7">
        <f t="shared" si="33"/>
        <v>0</v>
      </c>
      <c r="T72" s="7">
        <f t="shared" si="33"/>
        <v>0</v>
      </c>
      <c r="U72" s="7">
        <f t="shared" si="33"/>
        <v>125105.13280000001</v>
      </c>
      <c r="V72" s="7">
        <f t="shared" si="33"/>
        <v>0</v>
      </c>
      <c r="W72" s="7">
        <f t="shared" si="33"/>
        <v>0</v>
      </c>
      <c r="X72" s="7">
        <f t="shared" si="33"/>
        <v>0</v>
      </c>
      <c r="Y72" s="45"/>
    </row>
    <row r="74" spans="2:25" x14ac:dyDescent="0.2">
      <c r="B74" s="9" t="s">
        <v>86</v>
      </c>
    </row>
    <row r="76" spans="2:25" x14ac:dyDescent="0.2">
      <c r="B76" s="40" t="s">
        <v>60</v>
      </c>
      <c r="C76" s="41"/>
      <c r="D76" s="41"/>
      <c r="E76" s="41"/>
      <c r="F76" s="41"/>
      <c r="G76" s="41"/>
      <c r="H76" s="41"/>
      <c r="I76" s="41"/>
      <c r="J76" s="41"/>
    </row>
    <row r="77" spans="2:25" x14ac:dyDescent="0.2">
      <c r="D77" s="34">
        <f>37500/60*0.4536</f>
        <v>283.5</v>
      </c>
      <c r="E77" s="34"/>
      <c r="F77" s="34"/>
    </row>
    <row r="78" spans="2:25" x14ac:dyDescent="0.2">
      <c r="B78" s="14" t="s">
        <v>16</v>
      </c>
      <c r="C78" s="14" t="s">
        <v>15</v>
      </c>
      <c r="D78" s="8" t="s">
        <v>14</v>
      </c>
      <c r="E78" s="8"/>
      <c r="F78" s="8"/>
      <c r="G78" s="8" t="s">
        <v>46</v>
      </c>
      <c r="H78" s="8" t="s">
        <v>23</v>
      </c>
      <c r="I78" s="8" t="s">
        <v>51</v>
      </c>
      <c r="J78" s="8" t="s">
        <v>50</v>
      </c>
      <c r="K78" s="8"/>
      <c r="L78" s="8" t="s">
        <v>52</v>
      </c>
      <c r="M78" s="8" t="s">
        <v>49</v>
      </c>
      <c r="N78" s="31" t="s">
        <v>19</v>
      </c>
      <c r="O78" s="15">
        <f t="shared" ref="O78:X78" si="34">O27</f>
        <v>45536</v>
      </c>
      <c r="P78" s="15">
        <f t="shared" si="34"/>
        <v>45566</v>
      </c>
      <c r="Q78" s="15">
        <f t="shared" si="34"/>
        <v>45597</v>
      </c>
      <c r="R78" s="15">
        <f t="shared" si="34"/>
        <v>45627</v>
      </c>
      <c r="S78" s="15">
        <f t="shared" si="34"/>
        <v>45658</v>
      </c>
      <c r="T78" s="15">
        <f t="shared" si="34"/>
        <v>45689</v>
      </c>
      <c r="U78" s="15">
        <f t="shared" si="34"/>
        <v>45717</v>
      </c>
      <c r="V78" s="15">
        <f t="shared" si="34"/>
        <v>45748</v>
      </c>
      <c r="W78" s="15">
        <f t="shared" si="34"/>
        <v>45778</v>
      </c>
      <c r="X78" s="15" t="str">
        <f t="shared" si="34"/>
        <v>em aberto</v>
      </c>
      <c r="Y78" s="43"/>
    </row>
    <row r="79" spans="2:25" x14ac:dyDescent="0.2">
      <c r="B79" s="9" t="s">
        <v>48</v>
      </c>
      <c r="C79" s="11" t="s">
        <v>45</v>
      </c>
      <c r="D79" s="21">
        <f t="shared" ref="D79:D85" si="35">$D$77*G79</f>
        <v>1304.0999999999999</v>
      </c>
      <c r="E79" s="21"/>
      <c r="F79" s="21"/>
      <c r="G79" s="13">
        <v>4.5999999999999996</v>
      </c>
      <c r="H79" s="13">
        <v>191.55</v>
      </c>
      <c r="I79" s="13">
        <v>241.4</v>
      </c>
      <c r="J79" s="11"/>
      <c r="K79" s="33"/>
      <c r="L79" s="35">
        <v>5.2268999999999997</v>
      </c>
      <c r="M79" s="33">
        <v>45405</v>
      </c>
      <c r="N79" s="36">
        <f>IF(J79&gt;0,(H79*J79-I79*L79)*$J$26*D79,(H79-I79)*$J$26*L79*D79)/$G$9</f>
        <v>-77369.320679926052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44"/>
    </row>
    <row r="80" spans="2:25" x14ac:dyDescent="0.2">
      <c r="B80" s="9" t="s">
        <v>47</v>
      </c>
      <c r="C80" s="11" t="s">
        <v>44</v>
      </c>
      <c r="D80" s="21">
        <f t="shared" si="35"/>
        <v>567</v>
      </c>
      <c r="E80" s="21"/>
      <c r="F80" s="21"/>
      <c r="G80" s="13">
        <v>2</v>
      </c>
      <c r="H80" s="13">
        <v>226.05</v>
      </c>
      <c r="I80" s="13">
        <v>239.9</v>
      </c>
      <c r="J80" s="11"/>
      <c r="K80" s="33"/>
      <c r="L80" s="35">
        <v>5.4650999999999996</v>
      </c>
      <c r="M80" s="33">
        <v>45520</v>
      </c>
      <c r="N80" s="36">
        <f>IF(J80&gt;0,(H80*J80-I80*L80)*$J$26*D80,(H80-I80)*$J$26*L80*D80)/$G$9</f>
        <v>-9771.9104876913698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44"/>
    </row>
    <row r="81" spans="2:25" x14ac:dyDescent="0.2">
      <c r="B81" s="9" t="s">
        <v>47</v>
      </c>
      <c r="C81" s="11">
        <v>507185025</v>
      </c>
      <c r="D81" s="21">
        <f t="shared" si="35"/>
        <v>3118.5</v>
      </c>
      <c r="E81" s="21"/>
      <c r="F81" s="21"/>
      <c r="G81" s="13">
        <v>11</v>
      </c>
      <c r="H81" s="13">
        <v>183.6</v>
      </c>
      <c r="I81" s="11">
        <v>263.55</v>
      </c>
      <c r="J81" s="11">
        <v>4.9850000000000003</v>
      </c>
      <c r="K81" s="33"/>
      <c r="L81" s="35">
        <v>5.7694000000000001</v>
      </c>
      <c r="M81" s="33">
        <v>45608</v>
      </c>
      <c r="N81" s="36">
        <f>IF(J81&gt;0,(H81*J81-I81*L81)*$J$26*D81,(H81-I81)*$J$26*L81*D81)/$G$9</f>
        <v>-429783.91245312983</v>
      </c>
      <c r="O81" s="11"/>
      <c r="P81" s="11"/>
      <c r="Q81" s="37">
        <f>N81</f>
        <v>-429783.91245312983</v>
      </c>
      <c r="R81" s="11"/>
      <c r="S81" s="11"/>
      <c r="T81" s="11"/>
      <c r="U81" s="11"/>
      <c r="V81" s="11"/>
      <c r="W81" s="11"/>
      <c r="X81" s="11"/>
      <c r="Y81" s="44"/>
    </row>
    <row r="82" spans="2:25" x14ac:dyDescent="0.2">
      <c r="B82" s="9" t="s">
        <v>47</v>
      </c>
      <c r="C82" s="11">
        <v>507224803</v>
      </c>
      <c r="D82" s="21">
        <f t="shared" si="35"/>
        <v>5103</v>
      </c>
      <c r="E82" s="21"/>
      <c r="F82" s="21"/>
      <c r="G82" s="13">
        <v>18</v>
      </c>
      <c r="H82" s="13">
        <v>158.4</v>
      </c>
      <c r="I82" s="11">
        <v>263.55</v>
      </c>
      <c r="J82" s="11">
        <v>4.9850000000000003</v>
      </c>
      <c r="K82" s="33"/>
      <c r="L82" s="35">
        <v>5.7694000000000001</v>
      </c>
      <c r="M82" s="33">
        <v>45608</v>
      </c>
      <c r="N82" s="36">
        <f>IF(J82&gt;0,(H82*J82-I82*L82)*$J$26*D82,(H82-I82)*$J$26*L82*D82)/$G$9</f>
        <v>-849244.76617183594</v>
      </c>
      <c r="O82" s="11"/>
      <c r="P82" s="11"/>
      <c r="Q82" s="37">
        <f>N82</f>
        <v>-849244.76617183594</v>
      </c>
      <c r="R82" s="11"/>
      <c r="S82" s="11"/>
      <c r="T82" s="11"/>
      <c r="U82" s="11"/>
      <c r="V82" s="11"/>
      <c r="W82" s="11"/>
      <c r="X82" s="11"/>
      <c r="Y82" s="44"/>
    </row>
    <row r="83" spans="2:25" x14ac:dyDescent="0.2">
      <c r="B83" s="9" t="s">
        <v>48</v>
      </c>
      <c r="C83" s="11">
        <v>43136</v>
      </c>
      <c r="D83" s="21">
        <f t="shared" si="35"/>
        <v>640.70999999999992</v>
      </c>
      <c r="E83" s="21"/>
      <c r="F83" s="21"/>
      <c r="G83" s="13">
        <v>2.2599999999999998</v>
      </c>
      <c r="H83" s="13">
        <v>245</v>
      </c>
      <c r="I83" s="11">
        <v>251.05</v>
      </c>
      <c r="J83" s="11"/>
      <c r="K83" s="33"/>
      <c r="L83" s="35">
        <v>5.726</v>
      </c>
      <c r="M83" s="33">
        <v>45615</v>
      </c>
      <c r="N83" s="36">
        <f>IF(J83&gt;0,(H83*J83-I83*L83)*$J$26*D83,(H83-I83)*$J$26*L83*D83)/$G$9</f>
        <v>-5053.7849234880332</v>
      </c>
      <c r="O83" s="11"/>
      <c r="P83" s="11"/>
      <c r="Q83" s="37">
        <f>N83</f>
        <v>-5053.7849234880332</v>
      </c>
      <c r="R83" s="11"/>
      <c r="S83" s="11"/>
      <c r="T83" s="11"/>
      <c r="U83" s="11"/>
      <c r="V83" s="11"/>
      <c r="W83" s="11"/>
      <c r="X83" s="11"/>
      <c r="Y83" s="44"/>
    </row>
    <row r="84" spans="2:25" x14ac:dyDescent="0.2">
      <c r="B84" s="9" t="s">
        <v>48</v>
      </c>
      <c r="C84" s="11">
        <v>44564</v>
      </c>
      <c r="D84" s="21">
        <f t="shared" si="35"/>
        <v>320.35499999999996</v>
      </c>
      <c r="E84" s="21"/>
      <c r="F84" s="21"/>
      <c r="G84" s="13">
        <v>1.1299999999999999</v>
      </c>
      <c r="H84" s="13">
        <v>231.1</v>
      </c>
      <c r="I84" s="11">
        <v>251.05</v>
      </c>
      <c r="J84" s="11"/>
      <c r="K84" s="33"/>
      <c r="L84" s="35">
        <v>5.726</v>
      </c>
      <c r="M84" s="33">
        <v>45615</v>
      </c>
      <c r="N84" s="36">
        <f>IF(J84&gt;0,(H84*J84-I84*L84)*$J$26*D84,(H84-I84)*$J$26*L84*D84)/$G$9</f>
        <v>-8332.4801011228246</v>
      </c>
      <c r="O84" s="11"/>
      <c r="P84" s="11"/>
      <c r="Q84" s="37">
        <f>N84</f>
        <v>-8332.4801011228246</v>
      </c>
      <c r="R84" s="11"/>
      <c r="S84" s="11"/>
      <c r="T84" s="11"/>
      <c r="U84" s="11"/>
      <c r="V84" s="11"/>
      <c r="W84" s="11"/>
      <c r="X84" s="11"/>
      <c r="Y84" s="44"/>
    </row>
    <row r="85" spans="2:25" x14ac:dyDescent="0.2">
      <c r="B85" s="9" t="s">
        <v>48</v>
      </c>
      <c r="C85" s="11">
        <v>47900</v>
      </c>
      <c r="D85" s="21">
        <f t="shared" si="35"/>
        <v>640.70999999999992</v>
      </c>
      <c r="E85" s="21"/>
      <c r="F85" s="21"/>
      <c r="G85" s="13">
        <v>2.2599999999999998</v>
      </c>
      <c r="H85" s="13">
        <v>243.16</v>
      </c>
      <c r="I85" s="11">
        <v>280.75</v>
      </c>
      <c r="J85" s="11"/>
      <c r="K85" s="33"/>
      <c r="L85" s="35">
        <v>5.7603</v>
      </c>
      <c r="M85" s="33">
        <v>45615</v>
      </c>
      <c r="N85" s="36">
        <f>IF(J85&gt;0,(H85*J85-I85*L85)*$J$26*D85,(H85-I85)*$J$26*L85*D85)/$G$9</f>
        <v>-31588.388100972843</v>
      </c>
      <c r="O85" s="11"/>
      <c r="P85" s="11"/>
      <c r="Q85" s="37">
        <f>N85</f>
        <v>-31588.388100972843</v>
      </c>
      <c r="R85" s="11"/>
      <c r="S85" s="11"/>
      <c r="T85" s="11"/>
      <c r="U85" s="11"/>
      <c r="V85" s="11"/>
      <c r="W85" s="11"/>
      <c r="X85" s="11"/>
      <c r="Y85" s="44"/>
    </row>
    <row r="86" spans="2:25" x14ac:dyDescent="0.2">
      <c r="B86" s="3" t="s">
        <v>62</v>
      </c>
      <c r="C86" s="3"/>
      <c r="D86" s="4">
        <f>SUM(D79:D85)</f>
        <v>11694.374999999998</v>
      </c>
      <c r="E86" s="4"/>
      <c r="F86" s="4"/>
      <c r="G86" s="5"/>
      <c r="H86" s="5"/>
      <c r="I86" s="5"/>
      <c r="J86" s="5"/>
      <c r="K86" s="5"/>
      <c r="L86" s="5"/>
      <c r="M86" s="5"/>
      <c r="N86" s="7">
        <f t="shared" ref="N86" si="36">SUM(N76:N85)</f>
        <v>-1411144.5629181669</v>
      </c>
      <c r="O86" s="7"/>
      <c r="P86" s="7"/>
      <c r="Q86" s="7">
        <f t="shared" ref="Q86" si="37">SUM(Q76:Q85)</f>
        <v>-1278406.3317505494</v>
      </c>
      <c r="R86" s="7"/>
      <c r="S86" s="7"/>
      <c r="T86" s="7"/>
      <c r="U86" s="7"/>
      <c r="V86" s="7"/>
      <c r="W86" s="7"/>
      <c r="X86" s="7"/>
      <c r="Y86" s="44"/>
    </row>
    <row r="87" spans="2:25" x14ac:dyDescent="0.2">
      <c r="B87" s="1"/>
      <c r="C87" s="1"/>
      <c r="D87" s="2"/>
      <c r="E87" s="2"/>
      <c r="F87" s="2"/>
      <c r="G87" s="6"/>
      <c r="H87" s="6"/>
      <c r="I87" s="6"/>
      <c r="J87" s="6"/>
      <c r="K87" s="6"/>
      <c r="L87" s="9" t="s">
        <v>41</v>
      </c>
      <c r="M87" s="47" t="s">
        <v>34</v>
      </c>
      <c r="N87" s="19">
        <f>N86*$G$9</f>
        <v>-8198174.5022272961</v>
      </c>
      <c r="O87" s="19">
        <f>O86*$G$9</f>
        <v>0</v>
      </c>
      <c r="P87" s="19">
        <f>P86*$G$9</f>
        <v>0</v>
      </c>
      <c r="Q87" s="19">
        <f>Q86*$G$9</f>
        <v>-7427019.5044864863</v>
      </c>
      <c r="R87" s="19">
        <f>R86*$G$9</f>
        <v>0</v>
      </c>
      <c r="S87" s="19">
        <f>S86*$G$9</f>
        <v>0</v>
      </c>
      <c r="T87" s="19">
        <f>T86*$G$9</f>
        <v>0</v>
      </c>
      <c r="U87" s="19">
        <f>U86*$G$9</f>
        <v>0</v>
      </c>
      <c r="V87" s="19">
        <f>V86*$G$9</f>
        <v>0</v>
      </c>
      <c r="W87" s="19">
        <f>W86*$G$9</f>
        <v>0</v>
      </c>
      <c r="X87" s="19">
        <f>X86*$G$9</f>
        <v>0</v>
      </c>
    </row>
    <row r="88" spans="2:25" x14ac:dyDescent="0.2">
      <c r="B88" s="40" t="s">
        <v>61</v>
      </c>
      <c r="C88" s="42"/>
      <c r="D88" s="42"/>
      <c r="E88" s="42"/>
      <c r="F88" s="42"/>
      <c r="G88" s="42"/>
      <c r="H88" s="42"/>
      <c r="I88" s="41"/>
      <c r="J88" s="42"/>
      <c r="K88" s="33"/>
      <c r="M88" s="33"/>
      <c r="N88" s="36"/>
      <c r="O88" s="11"/>
      <c r="P88" s="11"/>
      <c r="Q88" s="37"/>
      <c r="R88" s="11"/>
      <c r="S88" s="11"/>
      <c r="T88" s="11"/>
      <c r="U88" s="11"/>
      <c r="V88" s="11"/>
      <c r="W88" s="11"/>
      <c r="X88" s="11"/>
      <c r="Y88" s="44"/>
    </row>
    <row r="89" spans="2:25" x14ac:dyDescent="0.2">
      <c r="C89" s="11"/>
      <c r="D89" s="21"/>
      <c r="E89" s="21"/>
      <c r="F89" s="21"/>
      <c r="G89" s="13"/>
      <c r="H89" s="11"/>
      <c r="I89" s="11"/>
      <c r="J89" s="11"/>
      <c r="K89" s="33"/>
      <c r="L89" s="11"/>
      <c r="M89" s="33"/>
      <c r="N89" s="36"/>
      <c r="O89" s="11"/>
      <c r="P89" s="11"/>
      <c r="Q89" s="37"/>
      <c r="R89" s="11"/>
      <c r="S89" s="11"/>
      <c r="T89" s="11"/>
      <c r="U89" s="11"/>
      <c r="V89" s="11"/>
      <c r="W89" s="11"/>
      <c r="X89" s="11"/>
      <c r="Y89" s="44"/>
    </row>
    <row r="90" spans="2:25" x14ac:dyDescent="0.2">
      <c r="B90" s="9" t="s">
        <v>48</v>
      </c>
      <c r="C90" s="11"/>
      <c r="D90" s="21">
        <f t="shared" ref="D90:D95" si="38">$D$77*G90</f>
        <v>961.06500000000005</v>
      </c>
      <c r="E90" s="21"/>
      <c r="F90" s="21"/>
      <c r="G90" s="13">
        <v>3.39</v>
      </c>
      <c r="H90" s="13">
        <v>293.60000000000002</v>
      </c>
      <c r="I90" s="13">
        <f>C6</f>
        <v>326</v>
      </c>
      <c r="J90" s="11"/>
      <c r="K90" s="33"/>
      <c r="L90" s="11"/>
      <c r="M90" s="33">
        <v>45708</v>
      </c>
      <c r="N90" s="36">
        <f>IF(J90&gt;0,(H90*J90-I90*L90)*$J$26*D90,(H90-I90)*$J$26*L90*D90)/$G$9</f>
        <v>0</v>
      </c>
      <c r="O90" s="11"/>
      <c r="P90" s="11"/>
      <c r="Q90" s="37"/>
      <c r="R90" s="11"/>
      <c r="S90" s="11"/>
      <c r="T90" s="37">
        <f>N90</f>
        <v>0</v>
      </c>
      <c r="U90" s="37"/>
      <c r="V90" s="11"/>
      <c r="W90" s="11"/>
      <c r="X90" s="11"/>
      <c r="Y90" s="44"/>
    </row>
    <row r="91" spans="2:25" x14ac:dyDescent="0.2">
      <c r="B91" s="9" t="s">
        <v>48</v>
      </c>
      <c r="C91" s="11">
        <v>47898</v>
      </c>
      <c r="D91" s="21">
        <f t="shared" si="38"/>
        <v>1601.7750000000001</v>
      </c>
      <c r="E91" s="21"/>
      <c r="F91" s="21"/>
      <c r="G91" s="13">
        <v>5.65</v>
      </c>
      <c r="H91" s="13">
        <v>240.91</v>
      </c>
      <c r="I91" s="13">
        <f>C6</f>
        <v>326</v>
      </c>
      <c r="J91" s="11"/>
      <c r="K91" s="33"/>
      <c r="L91" s="35">
        <f>G9</f>
        <v>5.8095922399856299</v>
      </c>
      <c r="M91" s="33">
        <v>45708</v>
      </c>
      <c r="N91" s="36">
        <f>IF(J91&gt;0,(H91*J91-I91*L91)*$J$26*D91,(H91-I91)*$J$26*L91*D91)/$G$9</f>
        <v>-180291.0719673</v>
      </c>
      <c r="O91" s="11"/>
      <c r="P91" s="11"/>
      <c r="Q91" s="11"/>
      <c r="R91" s="11"/>
      <c r="S91" s="11"/>
      <c r="T91" s="37">
        <f>N91</f>
        <v>-180291.0719673</v>
      </c>
      <c r="U91" s="11"/>
      <c r="V91" s="11"/>
      <c r="W91" s="11"/>
      <c r="X91" s="11"/>
      <c r="Y91" s="44"/>
    </row>
    <row r="92" spans="2:25" x14ac:dyDescent="0.2">
      <c r="B92" s="9" t="s">
        <v>48</v>
      </c>
      <c r="C92" s="11">
        <v>47899</v>
      </c>
      <c r="D92" s="21">
        <f t="shared" si="38"/>
        <v>640.70999999999992</v>
      </c>
      <c r="E92" s="21"/>
      <c r="F92" s="21"/>
      <c r="G92" s="13">
        <v>2.2599999999999998</v>
      </c>
      <c r="H92" s="13">
        <v>238.17</v>
      </c>
      <c r="I92" s="13">
        <f>C7</f>
        <v>323.35000000000002</v>
      </c>
      <c r="J92" s="11"/>
      <c r="K92" s="33"/>
      <c r="L92" s="35">
        <f>L91</f>
        <v>5.8095922399856299</v>
      </c>
      <c r="M92" s="33">
        <v>45769</v>
      </c>
      <c r="N92" s="36">
        <f>IF(J92&gt;0,(H92*J92-I92*L92)*$J$26*D92,(H92-I92)*$J$26*L92*D92)/$G$9</f>
        <v>-72192.706593840019</v>
      </c>
      <c r="O92" s="11"/>
      <c r="P92" s="11"/>
      <c r="Q92" s="11"/>
      <c r="R92" s="11"/>
      <c r="S92" s="11"/>
      <c r="T92" s="11"/>
      <c r="U92" s="11"/>
      <c r="V92" s="37">
        <f>N92</f>
        <v>-72192.706593840019</v>
      </c>
      <c r="W92" s="11"/>
      <c r="X92" s="11"/>
      <c r="Y92" s="44"/>
    </row>
    <row r="93" spans="2:25" x14ac:dyDescent="0.2">
      <c r="B93" s="9" t="s">
        <v>48</v>
      </c>
      <c r="C93" s="11">
        <v>25852</v>
      </c>
      <c r="D93" s="21">
        <f t="shared" si="38"/>
        <v>5017.95</v>
      </c>
      <c r="E93" s="21"/>
      <c r="F93" s="21"/>
      <c r="G93" s="13">
        <v>17.7</v>
      </c>
      <c r="H93" s="13">
        <v>179</v>
      </c>
      <c r="I93" s="13">
        <f>F7</f>
        <v>303.55</v>
      </c>
      <c r="J93" s="11"/>
      <c r="K93" s="33"/>
      <c r="L93" s="35">
        <f>L92</f>
        <v>5.8095922399856299</v>
      </c>
      <c r="M93" s="33">
        <v>45973</v>
      </c>
      <c r="N93" s="36">
        <f>IF(J93&gt;0,(H93*J93-I93*L93)*$J$26*D93,(H93-I93)*$J$26*L93*D93)/$G$9</f>
        <v>-826731.04758300004</v>
      </c>
      <c r="O93" s="11"/>
      <c r="P93" s="11"/>
      <c r="Q93" s="11"/>
      <c r="R93" s="11"/>
      <c r="S93" s="11"/>
      <c r="T93" s="11"/>
      <c r="U93" s="11"/>
      <c r="V93" s="11"/>
      <c r="W93" s="11"/>
      <c r="X93" s="37">
        <f>N93</f>
        <v>-826731.04758300004</v>
      </c>
      <c r="Y93" s="44"/>
    </row>
    <row r="94" spans="2:25" x14ac:dyDescent="0.2">
      <c r="B94" s="9" t="s">
        <v>47</v>
      </c>
      <c r="C94" s="11">
        <v>507931308</v>
      </c>
      <c r="D94" s="21">
        <f t="shared" si="38"/>
        <v>1984.5</v>
      </c>
      <c r="E94" s="21"/>
      <c r="F94" s="21"/>
      <c r="G94" s="13">
        <v>7</v>
      </c>
      <c r="H94" s="13">
        <v>196.1</v>
      </c>
      <c r="I94" s="13">
        <f>I93</f>
        <v>303.55</v>
      </c>
      <c r="J94" s="11"/>
      <c r="K94" s="33"/>
      <c r="L94" s="35">
        <f>L93</f>
        <v>5.8095922399856299</v>
      </c>
      <c r="M94" s="33">
        <v>45973</v>
      </c>
      <c r="N94" s="36">
        <f>IF(J94&gt;0,(H94*J94-I94*L94)*$J$26*D94,(H94-I94)*$J$26*L94*D94)/$G$9</f>
        <v>-282066.62967000005</v>
      </c>
      <c r="O94" s="11"/>
      <c r="P94" s="11"/>
      <c r="Q94" s="11"/>
      <c r="R94" s="11"/>
      <c r="S94" s="11"/>
      <c r="T94" s="11"/>
      <c r="U94" s="11"/>
      <c r="V94" s="11"/>
      <c r="W94" s="11"/>
      <c r="X94" s="37">
        <f>N94</f>
        <v>-282066.62967000005</v>
      </c>
      <c r="Y94" s="44"/>
    </row>
    <row r="95" spans="2:25" x14ac:dyDescent="0.2">
      <c r="B95" s="9" t="s">
        <v>48</v>
      </c>
      <c r="C95" s="11">
        <v>47616</v>
      </c>
      <c r="D95" s="21">
        <f t="shared" si="38"/>
        <v>3005.1</v>
      </c>
      <c r="E95" s="21"/>
      <c r="F95" s="21"/>
      <c r="G95" s="13">
        <v>10.6</v>
      </c>
      <c r="H95" s="13">
        <v>222.2</v>
      </c>
      <c r="I95" s="13">
        <f>I94</f>
        <v>303.55</v>
      </c>
      <c r="J95" s="11"/>
      <c r="K95" s="33"/>
      <c r="L95" s="35">
        <f>L94</f>
        <v>5.8095922399856299</v>
      </c>
      <c r="M95" s="33">
        <v>45980</v>
      </c>
      <c r="N95" s="36">
        <f>IF(J95&gt;0,(H95*J95-I95*L95)*$J$26*D95,(H95-I95)*$J$26*L95*D95)/$G$9</f>
        <v>-323378.14987800008</v>
      </c>
      <c r="O95" s="11"/>
      <c r="P95" s="11"/>
      <c r="Q95" s="11"/>
      <c r="R95" s="11"/>
      <c r="S95" s="11"/>
      <c r="T95" s="11"/>
      <c r="U95" s="11"/>
      <c r="V95" s="11"/>
      <c r="W95" s="11"/>
      <c r="X95" s="37">
        <f>N95</f>
        <v>-323378.14987800008</v>
      </c>
      <c r="Y95" s="44"/>
    </row>
    <row r="96" spans="2:25" x14ac:dyDescent="0.2">
      <c r="B96" s="3" t="s">
        <v>63</v>
      </c>
      <c r="C96" s="3"/>
      <c r="D96" s="4">
        <f>SUM(D91:D95)</f>
        <v>12250.035</v>
      </c>
      <c r="E96" s="4"/>
      <c r="F96" s="4"/>
      <c r="G96" s="5"/>
      <c r="H96" s="5"/>
      <c r="I96" s="48"/>
      <c r="J96" s="5"/>
      <c r="K96" s="5"/>
      <c r="L96" s="5"/>
      <c r="M96" s="5"/>
      <c r="N96" s="7">
        <f>SUM(N89:N95)</f>
        <v>-1684659.6056921401</v>
      </c>
      <c r="O96" s="7"/>
      <c r="P96" s="7"/>
      <c r="Q96" s="7"/>
      <c r="R96" s="7"/>
      <c r="S96" s="7"/>
      <c r="T96" s="7">
        <f>SUM(T89:T95)</f>
        <v>-180291.0719673</v>
      </c>
      <c r="U96" s="7"/>
      <c r="V96" s="7">
        <f>SUM(V89:V95)</f>
        <v>-72192.706593840019</v>
      </c>
      <c r="W96" s="7"/>
      <c r="X96" s="7">
        <f>SUM(X89:X95)</f>
        <v>-1432175.8271310001</v>
      </c>
      <c r="Y96" s="44"/>
    </row>
    <row r="97" spans="2:25" x14ac:dyDescent="0.2">
      <c r="L97" s="9" t="s">
        <v>41</v>
      </c>
      <c r="M97" s="47" t="s">
        <v>34</v>
      </c>
      <c r="N97" s="19">
        <f t="shared" ref="N97:X97" si="39">N96*$G$9</f>
        <v>-9787185.3722463083</v>
      </c>
      <c r="O97" s="19">
        <f t="shared" si="39"/>
        <v>0</v>
      </c>
      <c r="P97" s="19">
        <f t="shared" si="39"/>
        <v>0</v>
      </c>
      <c r="Q97" s="19">
        <f t="shared" si="39"/>
        <v>0</v>
      </c>
      <c r="R97" s="19">
        <f t="shared" si="39"/>
        <v>0</v>
      </c>
      <c r="S97" s="19">
        <f t="shared" si="39"/>
        <v>0</v>
      </c>
      <c r="T97" s="19">
        <f t="shared" si="39"/>
        <v>-1047417.6126399168</v>
      </c>
      <c r="U97" s="19">
        <f t="shared" si="39"/>
        <v>0</v>
      </c>
      <c r="V97" s="19">
        <f t="shared" si="39"/>
        <v>-419410.18801113241</v>
      </c>
      <c r="W97" s="19">
        <f t="shared" si="39"/>
        <v>0</v>
      </c>
      <c r="X97" s="19">
        <f t="shared" si="39"/>
        <v>-8320357.571595259</v>
      </c>
      <c r="Y97" s="44"/>
    </row>
    <row r="98" spans="2:25" x14ac:dyDescent="0.2">
      <c r="B98" s="9" t="s">
        <v>73</v>
      </c>
      <c r="Y98" s="44"/>
    </row>
    <row r="99" spans="2:25" x14ac:dyDescent="0.2">
      <c r="Y99" s="44"/>
    </row>
    <row r="100" spans="2:25" x14ac:dyDescent="0.2">
      <c r="Y100" s="44"/>
    </row>
    <row r="101" spans="2:25" x14ac:dyDescent="0.2">
      <c r="I101" s="38"/>
      <c r="J101" s="38"/>
      <c r="Y101" s="44"/>
    </row>
    <row r="102" spans="2:25" x14ac:dyDescent="0.2">
      <c r="J102" s="38"/>
      <c r="Y102" s="44"/>
    </row>
    <row r="103" spans="2:25" x14ac:dyDescent="0.2">
      <c r="Y103" s="44"/>
    </row>
    <row r="104" spans="2:25" x14ac:dyDescent="0.2">
      <c r="Y104" s="44"/>
    </row>
    <row r="105" spans="2:25" x14ac:dyDescent="0.2">
      <c r="Y105" s="44"/>
    </row>
    <row r="106" spans="2:25" x14ac:dyDescent="0.2">
      <c r="Y106" s="44"/>
    </row>
    <row r="107" spans="2:25" x14ac:dyDescent="0.2">
      <c r="Y107" s="44"/>
    </row>
    <row r="108" spans="2:25" x14ac:dyDescent="0.2">
      <c r="Y108" s="44"/>
    </row>
    <row r="109" spans="2:25" x14ac:dyDescent="0.2">
      <c r="Y109" s="44"/>
    </row>
    <row r="110" spans="2:25" x14ac:dyDescent="0.2">
      <c r="Y110" s="44"/>
    </row>
    <row r="111" spans="2:25" x14ac:dyDescent="0.2">
      <c r="Y111" s="44"/>
    </row>
    <row r="112" spans="2:25" x14ac:dyDescent="0.2">
      <c r="Y112" s="44"/>
    </row>
    <row r="113" spans="25:25" x14ac:dyDescent="0.2">
      <c r="Y113" s="44"/>
    </row>
    <row r="114" spans="25:25" x14ac:dyDescent="0.2">
      <c r="Y114" s="45"/>
    </row>
    <row r="115" spans="25:25" x14ac:dyDescent="0.2">
      <c r="Y115" s="45"/>
    </row>
  </sheetData>
  <pageMargins left="0.7" right="0.7" top="0.75" bottom="0.75" header="0.3" footer="0.3"/>
  <pageSetup paperSize="9" scale="34" orientation="landscape" horizontalDpi="0" verticalDpi="0"/>
  <ignoredErrors>
    <ignoredError sqref="C20 E17 E19:G19 C17:D17 F17:G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2024-11-20T02:51:01Z</cp:lastPrinted>
  <dcterms:created xsi:type="dcterms:W3CDTF">2024-11-20T00:40:58Z</dcterms:created>
  <dcterms:modified xsi:type="dcterms:W3CDTF">2024-11-28T17:46:31Z</dcterms:modified>
</cp:coreProperties>
</file>